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32" yWindow="600" windowWidth="22716" windowHeight="10524"/>
  </bookViews>
  <sheets>
    <sheet name="Памятка по заполнению" sheetId="1" r:id="rId1"/>
    <sheet name="Всплывающий список" sheetId="2" state="hidden" r:id="rId2"/>
    <sheet name="Перечень ОЗВ" sheetId="3" r:id="rId3"/>
    <sheet name="Ссылки на отчеты предприятий" sheetId="4" r:id="rId4"/>
    <sheet name="Информация по городу" sheetId="5" r:id="rId5"/>
    <sheet name="Сводная информация по всем меро" sheetId="6" r:id="rId6"/>
  </sheets>
  <definedNames>
    <definedName name="_xlnm._FilterDatabase" localSheetId="4" hidden="1">'Информация по городу'!$A$12:$BP$1948</definedName>
    <definedName name="_xlnm._FilterDatabase" localSheetId="5" hidden="1">'Сводная информация по всем меро'!$A$12:$BP$1948</definedName>
  </definedNames>
  <calcPr calcId="145621"/>
</workbook>
</file>

<file path=xl/calcChain.xml><?xml version="1.0" encoding="utf-8"?>
<calcChain xmlns="http://schemas.openxmlformats.org/spreadsheetml/2006/main">
  <c r="AQ1948" i="5" l="1"/>
  <c r="AP1948" i="5"/>
  <c r="AQ1947" i="5"/>
  <c r="AP1947" i="5"/>
  <c r="AQ1946" i="5"/>
  <c r="AP1946" i="5"/>
  <c r="AQ1945" i="5"/>
  <c r="AP1945" i="5"/>
  <c r="AQ1944" i="5"/>
  <c r="AP1944" i="5"/>
  <c r="AQ1943" i="5"/>
  <c r="AP1943" i="5"/>
  <c r="AQ1942" i="5"/>
  <c r="AP1942" i="5"/>
  <c r="AQ1941" i="5"/>
  <c r="AP1941" i="5"/>
  <c r="AQ1940" i="5"/>
  <c r="AP1940" i="5"/>
  <c r="AQ1939" i="5"/>
  <c r="AP1939" i="5"/>
  <c r="AQ1938" i="5"/>
  <c r="AP1938" i="5"/>
  <c r="AQ1937" i="5"/>
  <c r="AP1937" i="5"/>
  <c r="AQ1936" i="5"/>
  <c r="AP1936" i="5"/>
  <c r="AQ1935" i="5"/>
  <c r="AP1935" i="5"/>
  <c r="AQ1934" i="5"/>
  <c r="AP1934" i="5"/>
  <c r="AQ1933" i="5"/>
  <c r="AP1933" i="5"/>
  <c r="AQ1932" i="5"/>
  <c r="AP1932" i="5"/>
  <c r="AQ1931" i="5"/>
  <c r="AP1931" i="5"/>
  <c r="AQ1930" i="5"/>
  <c r="AP1930" i="5"/>
  <c r="AQ1929" i="5"/>
  <c r="AP1929" i="5"/>
  <c r="AQ1928" i="5"/>
  <c r="AP1928" i="5"/>
  <c r="AQ1927" i="5"/>
  <c r="AP1927" i="5"/>
  <c r="AQ1926" i="5"/>
  <c r="AP1926" i="5"/>
  <c r="AQ1925" i="5"/>
  <c r="AP1925" i="5"/>
  <c r="AQ1924" i="5"/>
  <c r="AP1924" i="5"/>
  <c r="AQ1923" i="5"/>
  <c r="AP1923" i="5"/>
  <c r="AQ1922" i="5"/>
  <c r="AP1922" i="5"/>
  <c r="AQ1921" i="5"/>
  <c r="AP1921" i="5"/>
  <c r="AQ1920" i="5"/>
  <c r="AP1920" i="5"/>
  <c r="AQ1919" i="5"/>
  <c r="AP1919" i="5"/>
  <c r="AQ1918" i="5"/>
  <c r="AP1918" i="5"/>
  <c r="AQ1917" i="5"/>
  <c r="AP1917" i="5"/>
  <c r="AQ1916" i="5"/>
  <c r="AP1916" i="5"/>
  <c r="AQ1915" i="5"/>
  <c r="AP1915" i="5"/>
  <c r="AQ1914" i="5"/>
  <c r="AP1914" i="5"/>
  <c r="AQ1913" i="5"/>
  <c r="AP1913" i="5"/>
  <c r="AQ1912" i="5"/>
  <c r="AP1912" i="5"/>
  <c r="AQ1911" i="5"/>
  <c r="AP1911" i="5"/>
  <c r="AQ1910" i="5"/>
  <c r="AP1910" i="5"/>
  <c r="AQ1909" i="5"/>
  <c r="AP1909" i="5"/>
  <c r="AQ1908" i="5"/>
  <c r="AP1908" i="5"/>
  <c r="AQ1907" i="5"/>
  <c r="AP1907" i="5"/>
  <c r="AQ1906" i="5"/>
  <c r="AP1906" i="5"/>
  <c r="AQ1905" i="5"/>
  <c r="AP1905" i="5"/>
  <c r="AQ1904" i="5"/>
  <c r="AP1904" i="5"/>
  <c r="AQ1903" i="5"/>
  <c r="AP1903" i="5"/>
  <c r="AQ1902" i="5"/>
  <c r="AP1902" i="5"/>
  <c r="AQ1901" i="5"/>
  <c r="AP1901" i="5"/>
  <c r="AQ1900" i="5"/>
  <c r="AP1900" i="5"/>
  <c r="AQ1899" i="5"/>
  <c r="AP1899" i="5"/>
  <c r="AQ1898" i="5"/>
  <c r="AP1898" i="5"/>
  <c r="AQ1897" i="5"/>
  <c r="AP1897" i="5"/>
  <c r="AQ1896" i="5"/>
  <c r="AP1896" i="5"/>
  <c r="AQ1895" i="5"/>
  <c r="AP1895" i="5"/>
  <c r="AQ1894" i="5"/>
  <c r="AP1894" i="5"/>
  <c r="AQ1893" i="5"/>
  <c r="AP1893" i="5"/>
  <c r="AQ1892" i="5"/>
  <c r="AP1892" i="5"/>
  <c r="AQ1891" i="5"/>
  <c r="AP1891" i="5"/>
  <c r="AQ1890" i="5"/>
  <c r="AP1890" i="5"/>
  <c r="AQ1889" i="5"/>
  <c r="AP1889" i="5"/>
  <c r="AQ1888" i="5"/>
  <c r="AP1888" i="5"/>
  <c r="AQ1887" i="5"/>
  <c r="AP1887" i="5"/>
  <c r="AQ1886" i="5"/>
  <c r="AP1886" i="5"/>
  <c r="AQ1885" i="5"/>
  <c r="AP1885" i="5"/>
  <c r="AQ1884" i="5"/>
  <c r="AP1884" i="5"/>
  <c r="AQ1883" i="5"/>
  <c r="AP1883" i="5"/>
  <c r="AQ1882" i="5"/>
  <c r="AP1882" i="5"/>
  <c r="AQ1881" i="5"/>
  <c r="AP1881" i="5"/>
  <c r="AQ1880" i="5"/>
  <c r="AP1880" i="5"/>
  <c r="AQ1879" i="5"/>
  <c r="AP1879" i="5"/>
  <c r="AQ1878" i="5"/>
  <c r="AP1878" i="5"/>
  <c r="AQ1877" i="5"/>
  <c r="AP1877" i="5"/>
  <c r="AQ1876" i="5"/>
  <c r="AP1876" i="5"/>
  <c r="AQ1875" i="5"/>
  <c r="AP1875" i="5"/>
  <c r="AQ1874" i="5"/>
  <c r="AP1874" i="5"/>
  <c r="AQ1873" i="5"/>
  <c r="AP1873" i="5"/>
  <c r="AQ1872" i="5"/>
  <c r="AP1872" i="5"/>
  <c r="AQ1871" i="5"/>
  <c r="AP1871" i="5"/>
  <c r="AQ1870" i="5"/>
  <c r="AP1870" i="5"/>
  <c r="AQ1869" i="5"/>
  <c r="AP1869" i="5"/>
  <c r="AQ1868" i="5"/>
  <c r="AP1868" i="5"/>
  <c r="AQ1867" i="5"/>
  <c r="AP1867" i="5"/>
  <c r="AQ1866" i="5"/>
  <c r="AP1866" i="5"/>
  <c r="AQ1865" i="5"/>
  <c r="AP1865" i="5"/>
  <c r="AQ1864" i="5"/>
  <c r="AP1864" i="5"/>
  <c r="AQ1863" i="5"/>
  <c r="AP1863" i="5"/>
  <c r="AQ1862" i="5"/>
  <c r="AP1862" i="5"/>
  <c r="AQ1861" i="5"/>
  <c r="AP1861" i="5"/>
  <c r="AQ1860" i="5"/>
  <c r="AP1860" i="5"/>
  <c r="AQ1859" i="5"/>
  <c r="AP1859" i="5"/>
  <c r="AQ1858" i="5"/>
  <c r="AP1858" i="5"/>
  <c r="AQ1857" i="5"/>
  <c r="AP1857" i="5"/>
  <c r="AQ1856" i="5"/>
  <c r="AP1856" i="5"/>
  <c r="AQ1855" i="5"/>
  <c r="AP1855" i="5"/>
  <c r="AQ1854" i="5"/>
  <c r="AP1854" i="5"/>
  <c r="AQ1853" i="5"/>
  <c r="AP1853" i="5"/>
  <c r="AQ1852" i="5"/>
  <c r="AP1852" i="5"/>
  <c r="AQ1851" i="5"/>
  <c r="AP1851" i="5"/>
  <c r="AQ1850" i="5"/>
  <c r="AP1850" i="5"/>
  <c r="AQ1849" i="5"/>
  <c r="AP1849" i="5"/>
  <c r="AQ1848" i="5"/>
  <c r="AP1848" i="5"/>
  <c r="AQ1847" i="5"/>
  <c r="AP1847" i="5"/>
  <c r="AQ1846" i="5"/>
  <c r="AP1846" i="5"/>
  <c r="AQ1845" i="5"/>
  <c r="AP1845" i="5"/>
  <c r="AQ1844" i="5"/>
  <c r="AP1844" i="5"/>
  <c r="AQ1843" i="5"/>
  <c r="AP1843" i="5"/>
  <c r="AQ1842" i="5"/>
  <c r="AP1842" i="5"/>
  <c r="AQ1841" i="5"/>
  <c r="AP1841" i="5"/>
  <c r="AQ1840" i="5"/>
  <c r="AP1840" i="5"/>
  <c r="AQ1839" i="5"/>
  <c r="AP1839" i="5"/>
  <c r="AQ1838" i="5"/>
  <c r="AP1838" i="5"/>
  <c r="AQ1837" i="5"/>
  <c r="AP1837" i="5"/>
  <c r="AQ1836" i="5"/>
  <c r="AP1836" i="5"/>
  <c r="AQ1835" i="5"/>
  <c r="AP1835" i="5"/>
  <c r="AQ1834" i="5"/>
  <c r="AP1834" i="5"/>
  <c r="AQ1833" i="5"/>
  <c r="AP1833" i="5"/>
  <c r="AQ1832" i="5"/>
  <c r="AP1832" i="5"/>
  <c r="AQ1831" i="5"/>
  <c r="AP1831" i="5"/>
  <c r="AQ1830" i="5"/>
  <c r="AP1830" i="5"/>
  <c r="AQ1829" i="5"/>
  <c r="AP1829" i="5"/>
  <c r="AQ1828" i="5"/>
  <c r="AP1828" i="5"/>
  <c r="AQ1827" i="5"/>
  <c r="AP1827" i="5"/>
  <c r="AQ1826" i="5"/>
  <c r="AP1826" i="5"/>
  <c r="AQ1825" i="5"/>
  <c r="AP1825" i="5"/>
  <c r="AQ1824" i="5"/>
  <c r="AP1824" i="5"/>
  <c r="AQ1823" i="5"/>
  <c r="AP1823" i="5"/>
  <c r="AQ1822" i="5"/>
  <c r="AP1822" i="5"/>
  <c r="AQ1821" i="5"/>
  <c r="AP1821" i="5"/>
  <c r="AQ1820" i="5"/>
  <c r="AP1820" i="5"/>
  <c r="AQ1819" i="5"/>
  <c r="AP1819" i="5"/>
  <c r="AQ1818" i="5"/>
  <c r="AP1818" i="5"/>
  <c r="AQ1817" i="5"/>
  <c r="AP1817" i="5"/>
  <c r="AQ1816" i="5"/>
  <c r="AP1816" i="5"/>
  <c r="AQ1815" i="5"/>
  <c r="AP1815" i="5"/>
  <c r="AQ1814" i="5"/>
  <c r="AP1814" i="5"/>
  <c r="AQ1813" i="5"/>
  <c r="AP1813" i="5"/>
  <c r="AQ1812" i="5"/>
  <c r="AP1812" i="5"/>
  <c r="AQ1811" i="5"/>
  <c r="AP1811" i="5"/>
  <c r="AQ1810" i="5"/>
  <c r="AP1810" i="5"/>
  <c r="AQ1809" i="5"/>
  <c r="AP1809" i="5"/>
  <c r="AQ1808" i="5"/>
  <c r="AP1808" i="5"/>
  <c r="AQ1807" i="5"/>
  <c r="AP1807" i="5"/>
  <c r="AQ1806" i="5"/>
  <c r="AP1806" i="5"/>
  <c r="AQ1805" i="5"/>
  <c r="AP1805" i="5"/>
  <c r="AQ1804" i="5"/>
  <c r="AP1804" i="5"/>
  <c r="AQ1803" i="5"/>
  <c r="AP1803" i="5"/>
  <c r="AQ1802" i="5"/>
  <c r="AP1802" i="5"/>
  <c r="AQ1801" i="5"/>
  <c r="AP1801" i="5"/>
  <c r="AQ1800" i="5"/>
  <c r="AP1800" i="5"/>
  <c r="AQ1799" i="5"/>
  <c r="AP1799" i="5"/>
  <c r="AQ1798" i="5"/>
  <c r="AP1798" i="5"/>
  <c r="AQ1797" i="5"/>
  <c r="AP1797" i="5"/>
  <c r="AQ1796" i="5"/>
  <c r="AP1796" i="5"/>
  <c r="AQ1795" i="5"/>
  <c r="AP1795" i="5"/>
  <c r="AQ1794" i="5"/>
  <c r="AP1794" i="5"/>
  <c r="AQ1793" i="5"/>
  <c r="AP1793" i="5"/>
  <c r="AQ1792" i="5"/>
  <c r="AP1792" i="5"/>
  <c r="AQ1791" i="5"/>
  <c r="AP1791" i="5"/>
  <c r="AQ1790" i="5"/>
  <c r="AP1790" i="5"/>
  <c r="AQ1789" i="5"/>
  <c r="AP1789" i="5"/>
  <c r="AQ1788" i="5"/>
  <c r="AP1788" i="5"/>
  <c r="AQ1787" i="5"/>
  <c r="AP1787" i="5"/>
  <c r="AQ1786" i="5"/>
  <c r="AP1786" i="5"/>
  <c r="AQ1785" i="5"/>
  <c r="AP1785" i="5"/>
  <c r="AQ1784" i="5"/>
  <c r="AP1784" i="5"/>
  <c r="AQ1783" i="5"/>
  <c r="AP1783" i="5"/>
  <c r="AQ1782" i="5"/>
  <c r="AP1782" i="5"/>
  <c r="AQ1781" i="5"/>
  <c r="AP1781" i="5"/>
  <c r="AQ1780" i="5"/>
  <c r="AP1780" i="5"/>
  <c r="AQ1779" i="5"/>
  <c r="AP1779" i="5"/>
  <c r="AQ1778" i="5"/>
  <c r="AP1778" i="5"/>
  <c r="AQ1777" i="5"/>
  <c r="AP1777" i="5"/>
  <c r="AQ1776" i="5"/>
  <c r="AP1776" i="5"/>
  <c r="AQ1775" i="5"/>
  <c r="AP1775" i="5"/>
  <c r="AQ1774" i="5"/>
  <c r="AP1774" i="5"/>
  <c r="AQ1773" i="5"/>
  <c r="AP1773" i="5"/>
  <c r="AQ1772" i="5"/>
  <c r="AP1772" i="5"/>
  <c r="AQ1771" i="5"/>
  <c r="AP1771" i="5"/>
  <c r="AQ1770" i="5"/>
  <c r="AP1770" i="5"/>
  <c r="AQ1769" i="5"/>
  <c r="AP1769" i="5"/>
  <c r="AQ1768" i="5"/>
  <c r="AP1768" i="5"/>
  <c r="AQ1767" i="5"/>
  <c r="AP1767" i="5"/>
  <c r="AQ1766" i="5"/>
  <c r="AP1766" i="5"/>
  <c r="AQ1765" i="5"/>
  <c r="AP1765" i="5"/>
  <c r="AQ1764" i="5"/>
  <c r="AP1764" i="5"/>
  <c r="AQ1763" i="5"/>
  <c r="AP1763" i="5"/>
  <c r="AQ1762" i="5"/>
  <c r="AP1762" i="5"/>
  <c r="AQ1761" i="5"/>
  <c r="AP1761" i="5"/>
  <c r="AQ1760" i="5"/>
  <c r="AP1760" i="5"/>
  <c r="AQ1759" i="5"/>
  <c r="AP1759" i="5"/>
  <c r="AQ1758" i="5"/>
  <c r="AP1758" i="5"/>
  <c r="AQ1757" i="5"/>
  <c r="AP1757" i="5"/>
  <c r="AQ1756" i="5"/>
  <c r="AP1756" i="5"/>
  <c r="AQ1755" i="5"/>
  <c r="AP1755" i="5"/>
  <c r="AQ1754" i="5"/>
  <c r="AP1754" i="5"/>
  <c r="AQ1753" i="5"/>
  <c r="AP1753" i="5"/>
  <c r="AQ1752" i="5"/>
  <c r="AP1752" i="5"/>
  <c r="AQ1751" i="5"/>
  <c r="AP1751" i="5"/>
  <c r="AQ1750" i="5"/>
  <c r="AP1750" i="5"/>
  <c r="AQ1749" i="5"/>
  <c r="AP1749" i="5"/>
  <c r="AQ1748" i="5"/>
  <c r="AP1748" i="5"/>
  <c r="AQ1747" i="5"/>
  <c r="AP1747" i="5"/>
  <c r="AQ1746" i="5"/>
  <c r="AP1746" i="5"/>
  <c r="AQ1745" i="5"/>
  <c r="AP1745" i="5"/>
  <c r="AQ1744" i="5"/>
  <c r="AP1744" i="5"/>
  <c r="AQ1743" i="5"/>
  <c r="AP1743" i="5"/>
  <c r="AQ1742" i="5"/>
  <c r="AP1742" i="5"/>
  <c r="AQ1741" i="5"/>
  <c r="AP1741" i="5"/>
  <c r="AQ1740" i="5"/>
  <c r="AP1740" i="5"/>
  <c r="AQ1739" i="5"/>
  <c r="AP1739" i="5"/>
  <c r="AQ1738" i="5"/>
  <c r="AP1738" i="5"/>
  <c r="AQ1737" i="5"/>
  <c r="AP1737" i="5"/>
  <c r="AQ1736" i="5"/>
  <c r="AP1736" i="5"/>
  <c r="AQ1735" i="5"/>
  <c r="AP1735" i="5"/>
  <c r="AQ1734" i="5"/>
  <c r="AP1734" i="5"/>
  <c r="AQ1733" i="5"/>
  <c r="AP1733" i="5"/>
  <c r="AQ1732" i="5"/>
  <c r="AP1732" i="5"/>
  <c r="AQ1731" i="5"/>
  <c r="AP1731" i="5"/>
  <c r="AQ1730" i="5"/>
  <c r="AP1730" i="5"/>
  <c r="AQ1729" i="5"/>
  <c r="AP1729" i="5"/>
  <c r="AQ1728" i="5"/>
  <c r="AP1728" i="5"/>
  <c r="AQ1727" i="5"/>
  <c r="AP1727" i="5"/>
  <c r="AQ1726" i="5"/>
  <c r="AP1726" i="5"/>
  <c r="AQ1725" i="5"/>
  <c r="AP1725" i="5"/>
  <c r="AQ1724" i="5"/>
  <c r="AP1724" i="5"/>
  <c r="AQ1723" i="5"/>
  <c r="AP1723" i="5"/>
  <c r="AQ1722" i="5"/>
  <c r="AP1722" i="5"/>
  <c r="AQ1721" i="5"/>
  <c r="AP1721" i="5"/>
  <c r="AQ1720" i="5"/>
  <c r="AP1720" i="5"/>
  <c r="AQ1719" i="5"/>
  <c r="AP1719" i="5"/>
  <c r="AQ1718" i="5"/>
  <c r="AP1718" i="5"/>
  <c r="AQ1717" i="5"/>
  <c r="AP1717" i="5"/>
  <c r="AQ1716" i="5"/>
  <c r="AP1716" i="5"/>
  <c r="AQ1715" i="5"/>
  <c r="AP1715" i="5"/>
  <c r="AQ1714" i="5"/>
  <c r="AP1714" i="5"/>
  <c r="AQ1713" i="5"/>
  <c r="AP1713" i="5"/>
  <c r="AQ1712" i="5"/>
  <c r="AP1712" i="5"/>
  <c r="AQ1711" i="5"/>
  <c r="AP1711" i="5"/>
  <c r="AQ1710" i="5"/>
  <c r="AP1710" i="5"/>
  <c r="AQ1709" i="5"/>
  <c r="AP1709" i="5"/>
  <c r="AQ1708" i="5"/>
  <c r="AP1708" i="5"/>
  <c r="AQ1707" i="5"/>
  <c r="AP1707" i="5"/>
  <c r="AQ1706" i="5"/>
  <c r="AP1706" i="5"/>
  <c r="AQ1705" i="5"/>
  <c r="AP1705" i="5"/>
  <c r="AQ1704" i="5"/>
  <c r="AP1704" i="5"/>
  <c r="AQ1703" i="5"/>
  <c r="AP1703" i="5"/>
  <c r="AQ1702" i="5"/>
  <c r="AP1702" i="5"/>
  <c r="AQ1701" i="5"/>
  <c r="AP1701" i="5"/>
  <c r="AQ1700" i="5"/>
  <c r="AP1700" i="5"/>
  <c r="AQ1699" i="5"/>
  <c r="AP1699" i="5"/>
  <c r="AQ1698" i="5"/>
  <c r="AP1698" i="5"/>
  <c r="AQ1697" i="5"/>
  <c r="AP1697" i="5"/>
  <c r="AQ1696" i="5"/>
  <c r="AP1696" i="5"/>
  <c r="AQ1695" i="5"/>
  <c r="AP1695" i="5"/>
  <c r="AQ1694" i="5"/>
  <c r="AP1694" i="5"/>
  <c r="AQ1693" i="5"/>
  <c r="AP1693" i="5"/>
  <c r="AQ1692" i="5"/>
  <c r="AP1692" i="5"/>
  <c r="AQ1691" i="5"/>
  <c r="AP1691" i="5"/>
  <c r="AQ1690" i="5"/>
  <c r="AP1690" i="5"/>
  <c r="AQ1689" i="5"/>
  <c r="AP1689" i="5"/>
  <c r="AQ1688" i="5"/>
  <c r="AP1688" i="5"/>
  <c r="AQ1687" i="5"/>
  <c r="AP1687" i="5"/>
  <c r="AQ1686" i="5"/>
  <c r="AP1686" i="5"/>
  <c r="AQ1685" i="5"/>
  <c r="AP1685" i="5"/>
  <c r="AQ1684" i="5"/>
  <c r="AP1684" i="5"/>
  <c r="AQ1683" i="5"/>
  <c r="AP1683" i="5"/>
  <c r="AQ1682" i="5"/>
  <c r="AP1682" i="5"/>
  <c r="AQ1681" i="5"/>
  <c r="AP1681" i="5"/>
  <c r="AQ1680" i="5"/>
  <c r="AP1680" i="5"/>
  <c r="AQ1679" i="5"/>
  <c r="AP1679" i="5"/>
  <c r="AQ1678" i="5"/>
  <c r="AP1678" i="5"/>
  <c r="AQ1677" i="5"/>
  <c r="AP1677" i="5"/>
  <c r="AQ1676" i="5"/>
  <c r="AP1676" i="5"/>
  <c r="AQ1675" i="5"/>
  <c r="AP1675" i="5"/>
  <c r="AQ1674" i="5"/>
  <c r="AP1674" i="5"/>
  <c r="AQ1673" i="5"/>
  <c r="AP1673" i="5"/>
  <c r="AQ1672" i="5"/>
  <c r="AP1672" i="5"/>
  <c r="AQ1671" i="5"/>
  <c r="AP1671" i="5"/>
  <c r="AQ1670" i="5"/>
  <c r="AP1670" i="5"/>
  <c r="AQ1669" i="5"/>
  <c r="AP1669" i="5"/>
  <c r="AQ1668" i="5"/>
  <c r="AP1668" i="5"/>
  <c r="AQ1667" i="5"/>
  <c r="AP1667" i="5"/>
  <c r="AQ1666" i="5"/>
  <c r="AP1666" i="5"/>
  <c r="AQ1665" i="5"/>
  <c r="AP1665" i="5"/>
  <c r="AQ1664" i="5"/>
  <c r="AP1664" i="5"/>
  <c r="AQ1663" i="5"/>
  <c r="AP1663" i="5"/>
  <c r="AQ1662" i="5"/>
  <c r="AP1662" i="5"/>
  <c r="AQ1661" i="5"/>
  <c r="AP1661" i="5"/>
  <c r="AQ1660" i="5"/>
  <c r="AP1660" i="5"/>
  <c r="AQ1659" i="5"/>
  <c r="AP1659" i="5"/>
  <c r="AQ1658" i="5"/>
  <c r="AP1658" i="5"/>
  <c r="AQ1657" i="5"/>
  <c r="AP1657" i="5"/>
  <c r="AQ1656" i="5"/>
  <c r="AP1656" i="5"/>
  <c r="AQ1655" i="5"/>
  <c r="AP1655" i="5"/>
  <c r="AQ1654" i="5"/>
  <c r="AP1654" i="5"/>
  <c r="AQ1653" i="5"/>
  <c r="AP1653" i="5"/>
  <c r="AQ1652" i="5"/>
  <c r="AP1652" i="5"/>
  <c r="AQ1651" i="5"/>
  <c r="AP1651" i="5"/>
  <c r="AQ1650" i="5"/>
  <c r="AP1650" i="5"/>
  <c r="AQ1649" i="5"/>
  <c r="AP1649" i="5"/>
  <c r="AQ1648" i="5"/>
  <c r="AP1648" i="5"/>
  <c r="AQ1647" i="5"/>
  <c r="AP1647" i="5"/>
  <c r="AQ1646" i="5"/>
  <c r="AP1646" i="5"/>
  <c r="AQ1645" i="5"/>
  <c r="AP1645" i="5"/>
  <c r="AQ1644" i="5"/>
  <c r="AP1644" i="5"/>
  <c r="AQ1643" i="5"/>
  <c r="AP1643" i="5"/>
  <c r="AQ1642" i="5"/>
  <c r="AP1642" i="5"/>
  <c r="AQ1641" i="5"/>
  <c r="AP1641" i="5"/>
  <c r="AQ1640" i="5"/>
  <c r="AP1640" i="5"/>
  <c r="AQ1639" i="5"/>
  <c r="AP1639" i="5"/>
  <c r="AQ1638" i="5"/>
  <c r="AP1638" i="5"/>
  <c r="AQ1637" i="5"/>
  <c r="AP1637" i="5"/>
  <c r="AQ1636" i="5"/>
  <c r="AP1636" i="5"/>
  <c r="AQ1635" i="5"/>
  <c r="AP1635" i="5"/>
  <c r="AQ1634" i="5"/>
  <c r="AP1634" i="5"/>
  <c r="AQ1633" i="5"/>
  <c r="AP1633" i="5"/>
  <c r="AQ1632" i="5"/>
  <c r="AP1632" i="5"/>
  <c r="AQ1631" i="5"/>
  <c r="AP1631" i="5"/>
  <c r="AQ1630" i="5"/>
  <c r="AP1630" i="5"/>
  <c r="AQ1629" i="5"/>
  <c r="AP1629" i="5"/>
  <c r="AQ1628" i="5"/>
  <c r="AP1628" i="5"/>
  <c r="AQ1627" i="5"/>
  <c r="AP1627" i="5"/>
  <c r="AQ1626" i="5"/>
  <c r="AP1626" i="5"/>
  <c r="AQ1625" i="5"/>
  <c r="AP1625" i="5"/>
  <c r="AQ1624" i="5"/>
  <c r="AP1624" i="5"/>
  <c r="AQ1623" i="5"/>
  <c r="AP1623" i="5"/>
  <c r="AQ1622" i="5"/>
  <c r="AP1622" i="5"/>
  <c r="AQ1621" i="5"/>
  <c r="AP1621" i="5"/>
  <c r="AQ1620" i="5"/>
  <c r="AP1620" i="5"/>
  <c r="AQ1619" i="5"/>
  <c r="AP1619" i="5"/>
  <c r="AQ1618" i="5"/>
  <c r="AP1618" i="5"/>
  <c r="AQ1617" i="5"/>
  <c r="AP1617" i="5"/>
  <c r="AQ1616" i="5"/>
  <c r="AP1616" i="5"/>
  <c r="AQ1615" i="5"/>
  <c r="AP1615" i="5"/>
  <c r="AQ1614" i="5"/>
  <c r="AP1614" i="5"/>
  <c r="AQ1613" i="5"/>
  <c r="AP1613" i="5"/>
  <c r="AQ1612" i="5"/>
  <c r="AP1612" i="5"/>
  <c r="AQ1611" i="5"/>
  <c r="AP1611" i="5"/>
  <c r="AQ1610" i="5"/>
  <c r="AP1610" i="5"/>
  <c r="AQ1609" i="5"/>
  <c r="AP1609" i="5"/>
  <c r="AQ1608" i="5"/>
  <c r="AP1608" i="5"/>
  <c r="AQ1607" i="5"/>
  <c r="AP1607" i="5"/>
  <c r="AQ1606" i="5"/>
  <c r="AP1606" i="5"/>
  <c r="AQ1605" i="5"/>
  <c r="AP1605" i="5"/>
  <c r="AQ1604" i="5"/>
  <c r="AP1604" i="5"/>
  <c r="AQ1603" i="5"/>
  <c r="AP1603" i="5"/>
  <c r="AQ1602" i="5"/>
  <c r="AP1602" i="5"/>
  <c r="AQ1601" i="5"/>
  <c r="AP1601" i="5"/>
  <c r="AQ1600" i="5"/>
  <c r="AP1600" i="5"/>
  <c r="AQ1599" i="5"/>
  <c r="AP1599" i="5"/>
  <c r="AQ1598" i="5"/>
  <c r="AP1598" i="5"/>
  <c r="AQ1597" i="5"/>
  <c r="AP1597" i="5"/>
  <c r="AQ1596" i="5"/>
  <c r="AP1596" i="5"/>
  <c r="AQ1595" i="5"/>
  <c r="AP1595" i="5"/>
  <c r="AQ1594" i="5"/>
  <c r="AP1594" i="5"/>
  <c r="AQ1593" i="5"/>
  <c r="AP1593" i="5"/>
  <c r="AQ1592" i="5"/>
  <c r="AP1592" i="5"/>
  <c r="AQ1591" i="5"/>
  <c r="AP1591" i="5"/>
  <c r="AQ1590" i="5"/>
  <c r="AP1590" i="5"/>
  <c r="AQ1589" i="5"/>
  <c r="AP1589" i="5"/>
  <c r="AQ1588" i="5"/>
  <c r="AP1588" i="5"/>
  <c r="AQ1587" i="5"/>
  <c r="AP1587" i="5"/>
  <c r="AQ1586" i="5"/>
  <c r="AP1586" i="5"/>
  <c r="AQ1585" i="5"/>
  <c r="AP1585" i="5"/>
  <c r="AQ1584" i="5"/>
  <c r="AP1584" i="5"/>
  <c r="AQ1583" i="5"/>
  <c r="AP1583" i="5"/>
  <c r="AQ1582" i="5"/>
  <c r="AP1582" i="5"/>
  <c r="AQ1581" i="5"/>
  <c r="AP1581" i="5"/>
  <c r="AQ1580" i="5"/>
  <c r="AP1580" i="5"/>
  <c r="AQ1579" i="5"/>
  <c r="AP1579" i="5"/>
  <c r="AQ1578" i="5"/>
  <c r="AP1578" i="5"/>
  <c r="AQ1577" i="5"/>
  <c r="AP1577" i="5"/>
  <c r="AQ1576" i="5"/>
  <c r="AP1576" i="5"/>
  <c r="AQ1575" i="5"/>
  <c r="AP1575" i="5"/>
  <c r="AQ1574" i="5"/>
  <c r="AP1574" i="5"/>
  <c r="AQ1573" i="5"/>
  <c r="AP1573" i="5"/>
  <c r="AQ1572" i="5"/>
  <c r="AP1572" i="5"/>
  <c r="AQ1571" i="5"/>
  <c r="AP1571" i="5"/>
  <c r="AQ1570" i="5"/>
  <c r="AP1570" i="5"/>
  <c r="AQ1569" i="5"/>
  <c r="AP1569" i="5"/>
  <c r="AQ1568" i="5"/>
  <c r="AP1568" i="5"/>
  <c r="AQ1567" i="5"/>
  <c r="AP1567" i="5"/>
  <c r="AQ1566" i="5"/>
  <c r="AP1566" i="5"/>
  <c r="AQ1565" i="5"/>
  <c r="AP1565" i="5"/>
  <c r="AQ1564" i="5"/>
  <c r="AP1564" i="5"/>
  <c r="AQ1563" i="5"/>
  <c r="AP1563" i="5"/>
  <c r="AQ1562" i="5"/>
  <c r="AP1562" i="5"/>
  <c r="AQ1561" i="5"/>
  <c r="AP1561" i="5"/>
  <c r="AQ1560" i="5"/>
  <c r="AP1560" i="5"/>
  <c r="AQ1559" i="5"/>
  <c r="AP1559" i="5"/>
  <c r="AQ1558" i="5"/>
  <c r="AP1558" i="5"/>
  <c r="AQ1557" i="5"/>
  <c r="AP1557" i="5"/>
  <c r="AQ1556" i="5"/>
  <c r="AP1556" i="5"/>
  <c r="AQ1555" i="5"/>
  <c r="AP1555" i="5"/>
  <c r="AQ1554" i="5"/>
  <c r="AP1554" i="5"/>
  <c r="AQ1553" i="5"/>
  <c r="AP1553" i="5"/>
  <c r="AQ1552" i="5"/>
  <c r="AP1552" i="5"/>
  <c r="AQ1551" i="5"/>
  <c r="AP1551" i="5"/>
  <c r="AQ1550" i="5"/>
  <c r="AP1550" i="5"/>
  <c r="AQ1549" i="5"/>
  <c r="AP1549" i="5"/>
  <c r="AQ1548" i="5"/>
  <c r="AP1548" i="5"/>
  <c r="AQ1547" i="5"/>
  <c r="AP1547" i="5"/>
  <c r="AQ1546" i="5"/>
  <c r="AP1546" i="5"/>
  <c r="AQ1545" i="5"/>
  <c r="AP1545" i="5"/>
  <c r="AQ1544" i="5"/>
  <c r="AP1544" i="5"/>
  <c r="AQ1543" i="5"/>
  <c r="AP1543" i="5"/>
  <c r="AQ1542" i="5"/>
  <c r="AP1542" i="5"/>
  <c r="AQ1541" i="5"/>
  <c r="AP1541" i="5"/>
  <c r="AQ1540" i="5"/>
  <c r="AP1540" i="5"/>
  <c r="AQ1539" i="5"/>
  <c r="AP1539" i="5"/>
  <c r="AQ1538" i="5"/>
  <c r="AP1538" i="5"/>
  <c r="AQ1537" i="5"/>
  <c r="AP1537" i="5"/>
  <c r="AQ1536" i="5"/>
  <c r="AP1536" i="5"/>
  <c r="AQ1535" i="5"/>
  <c r="AP1535" i="5"/>
  <c r="AQ1534" i="5"/>
  <c r="AP1534" i="5"/>
  <c r="AQ1533" i="5"/>
  <c r="AP1533" i="5"/>
  <c r="AQ1532" i="5"/>
  <c r="AP1532" i="5"/>
  <c r="AQ1531" i="5"/>
  <c r="AP1531" i="5"/>
  <c r="AQ1530" i="5"/>
  <c r="AP1530" i="5"/>
  <c r="AQ1529" i="5"/>
  <c r="AP1529" i="5"/>
  <c r="AQ1528" i="5"/>
  <c r="AP1528" i="5"/>
  <c r="AQ1527" i="5"/>
  <c r="AP1527" i="5"/>
  <c r="AQ1526" i="5"/>
  <c r="AP1526" i="5"/>
  <c r="AQ1525" i="5"/>
  <c r="AP1525" i="5"/>
  <c r="AQ1524" i="5"/>
  <c r="AP1524" i="5"/>
  <c r="AQ1523" i="5"/>
  <c r="AP1523" i="5"/>
  <c r="AQ1522" i="5"/>
  <c r="AP1522" i="5"/>
  <c r="AQ1521" i="5"/>
  <c r="AP1521" i="5"/>
  <c r="AQ1520" i="5"/>
  <c r="AP1520" i="5"/>
  <c r="AQ1519" i="5"/>
  <c r="AP1519" i="5"/>
  <c r="AQ1518" i="5"/>
  <c r="AP1518" i="5"/>
  <c r="AQ1517" i="5"/>
  <c r="AP1517" i="5"/>
  <c r="AQ1516" i="5"/>
  <c r="AP1516" i="5"/>
  <c r="AQ1515" i="5"/>
  <c r="AP1515" i="5"/>
  <c r="AQ1514" i="5"/>
  <c r="AP1514" i="5"/>
  <c r="AQ1513" i="5"/>
  <c r="AP1513" i="5"/>
  <c r="AQ1512" i="5"/>
  <c r="AP1512" i="5"/>
  <c r="AQ1511" i="5"/>
  <c r="AP1511" i="5"/>
  <c r="AQ1510" i="5"/>
  <c r="AP1510" i="5"/>
  <c r="AQ1509" i="5"/>
  <c r="AP1509" i="5"/>
  <c r="AQ1508" i="5"/>
  <c r="AP1508" i="5"/>
  <c r="AQ1507" i="5"/>
  <c r="AP1507" i="5"/>
  <c r="AQ1506" i="5"/>
  <c r="AP1506" i="5"/>
  <c r="AQ1505" i="5"/>
  <c r="AP1505" i="5"/>
  <c r="AQ1504" i="5"/>
  <c r="AP1504" i="5"/>
  <c r="AQ1503" i="5"/>
  <c r="AP1503" i="5"/>
  <c r="AQ1502" i="5"/>
  <c r="AP1502" i="5"/>
  <c r="AQ1501" i="5"/>
  <c r="AP1501" i="5"/>
  <c r="AQ1500" i="5"/>
  <c r="AP1500" i="5"/>
  <c r="AQ1499" i="5"/>
  <c r="AP1499" i="5"/>
  <c r="AQ1498" i="5"/>
  <c r="AP1498" i="5"/>
  <c r="AQ1497" i="5"/>
  <c r="AP1497" i="5"/>
  <c r="AQ1496" i="5"/>
  <c r="AP1496" i="5"/>
  <c r="AQ1495" i="5"/>
  <c r="AP1495" i="5"/>
  <c r="AQ1494" i="5"/>
  <c r="AP1494" i="5"/>
  <c r="AQ1493" i="5"/>
  <c r="AP1493" i="5"/>
  <c r="AQ1492" i="5"/>
  <c r="AP1492" i="5"/>
  <c r="AQ1491" i="5"/>
  <c r="AP1491" i="5"/>
  <c r="AQ1490" i="5"/>
  <c r="AP1490" i="5"/>
  <c r="AQ1489" i="5"/>
  <c r="AP1489" i="5"/>
  <c r="AQ1488" i="5"/>
  <c r="AP1488" i="5"/>
  <c r="AQ1487" i="5"/>
  <c r="AP1487" i="5"/>
  <c r="AQ1486" i="5"/>
  <c r="AP1486" i="5"/>
  <c r="AQ1485" i="5"/>
  <c r="AP1485" i="5"/>
  <c r="AQ1484" i="5"/>
  <c r="AP1484" i="5"/>
  <c r="AQ1483" i="5"/>
  <c r="AP1483" i="5"/>
  <c r="AQ1482" i="5"/>
  <c r="AP1482" i="5"/>
  <c r="AQ1481" i="5"/>
  <c r="AP1481" i="5"/>
  <c r="AQ1480" i="5"/>
  <c r="AP1480" i="5"/>
  <c r="AQ1479" i="5"/>
  <c r="AP1479" i="5"/>
  <c r="AQ1478" i="5"/>
  <c r="AP1478" i="5"/>
  <c r="AQ1477" i="5"/>
  <c r="AP1477" i="5"/>
  <c r="AQ1476" i="5"/>
  <c r="AP1476" i="5"/>
  <c r="AQ1475" i="5"/>
  <c r="AP1475" i="5"/>
  <c r="AQ1474" i="5"/>
  <c r="AP1474" i="5"/>
  <c r="AQ1473" i="5"/>
  <c r="AP1473" i="5"/>
  <c r="AQ1472" i="5"/>
  <c r="AP1472" i="5"/>
  <c r="AQ1471" i="5"/>
  <c r="AP1471" i="5"/>
  <c r="AQ1470" i="5"/>
  <c r="AP1470" i="5"/>
  <c r="AQ1469" i="5"/>
  <c r="AP1469" i="5"/>
  <c r="AQ1468" i="5"/>
  <c r="AP1468" i="5"/>
  <c r="AQ1467" i="5"/>
  <c r="AP1467" i="5"/>
  <c r="AQ1466" i="5"/>
  <c r="AP1466" i="5"/>
  <c r="AQ1465" i="5"/>
  <c r="AP1465" i="5"/>
  <c r="AQ1464" i="5"/>
  <c r="AP1464" i="5"/>
  <c r="AQ1463" i="5"/>
  <c r="AP1463" i="5"/>
  <c r="AQ1462" i="5"/>
  <c r="AP1462" i="5"/>
  <c r="AQ1461" i="5"/>
  <c r="AP1461" i="5"/>
  <c r="AQ1460" i="5"/>
  <c r="AP1460" i="5"/>
  <c r="AQ1459" i="5"/>
  <c r="AP1459" i="5"/>
  <c r="AQ1458" i="5"/>
  <c r="AP1458" i="5"/>
  <c r="AQ1457" i="5"/>
  <c r="AP1457" i="5"/>
  <c r="AQ1456" i="5"/>
  <c r="AP1456" i="5"/>
  <c r="AQ1455" i="5"/>
  <c r="AP1455" i="5"/>
  <c r="AQ1454" i="5"/>
  <c r="AP1454" i="5"/>
  <c r="AQ1453" i="5"/>
  <c r="AP1453" i="5"/>
  <c r="AQ1452" i="5"/>
  <c r="AP1452" i="5"/>
  <c r="AQ1451" i="5"/>
  <c r="AP1451" i="5"/>
  <c r="AQ1450" i="5"/>
  <c r="AP1450" i="5"/>
  <c r="AQ1449" i="5"/>
  <c r="AP1449" i="5"/>
  <c r="AQ1448" i="5"/>
  <c r="AP1448" i="5"/>
  <c r="AQ1447" i="5"/>
  <c r="AP1447" i="5"/>
  <c r="AQ1446" i="5"/>
  <c r="AP1446" i="5"/>
  <c r="AQ1445" i="5"/>
  <c r="AP1445" i="5"/>
  <c r="AQ1444" i="5"/>
  <c r="AP1444" i="5"/>
  <c r="AQ1443" i="5"/>
  <c r="AP1443" i="5"/>
  <c r="AQ1442" i="5"/>
  <c r="AP1442" i="5"/>
  <c r="AQ1441" i="5"/>
  <c r="AP1441" i="5"/>
  <c r="AQ1440" i="5"/>
  <c r="AP1440" i="5"/>
  <c r="AQ1439" i="5"/>
  <c r="AP1439" i="5"/>
  <c r="AQ1438" i="5"/>
  <c r="AP1438" i="5"/>
  <c r="AQ1437" i="5"/>
  <c r="AP1437" i="5"/>
  <c r="AQ1436" i="5"/>
  <c r="AP1436" i="5"/>
  <c r="AQ1435" i="5"/>
  <c r="AP1435" i="5"/>
  <c r="AQ1434" i="5"/>
  <c r="AP1434" i="5"/>
  <c r="AQ1433" i="5"/>
  <c r="AP1433" i="5"/>
  <c r="AQ1432" i="5"/>
  <c r="AP1432" i="5"/>
  <c r="AQ1431" i="5"/>
  <c r="AP1431" i="5"/>
  <c r="AQ1430" i="5"/>
  <c r="AP1430" i="5"/>
  <c r="AQ1429" i="5"/>
  <c r="AP1429" i="5"/>
  <c r="AQ1428" i="5"/>
  <c r="AP1428" i="5"/>
  <c r="AQ1427" i="5"/>
  <c r="AP1427" i="5"/>
  <c r="AQ1426" i="5"/>
  <c r="AP1426" i="5"/>
  <c r="AQ1425" i="5"/>
  <c r="AP1425" i="5"/>
  <c r="AQ1424" i="5"/>
  <c r="AP1424" i="5"/>
  <c r="AQ1423" i="5"/>
  <c r="AP1423" i="5"/>
  <c r="AQ1422" i="5"/>
  <c r="AP1422" i="5"/>
  <c r="AQ1421" i="5"/>
  <c r="AP1421" i="5"/>
  <c r="AQ1420" i="5"/>
  <c r="AP1420" i="5"/>
  <c r="AQ1419" i="5"/>
  <c r="AP1419" i="5"/>
  <c r="AQ1418" i="5"/>
  <c r="AP1418" i="5"/>
  <c r="AQ1417" i="5"/>
  <c r="AP1417" i="5"/>
  <c r="AQ1416" i="5"/>
  <c r="AP1416" i="5"/>
  <c r="AQ1415" i="5"/>
  <c r="AP1415" i="5"/>
  <c r="AQ1414" i="5"/>
  <c r="AP1414" i="5"/>
  <c r="AQ1413" i="5"/>
  <c r="AP1413" i="5"/>
  <c r="AQ1412" i="5"/>
  <c r="AP1412" i="5"/>
  <c r="AQ1411" i="5"/>
  <c r="AP1411" i="5"/>
  <c r="AQ1410" i="5"/>
  <c r="AP1410" i="5"/>
  <c r="AQ1409" i="5"/>
  <c r="AP1409" i="5"/>
  <c r="AQ1408" i="5"/>
  <c r="AP1408" i="5"/>
  <c r="AQ1407" i="5"/>
  <c r="AP1407" i="5"/>
  <c r="AQ1406" i="5"/>
  <c r="AP1406" i="5"/>
  <c r="AQ1405" i="5"/>
  <c r="AP1405" i="5"/>
  <c r="AQ1404" i="5"/>
  <c r="AP1404" i="5"/>
  <c r="AQ1403" i="5"/>
  <c r="AP1403" i="5"/>
  <c r="AQ1402" i="5"/>
  <c r="AP1402" i="5"/>
  <c r="AQ1401" i="5"/>
  <c r="AP1401" i="5"/>
  <c r="AQ1400" i="5"/>
  <c r="AP1400" i="5"/>
  <c r="AQ1399" i="5"/>
  <c r="AP1399" i="5"/>
  <c r="AQ1398" i="5"/>
  <c r="AP1398" i="5"/>
  <c r="AQ1397" i="5"/>
  <c r="AP1397" i="5"/>
  <c r="AQ1396" i="5"/>
  <c r="AP1396" i="5"/>
  <c r="AQ1395" i="5"/>
  <c r="AP1395" i="5"/>
  <c r="AQ1394" i="5"/>
  <c r="AP1394" i="5"/>
  <c r="AQ1393" i="5"/>
  <c r="AP1393" i="5"/>
  <c r="AQ1392" i="5"/>
  <c r="AP1392" i="5"/>
  <c r="AQ1391" i="5"/>
  <c r="AP1391" i="5"/>
  <c r="AQ1390" i="5"/>
  <c r="AP1390" i="5"/>
  <c r="AQ1389" i="5"/>
  <c r="AP1389" i="5"/>
  <c r="AQ1388" i="5"/>
  <c r="AP1388" i="5"/>
  <c r="AQ1387" i="5"/>
  <c r="AP1387" i="5"/>
  <c r="AQ1386" i="5"/>
  <c r="AP1386" i="5"/>
  <c r="AQ1385" i="5"/>
  <c r="AP1385" i="5"/>
  <c r="AQ1384" i="5"/>
  <c r="AP1384" i="5"/>
  <c r="AQ1383" i="5"/>
  <c r="AP1383" i="5"/>
  <c r="AQ1382" i="5"/>
  <c r="AP1382" i="5"/>
  <c r="AQ1381" i="5"/>
  <c r="AP1381" i="5"/>
  <c r="AQ1380" i="5"/>
  <c r="AP1380" i="5"/>
  <c r="AQ1379" i="5"/>
  <c r="AP1379" i="5"/>
  <c r="AQ1378" i="5"/>
  <c r="AP1378" i="5"/>
  <c r="AQ1377" i="5"/>
  <c r="AP1377" i="5"/>
  <c r="AQ1376" i="5"/>
  <c r="AP1376" i="5"/>
  <c r="AQ1375" i="5"/>
  <c r="AP1375" i="5"/>
  <c r="AQ1374" i="5"/>
  <c r="AP1374" i="5"/>
  <c r="AQ1373" i="5"/>
  <c r="AP1373" i="5"/>
  <c r="AQ1372" i="5"/>
  <c r="AP1372" i="5"/>
  <c r="AQ1371" i="5"/>
  <c r="AP1371" i="5"/>
  <c r="AQ1370" i="5"/>
  <c r="AP1370" i="5"/>
  <c r="AQ1369" i="5"/>
  <c r="AP1369" i="5"/>
  <c r="AQ1368" i="5"/>
  <c r="AP1368" i="5"/>
  <c r="AQ1367" i="5"/>
  <c r="AP1367" i="5"/>
  <c r="AQ1366" i="5"/>
  <c r="AP1366" i="5"/>
  <c r="AQ1365" i="5"/>
  <c r="AP1365" i="5"/>
  <c r="AQ1364" i="5"/>
  <c r="AP1364" i="5"/>
  <c r="AQ1363" i="5"/>
  <c r="AP1363" i="5"/>
  <c r="AQ1362" i="5"/>
  <c r="AP1362" i="5"/>
  <c r="AQ1361" i="5"/>
  <c r="AP1361" i="5"/>
  <c r="AQ1360" i="5"/>
  <c r="AP1360" i="5"/>
  <c r="AQ1359" i="5"/>
  <c r="AP1359" i="5"/>
  <c r="AQ1358" i="5"/>
  <c r="AP1358" i="5"/>
  <c r="AQ1357" i="5"/>
  <c r="AP1357" i="5"/>
  <c r="AQ1356" i="5"/>
  <c r="AP1356" i="5"/>
  <c r="AQ1355" i="5"/>
  <c r="AP1355" i="5"/>
  <c r="AQ1354" i="5"/>
  <c r="AP1354" i="5"/>
  <c r="AQ1353" i="5"/>
  <c r="AP1353" i="5"/>
  <c r="AQ1352" i="5"/>
  <c r="AP1352" i="5"/>
  <c r="AQ1351" i="5"/>
  <c r="AP1351" i="5"/>
  <c r="AQ1350" i="5"/>
  <c r="AP1350" i="5"/>
  <c r="AQ1349" i="5"/>
  <c r="AP1349" i="5"/>
  <c r="AQ1348" i="5"/>
  <c r="AP1348" i="5"/>
  <c r="AQ1347" i="5"/>
  <c r="AP1347" i="5"/>
  <c r="AQ1346" i="5"/>
  <c r="AP1346" i="5"/>
  <c r="AQ1345" i="5"/>
  <c r="AP1345" i="5"/>
  <c r="AQ1344" i="5"/>
  <c r="AP1344" i="5"/>
  <c r="AQ1343" i="5"/>
  <c r="AP1343" i="5"/>
  <c r="AQ1342" i="5"/>
  <c r="AP1342" i="5"/>
  <c r="AQ1341" i="5"/>
  <c r="AP1341" i="5"/>
  <c r="AQ1340" i="5"/>
  <c r="AP1340" i="5"/>
  <c r="AQ1339" i="5"/>
  <c r="AP1339" i="5"/>
  <c r="AQ1338" i="5"/>
  <c r="AP1338" i="5"/>
  <c r="AQ1337" i="5"/>
  <c r="AP1337" i="5"/>
  <c r="AQ1336" i="5"/>
  <c r="AP1336" i="5"/>
  <c r="AQ1335" i="5"/>
  <c r="AP1335" i="5"/>
  <c r="AQ1334" i="5"/>
  <c r="AP1334" i="5"/>
  <c r="AQ1333" i="5"/>
  <c r="AP1333" i="5"/>
  <c r="AQ1332" i="5"/>
  <c r="AP1332" i="5"/>
  <c r="AQ1331" i="5"/>
  <c r="AP1331" i="5"/>
  <c r="AQ1330" i="5"/>
  <c r="AP1330" i="5"/>
  <c r="AQ1329" i="5"/>
  <c r="AP1329" i="5"/>
  <c r="AQ1328" i="5"/>
  <c r="AP1328" i="5"/>
  <c r="AQ1327" i="5"/>
  <c r="AP1327" i="5"/>
  <c r="AQ1326" i="5"/>
  <c r="AP1326" i="5"/>
  <c r="AQ1325" i="5"/>
  <c r="AP1325" i="5"/>
  <c r="AQ1324" i="5"/>
  <c r="AP1324" i="5"/>
  <c r="AQ1323" i="5"/>
  <c r="AP1323" i="5"/>
  <c r="AQ1322" i="5"/>
  <c r="AP1322" i="5"/>
  <c r="AQ1321" i="5"/>
  <c r="AP1321" i="5"/>
  <c r="AQ1320" i="5"/>
  <c r="AP1320" i="5"/>
  <c r="AQ1319" i="5"/>
  <c r="AP1319" i="5"/>
  <c r="AQ1318" i="5"/>
  <c r="AP1318" i="5"/>
  <c r="AQ1317" i="5"/>
  <c r="AP1317" i="5"/>
  <c r="AQ1316" i="5"/>
  <c r="AP1316" i="5"/>
  <c r="AQ1315" i="5"/>
  <c r="AP1315" i="5"/>
  <c r="AQ1314" i="5"/>
  <c r="AP1314" i="5"/>
  <c r="AQ1313" i="5"/>
  <c r="AP1313" i="5"/>
  <c r="AQ1312" i="5"/>
  <c r="AP1312" i="5"/>
  <c r="AQ1311" i="5"/>
  <c r="AP1311" i="5"/>
  <c r="AQ1310" i="5"/>
  <c r="AP1310" i="5"/>
  <c r="AQ1309" i="5"/>
  <c r="AP1309" i="5"/>
  <c r="AQ1308" i="5"/>
  <c r="AP1308" i="5"/>
  <c r="AQ1307" i="5"/>
  <c r="AP1307" i="5"/>
  <c r="AQ1306" i="5"/>
  <c r="AP1306" i="5"/>
  <c r="AQ1305" i="5"/>
  <c r="AP1305" i="5"/>
  <c r="AQ1304" i="5"/>
  <c r="AP1304" i="5"/>
  <c r="AQ1303" i="5"/>
  <c r="AP1303" i="5"/>
  <c r="AQ1302" i="5"/>
  <c r="AP1302" i="5"/>
  <c r="AQ1301" i="5"/>
  <c r="AP1301" i="5"/>
  <c r="AQ1300" i="5"/>
  <c r="AP1300" i="5"/>
  <c r="AQ1299" i="5"/>
  <c r="AP1299" i="5"/>
  <c r="AQ1298" i="5"/>
  <c r="AP1298" i="5"/>
  <c r="AQ1297" i="5"/>
  <c r="AP1297" i="5"/>
  <c r="AQ1296" i="5"/>
  <c r="AP1296" i="5"/>
  <c r="AQ1295" i="5"/>
  <c r="AP1295" i="5"/>
  <c r="AQ1294" i="5"/>
  <c r="AP1294" i="5"/>
  <c r="AQ1293" i="5"/>
  <c r="AP1293" i="5"/>
  <c r="AQ1292" i="5"/>
  <c r="AP1292" i="5"/>
  <c r="AQ1291" i="5"/>
  <c r="AP1291" i="5"/>
  <c r="AQ1290" i="5"/>
  <c r="AP1290" i="5"/>
  <c r="AQ1289" i="5"/>
  <c r="AP1289" i="5"/>
  <c r="AQ1288" i="5"/>
  <c r="AP1288" i="5"/>
  <c r="AQ1287" i="5"/>
  <c r="AP1287" i="5"/>
  <c r="AQ1286" i="5"/>
  <c r="AP1286" i="5"/>
  <c r="AQ1285" i="5"/>
  <c r="AP1285" i="5"/>
  <c r="AQ1284" i="5"/>
  <c r="AP1284" i="5"/>
  <c r="AQ1283" i="5"/>
  <c r="AP1283" i="5"/>
  <c r="AQ1282" i="5"/>
  <c r="AP1282" i="5"/>
  <c r="AQ1281" i="5"/>
  <c r="AP1281" i="5"/>
  <c r="AQ1280" i="5"/>
  <c r="AP1280" i="5"/>
  <c r="AQ1279" i="5"/>
  <c r="AP1279" i="5"/>
  <c r="AQ1278" i="5"/>
  <c r="AP1278" i="5"/>
  <c r="AQ1277" i="5"/>
  <c r="AP1277" i="5"/>
  <c r="AQ1276" i="5"/>
  <c r="AP1276" i="5"/>
  <c r="AQ1275" i="5"/>
  <c r="AP1275" i="5"/>
  <c r="AQ1274" i="5"/>
  <c r="AP1274" i="5"/>
  <c r="AQ1273" i="5"/>
  <c r="AP1273" i="5"/>
  <c r="AQ1272" i="5"/>
  <c r="AP1272" i="5"/>
  <c r="AQ1271" i="5"/>
  <c r="AP1271" i="5"/>
  <c r="AQ1270" i="5"/>
  <c r="AP1270" i="5"/>
  <c r="AQ1269" i="5"/>
  <c r="AP1269" i="5"/>
  <c r="AQ1268" i="5"/>
  <c r="AP1268" i="5"/>
  <c r="AQ1267" i="5"/>
  <c r="AP1267" i="5"/>
  <c r="AQ1266" i="5"/>
  <c r="AP1266" i="5"/>
  <c r="AQ1265" i="5"/>
  <c r="AP1265" i="5"/>
  <c r="AQ1264" i="5"/>
  <c r="AP1264" i="5"/>
  <c r="AQ1263" i="5"/>
  <c r="AP1263" i="5"/>
  <c r="AQ1262" i="5"/>
  <c r="AP1262" i="5"/>
  <c r="AQ1261" i="5"/>
  <c r="AP1261" i="5"/>
  <c r="AQ1260" i="5"/>
  <c r="AP1260" i="5"/>
  <c r="AQ1259" i="5"/>
  <c r="AP1259" i="5"/>
  <c r="AQ1258" i="5"/>
  <c r="AP1258" i="5"/>
  <c r="AQ1257" i="5"/>
  <c r="AP1257" i="5"/>
  <c r="AQ1256" i="5"/>
  <c r="AP1256" i="5"/>
  <c r="AQ1255" i="5"/>
  <c r="AP1255" i="5"/>
  <c r="AQ1254" i="5"/>
  <c r="AP1254" i="5"/>
  <c r="AQ1253" i="5"/>
  <c r="AP1253" i="5"/>
  <c r="AQ1252" i="5"/>
  <c r="AP1252" i="5"/>
  <c r="AQ1251" i="5"/>
  <c r="AP1251" i="5"/>
  <c r="AQ1250" i="5"/>
  <c r="AP1250" i="5"/>
  <c r="AQ1249" i="5"/>
  <c r="AP1249" i="5"/>
  <c r="AQ1248" i="5"/>
  <c r="AP1248" i="5"/>
  <c r="AQ1247" i="5"/>
  <c r="AP1247" i="5"/>
  <c r="AQ1246" i="5"/>
  <c r="AP1246" i="5"/>
  <c r="AQ1245" i="5"/>
  <c r="AP1245" i="5"/>
  <c r="AQ1244" i="5"/>
  <c r="AP1244" i="5"/>
  <c r="AQ1243" i="5"/>
  <c r="AP1243" i="5"/>
  <c r="AQ1242" i="5"/>
  <c r="AP1242" i="5"/>
  <c r="AQ1241" i="5"/>
  <c r="AP1241" i="5"/>
  <c r="AQ1240" i="5"/>
  <c r="AP1240" i="5"/>
  <c r="AQ1239" i="5"/>
  <c r="AP1239" i="5"/>
  <c r="AQ1238" i="5"/>
  <c r="AP1238" i="5"/>
  <c r="AQ1237" i="5"/>
  <c r="AP1237" i="5"/>
  <c r="AQ1236" i="5"/>
  <c r="AP1236" i="5"/>
  <c r="AQ1235" i="5"/>
  <c r="AP1235" i="5"/>
  <c r="AQ1234" i="5"/>
  <c r="AP1234" i="5"/>
  <c r="AQ1233" i="5"/>
  <c r="AP1233" i="5"/>
  <c r="AQ1232" i="5"/>
  <c r="AP1232" i="5"/>
  <c r="AQ1231" i="5"/>
  <c r="AP1231" i="5"/>
  <c r="AQ1230" i="5"/>
  <c r="AP1230" i="5"/>
  <c r="AQ1229" i="5"/>
  <c r="AP1229" i="5"/>
  <c r="AQ1228" i="5"/>
  <c r="AP1228" i="5"/>
  <c r="AQ1227" i="5"/>
  <c r="AP1227" i="5"/>
  <c r="AQ1226" i="5"/>
  <c r="AP1226" i="5"/>
  <c r="AQ1225" i="5"/>
  <c r="AP1225" i="5"/>
  <c r="AQ1224" i="5"/>
  <c r="AP1224" i="5"/>
  <c r="AQ1223" i="5"/>
  <c r="AP1223" i="5"/>
  <c r="AQ1222" i="5"/>
  <c r="AP1222" i="5"/>
  <c r="AQ1221" i="5"/>
  <c r="AP1221" i="5"/>
  <c r="AQ1220" i="5"/>
  <c r="AP1220" i="5"/>
  <c r="AQ1219" i="5"/>
  <c r="AP1219" i="5"/>
  <c r="AQ1218" i="5"/>
  <c r="AP1218" i="5"/>
  <c r="AQ1217" i="5"/>
  <c r="AP1217" i="5"/>
  <c r="AQ1216" i="5"/>
  <c r="AP1216" i="5"/>
  <c r="AQ1215" i="5"/>
  <c r="AP1215" i="5"/>
  <c r="AQ1214" i="5"/>
  <c r="AP1214" i="5"/>
  <c r="AQ1213" i="5"/>
  <c r="AP1213" i="5"/>
  <c r="AQ1212" i="5"/>
  <c r="AP1212" i="5"/>
  <c r="AQ1211" i="5"/>
  <c r="AP1211" i="5"/>
  <c r="AQ1210" i="5"/>
  <c r="AP1210" i="5"/>
  <c r="AQ1209" i="5"/>
  <c r="AP1209" i="5"/>
  <c r="AQ1208" i="5"/>
  <c r="AP1208" i="5"/>
  <c r="AQ1207" i="5"/>
  <c r="AP1207" i="5"/>
  <c r="AQ1206" i="5"/>
  <c r="AP1206" i="5"/>
  <c r="AQ1205" i="5"/>
  <c r="AP1205" i="5"/>
  <c r="AQ1204" i="5"/>
  <c r="AP1204" i="5"/>
  <c r="AQ1203" i="5"/>
  <c r="AP1203" i="5"/>
  <c r="AQ1202" i="5"/>
  <c r="AP1202" i="5"/>
  <c r="AQ1201" i="5"/>
  <c r="AP1201" i="5"/>
  <c r="AQ1200" i="5"/>
  <c r="AP1200" i="5"/>
  <c r="AQ1199" i="5"/>
  <c r="AP1199" i="5"/>
  <c r="AQ1198" i="5"/>
  <c r="AP1198" i="5"/>
  <c r="AQ1197" i="5"/>
  <c r="AP1197" i="5"/>
  <c r="AQ1196" i="5"/>
  <c r="AP1196" i="5"/>
  <c r="AQ1195" i="5"/>
  <c r="AP1195" i="5"/>
  <c r="AQ1194" i="5"/>
  <c r="AP1194" i="5"/>
  <c r="AQ1193" i="5"/>
  <c r="AP1193" i="5"/>
  <c r="AQ1192" i="5"/>
  <c r="AP1192" i="5"/>
  <c r="AQ1191" i="5"/>
  <c r="AP1191" i="5"/>
  <c r="AQ1190" i="5"/>
  <c r="AP1190" i="5"/>
  <c r="AQ1189" i="5"/>
  <c r="AP1189" i="5"/>
  <c r="AQ1188" i="5"/>
  <c r="AP1188" i="5"/>
  <c r="AQ1187" i="5"/>
  <c r="AP1187" i="5"/>
  <c r="AQ1186" i="5"/>
  <c r="AP1186" i="5"/>
  <c r="AQ1185" i="5"/>
  <c r="AP1185" i="5"/>
  <c r="AQ1184" i="5"/>
  <c r="AP1184" i="5"/>
  <c r="AQ1183" i="5"/>
  <c r="AP1183" i="5"/>
  <c r="AQ1182" i="5"/>
  <c r="AP1182" i="5"/>
  <c r="AQ1181" i="5"/>
  <c r="AP1181" i="5"/>
  <c r="AQ1180" i="5"/>
  <c r="AP1180" i="5"/>
  <c r="AQ1179" i="5"/>
  <c r="AP1179" i="5"/>
  <c r="AQ1178" i="5"/>
  <c r="AP1178" i="5"/>
  <c r="AQ1177" i="5"/>
  <c r="AP1177" i="5"/>
  <c r="AQ1176" i="5"/>
  <c r="AP1176" i="5"/>
  <c r="AQ1175" i="5"/>
  <c r="AP1175" i="5"/>
  <c r="AQ1174" i="5"/>
  <c r="AP1174" i="5"/>
  <c r="AQ1173" i="5"/>
  <c r="AP1173" i="5"/>
  <c r="AQ1172" i="5"/>
  <c r="AP1172" i="5"/>
  <c r="AQ1171" i="5"/>
  <c r="AP1171" i="5"/>
  <c r="AQ1170" i="5"/>
  <c r="AP1170" i="5"/>
  <c r="AQ1169" i="5"/>
  <c r="AP1169" i="5"/>
  <c r="AQ1168" i="5"/>
  <c r="AP1168" i="5"/>
  <c r="AQ1167" i="5"/>
  <c r="AP1167" i="5"/>
  <c r="AQ1166" i="5"/>
  <c r="AP1166" i="5"/>
  <c r="AQ1165" i="5"/>
  <c r="AP1165" i="5"/>
  <c r="AQ1164" i="5"/>
  <c r="AP1164" i="5"/>
  <c r="AQ1163" i="5"/>
  <c r="AP1163" i="5"/>
  <c r="AQ1162" i="5"/>
  <c r="AP1162" i="5"/>
  <c r="AQ1161" i="5"/>
  <c r="AP1161" i="5"/>
  <c r="AQ1160" i="5"/>
  <c r="AP1160" i="5"/>
  <c r="AQ1159" i="5"/>
  <c r="AP1159" i="5"/>
  <c r="AQ1158" i="5"/>
  <c r="AP1158" i="5"/>
  <c r="AQ1157" i="5"/>
  <c r="AP1157" i="5"/>
  <c r="AQ1156" i="5"/>
  <c r="AP1156" i="5"/>
  <c r="AQ1155" i="5"/>
  <c r="AP1155" i="5"/>
  <c r="AQ1154" i="5"/>
  <c r="AP1154" i="5"/>
  <c r="AQ1153" i="5"/>
  <c r="AP1153" i="5"/>
  <c r="AQ1152" i="5"/>
  <c r="AP1152" i="5"/>
  <c r="AQ1151" i="5"/>
  <c r="AP1151" i="5"/>
  <c r="AQ1150" i="5"/>
  <c r="AP1150" i="5"/>
  <c r="AQ1149" i="5"/>
  <c r="AP1149" i="5"/>
  <c r="AQ1148" i="5"/>
  <c r="AP1148" i="5"/>
  <c r="AQ1147" i="5"/>
  <c r="AP1147" i="5"/>
  <c r="AQ1146" i="5"/>
  <c r="AP1146" i="5"/>
  <c r="AQ1145" i="5"/>
  <c r="AP1145" i="5"/>
  <c r="AQ1144" i="5"/>
  <c r="AP1144" i="5"/>
  <c r="AQ1143" i="5"/>
  <c r="AP1143" i="5"/>
  <c r="AQ1142" i="5"/>
  <c r="AP1142" i="5"/>
  <c r="AQ1141" i="5"/>
  <c r="AP1141" i="5"/>
  <c r="AQ1140" i="5"/>
  <c r="AP1140" i="5"/>
  <c r="AQ1139" i="5"/>
  <c r="AP1139" i="5"/>
  <c r="AQ1138" i="5"/>
  <c r="AP1138" i="5"/>
  <c r="AQ1137" i="5"/>
  <c r="AP1137" i="5"/>
  <c r="AQ1136" i="5"/>
  <c r="AP1136" i="5"/>
  <c r="AQ1135" i="5"/>
  <c r="AP1135" i="5"/>
  <c r="AQ1134" i="5"/>
  <c r="AP1134" i="5"/>
  <c r="AQ1133" i="5"/>
  <c r="AP1133" i="5"/>
  <c r="AQ1132" i="5"/>
  <c r="AP1132" i="5"/>
  <c r="AQ1131" i="5"/>
  <c r="AP1131" i="5"/>
  <c r="AQ1130" i="5"/>
  <c r="AP1130" i="5"/>
  <c r="AQ1129" i="5"/>
  <c r="AP1129" i="5"/>
  <c r="AQ1128" i="5"/>
  <c r="AP1128" i="5"/>
  <c r="AQ1127" i="5"/>
  <c r="AP1127" i="5"/>
  <c r="AQ1126" i="5"/>
  <c r="AP1126" i="5"/>
  <c r="AQ1125" i="5"/>
  <c r="AP1125" i="5"/>
  <c r="AQ1124" i="5"/>
  <c r="AP1124" i="5"/>
  <c r="AQ1123" i="5"/>
  <c r="AP1123" i="5"/>
  <c r="AQ1122" i="5"/>
  <c r="AP1122" i="5"/>
  <c r="AQ1121" i="5"/>
  <c r="AP1121" i="5"/>
  <c r="AQ1120" i="5"/>
  <c r="AP1120" i="5"/>
  <c r="AQ1119" i="5"/>
  <c r="AP1119" i="5"/>
  <c r="AQ1118" i="5"/>
  <c r="AP1118" i="5"/>
  <c r="AQ1117" i="5"/>
  <c r="AP1117" i="5"/>
  <c r="AQ1116" i="5"/>
  <c r="AP1116" i="5"/>
  <c r="AQ1115" i="5"/>
  <c r="AP1115" i="5"/>
  <c r="AQ1114" i="5"/>
  <c r="AP1114" i="5"/>
  <c r="AQ1113" i="5"/>
  <c r="AP1113" i="5"/>
  <c r="AQ1112" i="5"/>
  <c r="AP1112" i="5"/>
  <c r="AQ1111" i="5"/>
  <c r="AP1111" i="5"/>
  <c r="AQ1110" i="5"/>
  <c r="AP1110" i="5"/>
  <c r="AQ1109" i="5"/>
  <c r="AP1109" i="5"/>
  <c r="AQ1108" i="5"/>
  <c r="AP1108" i="5"/>
  <c r="AQ1107" i="5"/>
  <c r="AP1107" i="5"/>
  <c r="AQ1106" i="5"/>
  <c r="AP1106" i="5"/>
  <c r="AQ1105" i="5"/>
  <c r="AP1105" i="5"/>
  <c r="AQ1104" i="5"/>
  <c r="AP1104" i="5"/>
  <c r="AQ1103" i="5"/>
  <c r="AP1103" i="5"/>
  <c r="AQ1102" i="5"/>
  <c r="AP1102" i="5"/>
  <c r="AQ1101" i="5"/>
  <c r="AP1101" i="5"/>
  <c r="AQ1100" i="5"/>
  <c r="AP1100" i="5"/>
  <c r="AQ1099" i="5"/>
  <c r="AP1099" i="5"/>
  <c r="AQ1098" i="5"/>
  <c r="AP1098" i="5"/>
  <c r="AQ1097" i="5"/>
  <c r="AP1097" i="5"/>
  <c r="AQ1096" i="5"/>
  <c r="AP1096" i="5"/>
  <c r="AQ1095" i="5"/>
  <c r="AP1095" i="5"/>
  <c r="AQ1094" i="5"/>
  <c r="AP1094" i="5"/>
  <c r="AQ1093" i="5"/>
  <c r="AP1093" i="5"/>
  <c r="AQ1092" i="5"/>
  <c r="AP1092" i="5"/>
  <c r="AQ1091" i="5"/>
  <c r="AP1091" i="5"/>
  <c r="AQ1090" i="5"/>
  <c r="AP1090" i="5"/>
  <c r="AQ1089" i="5"/>
  <c r="AP1089" i="5"/>
  <c r="AQ1088" i="5"/>
  <c r="AP1088" i="5"/>
  <c r="AQ1087" i="5"/>
  <c r="AP1087" i="5"/>
  <c r="AQ1086" i="5"/>
  <c r="AP1086" i="5"/>
  <c r="AQ1085" i="5"/>
  <c r="AP1085" i="5"/>
  <c r="AQ1084" i="5"/>
  <c r="AP1084" i="5"/>
  <c r="AQ1083" i="5"/>
  <c r="AP1083" i="5"/>
  <c r="AQ1082" i="5"/>
  <c r="AP1082" i="5"/>
  <c r="AQ1081" i="5"/>
  <c r="AP1081" i="5"/>
  <c r="AQ1080" i="5"/>
  <c r="AP1080" i="5"/>
  <c r="AQ1079" i="5"/>
  <c r="AP1079" i="5"/>
  <c r="AQ1078" i="5"/>
  <c r="AP1078" i="5"/>
  <c r="AQ1077" i="5"/>
  <c r="AP1077" i="5"/>
  <c r="AQ1076" i="5"/>
  <c r="AP1076" i="5"/>
  <c r="AQ1075" i="5"/>
  <c r="AP1075" i="5"/>
  <c r="AQ1074" i="5"/>
  <c r="AP1074" i="5"/>
  <c r="AQ1073" i="5"/>
  <c r="AP1073" i="5"/>
  <c r="AQ1072" i="5"/>
  <c r="AP1072" i="5"/>
  <c r="AQ1071" i="5"/>
  <c r="AP1071" i="5"/>
  <c r="AQ1070" i="5"/>
  <c r="AP1070" i="5"/>
  <c r="AQ1069" i="5"/>
  <c r="AP1069" i="5"/>
  <c r="AQ1068" i="5"/>
  <c r="AP1068" i="5"/>
  <c r="AQ1067" i="5"/>
  <c r="AP1067" i="5"/>
  <c r="AQ1066" i="5"/>
  <c r="AP1066" i="5"/>
  <c r="AQ1065" i="5"/>
  <c r="AP1065" i="5"/>
  <c r="AQ1064" i="5"/>
  <c r="AP1064" i="5"/>
  <c r="AQ1063" i="5"/>
  <c r="AP1063" i="5"/>
  <c r="AQ1062" i="5"/>
  <c r="AP1062" i="5"/>
  <c r="AQ1061" i="5"/>
  <c r="AP1061" i="5"/>
  <c r="AQ1060" i="5"/>
  <c r="AP1060" i="5"/>
  <c r="AQ1059" i="5"/>
  <c r="AP1059" i="5"/>
  <c r="AQ1058" i="5"/>
  <c r="AP1058" i="5"/>
  <c r="AQ1057" i="5"/>
  <c r="AP1057" i="5"/>
  <c r="AQ1056" i="5"/>
  <c r="AP1056" i="5"/>
  <c r="AQ1055" i="5"/>
  <c r="AP1055" i="5"/>
  <c r="AQ1054" i="5"/>
  <c r="AP1054" i="5"/>
  <c r="AQ1053" i="5"/>
  <c r="AP1053" i="5"/>
  <c r="AQ1052" i="5"/>
  <c r="AP1052" i="5"/>
  <c r="AQ1051" i="5"/>
  <c r="AP1051" i="5"/>
  <c r="AQ1050" i="5"/>
  <c r="AP1050" i="5"/>
  <c r="AQ1049" i="5"/>
  <c r="AP1049" i="5"/>
  <c r="AQ1048" i="5"/>
  <c r="AP1048" i="5"/>
  <c r="AQ1047" i="5"/>
  <c r="AP1047" i="5"/>
  <c r="AQ1046" i="5"/>
  <c r="AP1046" i="5"/>
  <c r="AQ1045" i="5"/>
  <c r="AP1045" i="5"/>
  <c r="AQ1044" i="5"/>
  <c r="AP1044" i="5"/>
  <c r="AQ1043" i="5"/>
  <c r="AP1043" i="5"/>
  <c r="AQ1042" i="5"/>
  <c r="AP1042" i="5"/>
  <c r="AQ1041" i="5"/>
  <c r="AP1041" i="5"/>
  <c r="AQ1040" i="5"/>
  <c r="AP1040" i="5"/>
  <c r="AQ1039" i="5"/>
  <c r="AP1039" i="5"/>
  <c r="AQ1038" i="5"/>
  <c r="AP1038" i="5"/>
  <c r="AQ1037" i="5"/>
  <c r="AP1037" i="5"/>
  <c r="AQ1036" i="5"/>
  <c r="AP1036" i="5"/>
  <c r="AQ1035" i="5"/>
  <c r="AP1035" i="5"/>
  <c r="AQ1034" i="5"/>
  <c r="AP1034" i="5"/>
  <c r="AQ1033" i="5"/>
  <c r="AP1033" i="5"/>
  <c r="AQ1032" i="5"/>
  <c r="AP1032" i="5"/>
  <c r="AQ1031" i="5"/>
  <c r="AP1031" i="5"/>
  <c r="AQ1030" i="5"/>
  <c r="AP1030" i="5"/>
  <c r="AQ1029" i="5"/>
  <c r="AP1029" i="5"/>
  <c r="AQ1028" i="5"/>
  <c r="AP1028" i="5"/>
  <c r="AQ1027" i="5"/>
  <c r="AP1027" i="5"/>
  <c r="AQ1026" i="5"/>
  <c r="AP1026" i="5"/>
  <c r="AQ1025" i="5"/>
  <c r="AP1025" i="5"/>
  <c r="AQ1024" i="5"/>
  <c r="AP1024" i="5"/>
  <c r="AQ1023" i="5"/>
  <c r="AP1023" i="5"/>
  <c r="AQ1022" i="5"/>
  <c r="AP1022" i="5"/>
  <c r="AQ1021" i="5"/>
  <c r="AP1021" i="5"/>
  <c r="AQ1020" i="5"/>
  <c r="AP1020" i="5"/>
  <c r="AQ1019" i="5"/>
  <c r="AP1019" i="5"/>
  <c r="AQ1018" i="5"/>
  <c r="AP1018" i="5"/>
  <c r="AQ1017" i="5"/>
  <c r="AP1017" i="5"/>
  <c r="AQ1016" i="5"/>
  <c r="AP1016" i="5"/>
  <c r="AQ1015" i="5"/>
  <c r="AP1015" i="5"/>
  <c r="AQ1014" i="5"/>
  <c r="AP1014" i="5"/>
  <c r="AQ1013" i="5"/>
  <c r="AP1013" i="5"/>
  <c r="AQ1012" i="5"/>
  <c r="AP1012" i="5"/>
  <c r="AQ1011" i="5"/>
  <c r="AP1011" i="5"/>
  <c r="AQ1010" i="5"/>
  <c r="AP1010" i="5"/>
  <c r="AQ1009" i="5"/>
  <c r="AP1009" i="5"/>
  <c r="AQ1008" i="5"/>
  <c r="AP1008" i="5"/>
  <c r="AQ1007" i="5"/>
  <c r="AP1007" i="5"/>
  <c r="AQ1006" i="5"/>
  <c r="AP1006" i="5"/>
  <c r="AQ1005" i="5"/>
  <c r="AP1005" i="5"/>
  <c r="AQ1004" i="5"/>
  <c r="AP1004" i="5"/>
  <c r="AQ1003" i="5"/>
  <c r="AP1003" i="5"/>
  <c r="AQ1002" i="5"/>
  <c r="AP1002" i="5"/>
  <c r="AQ1001" i="5"/>
  <c r="AP1001" i="5"/>
  <c r="AQ1000" i="5"/>
  <c r="AP1000" i="5"/>
  <c r="AQ999" i="5"/>
  <c r="AP999" i="5"/>
  <c r="AQ998" i="5"/>
  <c r="AP998" i="5"/>
  <c r="AQ997" i="5"/>
  <c r="AP997" i="5"/>
  <c r="AQ996" i="5"/>
  <c r="AP996" i="5"/>
  <c r="AQ995" i="5"/>
  <c r="AP995" i="5"/>
  <c r="AQ994" i="5"/>
  <c r="AP994" i="5"/>
  <c r="AQ993" i="5"/>
  <c r="AP993" i="5"/>
  <c r="AQ992" i="5"/>
  <c r="AP992" i="5"/>
  <c r="AQ991" i="5"/>
  <c r="AP991" i="5"/>
  <c r="AQ990" i="5"/>
  <c r="AP990" i="5"/>
  <c r="AQ989" i="5"/>
  <c r="AP989" i="5"/>
  <c r="AQ988" i="5"/>
  <c r="AP988" i="5"/>
  <c r="AQ987" i="5"/>
  <c r="AP987" i="5"/>
  <c r="AQ986" i="5"/>
  <c r="AP986" i="5"/>
  <c r="AQ985" i="5"/>
  <c r="AP985" i="5"/>
  <c r="AQ984" i="5"/>
  <c r="AP984" i="5"/>
  <c r="AQ983" i="5"/>
  <c r="AP983" i="5"/>
  <c r="AQ982" i="5"/>
  <c r="AP982" i="5"/>
  <c r="AQ981" i="5"/>
  <c r="AP981" i="5"/>
  <c r="AQ980" i="5"/>
  <c r="AP980" i="5"/>
  <c r="AQ979" i="5"/>
  <c r="AP979" i="5"/>
  <c r="AQ978" i="5"/>
  <c r="AP978" i="5"/>
  <c r="AQ977" i="5"/>
  <c r="AP977" i="5"/>
  <c r="AQ976" i="5"/>
  <c r="AP976" i="5"/>
  <c r="AQ975" i="5"/>
  <c r="AP975" i="5"/>
  <c r="AQ974" i="5"/>
  <c r="AP974" i="5"/>
  <c r="AQ973" i="5"/>
  <c r="AP973" i="5"/>
  <c r="AQ972" i="5"/>
  <c r="AP972" i="5"/>
  <c r="AQ971" i="5"/>
  <c r="AP971" i="5"/>
  <c r="AQ970" i="5"/>
  <c r="AP970" i="5"/>
  <c r="AQ969" i="5"/>
  <c r="AP969" i="5"/>
  <c r="AQ968" i="5"/>
  <c r="AP968" i="5"/>
  <c r="AQ967" i="5"/>
  <c r="AP967" i="5"/>
  <c r="AQ966" i="5"/>
  <c r="AP966" i="5"/>
  <c r="AQ965" i="5"/>
  <c r="AP965" i="5"/>
  <c r="AQ964" i="5"/>
  <c r="AP964" i="5"/>
  <c r="AQ963" i="5"/>
  <c r="AP963" i="5"/>
  <c r="AQ962" i="5"/>
  <c r="AP962" i="5"/>
  <c r="AQ961" i="5"/>
  <c r="AP961" i="5"/>
  <c r="AQ960" i="5"/>
  <c r="AP960" i="5"/>
  <c r="AQ959" i="5"/>
  <c r="AP959" i="5"/>
  <c r="AQ958" i="5"/>
  <c r="AP958" i="5"/>
  <c r="AQ957" i="5"/>
  <c r="AP957" i="5"/>
  <c r="AQ956" i="5"/>
  <c r="AP956" i="5"/>
  <c r="AQ955" i="5"/>
  <c r="AP955" i="5"/>
  <c r="AQ954" i="5"/>
  <c r="AP954" i="5"/>
  <c r="AQ953" i="5"/>
  <c r="AP953" i="5"/>
  <c r="AQ952" i="5"/>
  <c r="AP952" i="5"/>
  <c r="AQ951" i="5"/>
  <c r="AP951" i="5"/>
  <c r="AQ950" i="5"/>
  <c r="AP950" i="5"/>
  <c r="AQ949" i="5"/>
  <c r="AP949" i="5"/>
  <c r="AQ948" i="5"/>
  <c r="AP948" i="5"/>
  <c r="AQ947" i="5"/>
  <c r="AP947" i="5"/>
  <c r="AQ946" i="5"/>
  <c r="AP946" i="5"/>
  <c r="AQ945" i="5"/>
  <c r="AP945" i="5"/>
  <c r="AQ944" i="5"/>
  <c r="AP944" i="5"/>
  <c r="AQ943" i="5"/>
  <c r="AP943" i="5"/>
  <c r="AQ942" i="5"/>
  <c r="AP942" i="5"/>
  <c r="AQ941" i="5"/>
  <c r="AP941" i="5"/>
  <c r="AQ940" i="5"/>
  <c r="AP940" i="5"/>
  <c r="AQ939" i="5"/>
  <c r="AP939" i="5"/>
  <c r="AQ938" i="5"/>
  <c r="AP938" i="5"/>
  <c r="AQ937" i="5"/>
  <c r="AP937" i="5"/>
  <c r="AQ936" i="5"/>
  <c r="AP936" i="5"/>
  <c r="AQ935" i="5"/>
  <c r="AP935" i="5"/>
  <c r="AQ934" i="5"/>
  <c r="AP934" i="5"/>
  <c r="AQ933" i="5"/>
  <c r="AP933" i="5"/>
  <c r="AQ932" i="5"/>
  <c r="AP932" i="5"/>
  <c r="AQ931" i="5"/>
  <c r="AP931" i="5"/>
  <c r="AQ930" i="5"/>
  <c r="AP930" i="5"/>
  <c r="AQ929" i="5"/>
  <c r="AP929" i="5"/>
  <c r="AQ928" i="5"/>
  <c r="AP928" i="5"/>
  <c r="AQ927" i="5"/>
  <c r="AP927" i="5"/>
  <c r="AQ926" i="5"/>
  <c r="AP926" i="5"/>
  <c r="AQ925" i="5"/>
  <c r="AP925" i="5"/>
  <c r="AQ924" i="5"/>
  <c r="AP924" i="5"/>
  <c r="AQ923" i="5"/>
  <c r="AP923" i="5"/>
  <c r="AQ922" i="5"/>
  <c r="AP922" i="5"/>
  <c r="AQ921" i="5"/>
  <c r="AP921" i="5"/>
  <c r="AQ920" i="5"/>
  <c r="AP920" i="5"/>
  <c r="AQ919" i="5"/>
  <c r="AP919" i="5"/>
  <c r="AQ918" i="5"/>
  <c r="AP918" i="5"/>
  <c r="AQ917" i="5"/>
  <c r="AP917" i="5"/>
  <c r="AQ916" i="5"/>
  <c r="AP916" i="5"/>
  <c r="AQ915" i="5"/>
  <c r="AP915" i="5"/>
  <c r="AQ914" i="5"/>
  <c r="AP914" i="5"/>
  <c r="AQ913" i="5"/>
  <c r="AP913" i="5"/>
  <c r="AQ912" i="5"/>
  <c r="AP912" i="5"/>
  <c r="AQ911" i="5"/>
  <c r="AP911" i="5"/>
  <c r="AQ910" i="5"/>
  <c r="AP910" i="5"/>
  <c r="AQ909" i="5"/>
  <c r="AP909" i="5"/>
  <c r="AQ908" i="5"/>
  <c r="AP908" i="5"/>
  <c r="AQ907" i="5"/>
  <c r="AP907" i="5"/>
  <c r="AQ906" i="5"/>
  <c r="AP906" i="5"/>
  <c r="AQ905" i="5"/>
  <c r="AP905" i="5"/>
  <c r="AQ904" i="5"/>
  <c r="AP904" i="5"/>
  <c r="AQ903" i="5"/>
  <c r="AP903" i="5"/>
  <c r="AQ902" i="5"/>
  <c r="AP902" i="5"/>
  <c r="AQ901" i="5"/>
  <c r="AP901" i="5"/>
  <c r="AQ900" i="5"/>
  <c r="AP900" i="5"/>
  <c r="AQ899" i="5"/>
  <c r="AP899" i="5"/>
  <c r="AQ898" i="5"/>
  <c r="AP898" i="5"/>
  <c r="AQ897" i="5"/>
  <c r="AP897" i="5"/>
  <c r="AQ896" i="5"/>
  <c r="AP896" i="5"/>
  <c r="AQ895" i="5"/>
  <c r="AP895" i="5"/>
  <c r="AQ894" i="5"/>
  <c r="AP894" i="5"/>
  <c r="AQ893" i="5"/>
  <c r="AP893" i="5"/>
  <c r="AQ892" i="5"/>
  <c r="AP892" i="5"/>
  <c r="AQ891" i="5"/>
  <c r="AP891" i="5"/>
  <c r="AQ890" i="5"/>
  <c r="AP890" i="5"/>
  <c r="AQ889" i="5"/>
  <c r="AP889" i="5"/>
  <c r="AQ888" i="5"/>
  <c r="AP888" i="5"/>
  <c r="AQ887" i="5"/>
  <c r="AP887" i="5"/>
  <c r="AQ886" i="5"/>
  <c r="AP886" i="5"/>
  <c r="AQ885" i="5"/>
  <c r="AP885" i="5"/>
  <c r="AQ884" i="5"/>
  <c r="AP884" i="5"/>
  <c r="AQ883" i="5"/>
  <c r="AP883" i="5"/>
  <c r="AQ882" i="5"/>
  <c r="AP882" i="5"/>
  <c r="AQ881" i="5"/>
  <c r="AP881" i="5"/>
  <c r="AQ880" i="5"/>
  <c r="AP880" i="5"/>
  <c r="AQ879" i="5"/>
  <c r="AP879" i="5"/>
  <c r="AQ878" i="5"/>
  <c r="AP878" i="5"/>
  <c r="AQ877" i="5"/>
  <c r="AP877" i="5"/>
  <c r="AQ876" i="5"/>
  <c r="AP876" i="5"/>
  <c r="AQ875" i="5"/>
  <c r="AP875" i="5"/>
  <c r="AQ874" i="5"/>
  <c r="AP874" i="5"/>
  <c r="AQ873" i="5"/>
  <c r="AP873" i="5"/>
  <c r="AQ872" i="5"/>
  <c r="AP872" i="5"/>
  <c r="AQ871" i="5"/>
  <c r="AP871" i="5"/>
  <c r="AQ870" i="5"/>
  <c r="AP870" i="5"/>
  <c r="AQ869" i="5"/>
  <c r="AP869" i="5"/>
  <c r="AQ868" i="5"/>
  <c r="AP868" i="5"/>
  <c r="AQ867" i="5"/>
  <c r="AP867" i="5"/>
  <c r="AQ866" i="5"/>
  <c r="AP866" i="5"/>
  <c r="AQ865" i="5"/>
  <c r="AP865" i="5"/>
  <c r="AQ864" i="5"/>
  <c r="AP864" i="5"/>
  <c r="AQ863" i="5"/>
  <c r="AP863" i="5"/>
  <c r="AQ862" i="5"/>
  <c r="AP862" i="5"/>
  <c r="AQ861" i="5"/>
  <c r="AP861" i="5"/>
  <c r="AQ860" i="5"/>
  <c r="AP860" i="5"/>
  <c r="AQ859" i="5"/>
  <c r="AP859" i="5"/>
  <c r="AQ858" i="5"/>
  <c r="AP858" i="5"/>
  <c r="AQ857" i="5"/>
  <c r="AP857" i="5"/>
  <c r="AQ856" i="5"/>
  <c r="AP856" i="5"/>
  <c r="AQ855" i="5"/>
  <c r="AP855" i="5"/>
  <c r="AQ854" i="5"/>
  <c r="AP854" i="5"/>
  <c r="AQ853" i="5"/>
  <c r="AP853" i="5"/>
  <c r="AQ852" i="5"/>
  <c r="AP852" i="5"/>
  <c r="AQ851" i="5"/>
  <c r="AP851" i="5"/>
  <c r="AQ850" i="5"/>
  <c r="AP850" i="5"/>
  <c r="AQ849" i="5"/>
  <c r="AP849" i="5"/>
  <c r="AQ848" i="5"/>
  <c r="AP848" i="5"/>
  <c r="AQ847" i="5"/>
  <c r="AP847" i="5"/>
  <c r="AQ846" i="5"/>
  <c r="AP846" i="5"/>
  <c r="AQ845" i="5"/>
  <c r="AP845" i="5"/>
  <c r="AQ844" i="5"/>
  <c r="AP844" i="5"/>
  <c r="AQ843" i="5"/>
  <c r="AP843" i="5"/>
  <c r="AQ842" i="5"/>
  <c r="AP842" i="5"/>
  <c r="AQ841" i="5"/>
  <c r="AP841" i="5"/>
  <c r="AQ840" i="5"/>
  <c r="AP840" i="5"/>
  <c r="AQ839" i="5"/>
  <c r="AP839" i="5"/>
  <c r="AQ838" i="5"/>
  <c r="AP838" i="5"/>
  <c r="AQ837" i="5"/>
  <c r="AP837" i="5"/>
  <c r="AQ836" i="5"/>
  <c r="AP836" i="5"/>
  <c r="AQ835" i="5"/>
  <c r="AP835" i="5"/>
  <c r="AQ834" i="5"/>
  <c r="AP834" i="5"/>
  <c r="AQ833" i="5"/>
  <c r="AP833" i="5"/>
  <c r="AQ832" i="5"/>
  <c r="AP832" i="5"/>
  <c r="AQ831" i="5"/>
  <c r="AP831" i="5"/>
  <c r="AQ830" i="5"/>
  <c r="AP830" i="5"/>
  <c r="AQ829" i="5"/>
  <c r="AP829" i="5"/>
  <c r="AQ828" i="5"/>
  <c r="AP828" i="5"/>
  <c r="AQ827" i="5"/>
  <c r="AP827" i="5"/>
  <c r="AQ826" i="5"/>
  <c r="AP826" i="5"/>
  <c r="AQ825" i="5"/>
  <c r="AP825" i="5"/>
  <c r="AQ824" i="5"/>
  <c r="AP824" i="5"/>
  <c r="AQ823" i="5"/>
  <c r="AP823" i="5"/>
  <c r="AQ822" i="5"/>
  <c r="AP822" i="5"/>
  <c r="AQ821" i="5"/>
  <c r="AP821" i="5"/>
  <c r="AQ820" i="5"/>
  <c r="AP820" i="5"/>
  <c r="AQ819" i="5"/>
  <c r="AP819" i="5"/>
  <c r="AQ818" i="5"/>
  <c r="AP818" i="5"/>
  <c r="AQ817" i="5"/>
  <c r="AP817" i="5"/>
  <c r="AQ816" i="5"/>
  <c r="AP816" i="5"/>
  <c r="AQ815" i="5"/>
  <c r="AP815" i="5"/>
  <c r="AQ814" i="5"/>
  <c r="AP814" i="5"/>
  <c r="AQ813" i="5"/>
  <c r="AP813" i="5"/>
  <c r="AQ812" i="5"/>
  <c r="AP812" i="5"/>
  <c r="AQ811" i="5"/>
  <c r="AP811" i="5"/>
  <c r="AQ810" i="5"/>
  <c r="AP810" i="5"/>
  <c r="AQ809" i="5"/>
  <c r="AP809" i="5"/>
  <c r="AQ808" i="5"/>
  <c r="AP808" i="5"/>
  <c r="AQ807" i="5"/>
  <c r="AP807" i="5"/>
  <c r="AQ806" i="5"/>
  <c r="AP806" i="5"/>
  <c r="AQ805" i="5"/>
  <c r="AP805" i="5"/>
  <c r="AQ804" i="5"/>
  <c r="AP804" i="5"/>
  <c r="AQ803" i="5"/>
  <c r="AP803" i="5"/>
  <c r="AQ802" i="5"/>
  <c r="AP802" i="5"/>
  <c r="AQ801" i="5"/>
  <c r="AP801" i="5"/>
  <c r="AQ800" i="5"/>
  <c r="AP800" i="5"/>
  <c r="AQ799" i="5"/>
  <c r="AP799" i="5"/>
  <c r="AQ798" i="5"/>
  <c r="AP798" i="5"/>
  <c r="AQ797" i="5"/>
  <c r="AP797" i="5"/>
  <c r="AQ796" i="5"/>
  <c r="AP796" i="5"/>
  <c r="AQ795" i="5"/>
  <c r="AP795" i="5"/>
  <c r="AQ794" i="5"/>
  <c r="AP794" i="5"/>
  <c r="AQ793" i="5"/>
  <c r="AP793" i="5"/>
  <c r="AQ792" i="5"/>
  <c r="AP792" i="5"/>
  <c r="AQ791" i="5"/>
  <c r="AP791" i="5"/>
  <c r="AQ790" i="5"/>
  <c r="AP790" i="5"/>
  <c r="AQ789" i="5"/>
  <c r="AP789" i="5"/>
  <c r="AQ788" i="5"/>
  <c r="AP788" i="5"/>
  <c r="AQ787" i="5"/>
  <c r="AP787" i="5"/>
  <c r="AQ786" i="5"/>
  <c r="AP786" i="5"/>
  <c r="AQ785" i="5"/>
  <c r="AP785" i="5"/>
  <c r="AQ784" i="5"/>
  <c r="AP784" i="5"/>
  <c r="AQ783" i="5"/>
  <c r="AP783" i="5"/>
  <c r="AQ782" i="5"/>
  <c r="AP782" i="5"/>
  <c r="AQ781" i="5"/>
  <c r="AP781" i="5"/>
  <c r="AQ780" i="5"/>
  <c r="AP780" i="5"/>
  <c r="AQ779" i="5"/>
  <c r="AP779" i="5"/>
  <c r="AQ778" i="5"/>
  <c r="AP778" i="5"/>
  <c r="AQ777" i="5"/>
  <c r="AP777" i="5"/>
  <c r="AQ776" i="5"/>
  <c r="AP776" i="5"/>
  <c r="AQ775" i="5"/>
  <c r="AP775" i="5"/>
  <c r="AQ774" i="5"/>
  <c r="AP774" i="5"/>
  <c r="AQ773" i="5"/>
  <c r="AP773" i="5"/>
  <c r="AQ772" i="5"/>
  <c r="AP772" i="5"/>
  <c r="AQ771" i="5"/>
  <c r="AP771" i="5"/>
  <c r="AQ770" i="5"/>
  <c r="AP770" i="5"/>
  <c r="AQ769" i="5"/>
  <c r="AP769" i="5"/>
  <c r="AQ768" i="5"/>
  <c r="AP768" i="5"/>
  <c r="AQ767" i="5"/>
  <c r="AP767" i="5"/>
  <c r="AQ766" i="5"/>
  <c r="AP766" i="5"/>
  <c r="AQ765" i="5"/>
  <c r="AP765" i="5"/>
  <c r="AQ764" i="5"/>
  <c r="AP764" i="5"/>
  <c r="AQ763" i="5"/>
  <c r="AP763" i="5"/>
  <c r="AQ762" i="5"/>
  <c r="AP762" i="5"/>
  <c r="AQ761" i="5"/>
  <c r="AP761" i="5"/>
  <c r="AQ760" i="5"/>
  <c r="AP760" i="5"/>
  <c r="AQ759" i="5"/>
  <c r="AP759" i="5"/>
  <c r="AQ758" i="5"/>
  <c r="AP758" i="5"/>
  <c r="AQ757" i="5"/>
  <c r="AP757" i="5"/>
  <c r="AQ756" i="5"/>
  <c r="AP756" i="5"/>
  <c r="AQ755" i="5"/>
  <c r="AP755" i="5"/>
  <c r="AQ754" i="5"/>
  <c r="AP754" i="5"/>
  <c r="AQ753" i="5"/>
  <c r="AP753" i="5"/>
  <c r="AQ752" i="5"/>
  <c r="AP752" i="5"/>
  <c r="AQ751" i="5"/>
  <c r="AP751" i="5"/>
  <c r="AQ750" i="5"/>
  <c r="AP750" i="5"/>
  <c r="AQ749" i="5"/>
  <c r="AP749" i="5"/>
  <c r="AQ748" i="5"/>
  <c r="AP748" i="5"/>
  <c r="AQ747" i="5"/>
  <c r="AP747" i="5"/>
  <c r="AQ746" i="5"/>
  <c r="AP746" i="5"/>
  <c r="AQ745" i="5"/>
  <c r="AP745" i="5"/>
  <c r="AQ744" i="5"/>
  <c r="AP744" i="5"/>
  <c r="AQ743" i="5"/>
  <c r="AP743" i="5"/>
  <c r="AQ742" i="5"/>
  <c r="AP742" i="5"/>
  <c r="AQ741" i="5"/>
  <c r="AP741" i="5"/>
  <c r="AQ740" i="5"/>
  <c r="AP740" i="5"/>
  <c r="AQ739" i="5"/>
  <c r="AP739" i="5"/>
  <c r="AQ738" i="5"/>
  <c r="AP738" i="5"/>
  <c r="AQ737" i="5"/>
  <c r="AP737" i="5"/>
  <c r="AQ736" i="5"/>
  <c r="AP736" i="5"/>
  <c r="AQ735" i="5"/>
  <c r="AP735" i="5"/>
  <c r="AQ734" i="5"/>
  <c r="AP734" i="5"/>
  <c r="AQ733" i="5"/>
  <c r="AP733" i="5"/>
  <c r="AQ732" i="5"/>
  <c r="AP732" i="5"/>
  <c r="AQ731" i="5"/>
  <c r="AP731" i="5"/>
  <c r="AQ730" i="5"/>
  <c r="AP730" i="5"/>
  <c r="AQ729" i="5"/>
  <c r="AP729" i="5"/>
  <c r="AQ728" i="5"/>
  <c r="AP728" i="5"/>
  <c r="AQ727" i="5"/>
  <c r="AP727" i="5"/>
  <c r="AQ726" i="5"/>
  <c r="AP726" i="5"/>
  <c r="AQ725" i="5"/>
  <c r="AP725" i="5"/>
  <c r="AQ724" i="5"/>
  <c r="AP724" i="5"/>
  <c r="AQ723" i="5"/>
  <c r="AP723" i="5"/>
  <c r="AQ722" i="5"/>
  <c r="AP722" i="5"/>
  <c r="AQ721" i="5"/>
  <c r="AP721" i="5"/>
  <c r="AQ720" i="5"/>
  <c r="AP720" i="5"/>
  <c r="AQ719" i="5"/>
  <c r="AP719" i="5"/>
  <c r="AQ718" i="5"/>
  <c r="AP718" i="5"/>
  <c r="AQ717" i="5"/>
  <c r="AP717" i="5"/>
  <c r="AQ716" i="5"/>
  <c r="AP716" i="5"/>
  <c r="AQ715" i="5"/>
  <c r="AP715" i="5"/>
  <c r="AQ714" i="5"/>
  <c r="AP714" i="5"/>
  <c r="AQ713" i="5"/>
  <c r="AP713" i="5"/>
  <c r="AQ712" i="5"/>
  <c r="AP712" i="5"/>
  <c r="AQ711" i="5"/>
  <c r="AP711" i="5"/>
  <c r="AQ710" i="5"/>
  <c r="AP710" i="5"/>
  <c r="AQ709" i="5"/>
  <c r="AP709" i="5"/>
  <c r="AQ708" i="5"/>
  <c r="AP708" i="5"/>
  <c r="AQ707" i="5"/>
  <c r="AP707" i="5"/>
  <c r="AQ706" i="5"/>
  <c r="AP706" i="5"/>
  <c r="AQ705" i="5"/>
  <c r="AP705" i="5"/>
  <c r="AQ704" i="5"/>
  <c r="AP704" i="5"/>
  <c r="AQ703" i="5"/>
  <c r="AP703" i="5"/>
  <c r="AQ702" i="5"/>
  <c r="AP702" i="5"/>
  <c r="AQ701" i="5"/>
  <c r="AP701" i="5"/>
  <c r="AQ700" i="5"/>
  <c r="AP700" i="5"/>
  <c r="AQ699" i="5"/>
  <c r="AP699" i="5"/>
  <c r="AQ698" i="5"/>
  <c r="AP698" i="5"/>
  <c r="AQ697" i="5"/>
  <c r="AP697" i="5"/>
  <c r="AQ696" i="5"/>
  <c r="AP696" i="5"/>
  <c r="AQ695" i="5"/>
  <c r="AP695" i="5"/>
  <c r="AQ694" i="5"/>
  <c r="AP694" i="5"/>
  <c r="AQ693" i="5"/>
  <c r="AP693" i="5"/>
  <c r="AQ692" i="5"/>
  <c r="AP692" i="5"/>
  <c r="AQ691" i="5"/>
  <c r="AP691" i="5"/>
  <c r="AQ690" i="5"/>
  <c r="AP690" i="5"/>
  <c r="AQ689" i="5"/>
  <c r="AP689" i="5"/>
  <c r="AQ688" i="5"/>
  <c r="AP688" i="5"/>
  <c r="AQ687" i="5"/>
  <c r="AP687" i="5"/>
  <c r="AQ686" i="5"/>
  <c r="AP686" i="5"/>
  <c r="AQ685" i="5"/>
  <c r="AP685" i="5"/>
  <c r="AQ684" i="5"/>
  <c r="AP684" i="5"/>
  <c r="AQ683" i="5"/>
  <c r="AP683" i="5"/>
  <c r="AQ682" i="5"/>
  <c r="AP682" i="5"/>
  <c r="AQ681" i="5"/>
  <c r="AP681" i="5"/>
  <c r="AQ680" i="5"/>
  <c r="AP680" i="5"/>
  <c r="AQ679" i="5"/>
  <c r="AP679" i="5"/>
  <c r="AQ678" i="5"/>
  <c r="AP678" i="5"/>
  <c r="AQ677" i="5"/>
  <c r="AP677" i="5"/>
  <c r="AQ676" i="5"/>
  <c r="AP676" i="5"/>
  <c r="AQ675" i="5"/>
  <c r="AP675" i="5"/>
  <c r="AQ674" i="5"/>
  <c r="AP674" i="5"/>
  <c r="AQ673" i="5"/>
  <c r="AP673" i="5"/>
  <c r="AQ672" i="5"/>
  <c r="AP672" i="5"/>
  <c r="AQ671" i="5"/>
  <c r="AP671" i="5"/>
  <c r="AQ670" i="5"/>
  <c r="AP670" i="5"/>
  <c r="AQ669" i="5"/>
  <c r="AP669" i="5"/>
  <c r="AQ668" i="5"/>
  <c r="AP668" i="5"/>
  <c r="AQ667" i="5"/>
  <c r="AP667" i="5"/>
  <c r="AQ666" i="5"/>
  <c r="AP666" i="5"/>
  <c r="AQ665" i="5"/>
  <c r="AP665" i="5"/>
  <c r="AQ664" i="5"/>
  <c r="AP664" i="5"/>
  <c r="AQ663" i="5"/>
  <c r="AP663" i="5"/>
  <c r="AQ662" i="5"/>
  <c r="AP662" i="5"/>
  <c r="AQ661" i="5"/>
  <c r="AP661" i="5"/>
  <c r="AQ660" i="5"/>
  <c r="AP660" i="5"/>
  <c r="AQ659" i="5"/>
  <c r="AP659" i="5"/>
  <c r="AQ658" i="5"/>
  <c r="AP658" i="5"/>
  <c r="AQ657" i="5"/>
  <c r="AP657" i="5"/>
  <c r="AQ656" i="5"/>
  <c r="AP656" i="5"/>
  <c r="AQ655" i="5"/>
  <c r="AP655" i="5"/>
  <c r="AQ654" i="5"/>
  <c r="AP654" i="5"/>
  <c r="AQ653" i="5"/>
  <c r="AP653" i="5"/>
  <c r="AQ652" i="5"/>
  <c r="AP652" i="5"/>
  <c r="AQ651" i="5"/>
  <c r="AP651" i="5"/>
  <c r="AQ650" i="5"/>
  <c r="AP650" i="5"/>
  <c r="AQ649" i="5"/>
  <c r="AP649" i="5"/>
  <c r="AQ648" i="5"/>
  <c r="AP648" i="5"/>
  <c r="AQ647" i="5"/>
  <c r="AP647" i="5"/>
  <c r="AQ646" i="5"/>
  <c r="AP646" i="5"/>
  <c r="AQ645" i="5"/>
  <c r="AP645" i="5"/>
  <c r="AQ644" i="5"/>
  <c r="AP644" i="5"/>
  <c r="AQ643" i="5"/>
  <c r="AP643" i="5"/>
  <c r="AQ642" i="5"/>
  <c r="AP642" i="5"/>
  <c r="AQ641" i="5"/>
  <c r="AP641" i="5"/>
  <c r="AQ640" i="5"/>
  <c r="AP640" i="5"/>
  <c r="AQ639" i="5"/>
  <c r="AP639" i="5"/>
  <c r="AQ638" i="5"/>
  <c r="AP638" i="5"/>
  <c r="AQ637" i="5"/>
  <c r="AP637" i="5"/>
  <c r="AQ636" i="5"/>
  <c r="AP636" i="5"/>
  <c r="AQ635" i="5"/>
  <c r="AP635" i="5"/>
  <c r="AQ634" i="5"/>
  <c r="AP634" i="5"/>
  <c r="AQ633" i="5"/>
  <c r="AP633" i="5"/>
  <c r="AQ632" i="5"/>
  <c r="AP632" i="5"/>
  <c r="AQ631" i="5"/>
  <c r="AP631" i="5"/>
  <c r="AQ630" i="5"/>
  <c r="AP630" i="5"/>
  <c r="AQ629" i="5"/>
  <c r="AP629" i="5"/>
  <c r="AQ628" i="5"/>
  <c r="AP628" i="5"/>
  <c r="AQ627" i="5"/>
  <c r="AP627" i="5"/>
  <c r="AQ626" i="5"/>
  <c r="AP626" i="5"/>
  <c r="AQ625" i="5"/>
  <c r="AP625" i="5"/>
  <c r="AQ624" i="5"/>
  <c r="AP624" i="5"/>
  <c r="AQ623" i="5"/>
  <c r="AP623" i="5"/>
  <c r="AQ622" i="5"/>
  <c r="AP622" i="5"/>
  <c r="AQ621" i="5"/>
  <c r="AP621" i="5"/>
  <c r="AQ620" i="5"/>
  <c r="AP620" i="5"/>
  <c r="AQ619" i="5"/>
  <c r="AP619" i="5"/>
  <c r="AQ618" i="5"/>
  <c r="AP618" i="5"/>
  <c r="AQ617" i="5"/>
  <c r="AP617" i="5"/>
  <c r="AQ616" i="5"/>
  <c r="AP616" i="5"/>
  <c r="AQ615" i="5"/>
  <c r="AP615" i="5"/>
  <c r="AQ614" i="5"/>
  <c r="AP614" i="5"/>
  <c r="AQ613" i="5"/>
  <c r="AP613" i="5"/>
  <c r="AQ612" i="5"/>
  <c r="AP612" i="5"/>
  <c r="AQ611" i="5"/>
  <c r="AP611" i="5"/>
  <c r="AQ610" i="5"/>
  <c r="AP610" i="5"/>
  <c r="AQ609" i="5"/>
  <c r="AP609" i="5"/>
  <c r="AQ608" i="5"/>
  <c r="AP608" i="5"/>
  <c r="AQ607" i="5"/>
  <c r="AP607" i="5"/>
  <c r="AQ606" i="5"/>
  <c r="AP606" i="5"/>
  <c r="AQ605" i="5"/>
  <c r="AP605" i="5"/>
  <c r="AQ604" i="5"/>
  <c r="AP604" i="5"/>
  <c r="AQ603" i="5"/>
  <c r="AP603" i="5"/>
  <c r="AQ602" i="5"/>
  <c r="AP602" i="5"/>
  <c r="AQ601" i="5"/>
  <c r="AP601" i="5"/>
  <c r="AQ600" i="5"/>
  <c r="AP600" i="5"/>
  <c r="AQ599" i="5"/>
  <c r="AP599" i="5"/>
  <c r="AQ598" i="5"/>
  <c r="AP598" i="5"/>
  <c r="AQ597" i="5"/>
  <c r="AP597" i="5"/>
  <c r="AQ596" i="5"/>
  <c r="AP596" i="5"/>
  <c r="AQ595" i="5"/>
  <c r="AP595" i="5"/>
  <c r="AQ594" i="5"/>
  <c r="AP594" i="5"/>
  <c r="AQ593" i="5"/>
  <c r="AP593" i="5"/>
  <c r="AQ592" i="5"/>
  <c r="AP592" i="5"/>
  <c r="AQ591" i="5"/>
  <c r="AP591" i="5"/>
  <c r="AQ590" i="5"/>
  <c r="AP590" i="5"/>
  <c r="AQ589" i="5"/>
  <c r="AP589" i="5"/>
  <c r="AQ588" i="5"/>
  <c r="AP588" i="5"/>
  <c r="AQ587" i="5"/>
  <c r="AP587" i="5"/>
  <c r="AQ586" i="5"/>
  <c r="AP586" i="5"/>
  <c r="AQ585" i="5"/>
  <c r="AP585" i="5"/>
  <c r="AQ584" i="5"/>
  <c r="AP584" i="5"/>
  <c r="AQ583" i="5"/>
  <c r="AP583" i="5"/>
  <c r="AQ582" i="5"/>
  <c r="AP582" i="5"/>
  <c r="AQ581" i="5"/>
  <c r="AP581" i="5"/>
  <c r="AQ580" i="5"/>
  <c r="AP580" i="5"/>
  <c r="AQ579" i="5"/>
  <c r="AP579" i="5"/>
  <c r="AQ578" i="5"/>
  <c r="AP578" i="5"/>
  <c r="AQ577" i="5"/>
  <c r="AP577" i="5"/>
  <c r="AQ576" i="5"/>
  <c r="AP576" i="5"/>
  <c r="AQ575" i="5"/>
  <c r="AP575" i="5"/>
  <c r="AQ574" i="5"/>
  <c r="AP574" i="5"/>
  <c r="AQ573" i="5"/>
  <c r="AP573" i="5"/>
  <c r="AQ572" i="5"/>
  <c r="AP572" i="5"/>
  <c r="AQ571" i="5"/>
  <c r="AP571" i="5"/>
  <c r="AQ570" i="5"/>
  <c r="AP570" i="5"/>
  <c r="AQ569" i="5"/>
  <c r="AP569" i="5"/>
  <c r="AQ568" i="5"/>
  <c r="AP568" i="5"/>
  <c r="AQ567" i="5"/>
  <c r="AP567" i="5"/>
  <c r="AQ566" i="5"/>
  <c r="AP566" i="5"/>
  <c r="AQ565" i="5"/>
  <c r="AP565" i="5"/>
  <c r="AQ564" i="5"/>
  <c r="AP564" i="5"/>
  <c r="AQ563" i="5"/>
  <c r="AP563" i="5"/>
  <c r="AQ562" i="5"/>
  <c r="AP562" i="5"/>
  <c r="AQ561" i="5"/>
  <c r="AP561" i="5"/>
  <c r="AQ560" i="5"/>
  <c r="AP560" i="5"/>
  <c r="AQ559" i="5"/>
  <c r="AP559" i="5"/>
  <c r="AQ558" i="5"/>
  <c r="AP558" i="5"/>
  <c r="AQ557" i="5"/>
  <c r="AP557" i="5"/>
  <c r="AQ556" i="5"/>
  <c r="AP556" i="5"/>
  <c r="AQ555" i="5"/>
  <c r="AP555" i="5"/>
  <c r="AQ554" i="5"/>
  <c r="AP554" i="5"/>
  <c r="AQ553" i="5"/>
  <c r="AP553" i="5"/>
  <c r="AQ552" i="5"/>
  <c r="AP552" i="5"/>
  <c r="AQ551" i="5"/>
  <c r="AP551" i="5"/>
  <c r="AQ550" i="5"/>
  <c r="AP550" i="5"/>
  <c r="AQ549" i="5"/>
  <c r="AP549" i="5"/>
  <c r="AQ548" i="5"/>
  <c r="AP548" i="5"/>
  <c r="AQ547" i="5"/>
  <c r="AP547" i="5"/>
  <c r="AQ546" i="5"/>
  <c r="AP546" i="5"/>
  <c r="AQ545" i="5"/>
  <c r="AP545" i="5"/>
  <c r="AQ544" i="5"/>
  <c r="AP544" i="5"/>
  <c r="AQ543" i="5"/>
  <c r="AP543" i="5"/>
  <c r="AQ542" i="5"/>
  <c r="AP542" i="5"/>
  <c r="AQ541" i="5"/>
  <c r="AP541" i="5"/>
  <c r="AQ540" i="5"/>
  <c r="AP540" i="5"/>
  <c r="AQ539" i="5"/>
  <c r="AP539" i="5"/>
  <c r="AQ538" i="5"/>
  <c r="AP538" i="5"/>
  <c r="AQ537" i="5"/>
  <c r="AP537" i="5"/>
  <c r="AQ536" i="5"/>
  <c r="AP536" i="5"/>
  <c r="AQ535" i="5"/>
  <c r="AP535" i="5"/>
  <c r="AQ534" i="5"/>
  <c r="AP534" i="5"/>
  <c r="AQ533" i="5"/>
  <c r="AP533" i="5"/>
  <c r="AQ532" i="5"/>
  <c r="AP532" i="5"/>
  <c r="AQ531" i="5"/>
  <c r="AP531" i="5"/>
  <c r="AQ530" i="5"/>
  <c r="AP530" i="5"/>
  <c r="AQ529" i="5"/>
  <c r="AP529" i="5"/>
  <c r="AQ528" i="5"/>
  <c r="AP528" i="5"/>
  <c r="AQ527" i="5"/>
  <c r="AP527" i="5"/>
  <c r="AQ526" i="5"/>
  <c r="AP526" i="5"/>
  <c r="AQ525" i="5"/>
  <c r="AP525" i="5"/>
  <c r="AQ524" i="5"/>
  <c r="AP524" i="5"/>
  <c r="AQ523" i="5"/>
  <c r="AP523" i="5"/>
  <c r="AQ522" i="5"/>
  <c r="AP522" i="5"/>
  <c r="AQ521" i="5"/>
  <c r="AP521" i="5"/>
  <c r="AQ520" i="5"/>
  <c r="AP520" i="5"/>
  <c r="AQ519" i="5"/>
  <c r="AP519" i="5"/>
  <c r="AQ518" i="5"/>
  <c r="AP518" i="5"/>
  <c r="AQ517" i="5"/>
  <c r="AP517" i="5"/>
  <c r="AQ516" i="5"/>
  <c r="AP516" i="5"/>
  <c r="AQ515" i="5"/>
  <c r="AP515" i="5"/>
  <c r="AQ514" i="5"/>
  <c r="AP514" i="5"/>
  <c r="AQ513" i="5"/>
  <c r="AP513" i="5"/>
  <c r="AQ512" i="5"/>
  <c r="AP512" i="5"/>
  <c r="AQ511" i="5"/>
  <c r="AP511" i="5"/>
  <c r="AQ510" i="5"/>
  <c r="AP510" i="5"/>
  <c r="AQ509" i="5"/>
  <c r="AP509" i="5"/>
  <c r="AQ508" i="5"/>
  <c r="AP508" i="5"/>
  <c r="AQ507" i="5"/>
  <c r="AP507" i="5"/>
  <c r="AQ506" i="5"/>
  <c r="AP506" i="5"/>
  <c r="AQ505" i="5"/>
  <c r="AP505" i="5"/>
  <c r="AQ504" i="5"/>
  <c r="AP504" i="5"/>
  <c r="AQ503" i="5"/>
  <c r="AP503" i="5"/>
  <c r="AQ502" i="5"/>
  <c r="AP502" i="5"/>
  <c r="AQ501" i="5"/>
  <c r="AP501" i="5"/>
  <c r="AQ500" i="5"/>
  <c r="AP500" i="5"/>
  <c r="AQ499" i="5"/>
  <c r="AP499" i="5"/>
  <c r="AQ498" i="5"/>
  <c r="AP498" i="5"/>
  <c r="AQ497" i="5"/>
  <c r="AP497" i="5"/>
  <c r="AQ496" i="5"/>
  <c r="AP496" i="5"/>
  <c r="AQ495" i="5"/>
  <c r="AP495" i="5"/>
  <c r="AQ494" i="5"/>
  <c r="AP494" i="5"/>
  <c r="AQ493" i="5"/>
  <c r="AP493" i="5"/>
  <c r="AQ492" i="5"/>
  <c r="AP492" i="5"/>
  <c r="AQ491" i="5"/>
  <c r="AP491" i="5"/>
  <c r="AQ490" i="5"/>
  <c r="AP490" i="5"/>
  <c r="AQ489" i="5"/>
  <c r="AP489" i="5"/>
  <c r="AQ488" i="5"/>
  <c r="AP488" i="5"/>
  <c r="AQ487" i="5"/>
  <c r="AP487" i="5"/>
  <c r="AQ486" i="5"/>
  <c r="AP486" i="5"/>
  <c r="AQ485" i="5"/>
  <c r="AP485" i="5"/>
  <c r="AQ484" i="5"/>
  <c r="AP484" i="5"/>
  <c r="AQ483" i="5"/>
  <c r="AP483" i="5"/>
  <c r="AQ482" i="5"/>
  <c r="AP482" i="5"/>
  <c r="AQ481" i="5"/>
  <c r="AP481" i="5"/>
  <c r="AQ480" i="5"/>
  <c r="AP480" i="5"/>
  <c r="AQ479" i="5"/>
  <c r="AP479" i="5"/>
  <c r="AQ478" i="5"/>
  <c r="AP478" i="5"/>
  <c r="AQ477" i="5"/>
  <c r="AP477" i="5"/>
  <c r="AQ476" i="5"/>
  <c r="AP476" i="5"/>
  <c r="AQ475" i="5"/>
  <c r="AP475" i="5"/>
  <c r="AQ474" i="5"/>
  <c r="AP474" i="5"/>
  <c r="AQ473" i="5"/>
  <c r="AP473" i="5"/>
  <c r="AQ472" i="5"/>
  <c r="AP472" i="5"/>
  <c r="AQ471" i="5"/>
  <c r="AP471" i="5"/>
  <c r="AQ470" i="5"/>
  <c r="AP470" i="5"/>
  <c r="AQ469" i="5"/>
  <c r="AP469" i="5"/>
  <c r="AQ468" i="5"/>
  <c r="AP468" i="5"/>
  <c r="AQ467" i="5"/>
  <c r="AP467" i="5"/>
  <c r="AQ466" i="5"/>
  <c r="AP466" i="5"/>
  <c r="AQ465" i="5"/>
  <c r="AP465" i="5"/>
  <c r="AQ464" i="5"/>
  <c r="AP464" i="5"/>
  <c r="AQ463" i="5"/>
  <c r="AP463" i="5"/>
  <c r="AQ462" i="5"/>
  <c r="AP462" i="5"/>
  <c r="AQ461" i="5"/>
  <c r="AP461" i="5"/>
  <c r="AQ460" i="5"/>
  <c r="AP460" i="5"/>
  <c r="AQ459" i="5"/>
  <c r="AP459" i="5"/>
  <c r="AQ458" i="5"/>
  <c r="AP458" i="5"/>
  <c r="AQ457" i="5"/>
  <c r="AP457" i="5"/>
  <c r="AQ456" i="5"/>
  <c r="AP456" i="5"/>
  <c r="AQ455" i="5"/>
  <c r="AP455" i="5"/>
  <c r="AQ454" i="5"/>
  <c r="AP454" i="5"/>
  <c r="AQ453" i="5"/>
  <c r="AP453" i="5"/>
  <c r="AQ452" i="5"/>
  <c r="AP452" i="5"/>
  <c r="AQ451" i="5"/>
  <c r="AP451" i="5"/>
  <c r="AQ450" i="5"/>
  <c r="AP450" i="5"/>
  <c r="AQ449" i="5"/>
  <c r="AP449" i="5"/>
  <c r="AQ448" i="5"/>
  <c r="AP448" i="5"/>
  <c r="AQ447" i="5"/>
  <c r="AP447" i="5"/>
  <c r="AQ446" i="5"/>
  <c r="AP446" i="5"/>
  <c r="AQ445" i="5"/>
  <c r="AP445" i="5"/>
  <c r="AQ444" i="5"/>
  <c r="AP444" i="5"/>
  <c r="AQ443" i="5"/>
  <c r="AP443" i="5"/>
  <c r="AQ442" i="5"/>
  <c r="AP442" i="5"/>
  <c r="AQ441" i="5"/>
  <c r="AP441" i="5"/>
  <c r="AQ440" i="5"/>
  <c r="AP440" i="5"/>
  <c r="AQ439" i="5"/>
  <c r="AP439" i="5"/>
  <c r="AQ438" i="5"/>
  <c r="AP438" i="5"/>
  <c r="AQ437" i="5"/>
  <c r="AP437" i="5"/>
  <c r="AQ436" i="5"/>
  <c r="AP436" i="5"/>
  <c r="AQ435" i="5"/>
  <c r="AP435" i="5"/>
  <c r="AQ434" i="5"/>
  <c r="AP434" i="5"/>
  <c r="AQ433" i="5"/>
  <c r="AP433" i="5"/>
  <c r="AQ432" i="5"/>
  <c r="AP432" i="5"/>
  <c r="AQ431" i="5"/>
  <c r="AP431" i="5"/>
  <c r="AQ430" i="5"/>
  <c r="AP430" i="5"/>
  <c r="AQ429" i="5"/>
  <c r="AP429" i="5"/>
  <c r="AQ428" i="5"/>
  <c r="AP428" i="5"/>
  <c r="AQ427" i="5"/>
  <c r="AP427" i="5"/>
  <c r="AQ426" i="5"/>
  <c r="AP426" i="5"/>
  <c r="AQ425" i="5"/>
  <c r="AP425" i="5"/>
  <c r="AQ424" i="5"/>
  <c r="AP424" i="5"/>
  <c r="AQ423" i="5"/>
  <c r="AP423" i="5"/>
  <c r="AQ422" i="5"/>
  <c r="AP422" i="5"/>
  <c r="AQ421" i="5"/>
  <c r="AP421" i="5"/>
  <c r="AQ420" i="5"/>
  <c r="AP420" i="5"/>
  <c r="AQ419" i="5"/>
  <c r="AP419" i="5"/>
  <c r="AQ418" i="5"/>
  <c r="AP418" i="5"/>
  <c r="AQ417" i="5"/>
  <c r="AP417" i="5"/>
  <c r="AQ416" i="5"/>
  <c r="AP416" i="5"/>
  <c r="AQ415" i="5"/>
  <c r="AP415" i="5"/>
  <c r="AQ414" i="5"/>
  <c r="AP414" i="5"/>
  <c r="AQ413" i="5"/>
  <c r="AP413" i="5"/>
  <c r="AQ412" i="5"/>
  <c r="AP412" i="5"/>
  <c r="AQ411" i="5"/>
  <c r="AP411" i="5"/>
  <c r="AQ410" i="5"/>
  <c r="AP410" i="5"/>
  <c r="AQ409" i="5"/>
  <c r="AP409" i="5"/>
  <c r="AQ408" i="5"/>
  <c r="AP408" i="5"/>
  <c r="AQ407" i="5"/>
  <c r="AP407" i="5"/>
  <c r="AQ406" i="5"/>
  <c r="AP406" i="5"/>
  <c r="AQ405" i="5"/>
  <c r="AP405" i="5"/>
  <c r="AQ404" i="5"/>
  <c r="AP404" i="5"/>
  <c r="AQ403" i="5"/>
  <c r="AP403" i="5"/>
  <c r="AQ402" i="5"/>
  <c r="AP402" i="5"/>
  <c r="AQ401" i="5"/>
  <c r="AP401" i="5"/>
  <c r="AQ400" i="5"/>
  <c r="AP400" i="5"/>
  <c r="AQ399" i="5"/>
  <c r="AP399" i="5"/>
  <c r="AQ398" i="5"/>
  <c r="AP398" i="5"/>
  <c r="AQ397" i="5"/>
  <c r="AP397" i="5"/>
  <c r="AQ396" i="5"/>
  <c r="AP396" i="5"/>
  <c r="AQ395" i="5"/>
  <c r="AP395" i="5"/>
  <c r="AQ394" i="5"/>
  <c r="AP394" i="5"/>
  <c r="AQ393" i="5"/>
  <c r="AP393" i="5"/>
  <c r="AQ392" i="5"/>
  <c r="AP392" i="5"/>
  <c r="AQ391" i="5"/>
  <c r="AP391" i="5"/>
  <c r="AQ390" i="5"/>
  <c r="AP390" i="5"/>
  <c r="AQ389" i="5"/>
  <c r="AP389" i="5"/>
  <c r="AQ388" i="5"/>
  <c r="AP388" i="5"/>
  <c r="AQ387" i="5"/>
  <c r="AP387" i="5"/>
  <c r="AQ386" i="5"/>
  <c r="AP386" i="5"/>
  <c r="AQ385" i="5"/>
  <c r="AP385" i="5"/>
  <c r="AQ384" i="5"/>
  <c r="AP384" i="5"/>
  <c r="AQ383" i="5"/>
  <c r="AP383" i="5"/>
  <c r="AQ382" i="5"/>
  <c r="AP382" i="5"/>
  <c r="AQ381" i="5"/>
  <c r="AP381" i="5"/>
  <c r="AQ380" i="5"/>
  <c r="AP380" i="5"/>
  <c r="AQ379" i="5"/>
  <c r="AP379" i="5"/>
  <c r="AQ378" i="5"/>
  <c r="AP378" i="5"/>
  <c r="AQ377" i="5"/>
  <c r="AP377" i="5"/>
  <c r="AQ376" i="5"/>
  <c r="AP376" i="5"/>
  <c r="AQ375" i="5"/>
  <c r="AP375" i="5"/>
  <c r="AQ374" i="5"/>
  <c r="AP374" i="5"/>
  <c r="AQ373" i="5"/>
  <c r="AP373" i="5"/>
  <c r="AQ372" i="5"/>
  <c r="AP372" i="5"/>
  <c r="AQ371" i="5"/>
  <c r="AP371" i="5"/>
  <c r="AQ370" i="5"/>
  <c r="AP370" i="5"/>
  <c r="AQ369" i="5"/>
  <c r="AP369" i="5"/>
  <c r="AQ368" i="5"/>
  <c r="AP368" i="5"/>
  <c r="AQ367" i="5"/>
  <c r="AP367" i="5"/>
  <c r="AQ366" i="5"/>
  <c r="AP366" i="5"/>
  <c r="AQ365" i="5"/>
  <c r="AP365" i="5"/>
  <c r="AQ364" i="5"/>
  <c r="AP364" i="5"/>
  <c r="AQ363" i="5"/>
  <c r="AP363" i="5"/>
  <c r="AQ362" i="5"/>
  <c r="AP362" i="5"/>
  <c r="AQ361" i="5"/>
  <c r="AP361" i="5"/>
  <c r="AQ360" i="5"/>
  <c r="AP360" i="5"/>
  <c r="AQ359" i="5"/>
  <c r="AP359" i="5"/>
  <c r="AQ358" i="5"/>
  <c r="AP358" i="5"/>
  <c r="AQ357" i="5"/>
  <c r="AP357" i="5"/>
  <c r="AQ356" i="5"/>
  <c r="AP356" i="5"/>
  <c r="AQ355" i="5"/>
  <c r="AP355" i="5"/>
  <c r="AQ354" i="5"/>
  <c r="AP354" i="5"/>
  <c r="AQ353" i="5"/>
  <c r="AP353" i="5"/>
  <c r="AQ352" i="5"/>
  <c r="AP352" i="5"/>
  <c r="AQ351" i="5"/>
  <c r="AP351" i="5"/>
  <c r="AQ350" i="5"/>
  <c r="AP350" i="5"/>
  <c r="AQ349" i="5"/>
  <c r="AP349" i="5"/>
  <c r="AQ348" i="5"/>
  <c r="AP348" i="5"/>
  <c r="AQ347" i="5"/>
  <c r="AP347" i="5"/>
  <c r="AQ346" i="5"/>
  <c r="AP346" i="5"/>
  <c r="AQ345" i="5"/>
  <c r="AP345" i="5"/>
  <c r="AQ344" i="5"/>
  <c r="AP344" i="5"/>
  <c r="AQ343" i="5"/>
  <c r="AP343" i="5"/>
  <c r="AQ342" i="5"/>
  <c r="AP342" i="5"/>
  <c r="AQ341" i="5"/>
  <c r="AP341" i="5"/>
  <c r="AQ340" i="5"/>
  <c r="AP340" i="5"/>
  <c r="AQ339" i="5"/>
  <c r="AP339" i="5"/>
  <c r="AQ338" i="5"/>
  <c r="AP338" i="5"/>
  <c r="AQ337" i="5"/>
  <c r="AP337" i="5"/>
  <c r="AQ336" i="5"/>
  <c r="AP336" i="5"/>
  <c r="AQ335" i="5"/>
  <c r="AP335" i="5"/>
  <c r="AQ334" i="5"/>
  <c r="AP334" i="5"/>
  <c r="AQ333" i="5"/>
  <c r="AP333" i="5"/>
  <c r="AQ332" i="5"/>
  <c r="AP332" i="5"/>
  <c r="AQ331" i="5"/>
  <c r="AP331" i="5"/>
  <c r="AQ330" i="5"/>
  <c r="AP330" i="5"/>
  <c r="AQ329" i="5"/>
  <c r="AP329" i="5"/>
  <c r="AQ328" i="5"/>
  <c r="AP328" i="5"/>
  <c r="AQ327" i="5"/>
  <c r="AP327" i="5"/>
  <c r="AQ326" i="5"/>
  <c r="AP326" i="5"/>
  <c r="AQ325" i="5"/>
  <c r="AP325" i="5"/>
  <c r="AQ324" i="5"/>
  <c r="AP324" i="5"/>
  <c r="AQ323" i="5"/>
  <c r="AP323" i="5"/>
  <c r="AQ322" i="5"/>
  <c r="AP322" i="5"/>
  <c r="AQ321" i="5"/>
  <c r="AP321" i="5"/>
  <c r="AQ320" i="5"/>
  <c r="AP320" i="5"/>
  <c r="AQ319" i="5"/>
  <c r="AP319" i="5"/>
  <c r="AQ318" i="5"/>
  <c r="AP318" i="5"/>
  <c r="AQ317" i="5"/>
  <c r="AP317" i="5"/>
  <c r="AQ316" i="5"/>
  <c r="AP316" i="5"/>
  <c r="AQ315" i="5"/>
  <c r="AP315" i="5"/>
  <c r="AQ314" i="5"/>
  <c r="AP314" i="5"/>
  <c r="AQ313" i="5"/>
  <c r="AP313" i="5"/>
  <c r="AQ312" i="5"/>
  <c r="AP312" i="5"/>
  <c r="AQ311" i="5"/>
  <c r="AP311" i="5"/>
  <c r="AQ310" i="5"/>
  <c r="AP310" i="5"/>
  <c r="AQ309" i="5"/>
  <c r="AP309" i="5"/>
  <c r="AQ308" i="5"/>
  <c r="AP308" i="5"/>
  <c r="AQ307" i="5"/>
  <c r="AP307" i="5"/>
  <c r="AQ306" i="5"/>
  <c r="AP306" i="5"/>
  <c r="AQ305" i="5"/>
  <c r="AP305" i="5"/>
  <c r="AQ304" i="5"/>
  <c r="AP304" i="5"/>
  <c r="AQ303" i="5"/>
  <c r="AP303" i="5"/>
  <c r="AQ302" i="5"/>
  <c r="AP302" i="5"/>
  <c r="AQ301" i="5"/>
  <c r="AP301" i="5"/>
  <c r="AQ300" i="5"/>
  <c r="AP300" i="5"/>
  <c r="AQ299" i="5"/>
  <c r="AP299" i="5"/>
  <c r="AQ298" i="5"/>
  <c r="AP298" i="5"/>
  <c r="AQ297" i="5"/>
  <c r="AP297" i="5"/>
  <c r="AQ296" i="5"/>
  <c r="AP296" i="5"/>
  <c r="AQ295" i="5"/>
  <c r="AP295" i="5"/>
  <c r="AQ294" i="5"/>
  <c r="AP294" i="5"/>
  <c r="AQ293" i="5"/>
  <c r="AP293" i="5"/>
  <c r="AQ292" i="5"/>
  <c r="AP292" i="5"/>
  <c r="AQ291" i="5"/>
  <c r="AP291" i="5"/>
  <c r="AQ290" i="5"/>
  <c r="AP290" i="5"/>
  <c r="AQ289" i="5"/>
  <c r="AP289" i="5"/>
  <c r="AQ288" i="5"/>
  <c r="AP288" i="5"/>
  <c r="AQ287" i="5"/>
  <c r="AP287" i="5"/>
  <c r="AQ286" i="5"/>
  <c r="AP286" i="5"/>
  <c r="AQ285" i="5"/>
  <c r="AP285" i="5"/>
  <c r="AQ284" i="5"/>
  <c r="AP284" i="5"/>
  <c r="AQ283" i="5"/>
  <c r="AP283" i="5"/>
  <c r="AQ282" i="5"/>
  <c r="AP282" i="5"/>
  <c r="AQ281" i="5"/>
  <c r="AP281" i="5"/>
  <c r="AQ280" i="5"/>
  <c r="AP280" i="5"/>
  <c r="AQ279" i="5"/>
  <c r="AP279" i="5"/>
  <c r="AQ278" i="5"/>
  <c r="AP278" i="5"/>
  <c r="AQ277" i="5"/>
  <c r="AP277" i="5"/>
  <c r="AQ276" i="5"/>
  <c r="AP276" i="5"/>
  <c r="AQ275" i="5"/>
  <c r="AP275" i="5"/>
  <c r="AQ274" i="5"/>
  <c r="AP274" i="5"/>
  <c r="AQ273" i="5"/>
  <c r="AP273" i="5"/>
  <c r="AQ272" i="5"/>
  <c r="AP272" i="5"/>
  <c r="AQ271" i="5"/>
  <c r="AP271" i="5"/>
  <c r="AQ270" i="5"/>
  <c r="AP270" i="5"/>
  <c r="AQ269" i="5"/>
  <c r="AP269" i="5"/>
  <c r="AQ268" i="5"/>
  <c r="AP268" i="5"/>
  <c r="AQ267" i="5"/>
  <c r="AP267" i="5"/>
  <c r="AQ266" i="5"/>
  <c r="AP266" i="5"/>
  <c r="AQ265" i="5"/>
  <c r="AP265" i="5"/>
  <c r="AQ264" i="5"/>
  <c r="AP264" i="5"/>
  <c r="AQ263" i="5"/>
  <c r="AP263" i="5"/>
  <c r="AQ262" i="5"/>
  <c r="AP262" i="5"/>
  <c r="AQ261" i="5"/>
  <c r="AP261" i="5"/>
  <c r="AQ260" i="5"/>
  <c r="AP260" i="5"/>
  <c r="AQ259" i="5"/>
  <c r="AP259" i="5"/>
  <c r="AQ258" i="5"/>
  <c r="AP258" i="5"/>
  <c r="AQ257" i="5"/>
  <c r="AP257" i="5"/>
  <c r="AQ256" i="5"/>
  <c r="AP256" i="5"/>
  <c r="AQ255" i="5"/>
  <c r="AP255" i="5"/>
  <c r="AQ254" i="5"/>
  <c r="AP254" i="5"/>
  <c r="AQ253" i="5"/>
  <c r="AP253" i="5"/>
  <c r="AQ252" i="5"/>
  <c r="AP252" i="5"/>
  <c r="AQ251" i="5"/>
  <c r="AP251" i="5"/>
  <c r="AQ250" i="5"/>
  <c r="AP250" i="5"/>
  <c r="AQ249" i="5"/>
  <c r="AP249" i="5"/>
  <c r="AQ248" i="5"/>
  <c r="AP248" i="5"/>
  <c r="AQ247" i="5"/>
  <c r="AP247" i="5"/>
  <c r="AQ246" i="5"/>
  <c r="AP246" i="5"/>
  <c r="AQ245" i="5"/>
  <c r="AP245" i="5"/>
  <c r="AQ244" i="5"/>
  <c r="AP244" i="5"/>
  <c r="AQ243" i="5"/>
  <c r="AP243" i="5"/>
  <c r="AQ242" i="5"/>
  <c r="AP242" i="5"/>
  <c r="AQ241" i="5"/>
  <c r="AP241" i="5"/>
  <c r="AQ240" i="5"/>
  <c r="AP240" i="5"/>
  <c r="AQ239" i="5"/>
  <c r="AP239" i="5"/>
  <c r="AQ238" i="5"/>
  <c r="AP238" i="5"/>
  <c r="AQ237" i="5"/>
  <c r="AP237" i="5"/>
  <c r="AQ236" i="5"/>
  <c r="AP236" i="5"/>
  <c r="AQ235" i="5"/>
  <c r="AP235" i="5"/>
  <c r="AQ234" i="5"/>
  <c r="AP234" i="5"/>
  <c r="AQ233" i="5"/>
  <c r="AP233" i="5"/>
  <c r="AQ232" i="5"/>
  <c r="AP232" i="5"/>
  <c r="AQ231" i="5"/>
  <c r="AP231" i="5"/>
  <c r="AQ230" i="5"/>
  <c r="AP230" i="5"/>
  <c r="AQ229" i="5"/>
  <c r="AP229" i="5"/>
  <c r="AQ228" i="5"/>
  <c r="AP228" i="5"/>
  <c r="AQ227" i="5"/>
  <c r="AP227" i="5"/>
  <c r="AQ226" i="5"/>
  <c r="AP226" i="5"/>
  <c r="AQ225" i="5"/>
  <c r="AP225" i="5"/>
  <c r="AQ224" i="5"/>
  <c r="AP224" i="5"/>
  <c r="AQ223" i="5"/>
  <c r="AP223" i="5"/>
  <c r="AQ222" i="5"/>
  <c r="AP222" i="5"/>
  <c r="AQ221" i="5"/>
  <c r="AP221" i="5"/>
  <c r="AQ220" i="5"/>
  <c r="AP220" i="5"/>
  <c r="AQ219" i="5"/>
  <c r="AP219" i="5"/>
  <c r="AQ218" i="5"/>
  <c r="AP218" i="5"/>
  <c r="AQ217" i="5"/>
  <c r="AP217" i="5"/>
  <c r="AQ216" i="5"/>
  <c r="AP216" i="5"/>
  <c r="AQ215" i="5"/>
  <c r="AP215" i="5"/>
  <c r="AQ214" i="5"/>
  <c r="AP214" i="5"/>
  <c r="AQ213" i="5"/>
  <c r="AP213" i="5"/>
  <c r="AQ212" i="5"/>
  <c r="AP212" i="5"/>
  <c r="AQ211" i="5"/>
  <c r="AP211" i="5"/>
  <c r="AQ210" i="5"/>
  <c r="AP210" i="5"/>
  <c r="AQ209" i="5"/>
  <c r="AP209" i="5"/>
  <c r="AQ208" i="5"/>
  <c r="AP208" i="5"/>
  <c r="AQ207" i="5"/>
  <c r="AP207" i="5"/>
  <c r="AQ206" i="5"/>
  <c r="AP206" i="5"/>
  <c r="AQ205" i="5"/>
  <c r="AP205" i="5"/>
  <c r="AQ204" i="5"/>
  <c r="AP204" i="5"/>
  <c r="AQ203" i="5"/>
  <c r="AP203" i="5"/>
  <c r="AQ202" i="5"/>
  <c r="AP202" i="5"/>
  <c r="AQ201" i="5"/>
  <c r="AP201" i="5"/>
  <c r="AQ200" i="5"/>
  <c r="AP200" i="5"/>
  <c r="AQ199" i="5"/>
  <c r="AP199" i="5"/>
  <c r="AQ198" i="5"/>
  <c r="AP198" i="5"/>
  <c r="AQ197" i="5"/>
  <c r="AP197" i="5"/>
  <c r="AQ196" i="5"/>
  <c r="AP196" i="5"/>
  <c r="AQ195" i="5"/>
  <c r="AP195" i="5"/>
  <c r="AQ194" i="5"/>
  <c r="AP194" i="5"/>
  <c r="AQ193" i="5"/>
  <c r="AP193" i="5"/>
  <c r="AQ192" i="5"/>
  <c r="AP192" i="5"/>
  <c r="AQ191" i="5"/>
  <c r="AP191" i="5"/>
  <c r="AQ190" i="5"/>
  <c r="AP190" i="5"/>
  <c r="AQ189" i="5"/>
  <c r="AP189" i="5"/>
  <c r="AQ188" i="5"/>
  <c r="AP188" i="5"/>
  <c r="AQ187" i="5"/>
  <c r="AP187" i="5"/>
  <c r="AQ186" i="5"/>
  <c r="AP186" i="5"/>
  <c r="AQ185" i="5"/>
  <c r="AP185" i="5"/>
  <c r="AQ184" i="5"/>
  <c r="AP184" i="5"/>
  <c r="AQ183" i="5"/>
  <c r="AP183" i="5"/>
  <c r="AQ182" i="5"/>
  <c r="AP182" i="5"/>
  <c r="AQ181" i="5"/>
  <c r="AP181" i="5"/>
  <c r="AQ180" i="5"/>
  <c r="AP180" i="5"/>
  <c r="AQ179" i="5"/>
  <c r="AP179" i="5"/>
  <c r="AQ178" i="5"/>
  <c r="AP178" i="5"/>
  <c r="AQ177" i="5"/>
  <c r="AP177" i="5"/>
  <c r="AQ176" i="5"/>
  <c r="AP176" i="5"/>
  <c r="AQ175" i="5"/>
  <c r="AP175" i="5"/>
  <c r="AQ174" i="5"/>
  <c r="AP174" i="5"/>
  <c r="AQ173" i="5"/>
  <c r="AP173" i="5"/>
  <c r="AQ172" i="5"/>
  <c r="AP172" i="5"/>
  <c r="AQ171" i="5"/>
  <c r="AP171" i="5"/>
  <c r="AQ170" i="5"/>
  <c r="AP170" i="5"/>
  <c r="AQ169" i="5"/>
  <c r="AP169" i="5"/>
  <c r="AQ168" i="5"/>
  <c r="AP168" i="5"/>
  <c r="AQ167" i="5"/>
  <c r="AP167" i="5"/>
  <c r="AQ166" i="5"/>
  <c r="AP166" i="5"/>
  <c r="AQ165" i="5"/>
  <c r="AP165" i="5"/>
  <c r="AQ164" i="5"/>
  <c r="AP164" i="5"/>
  <c r="AQ163" i="5"/>
  <c r="AP163" i="5"/>
  <c r="AQ162" i="5"/>
  <c r="AP162" i="5"/>
  <c r="AQ161" i="5"/>
  <c r="AP161" i="5"/>
  <c r="AQ160" i="5"/>
  <c r="AP160" i="5"/>
  <c r="AQ159" i="5"/>
  <c r="AP159" i="5"/>
  <c r="AQ158" i="5"/>
  <c r="AP158" i="5"/>
  <c r="AQ157" i="5"/>
  <c r="AP157" i="5"/>
  <c r="AQ156" i="5"/>
  <c r="AP156" i="5"/>
  <c r="AQ155" i="5"/>
  <c r="AP155" i="5"/>
  <c r="AQ154" i="5"/>
  <c r="AP154" i="5"/>
  <c r="AQ153" i="5"/>
  <c r="AP153" i="5"/>
  <c r="AQ152" i="5"/>
  <c r="AP152" i="5"/>
  <c r="AQ151" i="5"/>
  <c r="AP151" i="5"/>
  <c r="AQ150" i="5"/>
  <c r="AP150" i="5"/>
  <c r="AQ149" i="5"/>
  <c r="AP149" i="5"/>
  <c r="AQ148" i="5"/>
  <c r="AP148" i="5"/>
  <c r="AQ147" i="5"/>
  <c r="AP147" i="5"/>
  <c r="AQ146" i="5"/>
  <c r="AP146" i="5"/>
  <c r="AQ145" i="5"/>
  <c r="AP145" i="5"/>
  <c r="AQ144" i="5"/>
  <c r="AP144" i="5"/>
  <c r="AQ143" i="5"/>
  <c r="AP143" i="5"/>
  <c r="AQ142" i="5"/>
  <c r="AP142" i="5"/>
  <c r="AQ141" i="5"/>
  <c r="AP141" i="5"/>
  <c r="AQ140" i="5"/>
  <c r="AP140" i="5"/>
  <c r="AQ139" i="5"/>
  <c r="AP139" i="5"/>
  <c r="AQ138" i="5"/>
  <c r="AP138" i="5"/>
  <c r="AQ137" i="5"/>
  <c r="AP137" i="5"/>
  <c r="AQ136" i="5"/>
  <c r="AP136" i="5"/>
  <c r="AQ135" i="5"/>
  <c r="AP135" i="5"/>
  <c r="AQ134" i="5"/>
  <c r="AP134" i="5"/>
  <c r="AQ133" i="5"/>
  <c r="AP133" i="5"/>
  <c r="AQ132" i="5"/>
  <c r="AP132" i="5"/>
  <c r="AQ131" i="5"/>
  <c r="AP131" i="5"/>
  <c r="AQ130" i="5"/>
  <c r="AP130" i="5"/>
  <c r="AQ129" i="5"/>
  <c r="AP129" i="5"/>
  <c r="AQ128" i="5"/>
  <c r="AP128" i="5"/>
  <c r="AQ127" i="5"/>
  <c r="AP127" i="5"/>
  <c r="AQ126" i="5"/>
  <c r="AP126" i="5"/>
  <c r="AQ125" i="5"/>
  <c r="AP125" i="5"/>
  <c r="AQ124" i="5"/>
  <c r="AP124" i="5"/>
  <c r="AQ123" i="5"/>
  <c r="AP123" i="5"/>
  <c r="AQ122" i="5"/>
  <c r="AP122" i="5"/>
  <c r="AQ121" i="5"/>
  <c r="AP121" i="5"/>
  <c r="AQ120" i="5"/>
  <c r="AP120" i="5"/>
  <c r="AQ119" i="5"/>
  <c r="AP119" i="5"/>
  <c r="AQ118" i="5"/>
  <c r="AP118" i="5"/>
  <c r="AQ117" i="5"/>
  <c r="AP117" i="5"/>
  <c r="AQ116" i="5"/>
  <c r="AP116" i="5"/>
  <c r="AQ115" i="5"/>
  <c r="AP115" i="5"/>
  <c r="AQ114" i="5"/>
  <c r="AP114" i="5"/>
  <c r="AQ113" i="5"/>
  <c r="AP113" i="5"/>
  <c r="AQ112" i="5"/>
  <c r="AP112" i="5"/>
  <c r="AQ111" i="5"/>
  <c r="AP111" i="5"/>
  <c r="AQ110" i="5"/>
  <c r="AP110" i="5"/>
  <c r="AQ109" i="5"/>
  <c r="AP109" i="5"/>
  <c r="AQ108" i="5"/>
  <c r="AP108" i="5"/>
  <c r="AQ107" i="5"/>
  <c r="AP107" i="5"/>
  <c r="AQ106" i="5"/>
  <c r="AP106" i="5"/>
  <c r="AQ105" i="5"/>
  <c r="AP105" i="5"/>
  <c r="AQ104" i="5"/>
  <c r="AP104" i="5"/>
  <c r="AQ103" i="5"/>
  <c r="AP103" i="5"/>
  <c r="AQ102" i="5"/>
  <c r="AP102" i="5"/>
  <c r="AQ101" i="5"/>
  <c r="AP101" i="5"/>
  <c r="AQ100" i="5"/>
  <c r="AP100" i="5"/>
  <c r="AQ99" i="5"/>
  <c r="AP99" i="5"/>
  <c r="AQ98" i="5"/>
  <c r="AP98" i="5"/>
  <c r="AQ97" i="5"/>
  <c r="AP97" i="5"/>
  <c r="AQ96" i="5"/>
  <c r="AP96" i="5"/>
  <c r="AQ95" i="5"/>
  <c r="AP95" i="5"/>
  <c r="AQ94" i="5"/>
  <c r="AP94" i="5"/>
  <c r="AQ93" i="5"/>
  <c r="AP93" i="5"/>
  <c r="AQ92" i="5"/>
  <c r="AP92" i="5"/>
  <c r="AQ91" i="5"/>
  <c r="AP91" i="5"/>
  <c r="AQ90" i="5"/>
  <c r="AP90" i="5"/>
  <c r="AQ89" i="5"/>
  <c r="AP89" i="5"/>
  <c r="AQ88" i="5"/>
  <c r="AP88" i="5"/>
  <c r="AQ87" i="5"/>
  <c r="AP87" i="5"/>
  <c r="AQ86" i="5"/>
  <c r="AP86" i="5"/>
  <c r="AQ85" i="5"/>
  <c r="AP85" i="5"/>
  <c r="AQ84" i="5"/>
  <c r="AP84" i="5"/>
  <c r="AQ83" i="5"/>
  <c r="AP83" i="5"/>
  <c r="AQ82" i="5"/>
  <c r="AP82" i="5"/>
  <c r="AQ81" i="5"/>
  <c r="AP81" i="5"/>
  <c r="AQ80" i="5"/>
  <c r="AP80" i="5"/>
  <c r="AQ79" i="5"/>
  <c r="AP79" i="5"/>
  <c r="AQ78" i="5"/>
  <c r="AP78" i="5"/>
  <c r="AQ77" i="5"/>
  <c r="AP77" i="5"/>
  <c r="AQ76" i="5"/>
  <c r="AP76" i="5"/>
  <c r="AQ75" i="5"/>
  <c r="AP75" i="5"/>
  <c r="AQ74" i="5"/>
  <c r="AP74" i="5"/>
  <c r="AQ73" i="5"/>
  <c r="AP73" i="5"/>
  <c r="AQ72" i="5"/>
  <c r="AP72" i="5"/>
  <c r="AQ71" i="5"/>
  <c r="AP71" i="5"/>
  <c r="AQ70" i="5"/>
  <c r="AP70" i="5"/>
  <c r="AQ69" i="5"/>
  <c r="AP69" i="5"/>
  <c r="AQ68" i="5"/>
  <c r="AP68" i="5"/>
  <c r="AQ67" i="5"/>
  <c r="AP67" i="5"/>
  <c r="AQ66" i="5"/>
  <c r="AP66" i="5"/>
  <c r="AQ65" i="5"/>
  <c r="AP65" i="5"/>
  <c r="AQ64" i="5"/>
  <c r="AP64" i="5"/>
  <c r="AQ63" i="5"/>
  <c r="AP63" i="5"/>
  <c r="AQ62" i="5"/>
  <c r="AP62" i="5"/>
  <c r="AQ61" i="5"/>
  <c r="AP61" i="5"/>
  <c r="AQ60" i="5"/>
  <c r="AP60" i="5"/>
  <c r="AQ59" i="5"/>
  <c r="AP59" i="5"/>
  <c r="AQ58" i="5"/>
  <c r="AP58" i="5"/>
  <c r="AQ57" i="5"/>
  <c r="AP57" i="5"/>
  <c r="AQ56" i="5"/>
  <c r="AP56" i="5"/>
  <c r="AQ55" i="5"/>
  <c r="AP55" i="5"/>
  <c r="AQ54" i="5"/>
  <c r="AP54" i="5"/>
  <c r="AQ53" i="5"/>
  <c r="AP53" i="5"/>
  <c r="AQ52" i="5"/>
  <c r="AP52" i="5"/>
  <c r="AQ51" i="5"/>
  <c r="AP51" i="5"/>
  <c r="AQ50" i="5"/>
  <c r="AP50" i="5"/>
  <c r="AQ49" i="5"/>
  <c r="AP49" i="5"/>
  <c r="AQ48" i="5"/>
  <c r="AP48" i="5"/>
  <c r="AQ47" i="5"/>
  <c r="AP47" i="5"/>
  <c r="AQ46" i="5"/>
  <c r="AP46" i="5"/>
  <c r="AQ45" i="5"/>
  <c r="AP45" i="5"/>
  <c r="AQ44" i="5"/>
  <c r="AP44" i="5"/>
  <c r="AQ43" i="5"/>
  <c r="AP43" i="5"/>
  <c r="AQ42" i="5"/>
  <c r="AP42" i="5"/>
  <c r="AQ41" i="5"/>
  <c r="AP41" i="5"/>
  <c r="AQ40" i="5"/>
  <c r="AP40" i="5"/>
  <c r="AQ39" i="5"/>
  <c r="AP39" i="5"/>
  <c r="AQ38" i="5"/>
  <c r="AP38" i="5"/>
  <c r="AQ37" i="5"/>
  <c r="AP37" i="5"/>
  <c r="AQ36" i="5"/>
  <c r="AP36" i="5"/>
  <c r="AQ35" i="5"/>
  <c r="AP35" i="5"/>
  <c r="AQ34" i="5"/>
  <c r="AP34" i="5"/>
  <c r="AQ33" i="5"/>
  <c r="AP33" i="5"/>
  <c r="AQ32" i="5"/>
  <c r="AP32" i="5"/>
  <c r="AQ31" i="5"/>
  <c r="AP31" i="5"/>
  <c r="AQ30" i="5"/>
  <c r="AP30" i="5"/>
  <c r="AQ29" i="5"/>
  <c r="AP29" i="5"/>
  <c r="AQ28" i="5"/>
  <c r="AP28" i="5"/>
  <c r="AQ27" i="5"/>
  <c r="AP27" i="5"/>
  <c r="AQ26" i="5"/>
  <c r="AP26" i="5"/>
  <c r="AQ25" i="5"/>
  <c r="AP25" i="5"/>
  <c r="AQ24" i="5"/>
  <c r="AP24" i="5"/>
  <c r="AQ23" i="5"/>
  <c r="AP23" i="5"/>
  <c r="AQ22" i="5"/>
  <c r="AP22" i="5"/>
  <c r="AQ21" i="5"/>
  <c r="AP21" i="5"/>
  <c r="AQ20" i="5"/>
  <c r="AP20" i="5"/>
  <c r="AQ19" i="5"/>
  <c r="AP19" i="5"/>
  <c r="AS18" i="5"/>
  <c r="AQ18" i="5" s="1"/>
  <c r="AP18" i="5"/>
  <c r="AS17" i="5"/>
  <c r="AR17" i="5"/>
  <c r="AQ17" i="5"/>
  <c r="AP17" i="5"/>
  <c r="AS16" i="5"/>
  <c r="AR16" i="5"/>
  <c r="AQ16" i="5"/>
  <c r="AP16" i="5"/>
  <c r="AS15" i="5"/>
  <c r="AR15" i="5"/>
  <c r="AQ15" i="5"/>
  <c r="AP15" i="5"/>
  <c r="AQ14" i="5"/>
  <c r="AP14" i="5"/>
  <c r="AQ13" i="5"/>
  <c r="AP13" i="5"/>
  <c r="L4" i="5"/>
  <c r="L3" i="5"/>
  <c r="BN230" i="6"/>
  <c r="BK230" i="6"/>
  <c r="BH230" i="6"/>
  <c r="BF230" i="6"/>
  <c r="BD230" i="6"/>
  <c r="BM229" i="6"/>
  <c r="BK229" i="6"/>
  <c r="BI229" i="6"/>
  <c r="BG229" i="6"/>
  <c r="BE229" i="6"/>
  <c r="BN228" i="6"/>
  <c r="BL228" i="6"/>
  <c r="BJ228" i="6"/>
  <c r="BL230" i="6"/>
  <c r="BI230" i="6"/>
  <c r="BG230" i="6"/>
  <c r="BE230" i="6"/>
  <c r="BN229" i="6"/>
  <c r="BL229" i="6"/>
  <c r="BJ229" i="6"/>
  <c r="BH229" i="6"/>
  <c r="BF229" i="6"/>
  <c r="BD229" i="6"/>
  <c r="BM228" i="6"/>
  <c r="BK228" i="6"/>
  <c r="BI228" i="6"/>
  <c r="BG228" i="6"/>
  <c r="BE228" i="6"/>
  <c r="BN227" i="6"/>
  <c r="BL227" i="6"/>
  <c r="BJ227" i="6"/>
  <c r="BH227" i="6"/>
  <c r="BF227" i="6"/>
  <c r="BD227" i="6"/>
  <c r="BM226" i="6"/>
  <c r="BK226" i="6"/>
  <c r="BI226" i="6"/>
  <c r="BG226" i="6"/>
  <c r="BE226" i="6"/>
  <c r="BN225" i="6"/>
  <c r="BL225" i="6"/>
  <c r="BJ225" i="6"/>
  <c r="BH225" i="6"/>
  <c r="BF225" i="6"/>
  <c r="BD225" i="6"/>
  <c r="BM224" i="6"/>
  <c r="BK224" i="6"/>
  <c r="BI224" i="6"/>
  <c r="BG224" i="6"/>
  <c r="BE224" i="6"/>
  <c r="BN223" i="6"/>
  <c r="BL223" i="6"/>
  <c r="BJ223" i="6"/>
  <c r="BH223" i="6"/>
  <c r="BF223" i="6"/>
  <c r="BD223" i="6"/>
  <c r="BM222" i="6"/>
  <c r="BK222" i="6"/>
  <c r="BI222" i="6"/>
  <c r="BG222" i="6"/>
  <c r="BE222" i="6"/>
  <c r="BN221" i="6"/>
  <c r="BL221" i="6"/>
  <c r="BJ221" i="6"/>
  <c r="BH221" i="6"/>
  <c r="BF221" i="6"/>
  <c r="BD221" i="6"/>
  <c r="BM220" i="6"/>
  <c r="BK220" i="6"/>
  <c r="BI220" i="6"/>
  <c r="BG220" i="6"/>
  <c r="BE220" i="6"/>
  <c r="BN219" i="6"/>
  <c r="BL219" i="6"/>
  <c r="BJ219" i="6"/>
  <c r="BH219" i="6"/>
  <c r="BF219" i="6"/>
  <c r="BD219" i="6"/>
  <c r="BM218" i="6"/>
  <c r="BK218" i="6"/>
  <c r="BI218" i="6"/>
  <c r="BG218" i="6"/>
  <c r="BE218" i="6"/>
  <c r="BN217" i="6"/>
  <c r="BL217" i="6"/>
  <c r="BJ217" i="6"/>
  <c r="BH217" i="6"/>
  <c r="BF217" i="6"/>
  <c r="BD217" i="6"/>
  <c r="BM216" i="6"/>
  <c r="BK216" i="6"/>
  <c r="BI216" i="6"/>
  <c r="BG216" i="6"/>
  <c r="BE216" i="6"/>
  <c r="BN215" i="6"/>
  <c r="BL215" i="6"/>
  <c r="BJ215" i="6"/>
  <c r="BH215" i="6"/>
  <c r="BF215" i="6"/>
  <c r="BD215" i="6"/>
  <c r="BM214" i="6"/>
  <c r="BK214" i="6"/>
  <c r="BI214" i="6"/>
  <c r="BG214" i="6"/>
  <c r="BE214" i="6"/>
  <c r="BN213" i="6"/>
  <c r="BL213" i="6"/>
  <c r="BJ213" i="6"/>
  <c r="BH213" i="6"/>
  <c r="BF213" i="6"/>
  <c r="BD213" i="6"/>
  <c r="BM212" i="6"/>
  <c r="BK212" i="6"/>
  <c r="BI212" i="6"/>
  <c r="BG212" i="6"/>
  <c r="BE212" i="6"/>
  <c r="BN211" i="6"/>
  <c r="BL211" i="6"/>
  <c r="BJ211" i="6"/>
  <c r="BH211" i="6"/>
  <c r="BF211" i="6"/>
  <c r="BD211" i="6"/>
  <c r="BM210" i="6"/>
  <c r="BK210" i="6"/>
  <c r="BI210" i="6"/>
  <c r="BG210" i="6"/>
  <c r="BE210" i="6"/>
  <c r="BN209" i="6"/>
  <c r="BL209" i="6"/>
  <c r="BJ209" i="6"/>
  <c r="BH209" i="6"/>
  <c r="BF209" i="6"/>
  <c r="BD209" i="6"/>
  <c r="BM208" i="6"/>
  <c r="BK208" i="6"/>
  <c r="BI208" i="6"/>
  <c r="BG208" i="6"/>
  <c r="BE208" i="6"/>
  <c r="BN207" i="6"/>
  <c r="BL207" i="6"/>
  <c r="BH228" i="6"/>
  <c r="BD228" i="6"/>
  <c r="BK227" i="6"/>
  <c r="BG227" i="6"/>
  <c r="BN226" i="6"/>
  <c r="BJ226" i="6"/>
  <c r="BF226" i="6"/>
  <c r="BM225" i="6"/>
  <c r="BI225" i="6"/>
  <c r="BE225" i="6"/>
  <c r="BL224" i="6"/>
  <c r="BH224" i="6"/>
  <c r="BD224" i="6"/>
  <c r="BK223" i="6"/>
  <c r="BG223" i="6"/>
  <c r="BN222" i="6"/>
  <c r="BJ222" i="6"/>
  <c r="BF222" i="6"/>
  <c r="BM221" i="6"/>
  <c r="BI221" i="6"/>
  <c r="BE221" i="6"/>
  <c r="BL220" i="6"/>
  <c r="BH220" i="6"/>
  <c r="BD220" i="6"/>
  <c r="BK219" i="6"/>
  <c r="BG219" i="6"/>
  <c r="BN218" i="6"/>
  <c r="BJ218" i="6"/>
  <c r="BF218" i="6"/>
  <c r="BM217" i="6"/>
  <c r="BI217" i="6"/>
  <c r="BE217" i="6"/>
  <c r="BL216" i="6"/>
  <c r="BH216" i="6"/>
  <c r="BD216" i="6"/>
  <c r="BK215" i="6"/>
  <c r="BG215" i="6"/>
  <c r="BN214" i="6"/>
  <c r="BJ214" i="6"/>
  <c r="BF214" i="6"/>
  <c r="BM213" i="6"/>
  <c r="BI213" i="6"/>
  <c r="BE213" i="6"/>
  <c r="BL212" i="6"/>
  <c r="BH212" i="6"/>
  <c r="BD212" i="6"/>
  <c r="BK211" i="6"/>
  <c r="BG211" i="6"/>
  <c r="BN210" i="6"/>
  <c r="BJ210" i="6"/>
  <c r="BF210" i="6"/>
  <c r="BM209" i="6"/>
  <c r="BI209" i="6"/>
  <c r="BE209" i="6"/>
  <c r="BL208" i="6"/>
  <c r="BH208" i="6"/>
  <c r="BD208" i="6"/>
  <c r="BK207" i="6"/>
  <c r="BI207" i="6"/>
  <c r="BG207" i="6"/>
  <c r="BE207" i="6"/>
  <c r="BN206" i="6"/>
  <c r="BL206" i="6"/>
  <c r="BJ206" i="6"/>
  <c r="BH206" i="6"/>
  <c r="BF206" i="6"/>
  <c r="BD206" i="6"/>
  <c r="BM205" i="6"/>
  <c r="BK205" i="6"/>
  <c r="BI205" i="6"/>
  <c r="BG205" i="6"/>
  <c r="BE205" i="6"/>
  <c r="BN204" i="6"/>
  <c r="BL204" i="6"/>
  <c r="BJ204" i="6"/>
  <c r="BH204" i="6"/>
  <c r="BF204" i="6"/>
  <c r="BD204" i="6"/>
  <c r="BM203" i="6"/>
  <c r="BK203" i="6"/>
  <c r="BI203" i="6"/>
  <c r="BG203" i="6"/>
  <c r="BE203" i="6"/>
  <c r="BN202" i="6"/>
  <c r="BL202" i="6"/>
  <c r="BJ202" i="6"/>
  <c r="BH202" i="6"/>
  <c r="BF202" i="6"/>
  <c r="BD202" i="6"/>
  <c r="BM201" i="6"/>
  <c r="BK201" i="6"/>
  <c r="BI201" i="6"/>
  <c r="BG201" i="6"/>
  <c r="BE201" i="6"/>
  <c r="BN200" i="6"/>
  <c r="BL200" i="6"/>
  <c r="BJ200" i="6"/>
  <c r="BH200" i="6"/>
  <c r="BF200" i="6"/>
  <c r="BD200" i="6"/>
  <c r="BM199" i="6"/>
  <c r="BK199" i="6"/>
  <c r="BI199" i="6"/>
  <c r="BG199" i="6"/>
  <c r="BE199" i="6"/>
  <c r="BN198" i="6"/>
  <c r="BL198" i="6"/>
  <c r="BJ198" i="6"/>
  <c r="BH198" i="6"/>
  <c r="BF198" i="6"/>
  <c r="BD198" i="6"/>
  <c r="BM197" i="6"/>
  <c r="BK197" i="6"/>
  <c r="BI197" i="6"/>
  <c r="BG197" i="6"/>
  <c r="BE197" i="6"/>
  <c r="BN196" i="6"/>
  <c r="BL196" i="6"/>
  <c r="BJ196" i="6"/>
  <c r="BH196" i="6"/>
  <c r="BF196" i="6"/>
  <c r="BD196" i="6"/>
  <c r="BM195" i="6"/>
  <c r="BK195" i="6"/>
  <c r="BI195" i="6"/>
  <c r="BG195" i="6"/>
  <c r="BE195" i="6"/>
  <c r="BF228" i="6"/>
  <c r="BM227" i="6"/>
  <c r="BI227" i="6"/>
  <c r="BE227" i="6"/>
  <c r="BL226" i="6"/>
  <c r="BH226" i="6"/>
  <c r="BD226" i="6"/>
  <c r="BK225" i="6"/>
  <c r="BG225" i="6"/>
  <c r="BN224" i="6"/>
  <c r="BJ224" i="6"/>
  <c r="BF224" i="6"/>
  <c r="BM223" i="6"/>
  <c r="BI223" i="6"/>
  <c r="BE223" i="6"/>
  <c r="BL222" i="6"/>
  <c r="BH222" i="6"/>
  <c r="BD222" i="6"/>
  <c r="BK221" i="6"/>
  <c r="BG221" i="6"/>
  <c r="BN220" i="6"/>
  <c r="BJ220" i="6"/>
  <c r="BF220" i="6"/>
  <c r="BM219" i="6"/>
  <c r="BI219" i="6"/>
  <c r="BE219" i="6"/>
  <c r="BL218" i="6"/>
  <c r="BH218" i="6"/>
  <c r="BD218" i="6"/>
  <c r="BK217" i="6"/>
  <c r="BG217" i="6"/>
  <c r="BN216" i="6"/>
  <c r="BJ216" i="6"/>
  <c r="BF216" i="6"/>
  <c r="BM215" i="6"/>
  <c r="BI215" i="6"/>
  <c r="BE215" i="6"/>
  <c r="BL214" i="6"/>
  <c r="BH214" i="6"/>
  <c r="BD214" i="6"/>
  <c r="BK213" i="6"/>
  <c r="BG213" i="6"/>
  <c r="BN212" i="6"/>
  <c r="BJ212" i="6"/>
  <c r="BF212" i="6"/>
  <c r="BM211" i="6"/>
  <c r="BI211" i="6"/>
  <c r="BE211" i="6"/>
  <c r="BL210" i="6"/>
  <c r="BH210" i="6"/>
  <c r="BD210" i="6"/>
  <c r="BK209" i="6"/>
  <c r="BG209" i="6"/>
  <c r="BN208" i="6"/>
  <c r="BJ208" i="6"/>
  <c r="BF208" i="6"/>
  <c r="BM207" i="6"/>
  <c r="BJ207" i="6"/>
  <c r="BH207" i="6"/>
  <c r="BF207" i="6"/>
  <c r="BD207" i="6"/>
  <c r="BM206" i="6"/>
  <c r="BK206" i="6"/>
  <c r="BI206" i="6"/>
  <c r="BG206" i="6"/>
  <c r="BE206" i="6"/>
  <c r="BN205" i="6"/>
  <c r="BL205" i="6"/>
  <c r="BJ205" i="6"/>
  <c r="BH205" i="6"/>
  <c r="BF205" i="6"/>
  <c r="BD205" i="6"/>
  <c r="BM204" i="6"/>
  <c r="BK204" i="6"/>
  <c r="BI204" i="6"/>
  <c r="BG204" i="6"/>
  <c r="BE204" i="6"/>
  <c r="BN203" i="6"/>
  <c r="BL203" i="6"/>
  <c r="BJ203" i="6"/>
  <c r="BH203" i="6"/>
  <c r="BF203" i="6"/>
  <c r="BD203" i="6"/>
  <c r="BM202" i="6"/>
  <c r="BK202" i="6"/>
  <c r="BI202" i="6"/>
  <c r="BG202" i="6"/>
  <c r="BE202" i="6"/>
  <c r="BN201" i="6"/>
  <c r="BL201" i="6"/>
  <c r="BJ201" i="6"/>
  <c r="BH201" i="6"/>
  <c r="BF201" i="6"/>
  <c r="BD201" i="6"/>
  <c r="BM200" i="6"/>
  <c r="BK200" i="6"/>
  <c r="BI200" i="6"/>
  <c r="BG200" i="6"/>
  <c r="BE200" i="6"/>
  <c r="BN199" i="6"/>
  <c r="BL199" i="6"/>
  <c r="BJ199" i="6"/>
  <c r="BH199" i="6"/>
  <c r="BF199" i="6"/>
  <c r="BD199" i="6"/>
  <c r="BM198" i="6"/>
  <c r="BK198" i="6"/>
  <c r="BI198" i="6"/>
  <c r="BG198" i="6"/>
  <c r="BE198" i="6"/>
  <c r="BN197" i="6"/>
  <c r="BL197" i="6"/>
  <c r="BJ197" i="6"/>
  <c r="BH197" i="6"/>
  <c r="BF197" i="6"/>
  <c r="BD197" i="6"/>
  <c r="BM196" i="6"/>
  <c r="BK196" i="6"/>
  <c r="BI196" i="6"/>
  <c r="BG196" i="6"/>
  <c r="BE196" i="6"/>
  <c r="BN195" i="6"/>
  <c r="BL195" i="6"/>
  <c r="BJ195" i="6"/>
  <c r="BH195" i="6"/>
  <c r="BF195" i="6"/>
  <c r="BD195" i="6"/>
  <c r="BM194" i="6"/>
  <c r="BK194" i="6"/>
  <c r="BI194" i="6"/>
  <c r="BG194" i="6"/>
  <c r="BE194" i="6"/>
  <c r="BN193" i="6"/>
  <c r="BL193" i="6"/>
  <c r="BJ193" i="6"/>
  <c r="BH193" i="6"/>
  <c r="BF193" i="6"/>
  <c r="BD193" i="6"/>
  <c r="BM192" i="6"/>
  <c r="BK192" i="6"/>
  <c r="BI192" i="6"/>
  <c r="BG192" i="6"/>
  <c r="BE192" i="6"/>
  <c r="BN191" i="6"/>
  <c r="BL191" i="6"/>
  <c r="BJ191" i="6"/>
  <c r="BH191" i="6"/>
  <c r="BF191" i="6"/>
  <c r="BD191" i="6"/>
  <c r="BM190" i="6"/>
  <c r="BK190" i="6"/>
  <c r="BI190" i="6"/>
  <c r="BG190" i="6"/>
  <c r="BE190" i="6"/>
  <c r="BN189" i="6"/>
  <c r="BL189" i="6"/>
  <c r="BJ189" i="6"/>
  <c r="BH189" i="6"/>
  <c r="BF189" i="6"/>
  <c r="BD189" i="6"/>
  <c r="BM188" i="6"/>
  <c r="BK188" i="6"/>
  <c r="BI188" i="6"/>
  <c r="BG188" i="6"/>
  <c r="BE188" i="6"/>
  <c r="BN187" i="6"/>
  <c r="BL187" i="6"/>
  <c r="BJ187" i="6"/>
  <c r="BH187" i="6"/>
  <c r="BF187" i="6"/>
  <c r="BD187" i="6"/>
  <c r="BM186" i="6"/>
  <c r="BK186" i="6"/>
  <c r="BI186" i="6"/>
  <c r="BG186" i="6"/>
  <c r="BE186" i="6"/>
  <c r="BN185" i="6"/>
  <c r="BL185" i="6"/>
  <c r="BJ185" i="6"/>
  <c r="BH185" i="6"/>
  <c r="BF185" i="6"/>
  <c r="BD185" i="6"/>
  <c r="BM184" i="6"/>
  <c r="BK184" i="6"/>
  <c r="BI184" i="6"/>
  <c r="BG184" i="6"/>
  <c r="BE184" i="6"/>
  <c r="BN183" i="6"/>
  <c r="BL183" i="6"/>
  <c r="BJ183" i="6"/>
  <c r="BH183" i="6"/>
  <c r="BF183" i="6"/>
  <c r="BD183" i="6"/>
  <c r="BM182" i="6"/>
  <c r="BK182" i="6"/>
  <c r="BI182" i="6"/>
  <c r="BG182" i="6"/>
  <c r="BE182" i="6"/>
  <c r="BN181" i="6"/>
  <c r="BL181" i="6"/>
  <c r="BJ181" i="6"/>
  <c r="BH181" i="6"/>
  <c r="BF181" i="6"/>
  <c r="BD181" i="6"/>
  <c r="BM180" i="6"/>
  <c r="BK180" i="6"/>
  <c r="BI180" i="6"/>
  <c r="BG180" i="6"/>
  <c r="BE180" i="6"/>
  <c r="BN179" i="6"/>
  <c r="BL179" i="6"/>
  <c r="BJ179" i="6"/>
  <c r="BH179" i="6"/>
  <c r="BF179" i="6"/>
  <c r="BD179" i="6"/>
  <c r="BM178" i="6"/>
  <c r="BK178" i="6"/>
  <c r="BI178" i="6"/>
  <c r="BG178" i="6"/>
  <c r="BE178" i="6"/>
  <c r="BN177" i="6"/>
  <c r="BL177" i="6"/>
  <c r="BJ177" i="6"/>
  <c r="BH177" i="6"/>
  <c r="BF177" i="6"/>
  <c r="BD177" i="6"/>
  <c r="BM176" i="6"/>
  <c r="BK176" i="6"/>
  <c r="BI176" i="6"/>
  <c r="BG176" i="6"/>
  <c r="BE176" i="6"/>
  <c r="BN175" i="6"/>
  <c r="BL175" i="6"/>
  <c r="BJ175" i="6"/>
  <c r="BH175" i="6"/>
  <c r="BF175" i="6"/>
  <c r="BD175" i="6"/>
  <c r="BM174" i="6"/>
  <c r="BK174" i="6"/>
  <c r="BI174" i="6"/>
  <c r="BG174" i="6"/>
  <c r="BE174" i="6"/>
  <c r="BN173" i="6"/>
  <c r="BL173" i="6"/>
  <c r="BN194" i="6"/>
  <c r="BJ194" i="6"/>
  <c r="BF194" i="6"/>
  <c r="BM193" i="6"/>
  <c r="BI193" i="6"/>
  <c r="BE193" i="6"/>
  <c r="BL192" i="6"/>
  <c r="BH192" i="6"/>
  <c r="BD192" i="6"/>
  <c r="BK191" i="6"/>
  <c r="BG191" i="6"/>
  <c r="BN190" i="6"/>
  <c r="BJ190" i="6"/>
  <c r="BF190" i="6"/>
  <c r="BM189" i="6"/>
  <c r="BI189" i="6"/>
  <c r="BE189" i="6"/>
  <c r="BL188" i="6"/>
  <c r="BH188" i="6"/>
  <c r="BD188" i="6"/>
  <c r="BK187" i="6"/>
  <c r="BG187" i="6"/>
  <c r="BN186" i="6"/>
  <c r="BJ186" i="6"/>
  <c r="BF186" i="6"/>
  <c r="BM185" i="6"/>
  <c r="BI185" i="6"/>
  <c r="BE185" i="6"/>
  <c r="BL184" i="6"/>
  <c r="BH184" i="6"/>
  <c r="BD184" i="6"/>
  <c r="BK183" i="6"/>
  <c r="BG183" i="6"/>
  <c r="BN182" i="6"/>
  <c r="BJ182" i="6"/>
  <c r="BF182" i="6"/>
  <c r="BM181" i="6"/>
  <c r="BI181" i="6"/>
  <c r="BE181" i="6"/>
  <c r="BL180" i="6"/>
  <c r="BH180" i="6"/>
  <c r="BD180" i="6"/>
  <c r="BK179" i="6"/>
  <c r="BG179" i="6"/>
  <c r="BN178" i="6"/>
  <c r="BJ178" i="6"/>
  <c r="BF178" i="6"/>
  <c r="BM177" i="6"/>
  <c r="BI177" i="6"/>
  <c r="BE177" i="6"/>
  <c r="BL176" i="6"/>
  <c r="BH176" i="6"/>
  <c r="BD176" i="6"/>
  <c r="BK175" i="6"/>
  <c r="BG175" i="6"/>
  <c r="BN174" i="6"/>
  <c r="BJ174" i="6"/>
  <c r="BF174" i="6"/>
  <c r="BM173" i="6"/>
  <c r="BJ173" i="6"/>
  <c r="BH173" i="6"/>
  <c r="BF173" i="6"/>
  <c r="BD173" i="6"/>
  <c r="BM172" i="6"/>
  <c r="BK172" i="6"/>
  <c r="BI172" i="6"/>
  <c r="BG172" i="6"/>
  <c r="BE172" i="6"/>
  <c r="BN171" i="6"/>
  <c r="BL171" i="6"/>
  <c r="BJ171" i="6"/>
  <c r="BH171" i="6"/>
  <c r="BF171" i="6"/>
  <c r="BD171" i="6"/>
  <c r="BM170" i="6"/>
  <c r="BL194" i="6"/>
  <c r="BH194" i="6"/>
  <c r="BD194" i="6"/>
  <c r="BK193" i="6"/>
  <c r="BG193" i="6"/>
  <c r="BN192" i="6"/>
  <c r="BJ192" i="6"/>
  <c r="BF192" i="6"/>
  <c r="BM191" i="6"/>
  <c r="BI191" i="6"/>
  <c r="BE191" i="6"/>
  <c r="BL190" i="6"/>
  <c r="BH190" i="6"/>
  <c r="BD190" i="6"/>
  <c r="BK189" i="6"/>
  <c r="BG189" i="6"/>
  <c r="BN188" i="6"/>
  <c r="BJ188" i="6"/>
  <c r="BF188" i="6"/>
  <c r="BM187" i="6"/>
  <c r="BI187" i="6"/>
  <c r="BE187" i="6"/>
  <c r="BL186" i="6"/>
  <c r="BH186" i="6"/>
  <c r="BD186" i="6"/>
  <c r="BK185" i="6"/>
  <c r="BG185" i="6"/>
  <c r="BN184" i="6"/>
  <c r="BJ184" i="6"/>
  <c r="BF184" i="6"/>
  <c r="BM183" i="6"/>
  <c r="BI183" i="6"/>
  <c r="BE183" i="6"/>
  <c r="BL182" i="6"/>
  <c r="BH182" i="6"/>
  <c r="BD182" i="6"/>
  <c r="BK181" i="6"/>
  <c r="BG181" i="6"/>
  <c r="BN180" i="6"/>
  <c r="BJ180" i="6"/>
  <c r="BF180" i="6"/>
  <c r="BM179" i="6"/>
  <c r="BI179" i="6"/>
  <c r="BE179" i="6"/>
  <c r="BL178" i="6"/>
  <c r="BH178" i="6"/>
  <c r="BD178" i="6"/>
  <c r="BK177" i="6"/>
  <c r="BG177" i="6"/>
  <c r="BN176" i="6"/>
  <c r="BJ176" i="6"/>
  <c r="BF176" i="6"/>
  <c r="BM175" i="6"/>
  <c r="BI175" i="6"/>
  <c r="BE175" i="6"/>
  <c r="BL174" i="6"/>
  <c r="BH174" i="6"/>
  <c r="BD174" i="6"/>
  <c r="BK173" i="6"/>
  <c r="BI173" i="6"/>
  <c r="BG173" i="6"/>
  <c r="BE173" i="6"/>
  <c r="BN172" i="6"/>
  <c r="BL172" i="6"/>
  <c r="BJ172" i="6"/>
  <c r="BH172" i="6"/>
  <c r="BF172" i="6"/>
  <c r="BD172" i="6"/>
  <c r="BM171" i="6"/>
  <c r="BK171" i="6"/>
  <c r="BI171" i="6"/>
  <c r="BG171" i="6"/>
  <c r="BE171" i="6"/>
  <c r="BN170" i="6"/>
  <c r="BL170" i="6"/>
  <c r="BJ170" i="6"/>
  <c r="BH170" i="6"/>
  <c r="BF170" i="6"/>
  <c r="BD170" i="6"/>
  <c r="BM169" i="6"/>
  <c r="BK169" i="6"/>
  <c r="BI169" i="6"/>
  <c r="BG169" i="6"/>
  <c r="BE169" i="6"/>
  <c r="BN168" i="6"/>
  <c r="BL168" i="6"/>
  <c r="BJ168" i="6"/>
  <c r="BH168" i="6"/>
  <c r="BF168" i="6"/>
  <c r="BD168" i="6"/>
  <c r="BM167" i="6"/>
  <c r="BK167" i="6"/>
  <c r="BI167" i="6"/>
  <c r="BG167" i="6"/>
  <c r="BE167" i="6"/>
  <c r="BN166" i="6"/>
  <c r="BL166" i="6"/>
  <c r="BJ166" i="6"/>
  <c r="BH166" i="6"/>
  <c r="BF166" i="6"/>
  <c r="BD166" i="6"/>
  <c r="BM165" i="6"/>
  <c r="BK165" i="6"/>
  <c r="BI165" i="6"/>
  <c r="BG165" i="6"/>
  <c r="BE165" i="6"/>
  <c r="BN164" i="6"/>
  <c r="BL164" i="6"/>
  <c r="BJ164" i="6"/>
  <c r="BH164" i="6"/>
  <c r="BF164" i="6"/>
  <c r="BD164" i="6"/>
  <c r="BM163" i="6"/>
  <c r="BK163" i="6"/>
  <c r="BI163" i="6"/>
  <c r="BG163" i="6"/>
  <c r="BE163" i="6"/>
  <c r="BN162" i="6"/>
  <c r="BL162" i="6"/>
  <c r="BJ162" i="6"/>
  <c r="BH162" i="6"/>
  <c r="BF162" i="6"/>
  <c r="BD162" i="6"/>
  <c r="BM161" i="6"/>
  <c r="BK161" i="6"/>
  <c r="BI161" i="6"/>
  <c r="BG161" i="6"/>
  <c r="BE161" i="6"/>
  <c r="BN160" i="6"/>
  <c r="BL160" i="6"/>
  <c r="BJ160" i="6"/>
  <c r="BH160" i="6"/>
  <c r="BF160" i="6"/>
  <c r="BD160" i="6"/>
  <c r="BM159" i="6"/>
  <c r="BK159" i="6"/>
  <c r="BI159" i="6"/>
  <c r="BG159" i="6"/>
  <c r="BE159" i="6"/>
  <c r="BN158" i="6"/>
  <c r="BL158" i="6"/>
  <c r="BJ158" i="6"/>
  <c r="BH158" i="6"/>
  <c r="BF158" i="6"/>
  <c r="BD158" i="6"/>
  <c r="BM157" i="6"/>
  <c r="BK157" i="6"/>
  <c r="BI157" i="6"/>
  <c r="BG157" i="6"/>
  <c r="BE157" i="6"/>
  <c r="BN156" i="6"/>
  <c r="BL156" i="6"/>
  <c r="BJ156" i="6"/>
  <c r="BH156" i="6"/>
  <c r="BF156" i="6"/>
  <c r="BD156" i="6"/>
  <c r="BM155" i="6"/>
  <c r="BK155" i="6"/>
  <c r="BI155" i="6"/>
  <c r="BG155" i="6"/>
  <c r="BE155" i="6"/>
  <c r="BN154" i="6"/>
  <c r="BL154" i="6"/>
  <c r="BJ154" i="6"/>
  <c r="BH154" i="6"/>
  <c r="BF154" i="6"/>
  <c r="BD154" i="6"/>
  <c r="BM153" i="6"/>
  <c r="BK153" i="6"/>
  <c r="BI153" i="6"/>
  <c r="BG153" i="6"/>
  <c r="BE153" i="6"/>
  <c r="BN152" i="6"/>
  <c r="BL152" i="6"/>
  <c r="BJ152" i="6"/>
  <c r="BH152" i="6"/>
  <c r="BF152" i="6"/>
  <c r="BD152" i="6"/>
  <c r="BM151" i="6"/>
  <c r="BK151" i="6"/>
  <c r="BI151" i="6"/>
  <c r="BG151" i="6"/>
  <c r="BE151" i="6"/>
  <c r="BN150" i="6"/>
  <c r="BL150" i="6"/>
  <c r="BJ150" i="6"/>
  <c r="BH150" i="6"/>
  <c r="BF150" i="6"/>
  <c r="BD150" i="6"/>
  <c r="BM149" i="6"/>
  <c r="BK149" i="6"/>
  <c r="BI149" i="6"/>
  <c r="BG149" i="6"/>
  <c r="BE149" i="6"/>
  <c r="BN148" i="6"/>
  <c r="BL148" i="6"/>
  <c r="BJ148" i="6"/>
  <c r="BH148" i="6"/>
  <c r="BF148" i="6"/>
  <c r="BD148" i="6"/>
  <c r="BM147" i="6"/>
  <c r="BK147" i="6"/>
  <c r="BI147" i="6"/>
  <c r="BG147" i="6"/>
  <c r="BE147" i="6"/>
  <c r="BN146" i="6"/>
  <c r="BL146" i="6"/>
  <c r="BJ146" i="6"/>
  <c r="BH146" i="6"/>
  <c r="BF146" i="6"/>
  <c r="BD146" i="6"/>
  <c r="BM145" i="6"/>
  <c r="BK145" i="6"/>
  <c r="BI145" i="6"/>
  <c r="BG145" i="6"/>
  <c r="BE145" i="6"/>
  <c r="BN144" i="6"/>
  <c r="BL144" i="6"/>
  <c r="BJ144" i="6"/>
  <c r="BH144" i="6"/>
  <c r="BF144" i="6"/>
  <c r="BD144" i="6"/>
  <c r="BM143" i="6"/>
  <c r="BK143" i="6"/>
  <c r="BI143" i="6"/>
  <c r="BG143" i="6"/>
  <c r="BE143" i="6"/>
  <c r="BN142" i="6"/>
  <c r="BL142" i="6"/>
  <c r="BJ142" i="6"/>
  <c r="BH142" i="6"/>
  <c r="BF142" i="6"/>
  <c r="BD142" i="6"/>
  <c r="BM141" i="6"/>
  <c r="BK141" i="6"/>
  <c r="BI141" i="6"/>
  <c r="BG141" i="6"/>
  <c r="BE141" i="6"/>
  <c r="BN140" i="6"/>
  <c r="BL140" i="6"/>
  <c r="BJ140" i="6"/>
  <c r="BH140" i="6"/>
  <c r="BF140" i="6"/>
  <c r="BD140" i="6"/>
  <c r="BM139" i="6"/>
  <c r="BK139" i="6"/>
  <c r="BI139" i="6"/>
  <c r="BG139" i="6"/>
  <c r="BE139" i="6"/>
  <c r="BN138" i="6"/>
  <c r="BL138" i="6"/>
  <c r="BJ138" i="6"/>
  <c r="BH138" i="6"/>
  <c r="BF138" i="6"/>
  <c r="BD138" i="6"/>
  <c r="BK170" i="6"/>
  <c r="BG170" i="6"/>
  <c r="BN169" i="6"/>
  <c r="BJ169" i="6"/>
  <c r="BF169" i="6"/>
  <c r="BM168" i="6"/>
  <c r="BI168" i="6"/>
  <c r="BE168" i="6"/>
  <c r="BL167" i="6"/>
  <c r="BH167" i="6"/>
  <c r="BD167" i="6"/>
  <c r="BK166" i="6"/>
  <c r="BG166" i="6"/>
  <c r="BN165" i="6"/>
  <c r="BJ165" i="6"/>
  <c r="BF165" i="6"/>
  <c r="BM164" i="6"/>
  <c r="BI164" i="6"/>
  <c r="BE164" i="6"/>
  <c r="BL163" i="6"/>
  <c r="BH163" i="6"/>
  <c r="BD163" i="6"/>
  <c r="BK162" i="6"/>
  <c r="BG162" i="6"/>
  <c r="BN161" i="6"/>
  <c r="BJ161" i="6"/>
  <c r="BF161" i="6"/>
  <c r="BM160" i="6"/>
  <c r="BI160" i="6"/>
  <c r="BE160" i="6"/>
  <c r="BL159" i="6"/>
  <c r="BH159" i="6"/>
  <c r="BD159" i="6"/>
  <c r="BK158" i="6"/>
  <c r="BG158" i="6"/>
  <c r="BN157" i="6"/>
  <c r="BJ157" i="6"/>
  <c r="BF157" i="6"/>
  <c r="BM156" i="6"/>
  <c r="BI156" i="6"/>
  <c r="BE156" i="6"/>
  <c r="BL155" i="6"/>
  <c r="BH155" i="6"/>
  <c r="BD155" i="6"/>
  <c r="BK154" i="6"/>
  <c r="BG154" i="6"/>
  <c r="BN153" i="6"/>
  <c r="BJ153" i="6"/>
  <c r="BF153" i="6"/>
  <c r="BM152" i="6"/>
  <c r="BI152" i="6"/>
  <c r="BE152" i="6"/>
  <c r="BL151" i="6"/>
  <c r="BH151" i="6"/>
  <c r="BD151" i="6"/>
  <c r="BK150" i="6"/>
  <c r="BG150" i="6"/>
  <c r="BN149" i="6"/>
  <c r="BJ149" i="6"/>
  <c r="BF149" i="6"/>
  <c r="BM148" i="6"/>
  <c r="BI148" i="6"/>
  <c r="BE148" i="6"/>
  <c r="BL147" i="6"/>
  <c r="BH147" i="6"/>
  <c r="BD147" i="6"/>
  <c r="BK146" i="6"/>
  <c r="BG146" i="6"/>
  <c r="BN145" i="6"/>
  <c r="BJ145" i="6"/>
  <c r="BF145" i="6"/>
  <c r="BM144" i="6"/>
  <c r="BI144" i="6"/>
  <c r="BE144" i="6"/>
  <c r="BL143" i="6"/>
  <c r="BH143" i="6"/>
  <c r="BD143" i="6"/>
  <c r="BK142" i="6"/>
  <c r="BG142" i="6"/>
  <c r="BN141" i="6"/>
  <c r="BJ141" i="6"/>
  <c r="BF141" i="6"/>
  <c r="BM140" i="6"/>
  <c r="BI140" i="6"/>
  <c r="BE140" i="6"/>
  <c r="BL139" i="6"/>
  <c r="BH139" i="6"/>
  <c r="BD139" i="6"/>
  <c r="BK138" i="6"/>
  <c r="BG138" i="6"/>
  <c r="BN137" i="6"/>
  <c r="BL137" i="6"/>
  <c r="BJ137" i="6"/>
  <c r="BH137" i="6"/>
  <c r="BF137" i="6"/>
  <c r="BD137" i="6"/>
  <c r="BM136" i="6"/>
  <c r="BK136" i="6"/>
  <c r="BI136" i="6"/>
  <c r="BG136" i="6"/>
  <c r="BE136" i="6"/>
  <c r="BN135" i="6"/>
  <c r="BL135" i="6"/>
  <c r="BJ135" i="6"/>
  <c r="BH135" i="6"/>
  <c r="BF135" i="6"/>
  <c r="BD135" i="6"/>
  <c r="BM134" i="6"/>
  <c r="BK134" i="6"/>
  <c r="BI134" i="6"/>
  <c r="BG134" i="6"/>
  <c r="BE134" i="6"/>
  <c r="BN133" i="6"/>
  <c r="BL133" i="6"/>
  <c r="BJ133" i="6"/>
  <c r="BH133" i="6"/>
  <c r="BF133" i="6"/>
  <c r="BD133" i="6"/>
  <c r="BM132" i="6"/>
  <c r="BK132" i="6"/>
  <c r="BI132" i="6"/>
  <c r="BG132" i="6"/>
  <c r="BE132" i="6"/>
  <c r="BN131" i="6"/>
  <c r="BL131" i="6"/>
  <c r="BJ131" i="6"/>
  <c r="BH131" i="6"/>
  <c r="BF131" i="6"/>
  <c r="BD131" i="6"/>
  <c r="BM130" i="6"/>
  <c r="BK130" i="6"/>
  <c r="BI130" i="6"/>
  <c r="BG130" i="6"/>
  <c r="BE130" i="6"/>
  <c r="BN129" i="6"/>
  <c r="BL129" i="6"/>
  <c r="BJ129" i="6"/>
  <c r="BH129" i="6"/>
  <c r="BF129" i="6"/>
  <c r="BD129" i="6"/>
  <c r="BM128" i="6"/>
  <c r="BK128" i="6"/>
  <c r="BI128" i="6"/>
  <c r="BG128" i="6"/>
  <c r="BE128" i="6"/>
  <c r="BN127" i="6"/>
  <c r="BL127" i="6"/>
  <c r="BJ127" i="6"/>
  <c r="BH127" i="6"/>
  <c r="BF127" i="6"/>
  <c r="BD127" i="6"/>
  <c r="BM126" i="6"/>
  <c r="BK126" i="6"/>
  <c r="BI126" i="6"/>
  <c r="BG126" i="6"/>
  <c r="BE126" i="6"/>
  <c r="BN125" i="6"/>
  <c r="BL125" i="6"/>
  <c r="BJ125" i="6"/>
  <c r="BH125" i="6"/>
  <c r="BF125" i="6"/>
  <c r="BD125" i="6"/>
  <c r="BM124" i="6"/>
  <c r="BK124" i="6"/>
  <c r="BI124" i="6"/>
  <c r="BG124" i="6"/>
  <c r="BE124" i="6"/>
  <c r="BN123" i="6"/>
  <c r="BL123" i="6"/>
  <c r="BJ123" i="6"/>
  <c r="BH123" i="6"/>
  <c r="BF123" i="6"/>
  <c r="BD123" i="6"/>
  <c r="BM122" i="6"/>
  <c r="BK122" i="6"/>
  <c r="BI122" i="6"/>
  <c r="BG122" i="6"/>
  <c r="BE122" i="6"/>
  <c r="BN121" i="6"/>
  <c r="BL121" i="6"/>
  <c r="BJ121" i="6"/>
  <c r="BH121" i="6"/>
  <c r="BF121" i="6"/>
  <c r="BD121" i="6"/>
  <c r="BM120" i="6"/>
  <c r="BK120" i="6"/>
  <c r="BI120" i="6"/>
  <c r="BG120" i="6"/>
  <c r="BE120" i="6"/>
  <c r="BN119" i="6"/>
  <c r="BL119" i="6"/>
  <c r="BJ119" i="6"/>
  <c r="BH119" i="6"/>
  <c r="BF119" i="6"/>
  <c r="BD119" i="6"/>
  <c r="BM118" i="6"/>
  <c r="BK118" i="6"/>
  <c r="BI118" i="6"/>
  <c r="BG118" i="6"/>
  <c r="BE118" i="6"/>
  <c r="BN117" i="6"/>
  <c r="BL117" i="6"/>
  <c r="BJ117" i="6"/>
  <c r="BH117" i="6"/>
  <c r="BF117" i="6"/>
  <c r="BD117" i="6"/>
  <c r="BM116" i="6"/>
  <c r="BK116" i="6"/>
  <c r="BI116" i="6"/>
  <c r="BG116" i="6"/>
  <c r="BE116" i="6"/>
  <c r="BN115" i="6"/>
  <c r="BL115" i="6"/>
  <c r="BJ115" i="6"/>
  <c r="BH115" i="6"/>
  <c r="BF115" i="6"/>
  <c r="BD115" i="6"/>
  <c r="BM114" i="6"/>
  <c r="BK114" i="6"/>
  <c r="BI114" i="6"/>
  <c r="BG114" i="6"/>
  <c r="BE114" i="6"/>
  <c r="BN113" i="6"/>
  <c r="BL113" i="6"/>
  <c r="BJ113" i="6"/>
  <c r="BH113" i="6"/>
  <c r="BF113" i="6"/>
  <c r="BD113" i="6"/>
  <c r="BM112" i="6"/>
  <c r="BK112" i="6"/>
  <c r="BI112" i="6"/>
  <c r="BG112" i="6"/>
  <c r="BE112" i="6"/>
  <c r="BN111" i="6"/>
  <c r="BL111" i="6"/>
  <c r="BJ111" i="6"/>
  <c r="BH111" i="6"/>
  <c r="BF111" i="6"/>
  <c r="BD111" i="6"/>
  <c r="BM110" i="6"/>
  <c r="BK110" i="6"/>
  <c r="BI110" i="6"/>
  <c r="BG110" i="6"/>
  <c r="BE110" i="6"/>
  <c r="BN109" i="6"/>
  <c r="BL109" i="6"/>
  <c r="BJ109" i="6"/>
  <c r="BH109" i="6"/>
  <c r="BF109" i="6"/>
  <c r="BD109" i="6"/>
  <c r="BM108" i="6"/>
  <c r="BK108" i="6"/>
  <c r="BI108" i="6"/>
  <c r="BG108" i="6"/>
  <c r="BE108" i="6"/>
  <c r="BI170" i="6"/>
  <c r="BE170" i="6"/>
  <c r="BL169" i="6"/>
  <c r="BH169" i="6"/>
  <c r="BD169" i="6"/>
  <c r="BK168" i="6"/>
  <c r="BG168" i="6"/>
  <c r="BN167" i="6"/>
  <c r="BJ167" i="6"/>
  <c r="BF167" i="6"/>
  <c r="BM166" i="6"/>
  <c r="BI166" i="6"/>
  <c r="BE166" i="6"/>
  <c r="BL165" i="6"/>
  <c r="BH165" i="6"/>
  <c r="BD165" i="6"/>
  <c r="BK164" i="6"/>
  <c r="BG164" i="6"/>
  <c r="BN163" i="6"/>
  <c r="BJ163" i="6"/>
  <c r="BF163" i="6"/>
  <c r="BM162" i="6"/>
  <c r="BI162" i="6"/>
  <c r="BE162" i="6"/>
  <c r="BL161" i="6"/>
  <c r="BH161" i="6"/>
  <c r="BD161" i="6"/>
  <c r="BK160" i="6"/>
  <c r="BG160" i="6"/>
  <c r="BN159" i="6"/>
  <c r="BJ159" i="6"/>
  <c r="BF159" i="6"/>
  <c r="BM158" i="6"/>
  <c r="BI158" i="6"/>
  <c r="BE158" i="6"/>
  <c r="BL157" i="6"/>
  <c r="BH157" i="6"/>
  <c r="BD157" i="6"/>
  <c r="BK156" i="6"/>
  <c r="BG156" i="6"/>
  <c r="BN155" i="6"/>
  <c r="BJ155" i="6"/>
  <c r="BF155" i="6"/>
  <c r="BM154" i="6"/>
  <c r="BI154" i="6"/>
  <c r="BE154" i="6"/>
  <c r="BL153" i="6"/>
  <c r="BH153" i="6"/>
  <c r="BD153" i="6"/>
  <c r="BK152" i="6"/>
  <c r="BG152" i="6"/>
  <c r="BN151" i="6"/>
  <c r="BJ151" i="6"/>
  <c r="BF151" i="6"/>
  <c r="BM150" i="6"/>
  <c r="BI150" i="6"/>
  <c r="BE150" i="6"/>
  <c r="BL149" i="6"/>
  <c r="BH149" i="6"/>
  <c r="BD149" i="6"/>
  <c r="BK148" i="6"/>
  <c r="BG148" i="6"/>
  <c r="BN147" i="6"/>
  <c r="BJ147" i="6"/>
  <c r="BF147" i="6"/>
  <c r="BM146" i="6"/>
  <c r="BI146" i="6"/>
  <c r="BE146" i="6"/>
  <c r="BL145" i="6"/>
  <c r="BH145" i="6"/>
  <c r="BD145" i="6"/>
  <c r="BK144" i="6"/>
  <c r="BG144" i="6"/>
  <c r="BN143" i="6"/>
  <c r="BJ143" i="6"/>
  <c r="BF143" i="6"/>
  <c r="BM142" i="6"/>
  <c r="BI142" i="6"/>
  <c r="BE142" i="6"/>
  <c r="BL141" i="6"/>
  <c r="BH141" i="6"/>
  <c r="BD141" i="6"/>
  <c r="BK140" i="6"/>
  <c r="BG140" i="6"/>
  <c r="BN139" i="6"/>
  <c r="BJ139" i="6"/>
  <c r="BF139" i="6"/>
  <c r="BM138" i="6"/>
  <c r="BI138" i="6"/>
  <c r="BE138" i="6"/>
  <c r="BM137" i="6"/>
  <c r="BK137" i="6"/>
  <c r="BI137" i="6"/>
  <c r="BG137" i="6"/>
  <c r="BE137" i="6"/>
  <c r="BN136" i="6"/>
  <c r="BL136" i="6"/>
  <c r="BJ136" i="6"/>
  <c r="BH136" i="6"/>
  <c r="BF136" i="6"/>
  <c r="BD136" i="6"/>
  <c r="BM135" i="6"/>
  <c r="BK135" i="6"/>
  <c r="BI135" i="6"/>
  <c r="BG135" i="6"/>
  <c r="BE135" i="6"/>
  <c r="BN134" i="6"/>
  <c r="BL134" i="6"/>
  <c r="BJ134" i="6"/>
  <c r="BH134" i="6"/>
  <c r="BF134" i="6"/>
  <c r="BD134" i="6"/>
  <c r="BM133" i="6"/>
  <c r="BK133" i="6"/>
  <c r="BI133" i="6"/>
  <c r="BG133" i="6"/>
  <c r="BE133" i="6"/>
  <c r="BN132" i="6"/>
  <c r="BL132" i="6"/>
  <c r="BJ132" i="6"/>
  <c r="BH132" i="6"/>
  <c r="BF132" i="6"/>
  <c r="BD132" i="6"/>
  <c r="BM131" i="6"/>
  <c r="BK131" i="6"/>
  <c r="BI131" i="6"/>
  <c r="BG131" i="6"/>
  <c r="BE131" i="6"/>
  <c r="BN130" i="6"/>
  <c r="BL130" i="6"/>
  <c r="BJ130" i="6"/>
  <c r="BH130" i="6"/>
  <c r="BF130" i="6"/>
  <c r="BD130" i="6"/>
  <c r="BM129" i="6"/>
  <c r="BK129" i="6"/>
  <c r="BI129" i="6"/>
  <c r="BG129" i="6"/>
  <c r="BE129" i="6"/>
  <c r="BN128" i="6"/>
  <c r="BL128" i="6"/>
  <c r="BJ128" i="6"/>
  <c r="BH128" i="6"/>
  <c r="BF128" i="6"/>
  <c r="BD128" i="6"/>
  <c r="BM127" i="6"/>
  <c r="BK127" i="6"/>
  <c r="BI127" i="6"/>
  <c r="BG127" i="6"/>
  <c r="BE127" i="6"/>
  <c r="BN126" i="6"/>
  <c r="BL126" i="6"/>
  <c r="BJ126" i="6"/>
  <c r="BH126" i="6"/>
  <c r="BF126" i="6"/>
  <c r="BD126" i="6"/>
  <c r="BM125" i="6"/>
  <c r="BK125" i="6"/>
  <c r="BI125" i="6"/>
  <c r="BG125" i="6"/>
  <c r="BE125" i="6"/>
  <c r="BN124" i="6"/>
  <c r="BL124" i="6"/>
  <c r="BJ124" i="6"/>
  <c r="BH124" i="6"/>
  <c r="BF124" i="6"/>
  <c r="BD124" i="6"/>
  <c r="BM123" i="6"/>
  <c r="BK123" i="6"/>
  <c r="BI123" i="6"/>
  <c r="BG123" i="6"/>
  <c r="BE123" i="6"/>
  <c r="BN122" i="6"/>
  <c r="BL122" i="6"/>
  <c r="BJ122" i="6"/>
  <c r="BH122" i="6"/>
  <c r="BF122" i="6"/>
  <c r="BD122" i="6"/>
  <c r="BM121" i="6"/>
  <c r="BK121" i="6"/>
  <c r="BI121" i="6"/>
  <c r="BG121" i="6"/>
  <c r="BE121" i="6"/>
  <c r="BN120" i="6"/>
  <c r="BL120" i="6"/>
  <c r="BJ120" i="6"/>
  <c r="BH120" i="6"/>
  <c r="BF120" i="6"/>
  <c r="BD120" i="6"/>
  <c r="BM119" i="6"/>
  <c r="BK119" i="6"/>
  <c r="BI119" i="6"/>
  <c r="BG119" i="6"/>
  <c r="BE119" i="6"/>
  <c r="BN118" i="6"/>
  <c r="BL118" i="6"/>
  <c r="BJ118" i="6"/>
  <c r="BH118" i="6"/>
  <c r="BF118" i="6"/>
  <c r="BD118" i="6"/>
  <c r="BM117" i="6"/>
  <c r="BK117" i="6"/>
  <c r="BI117" i="6"/>
  <c r="BG117" i="6"/>
  <c r="BE117" i="6"/>
  <c r="BN116" i="6"/>
  <c r="BL116" i="6"/>
  <c r="BJ116" i="6"/>
  <c r="BH116" i="6"/>
  <c r="BF116" i="6"/>
  <c r="BD116" i="6"/>
  <c r="BM115" i="6"/>
  <c r="BK115" i="6"/>
  <c r="BI115" i="6"/>
  <c r="BG115" i="6"/>
  <c r="BE115" i="6"/>
  <c r="BN114" i="6"/>
  <c r="BL114" i="6"/>
  <c r="BJ114" i="6"/>
  <c r="BH114" i="6"/>
  <c r="BF114" i="6"/>
  <c r="BD114" i="6"/>
  <c r="BM113" i="6"/>
  <c r="BK113" i="6"/>
  <c r="BI113" i="6"/>
  <c r="BG113" i="6"/>
  <c r="BE113" i="6"/>
  <c r="BN112" i="6"/>
  <c r="BL112" i="6"/>
  <c r="BJ112" i="6"/>
  <c r="BH112" i="6"/>
  <c r="BF112" i="6"/>
  <c r="BD112" i="6"/>
  <c r="BM111" i="6"/>
  <c r="BK111" i="6"/>
  <c r="BI111" i="6"/>
  <c r="BG111" i="6"/>
  <c r="BE111" i="6"/>
  <c r="BN110" i="6"/>
  <c r="BL110" i="6"/>
  <c r="BJ110" i="6"/>
  <c r="BH110" i="6"/>
  <c r="BF110" i="6"/>
  <c r="BD110" i="6"/>
  <c r="BM109" i="6"/>
  <c r="BK109" i="6"/>
  <c r="BI109" i="6"/>
  <c r="BG109" i="6"/>
  <c r="BE109" i="6"/>
  <c r="BN108" i="6"/>
  <c r="BL108" i="6"/>
  <c r="BJ108" i="6"/>
  <c r="BH108" i="6"/>
  <c r="BF108" i="6"/>
  <c r="BD108" i="6"/>
  <c r="BM107" i="6"/>
  <c r="BK107" i="6"/>
  <c r="BI107" i="6"/>
  <c r="BG107" i="6"/>
  <c r="BE107" i="6"/>
  <c r="BN106" i="6"/>
  <c r="BL106" i="6"/>
  <c r="BJ106" i="6"/>
  <c r="BH106" i="6"/>
  <c r="BF106" i="6"/>
  <c r="BD106" i="6"/>
  <c r="BM105" i="6"/>
  <c r="BK105" i="6"/>
  <c r="BI105" i="6"/>
  <c r="BG105" i="6"/>
  <c r="BE105" i="6"/>
  <c r="BN104" i="6"/>
  <c r="BL104" i="6"/>
  <c r="BJ104" i="6"/>
  <c r="BH104" i="6"/>
  <c r="BF104" i="6"/>
  <c r="BD104" i="6"/>
  <c r="BM103" i="6"/>
  <c r="BK103" i="6"/>
  <c r="BI103" i="6"/>
  <c r="BG103" i="6"/>
  <c r="BE103" i="6"/>
  <c r="BN102" i="6"/>
  <c r="BL102" i="6"/>
  <c r="BJ102" i="6"/>
  <c r="BH102" i="6"/>
  <c r="BF102" i="6"/>
  <c r="BD102" i="6"/>
  <c r="BM101" i="6"/>
  <c r="BK101" i="6"/>
  <c r="BI101" i="6"/>
  <c r="BG101" i="6"/>
  <c r="BE101" i="6"/>
  <c r="BN100" i="6"/>
  <c r="BL100" i="6"/>
  <c r="BJ100" i="6"/>
  <c r="BH100" i="6"/>
  <c r="BF100" i="6"/>
  <c r="BD100" i="6"/>
  <c r="BM99" i="6"/>
  <c r="BK99" i="6"/>
  <c r="BI99" i="6"/>
  <c r="BG99" i="6"/>
  <c r="BE99" i="6"/>
  <c r="BN98" i="6"/>
  <c r="BL98" i="6"/>
  <c r="BJ98" i="6"/>
  <c r="BH98" i="6"/>
  <c r="BF98" i="6"/>
  <c r="BD98" i="6"/>
  <c r="BM97" i="6"/>
  <c r="BK97" i="6"/>
  <c r="BI97" i="6"/>
  <c r="BG97" i="6"/>
  <c r="BE97" i="6"/>
  <c r="BN96" i="6"/>
  <c r="BL96" i="6"/>
  <c r="BJ96" i="6"/>
  <c r="BH96" i="6"/>
  <c r="BF96" i="6"/>
  <c r="BD96" i="6"/>
  <c r="BM95" i="6"/>
  <c r="BK95" i="6"/>
  <c r="BI95" i="6"/>
  <c r="BG95" i="6"/>
  <c r="BE95" i="6"/>
  <c r="BN94" i="6"/>
  <c r="BL94" i="6"/>
  <c r="BJ94" i="6"/>
  <c r="BH94" i="6"/>
  <c r="BF94" i="6"/>
  <c r="BD94" i="6"/>
  <c r="BM93" i="6"/>
  <c r="BK93" i="6"/>
  <c r="BI93" i="6"/>
  <c r="BG93" i="6"/>
  <c r="BE93" i="6"/>
  <c r="BN92" i="6"/>
  <c r="BL92" i="6"/>
  <c r="BJ92" i="6"/>
  <c r="BH92" i="6"/>
  <c r="BF92" i="6"/>
  <c r="BD92" i="6"/>
  <c r="BM91" i="6"/>
  <c r="BK91" i="6"/>
  <c r="BI91" i="6"/>
  <c r="BG91" i="6"/>
  <c r="BE91" i="6"/>
  <c r="BN90" i="6"/>
  <c r="BL90" i="6"/>
  <c r="BJ90" i="6"/>
  <c r="BH90" i="6"/>
  <c r="BF90" i="6"/>
  <c r="BD90" i="6"/>
  <c r="BM89" i="6"/>
  <c r="BK89" i="6"/>
  <c r="BI89" i="6"/>
  <c r="BG89" i="6"/>
  <c r="BE89" i="6"/>
  <c r="BN88" i="6"/>
  <c r="BL88" i="6"/>
  <c r="BJ88" i="6"/>
  <c r="BH88" i="6"/>
  <c r="BF88" i="6"/>
  <c r="BD88" i="6"/>
  <c r="BM87" i="6"/>
  <c r="BK87" i="6"/>
  <c r="BI87" i="6"/>
  <c r="BG87" i="6"/>
  <c r="BE87" i="6"/>
  <c r="BN86" i="6"/>
  <c r="BL86" i="6"/>
  <c r="BJ86" i="6"/>
  <c r="BH86" i="6"/>
  <c r="BF86" i="6"/>
  <c r="BD86" i="6"/>
  <c r="BM85" i="6"/>
  <c r="BK85" i="6"/>
  <c r="BI85" i="6"/>
  <c r="BG85" i="6"/>
  <c r="BE85" i="6"/>
  <c r="BN84" i="6"/>
  <c r="BL84" i="6"/>
  <c r="BJ84" i="6"/>
  <c r="BH84" i="6"/>
  <c r="BN107" i="6"/>
  <c r="BJ107" i="6"/>
  <c r="BF107" i="6"/>
  <c r="BM106" i="6"/>
  <c r="BI106" i="6"/>
  <c r="BE106" i="6"/>
  <c r="BL105" i="6"/>
  <c r="BH105" i="6"/>
  <c r="BD105" i="6"/>
  <c r="BK104" i="6"/>
  <c r="BG104" i="6"/>
  <c r="BN103" i="6"/>
  <c r="BJ103" i="6"/>
  <c r="BF103" i="6"/>
  <c r="BM102" i="6"/>
  <c r="BI102" i="6"/>
  <c r="BE102" i="6"/>
  <c r="BL101" i="6"/>
  <c r="BH101" i="6"/>
  <c r="BD101" i="6"/>
  <c r="BK100" i="6"/>
  <c r="BG100" i="6"/>
  <c r="BN99" i="6"/>
  <c r="BJ99" i="6"/>
  <c r="BF99" i="6"/>
  <c r="BM98" i="6"/>
  <c r="BI98" i="6"/>
  <c r="BE98" i="6"/>
  <c r="BL97" i="6"/>
  <c r="BH97" i="6"/>
  <c r="BD97" i="6"/>
  <c r="BK96" i="6"/>
  <c r="BG96" i="6"/>
  <c r="BN95" i="6"/>
  <c r="BJ95" i="6"/>
  <c r="BF95" i="6"/>
  <c r="BM94" i="6"/>
  <c r="BI94" i="6"/>
  <c r="BE94" i="6"/>
  <c r="BL93" i="6"/>
  <c r="BH93" i="6"/>
  <c r="BD93" i="6"/>
  <c r="BK92" i="6"/>
  <c r="BG92" i="6"/>
  <c r="BN91" i="6"/>
  <c r="BJ91" i="6"/>
  <c r="BF91" i="6"/>
  <c r="BM90" i="6"/>
  <c r="BI90" i="6"/>
  <c r="BE90" i="6"/>
  <c r="BL89" i="6"/>
  <c r="BH89" i="6"/>
  <c r="BD89" i="6"/>
  <c r="BK88" i="6"/>
  <c r="BG88" i="6"/>
  <c r="BN87" i="6"/>
  <c r="BJ87" i="6"/>
  <c r="BF87" i="6"/>
  <c r="BM86" i="6"/>
  <c r="BI86" i="6"/>
  <c r="BE86" i="6"/>
  <c r="BL85" i="6"/>
  <c r="BH85" i="6"/>
  <c r="BD85" i="6"/>
  <c r="BK84" i="6"/>
  <c r="BG84" i="6"/>
  <c r="BE84" i="6"/>
  <c r="BN83" i="6"/>
  <c r="BL83" i="6"/>
  <c r="BJ83" i="6"/>
  <c r="BH83" i="6"/>
  <c r="BF83" i="6"/>
  <c r="BD83" i="6"/>
  <c r="BM82" i="6"/>
  <c r="BK82" i="6"/>
  <c r="BI82" i="6"/>
  <c r="BG82" i="6"/>
  <c r="BE82" i="6"/>
  <c r="BN81" i="6"/>
  <c r="BL81" i="6"/>
  <c r="BJ81" i="6"/>
  <c r="BH81" i="6"/>
  <c r="BF81" i="6"/>
  <c r="BD81" i="6"/>
  <c r="BM80" i="6"/>
  <c r="BK80" i="6"/>
  <c r="BI80" i="6"/>
  <c r="BG80" i="6"/>
  <c r="BE80" i="6"/>
  <c r="BN79" i="6"/>
  <c r="BL79" i="6"/>
  <c r="BJ79" i="6"/>
  <c r="BH79" i="6"/>
  <c r="BF79" i="6"/>
  <c r="BD79" i="6"/>
  <c r="BM78" i="6"/>
  <c r="BK78" i="6"/>
  <c r="BI78" i="6"/>
  <c r="BG78" i="6"/>
  <c r="BE78" i="6"/>
  <c r="BN77" i="6"/>
  <c r="BL77" i="6"/>
  <c r="BJ77" i="6"/>
  <c r="BH77" i="6"/>
  <c r="BF77" i="6"/>
  <c r="BD77" i="6"/>
  <c r="BM76" i="6"/>
  <c r="BK76" i="6"/>
  <c r="BI76" i="6"/>
  <c r="BG76" i="6"/>
  <c r="BE76" i="6"/>
  <c r="BN75" i="6"/>
  <c r="BL75" i="6"/>
  <c r="BJ75" i="6"/>
  <c r="BH75" i="6"/>
  <c r="BF75" i="6"/>
  <c r="BD75" i="6"/>
  <c r="BM74" i="6"/>
  <c r="BK74" i="6"/>
  <c r="BI74" i="6"/>
  <c r="BG74" i="6"/>
  <c r="BE74" i="6"/>
  <c r="BN73" i="6"/>
  <c r="BL73" i="6"/>
  <c r="BJ73" i="6"/>
  <c r="BH73" i="6"/>
  <c r="BF73" i="6"/>
  <c r="BD73" i="6"/>
  <c r="BM72" i="6"/>
  <c r="BK72" i="6"/>
  <c r="BI72" i="6"/>
  <c r="BG72" i="6"/>
  <c r="BE72" i="6"/>
  <c r="BN71" i="6"/>
  <c r="BL71" i="6"/>
  <c r="BJ71" i="6"/>
  <c r="BH71" i="6"/>
  <c r="BF71" i="6"/>
  <c r="BD71" i="6"/>
  <c r="BM70" i="6"/>
  <c r="BK70" i="6"/>
  <c r="BI70" i="6"/>
  <c r="BG70" i="6"/>
  <c r="BE70" i="6"/>
  <c r="BN69" i="6"/>
  <c r="BL69" i="6"/>
  <c r="BJ69" i="6"/>
  <c r="BH69" i="6"/>
  <c r="BF69" i="6"/>
  <c r="BD69" i="6"/>
  <c r="BM68" i="6"/>
  <c r="BK68" i="6"/>
  <c r="BI68" i="6"/>
  <c r="BG68" i="6"/>
  <c r="BE68" i="6"/>
  <c r="BN67" i="6"/>
  <c r="BL67" i="6"/>
  <c r="BJ67" i="6"/>
  <c r="BH67" i="6"/>
  <c r="BF67" i="6"/>
  <c r="BD67" i="6"/>
  <c r="BM66" i="6"/>
  <c r="BK66" i="6"/>
  <c r="BI66" i="6"/>
  <c r="BG66" i="6"/>
  <c r="BE66" i="6"/>
  <c r="BN65" i="6"/>
  <c r="BL65" i="6"/>
  <c r="BJ65" i="6"/>
  <c r="BH65" i="6"/>
  <c r="BF65" i="6"/>
  <c r="BD65" i="6"/>
  <c r="BM64" i="6"/>
  <c r="BK64" i="6"/>
  <c r="BI64" i="6"/>
  <c r="BG64" i="6"/>
  <c r="BE64" i="6"/>
  <c r="BN63" i="6"/>
  <c r="BL63" i="6"/>
  <c r="BJ63" i="6"/>
  <c r="BH63" i="6"/>
  <c r="BF63" i="6"/>
  <c r="BD63" i="6"/>
  <c r="BM62" i="6"/>
  <c r="BK62" i="6"/>
  <c r="BI62" i="6"/>
  <c r="BG62" i="6"/>
  <c r="BE62" i="6"/>
  <c r="BN61" i="6"/>
  <c r="BL61" i="6"/>
  <c r="BJ61" i="6"/>
  <c r="BH61" i="6"/>
  <c r="BF61" i="6"/>
  <c r="BD61" i="6"/>
  <c r="BM60" i="6"/>
  <c r="BK60" i="6"/>
  <c r="BI60" i="6"/>
  <c r="BG60" i="6"/>
  <c r="BE60" i="6"/>
  <c r="BN59" i="6"/>
  <c r="BL59" i="6"/>
  <c r="BJ59" i="6"/>
  <c r="BH59" i="6"/>
  <c r="BF59" i="6"/>
  <c r="BD59" i="6"/>
  <c r="BM58" i="6"/>
  <c r="BK58" i="6"/>
  <c r="BI58" i="6"/>
  <c r="BG58" i="6"/>
  <c r="BE58" i="6"/>
  <c r="BN57" i="6"/>
  <c r="BL57" i="6"/>
  <c r="BJ57" i="6"/>
  <c r="BH57" i="6"/>
  <c r="BF57" i="6"/>
  <c r="BD57" i="6"/>
  <c r="BM56" i="6"/>
  <c r="BK56" i="6"/>
  <c r="BI56" i="6"/>
  <c r="BG56" i="6"/>
  <c r="BE56" i="6"/>
  <c r="BN55" i="6"/>
  <c r="BL55" i="6"/>
  <c r="BJ55" i="6"/>
  <c r="BH55" i="6"/>
  <c r="BF55" i="6"/>
  <c r="BD55" i="6"/>
  <c r="BM54" i="6"/>
  <c r="BK54" i="6"/>
  <c r="BI54" i="6"/>
  <c r="BG54" i="6"/>
  <c r="BE54" i="6"/>
  <c r="BA54" i="6"/>
  <c r="AY54" i="6"/>
  <c r="AW54" i="6"/>
  <c r="AU54" i="6"/>
  <c r="AS54" i="6"/>
  <c r="AQ54" i="6"/>
  <c r="AN54" i="6"/>
  <c r="AL54" i="6"/>
  <c r="AI54" i="6"/>
  <c r="I54" i="6"/>
  <c r="G54" i="6"/>
  <c r="E54" i="6"/>
  <c r="C54" i="6"/>
  <c r="BN53" i="6"/>
  <c r="BL53" i="6"/>
  <c r="BJ53" i="6"/>
  <c r="BH53" i="6"/>
  <c r="BF53" i="6"/>
  <c r="BD53" i="6"/>
  <c r="AZ53" i="6"/>
  <c r="AX53" i="6"/>
  <c r="AV53" i="6"/>
  <c r="AT53" i="6"/>
  <c r="AR53" i="6"/>
  <c r="AP53" i="6"/>
  <c r="AM53" i="6"/>
  <c r="AJ53" i="6"/>
  <c r="J53" i="6"/>
  <c r="H53" i="6"/>
  <c r="F53" i="6"/>
  <c r="D53" i="6"/>
  <c r="B53" i="6"/>
  <c r="BM52" i="6"/>
  <c r="BK52" i="6"/>
  <c r="BI52" i="6"/>
  <c r="BG52" i="6"/>
  <c r="BE52" i="6"/>
  <c r="BA52" i="6"/>
  <c r="AY52" i="6"/>
  <c r="AW52" i="6"/>
  <c r="AU52" i="6"/>
  <c r="AS52" i="6"/>
  <c r="AQ52" i="6"/>
  <c r="AN52" i="6"/>
  <c r="AI52" i="6"/>
  <c r="I52" i="6"/>
  <c r="G52" i="6"/>
  <c r="E52" i="6"/>
  <c r="C52" i="6"/>
  <c r="BN51" i="6"/>
  <c r="BL51" i="6"/>
  <c r="BJ51" i="6"/>
  <c r="BH51" i="6"/>
  <c r="BF51" i="6"/>
  <c r="BD51" i="6"/>
  <c r="AZ51" i="6"/>
  <c r="AX51" i="6"/>
  <c r="AV51" i="6"/>
  <c r="AT51" i="6"/>
  <c r="AR51" i="6"/>
  <c r="AP51" i="6"/>
  <c r="AL51" i="6"/>
  <c r="AI51" i="6"/>
  <c r="I51" i="6"/>
  <c r="G51" i="6"/>
  <c r="E51" i="6"/>
  <c r="C51" i="6"/>
  <c r="BN50" i="6"/>
  <c r="BL50" i="6"/>
  <c r="BJ50" i="6"/>
  <c r="BH50" i="6"/>
  <c r="BF50" i="6"/>
  <c r="BD50" i="6"/>
  <c r="AZ50" i="6"/>
  <c r="AX50" i="6"/>
  <c r="AV50" i="6"/>
  <c r="AT50" i="6"/>
  <c r="AR50" i="6"/>
  <c r="AP50" i="6"/>
  <c r="AL50" i="6"/>
  <c r="AI50" i="6"/>
  <c r="I50" i="6"/>
  <c r="G50" i="6"/>
  <c r="E50" i="6"/>
  <c r="C50" i="6"/>
  <c r="BN49" i="6"/>
  <c r="BL49" i="6"/>
  <c r="BJ49" i="6"/>
  <c r="BH49" i="6"/>
  <c r="BF49" i="6"/>
  <c r="BD49" i="6"/>
  <c r="AZ49" i="6"/>
  <c r="AX49" i="6"/>
  <c r="AV49" i="6"/>
  <c r="AT49" i="6"/>
  <c r="AR49" i="6"/>
  <c r="AP49" i="6"/>
  <c r="AM49" i="6"/>
  <c r="AJ49" i="6"/>
  <c r="J49" i="6"/>
  <c r="H49" i="6"/>
  <c r="F49" i="6"/>
  <c r="D49" i="6"/>
  <c r="B49" i="6"/>
  <c r="BM48" i="6"/>
  <c r="BK48" i="6"/>
  <c r="BI48" i="6"/>
  <c r="BG48" i="6"/>
  <c r="BE48" i="6"/>
  <c r="BA48" i="6"/>
  <c r="AY48" i="6"/>
  <c r="AW48" i="6"/>
  <c r="AU48" i="6"/>
  <c r="AS48" i="6"/>
  <c r="AQ48" i="6"/>
  <c r="AN48" i="6"/>
  <c r="AL48" i="6"/>
  <c r="AI48" i="6"/>
  <c r="I48" i="6"/>
  <c r="G48" i="6"/>
  <c r="E48" i="6"/>
  <c r="C48" i="6"/>
  <c r="BN47" i="6"/>
  <c r="BL47" i="6"/>
  <c r="BJ47" i="6"/>
  <c r="BH47" i="6"/>
  <c r="BF47" i="6"/>
  <c r="BD47" i="6"/>
  <c r="AZ47" i="6"/>
  <c r="AX47" i="6"/>
  <c r="AV47" i="6"/>
  <c r="AT47" i="6"/>
  <c r="AR47" i="6"/>
  <c r="AP47" i="6"/>
  <c r="AM47" i="6"/>
  <c r="AI47" i="6"/>
  <c r="I47" i="6"/>
  <c r="G47" i="6"/>
  <c r="E47" i="6"/>
  <c r="C47" i="6"/>
  <c r="BN46" i="6"/>
  <c r="BL46" i="6"/>
  <c r="BJ46" i="6"/>
  <c r="BH46" i="6"/>
  <c r="BF46" i="6"/>
  <c r="BD46" i="6"/>
  <c r="AZ46" i="6"/>
  <c r="AX46" i="6"/>
  <c r="AV46" i="6"/>
  <c r="AT46" i="6"/>
  <c r="AR46" i="6"/>
  <c r="AP46" i="6"/>
  <c r="AL46" i="6"/>
  <c r="J46" i="6"/>
  <c r="H46" i="6"/>
  <c r="F46" i="6"/>
  <c r="D46" i="6"/>
  <c r="B46" i="6"/>
  <c r="BM45" i="6"/>
  <c r="BK45" i="6"/>
  <c r="BI45" i="6"/>
  <c r="BG45" i="6"/>
  <c r="BE45" i="6"/>
  <c r="BA45" i="6"/>
  <c r="AY45" i="6"/>
  <c r="AW45" i="6"/>
  <c r="AU45" i="6"/>
  <c r="AS45" i="6"/>
  <c r="AQ45" i="6"/>
  <c r="AN45" i="6"/>
  <c r="AL45" i="6"/>
  <c r="J45" i="6"/>
  <c r="H45" i="6"/>
  <c r="F45" i="6"/>
  <c r="D45" i="6"/>
  <c r="B45" i="6"/>
  <c r="BM44" i="6"/>
  <c r="BK44" i="6"/>
  <c r="BI44" i="6"/>
  <c r="BG44" i="6"/>
  <c r="BE44" i="6"/>
  <c r="BA44" i="6"/>
  <c r="AY44" i="6"/>
  <c r="AW44" i="6"/>
  <c r="AU44" i="6"/>
  <c r="AS44" i="6"/>
  <c r="AQ44" i="6"/>
  <c r="AN44" i="6"/>
  <c r="AI44" i="6"/>
  <c r="I44" i="6"/>
  <c r="G44" i="6"/>
  <c r="E44" i="6"/>
  <c r="C44" i="6"/>
  <c r="BN43" i="6"/>
  <c r="BL43" i="6"/>
  <c r="BJ43" i="6"/>
  <c r="BH43" i="6"/>
  <c r="BF43" i="6"/>
  <c r="BD43" i="6"/>
  <c r="AZ43" i="6"/>
  <c r="AX43" i="6"/>
  <c r="AV43" i="6"/>
  <c r="AT43" i="6"/>
  <c r="AR43" i="6"/>
  <c r="AP43" i="6"/>
  <c r="AM43" i="6"/>
  <c r="AJ43" i="6"/>
  <c r="J43" i="6"/>
  <c r="H43" i="6"/>
  <c r="F43" i="6"/>
  <c r="D43" i="6"/>
  <c r="B43" i="6"/>
  <c r="BM42" i="6"/>
  <c r="BK42" i="6"/>
  <c r="BI42" i="6"/>
  <c r="BG42" i="6"/>
  <c r="BE42" i="6"/>
  <c r="BA42" i="6"/>
  <c r="AY42" i="6"/>
  <c r="AW42" i="6"/>
  <c r="AU42" i="6"/>
  <c r="AS42" i="6"/>
  <c r="AQ42" i="6"/>
  <c r="AN42" i="6"/>
  <c r="AL42" i="6"/>
  <c r="J42" i="6"/>
  <c r="H42" i="6"/>
  <c r="F42" i="6"/>
  <c r="D42" i="6"/>
  <c r="B42" i="6"/>
  <c r="BM41" i="6"/>
  <c r="BK41" i="6"/>
  <c r="BI41" i="6"/>
  <c r="BG41" i="6"/>
  <c r="BE41" i="6"/>
  <c r="BA41" i="6"/>
  <c r="AY41" i="6"/>
  <c r="AW41" i="6"/>
  <c r="AU41" i="6"/>
  <c r="AS41" i="6"/>
  <c r="AQ41" i="6"/>
  <c r="AN41" i="6"/>
  <c r="AL41" i="6"/>
  <c r="J41" i="6"/>
  <c r="H41" i="6"/>
  <c r="F41" i="6"/>
  <c r="D41" i="6"/>
  <c r="B41" i="6"/>
  <c r="BM40" i="6"/>
  <c r="BK40" i="6"/>
  <c r="BI40" i="6"/>
  <c r="BG40" i="6"/>
  <c r="BE40" i="6"/>
  <c r="BA40" i="6"/>
  <c r="AY40" i="6"/>
  <c r="AW40" i="6"/>
  <c r="AU40" i="6"/>
  <c r="AS40" i="6"/>
  <c r="BL107" i="6"/>
  <c r="BH107" i="6"/>
  <c r="BD107" i="6"/>
  <c r="BK106" i="6"/>
  <c r="BG106" i="6"/>
  <c r="BN105" i="6"/>
  <c r="BJ105" i="6"/>
  <c r="BF105" i="6"/>
  <c r="BM104" i="6"/>
  <c r="BI104" i="6"/>
  <c r="BE104" i="6"/>
  <c r="BL103" i="6"/>
  <c r="BH103" i="6"/>
  <c r="BD103" i="6"/>
  <c r="BK102" i="6"/>
  <c r="BG102" i="6"/>
  <c r="BN101" i="6"/>
  <c r="BJ101" i="6"/>
  <c r="BF101" i="6"/>
  <c r="BM100" i="6"/>
  <c r="BI100" i="6"/>
  <c r="BE100" i="6"/>
  <c r="BL99" i="6"/>
  <c r="BH99" i="6"/>
  <c r="BD99" i="6"/>
  <c r="BK98" i="6"/>
  <c r="BG98" i="6"/>
  <c r="BN97" i="6"/>
  <c r="BJ97" i="6"/>
  <c r="BF97" i="6"/>
  <c r="BM96" i="6"/>
  <c r="BI96" i="6"/>
  <c r="BE96" i="6"/>
  <c r="BL95" i="6"/>
  <c r="BH95" i="6"/>
  <c r="BD95" i="6"/>
  <c r="BK94" i="6"/>
  <c r="BG94" i="6"/>
  <c r="BN93" i="6"/>
  <c r="BJ93" i="6"/>
  <c r="BF93" i="6"/>
  <c r="BM92" i="6"/>
  <c r="BI92" i="6"/>
  <c r="BE92" i="6"/>
  <c r="BL91" i="6"/>
  <c r="BH91" i="6"/>
  <c r="BD91" i="6"/>
  <c r="BK90" i="6"/>
  <c r="BG90" i="6"/>
  <c r="BN89" i="6"/>
  <c r="BJ89" i="6"/>
  <c r="BF89" i="6"/>
  <c r="BM88" i="6"/>
  <c r="BI88" i="6"/>
  <c r="BE88" i="6"/>
  <c r="BL87" i="6"/>
  <c r="BH87" i="6"/>
  <c r="BD87" i="6"/>
  <c r="BK86" i="6"/>
  <c r="BG86" i="6"/>
  <c r="BN85" i="6"/>
  <c r="BJ85" i="6"/>
  <c r="BF85" i="6"/>
  <c r="BM84" i="6"/>
  <c r="BI84" i="6"/>
  <c r="BF84" i="6"/>
  <c r="BD84" i="6"/>
  <c r="BM83" i="6"/>
  <c r="BK83" i="6"/>
  <c r="BI83" i="6"/>
  <c r="BG83" i="6"/>
  <c r="BE83" i="6"/>
  <c r="BN82" i="6"/>
  <c r="BL82" i="6"/>
  <c r="BJ82" i="6"/>
  <c r="BH82" i="6"/>
  <c r="BF82" i="6"/>
  <c r="BD82" i="6"/>
  <c r="BM81" i="6"/>
  <c r="BK81" i="6"/>
  <c r="BI81" i="6"/>
  <c r="BG81" i="6"/>
  <c r="BE81" i="6"/>
  <c r="BN80" i="6"/>
  <c r="BL80" i="6"/>
  <c r="BJ80" i="6"/>
  <c r="BH80" i="6"/>
  <c r="BF80" i="6"/>
  <c r="BD80" i="6"/>
  <c r="BM79" i="6"/>
  <c r="BK79" i="6"/>
  <c r="BI79" i="6"/>
  <c r="BG79" i="6"/>
  <c r="BE79" i="6"/>
  <c r="BN78" i="6"/>
  <c r="BL78" i="6"/>
  <c r="BJ78" i="6"/>
  <c r="BH78" i="6"/>
  <c r="BF78" i="6"/>
  <c r="BD78" i="6"/>
  <c r="BM77" i="6"/>
  <c r="BK77" i="6"/>
  <c r="BI77" i="6"/>
  <c r="BG77" i="6"/>
  <c r="BE77" i="6"/>
  <c r="BN76" i="6"/>
  <c r="BL76" i="6"/>
  <c r="BJ76" i="6"/>
  <c r="BH76" i="6"/>
  <c r="BF76" i="6"/>
  <c r="BD76" i="6"/>
  <c r="BM75" i="6"/>
  <c r="BK75" i="6"/>
  <c r="BI75" i="6"/>
  <c r="BG75" i="6"/>
  <c r="BE75" i="6"/>
  <c r="BN74" i="6"/>
  <c r="BL74" i="6"/>
  <c r="BJ74" i="6"/>
  <c r="BH74" i="6"/>
  <c r="BF74" i="6"/>
  <c r="BD74" i="6"/>
  <c r="BM73" i="6"/>
  <c r="BK73" i="6"/>
  <c r="BI73" i="6"/>
  <c r="BG73" i="6"/>
  <c r="BE73" i="6"/>
  <c r="BN72" i="6"/>
  <c r="BL72" i="6"/>
  <c r="BJ72" i="6"/>
  <c r="BH72" i="6"/>
  <c r="BF72" i="6"/>
  <c r="BD72" i="6"/>
  <c r="BM71" i="6"/>
  <c r="BK71" i="6"/>
  <c r="BI71" i="6"/>
  <c r="BG71" i="6"/>
  <c r="BE71" i="6"/>
  <c r="BN70" i="6"/>
  <c r="BL70" i="6"/>
  <c r="BJ70" i="6"/>
  <c r="BH70" i="6"/>
  <c r="BF70" i="6"/>
  <c r="BD70" i="6"/>
  <c r="BM69" i="6"/>
  <c r="BK69" i="6"/>
  <c r="BI69" i="6"/>
  <c r="BG69" i="6"/>
  <c r="BE69" i="6"/>
  <c r="BN68" i="6"/>
  <c r="BL68" i="6"/>
  <c r="BJ68" i="6"/>
  <c r="BH68" i="6"/>
  <c r="BF68" i="6"/>
  <c r="BD68" i="6"/>
  <c r="BM67" i="6"/>
  <c r="BK67" i="6"/>
  <c r="BI67" i="6"/>
  <c r="BG67" i="6"/>
  <c r="BE67" i="6"/>
  <c r="BN66" i="6"/>
  <c r="BL66" i="6"/>
  <c r="BJ66" i="6"/>
  <c r="BH66" i="6"/>
  <c r="BF66" i="6"/>
  <c r="BD66" i="6"/>
  <c r="BM65" i="6"/>
  <c r="BK65" i="6"/>
  <c r="BI65" i="6"/>
  <c r="BG65" i="6"/>
  <c r="BE65" i="6"/>
  <c r="BN64" i="6"/>
  <c r="BL64" i="6"/>
  <c r="BJ64" i="6"/>
  <c r="BH64" i="6"/>
  <c r="BF64" i="6"/>
  <c r="BD64" i="6"/>
  <c r="BM63" i="6"/>
  <c r="BK63" i="6"/>
  <c r="BI63" i="6"/>
  <c r="BG63" i="6"/>
  <c r="BE63" i="6"/>
  <c r="BN62" i="6"/>
  <c r="BL62" i="6"/>
  <c r="BJ62" i="6"/>
  <c r="BH62" i="6"/>
  <c r="BF62" i="6"/>
  <c r="BD62" i="6"/>
  <c r="BM61" i="6"/>
  <c r="BK61" i="6"/>
  <c r="BI61" i="6"/>
  <c r="BG61" i="6"/>
  <c r="BE61" i="6"/>
  <c r="BN60" i="6"/>
  <c r="BL60" i="6"/>
  <c r="BJ60" i="6"/>
  <c r="BH60" i="6"/>
  <c r="BF60" i="6"/>
  <c r="BD60" i="6"/>
  <c r="BM59" i="6"/>
  <c r="BK59" i="6"/>
  <c r="BI59" i="6"/>
  <c r="BG59" i="6"/>
  <c r="BE59" i="6"/>
  <c r="BN58" i="6"/>
  <c r="BL58" i="6"/>
  <c r="BJ58" i="6"/>
  <c r="BH58" i="6"/>
  <c r="BF58" i="6"/>
  <c r="BD58" i="6"/>
  <c r="BM57" i="6"/>
  <c r="BK57" i="6"/>
  <c r="BI57" i="6"/>
  <c r="BG57" i="6"/>
  <c r="BE57" i="6"/>
  <c r="BN56" i="6"/>
  <c r="BL56" i="6"/>
  <c r="BJ56" i="6"/>
  <c r="BH56" i="6"/>
  <c r="BF56" i="6"/>
  <c r="BD56" i="6"/>
  <c r="BM55" i="6"/>
  <c r="BK55" i="6"/>
  <c r="BI55" i="6"/>
  <c r="BG55" i="6"/>
  <c r="BE55" i="6"/>
  <c r="BN54" i="6"/>
  <c r="BL54" i="6"/>
  <c r="BJ54" i="6"/>
  <c r="BH54" i="6"/>
  <c r="BF54" i="6"/>
  <c r="BD54" i="6"/>
  <c r="AZ54" i="6"/>
  <c r="AX54" i="6"/>
  <c r="AV54" i="6"/>
  <c r="AT54" i="6"/>
  <c r="AR54" i="6"/>
  <c r="AP54" i="6"/>
  <c r="AM54" i="6"/>
  <c r="AJ54" i="6"/>
  <c r="J54" i="6"/>
  <c r="H54" i="6"/>
  <c r="F54" i="6"/>
  <c r="D54" i="6"/>
  <c r="B54" i="6"/>
  <c r="BM53" i="6"/>
  <c r="BK53" i="6"/>
  <c r="BI53" i="6"/>
  <c r="BG53" i="6"/>
  <c r="BE53" i="6"/>
  <c r="BA53" i="6"/>
  <c r="AY53" i="6"/>
  <c r="AW53" i="6"/>
  <c r="AU53" i="6"/>
  <c r="AS53" i="6"/>
  <c r="AQ53" i="6"/>
  <c r="AN53" i="6"/>
  <c r="AL53" i="6"/>
  <c r="AI53" i="6"/>
  <c r="I53" i="6"/>
  <c r="G53" i="6"/>
  <c r="E53" i="6"/>
  <c r="C53" i="6"/>
  <c r="BN52" i="6"/>
  <c r="BL52" i="6"/>
  <c r="BJ52" i="6"/>
  <c r="BH52" i="6"/>
  <c r="BF52" i="6"/>
  <c r="BD52" i="6"/>
  <c r="AZ52" i="6"/>
  <c r="AX52" i="6"/>
  <c r="AV52" i="6"/>
  <c r="AT52" i="6"/>
  <c r="AR52" i="6"/>
  <c r="AP52" i="6"/>
  <c r="AL52" i="6"/>
  <c r="J52" i="6"/>
  <c r="H52" i="6"/>
  <c r="F52" i="6"/>
  <c r="D52" i="6"/>
  <c r="B52" i="6"/>
  <c r="BM51" i="6"/>
  <c r="BK51" i="6"/>
  <c r="BI51" i="6"/>
  <c r="BG51" i="6"/>
  <c r="BE51" i="6"/>
  <c r="BA51" i="6"/>
  <c r="AY51" i="6"/>
  <c r="AW51" i="6"/>
  <c r="AU51" i="6"/>
  <c r="AS51" i="6"/>
  <c r="AQ51" i="6"/>
  <c r="AN51" i="6"/>
  <c r="AJ51" i="6"/>
  <c r="J51" i="6"/>
  <c r="H51" i="6"/>
  <c r="F51" i="6"/>
  <c r="D51" i="6"/>
  <c r="B51" i="6"/>
  <c r="BM50" i="6"/>
  <c r="BK50" i="6"/>
  <c r="BI50" i="6"/>
  <c r="BG50" i="6"/>
  <c r="BE50" i="6"/>
  <c r="BA50" i="6"/>
  <c r="AY50" i="6"/>
  <c r="AW50" i="6"/>
  <c r="AU50" i="6"/>
  <c r="AS50" i="6"/>
  <c r="AQ50" i="6"/>
  <c r="AN50" i="6"/>
  <c r="AJ50" i="6"/>
  <c r="J50" i="6"/>
  <c r="H50" i="6"/>
  <c r="F50" i="6"/>
  <c r="D50" i="6"/>
  <c r="B50" i="6"/>
  <c r="BM49" i="6"/>
  <c r="BK49" i="6"/>
  <c r="BI49" i="6"/>
  <c r="BG49" i="6"/>
  <c r="BE49" i="6"/>
  <c r="BA49" i="6"/>
  <c r="AY49" i="6"/>
  <c r="AW49" i="6"/>
  <c r="AU49" i="6"/>
  <c r="AS49" i="6"/>
  <c r="AQ49" i="6"/>
  <c r="AN49" i="6"/>
  <c r="AL49" i="6"/>
  <c r="AI49" i="6"/>
  <c r="I49" i="6"/>
  <c r="G49" i="6"/>
  <c r="E49" i="6"/>
  <c r="C49" i="6"/>
  <c r="BN48" i="6"/>
  <c r="BL48" i="6"/>
  <c r="BJ48" i="6"/>
  <c r="BH48" i="6"/>
  <c r="BF48" i="6"/>
  <c r="BD48" i="6"/>
  <c r="AZ48" i="6"/>
  <c r="AX48" i="6"/>
  <c r="AV48" i="6"/>
  <c r="AT48" i="6"/>
  <c r="AR48" i="6"/>
  <c r="AP48" i="6"/>
  <c r="AM48" i="6"/>
  <c r="AJ48" i="6"/>
  <c r="J48" i="6"/>
  <c r="H48" i="6"/>
  <c r="F48" i="6"/>
  <c r="D48" i="6"/>
  <c r="B48" i="6"/>
  <c r="BM47" i="6"/>
  <c r="BK47" i="6"/>
  <c r="BI47" i="6"/>
  <c r="BG47" i="6"/>
  <c r="BE47" i="6"/>
  <c r="BA47" i="6"/>
  <c r="AY47" i="6"/>
  <c r="AW47" i="6"/>
  <c r="AU47" i="6"/>
  <c r="AS47" i="6"/>
  <c r="AQ47" i="6"/>
  <c r="AN47" i="6"/>
  <c r="AL47" i="6"/>
  <c r="J47" i="6"/>
  <c r="H47" i="6"/>
  <c r="F47" i="6"/>
  <c r="D47" i="6"/>
  <c r="B47" i="6"/>
  <c r="BM46" i="6"/>
  <c r="BK46" i="6"/>
  <c r="BI46" i="6"/>
  <c r="BG46" i="6"/>
  <c r="BE46" i="6"/>
  <c r="BA46" i="6"/>
  <c r="AY46" i="6"/>
  <c r="AW46" i="6"/>
  <c r="AU46" i="6"/>
  <c r="AS46" i="6"/>
  <c r="AQ46" i="6"/>
  <c r="AN46" i="6"/>
  <c r="AI46" i="6"/>
  <c r="I46" i="6"/>
  <c r="G46" i="6"/>
  <c r="E46" i="6"/>
  <c r="C46" i="6"/>
  <c r="BN45" i="6"/>
  <c r="BL45" i="6"/>
  <c r="BJ45" i="6"/>
  <c r="BH45" i="6"/>
  <c r="BF45" i="6"/>
  <c r="BD45" i="6"/>
  <c r="AZ45" i="6"/>
  <c r="AX45" i="6"/>
  <c r="AV45" i="6"/>
  <c r="AT45" i="6"/>
  <c r="AR45" i="6"/>
  <c r="AP45" i="6"/>
  <c r="AM45" i="6"/>
  <c r="AI45" i="6"/>
  <c r="I45" i="6"/>
  <c r="G45" i="6"/>
  <c r="E45" i="6"/>
  <c r="C45" i="6"/>
  <c r="BN44" i="6"/>
  <c r="BL44" i="6"/>
  <c r="BJ44" i="6"/>
  <c r="BH44" i="6"/>
  <c r="BF44" i="6"/>
  <c r="BD44" i="6"/>
  <c r="AZ44" i="6"/>
  <c r="AX44" i="6"/>
  <c r="AV44" i="6"/>
  <c r="AT44" i="6"/>
  <c r="AR44" i="6"/>
  <c r="AP44" i="6"/>
  <c r="AL44" i="6"/>
  <c r="J44" i="6"/>
  <c r="H44" i="6"/>
  <c r="F44" i="6"/>
  <c r="D44" i="6"/>
  <c r="B44" i="6"/>
  <c r="BM43" i="6"/>
  <c r="BK43" i="6"/>
  <c r="BI43" i="6"/>
  <c r="BG43" i="6"/>
  <c r="BE43" i="6"/>
  <c r="BA43" i="6"/>
  <c r="AY43" i="6"/>
  <c r="AW43" i="6"/>
  <c r="AU43" i="6"/>
  <c r="AS43" i="6"/>
  <c r="AQ43" i="6"/>
  <c r="AN43" i="6"/>
  <c r="AL43" i="6"/>
  <c r="AI43" i="6"/>
  <c r="I43" i="6"/>
  <c r="G43" i="6"/>
  <c r="E43" i="6"/>
  <c r="C43" i="6"/>
  <c r="BN42" i="6"/>
  <c r="BL42" i="6"/>
  <c r="BJ42" i="6"/>
  <c r="BH42" i="6"/>
  <c r="BF42" i="6"/>
  <c r="BD42" i="6"/>
  <c r="AZ42" i="6"/>
  <c r="AX42" i="6"/>
  <c r="AV42" i="6"/>
  <c r="AT42" i="6"/>
  <c r="AR42" i="6"/>
  <c r="AP42" i="6"/>
  <c r="AM42" i="6"/>
  <c r="AI42" i="6"/>
  <c r="I42" i="6"/>
  <c r="G42" i="6"/>
  <c r="E42" i="6"/>
  <c r="C42" i="6"/>
  <c r="BN41" i="6"/>
  <c r="BL41" i="6"/>
  <c r="BJ41" i="6"/>
  <c r="BH41" i="6"/>
  <c r="BF41" i="6"/>
  <c r="BD41" i="6"/>
  <c r="AZ41" i="6"/>
  <c r="AX41" i="6"/>
  <c r="AV41" i="6"/>
  <c r="AT41" i="6"/>
  <c r="AR41" i="6"/>
  <c r="AP41" i="6"/>
  <c r="AM41" i="6"/>
  <c r="AI41" i="6"/>
  <c r="I41" i="6"/>
  <c r="G41" i="6"/>
  <c r="E41" i="6"/>
  <c r="C41" i="6"/>
  <c r="BN40" i="6"/>
  <c r="BL40" i="6"/>
  <c r="BJ40" i="6"/>
  <c r="BH40" i="6"/>
  <c r="BF40" i="6"/>
  <c r="BD40" i="6"/>
  <c r="AZ40" i="6"/>
  <c r="AX40" i="6"/>
  <c r="AV40" i="6"/>
  <c r="AT40" i="6"/>
  <c r="AR40" i="6"/>
  <c r="AP40" i="6"/>
  <c r="AM40" i="6"/>
  <c r="AJ40" i="6"/>
  <c r="J40" i="6"/>
  <c r="H40" i="6"/>
  <c r="F40" i="6"/>
  <c r="D40" i="6"/>
  <c r="B40" i="6"/>
  <c r="BM39" i="6"/>
  <c r="BK39" i="6"/>
  <c r="BI39" i="6"/>
  <c r="BG39" i="6"/>
  <c r="BE39" i="6"/>
  <c r="BA39" i="6"/>
  <c r="AY39" i="6"/>
  <c r="AW39" i="6"/>
  <c r="AU39" i="6"/>
  <c r="AS39" i="6"/>
  <c r="AQ39" i="6"/>
  <c r="AN39" i="6"/>
  <c r="AJ39" i="6"/>
  <c r="AQ40" i="6"/>
  <c r="AL40" i="6"/>
  <c r="I40" i="6"/>
  <c r="E40" i="6"/>
  <c r="BN39" i="6"/>
  <c r="BJ39" i="6"/>
  <c r="BF39" i="6"/>
  <c r="AZ39" i="6"/>
  <c r="AV39" i="6"/>
  <c r="AR39" i="6"/>
  <c r="AL39" i="6"/>
  <c r="J39" i="6"/>
  <c r="H39" i="6"/>
  <c r="F39" i="6"/>
  <c r="D39" i="6"/>
  <c r="B39" i="6"/>
  <c r="BM38" i="6"/>
  <c r="BK38" i="6"/>
  <c r="BI38" i="6"/>
  <c r="BG38" i="6"/>
  <c r="BE38" i="6"/>
  <c r="BA38" i="6"/>
  <c r="AY38" i="6"/>
  <c r="AW38" i="6"/>
  <c r="AU38" i="6"/>
  <c r="AS38" i="6"/>
  <c r="AQ38" i="6"/>
  <c r="AN38" i="6"/>
  <c r="AJ38" i="6"/>
  <c r="J38" i="6"/>
  <c r="H38" i="6"/>
  <c r="F38" i="6"/>
  <c r="D38" i="6"/>
  <c r="B38" i="6"/>
  <c r="BM37" i="6"/>
  <c r="BK37" i="6"/>
  <c r="BI37" i="6"/>
  <c r="BG37" i="6"/>
  <c r="BE37" i="6"/>
  <c r="BA37" i="6"/>
  <c r="AY37" i="6"/>
  <c r="AW37" i="6"/>
  <c r="AU37" i="6"/>
  <c r="AS37" i="6"/>
  <c r="AQ37" i="6"/>
  <c r="AN37" i="6"/>
  <c r="AJ37" i="6"/>
  <c r="J37" i="6"/>
  <c r="H37" i="6"/>
  <c r="F37" i="6"/>
  <c r="D37" i="6"/>
  <c r="B37" i="6"/>
  <c r="BM36" i="6"/>
  <c r="BK36" i="6"/>
  <c r="BI36" i="6"/>
  <c r="BG36" i="6"/>
  <c r="BE36" i="6"/>
  <c r="BA36" i="6"/>
  <c r="AY36" i="6"/>
  <c r="AW36" i="6"/>
  <c r="AU36" i="6"/>
  <c r="AS36" i="6"/>
  <c r="AQ36" i="6"/>
  <c r="AN36" i="6"/>
  <c r="AL36" i="6"/>
  <c r="AI36" i="6"/>
  <c r="I36" i="6"/>
  <c r="G36" i="6"/>
  <c r="E36" i="6"/>
  <c r="C36" i="6"/>
  <c r="BN35" i="6"/>
  <c r="BL35" i="6"/>
  <c r="BJ35" i="6"/>
  <c r="BH35" i="6"/>
  <c r="BF35" i="6"/>
  <c r="BD35" i="6"/>
  <c r="AZ35" i="6"/>
  <c r="AX35" i="6"/>
  <c r="AV35" i="6"/>
  <c r="AT35" i="6"/>
  <c r="AR35" i="6"/>
  <c r="AP35" i="6"/>
  <c r="AM35" i="6"/>
  <c r="AI35" i="6"/>
  <c r="I35" i="6"/>
  <c r="G35" i="6"/>
  <c r="E35" i="6"/>
  <c r="C35" i="6"/>
  <c r="BN34" i="6"/>
  <c r="BL34" i="6"/>
  <c r="BJ34" i="6"/>
  <c r="BH34" i="6"/>
  <c r="BF34" i="6"/>
  <c r="BD34" i="6"/>
  <c r="AZ34" i="6"/>
  <c r="AX34" i="6"/>
  <c r="AV34" i="6"/>
  <c r="AT34" i="6"/>
  <c r="AR34" i="6"/>
  <c r="AP34" i="6"/>
  <c r="AL34" i="6"/>
  <c r="J34" i="6"/>
  <c r="H34" i="6"/>
  <c r="F34" i="6"/>
  <c r="D34" i="6"/>
  <c r="B34" i="6"/>
  <c r="BM33" i="6"/>
  <c r="BK33" i="6"/>
  <c r="BI33" i="6"/>
  <c r="BG33" i="6"/>
  <c r="BE33" i="6"/>
  <c r="BA33" i="6"/>
  <c r="AY33" i="6"/>
  <c r="AW33" i="6"/>
  <c r="AU33" i="6"/>
  <c r="AS33" i="6"/>
  <c r="AQ33" i="6"/>
  <c r="AN33" i="6"/>
  <c r="AJ33" i="6"/>
  <c r="J33" i="6"/>
  <c r="H33" i="6"/>
  <c r="F33" i="6"/>
  <c r="D33" i="6"/>
  <c r="B33" i="6"/>
  <c r="BM32" i="6"/>
  <c r="BK32" i="6"/>
  <c r="BI32" i="6"/>
  <c r="BG32" i="6"/>
  <c r="BE32" i="6"/>
  <c r="BA32" i="6"/>
  <c r="AY32" i="6"/>
  <c r="AW32" i="6"/>
  <c r="AU32" i="6"/>
  <c r="AS32" i="6"/>
  <c r="AQ32" i="6"/>
  <c r="AN32" i="6"/>
  <c r="AJ32" i="6"/>
  <c r="J32" i="6"/>
  <c r="H32" i="6"/>
  <c r="F32" i="6"/>
  <c r="D32" i="6"/>
  <c r="B32" i="6"/>
  <c r="BM31" i="6"/>
  <c r="BK31" i="6"/>
  <c r="BI31" i="6"/>
  <c r="BG31" i="6"/>
  <c r="BE31" i="6"/>
  <c r="BA31" i="6"/>
  <c r="AY31" i="6"/>
  <c r="AW31" i="6"/>
  <c r="AU31" i="6"/>
  <c r="AS31" i="6"/>
  <c r="AQ31" i="6"/>
  <c r="AN31" i="6"/>
  <c r="AJ31" i="6"/>
  <c r="J31" i="6"/>
  <c r="H31" i="6"/>
  <c r="F31" i="6"/>
  <c r="D31" i="6"/>
  <c r="B31" i="6"/>
  <c r="BM30" i="6"/>
  <c r="BK30" i="6"/>
  <c r="BI30" i="6"/>
  <c r="BG30" i="6"/>
  <c r="BE30" i="6"/>
  <c r="BA30" i="6"/>
  <c r="AY30" i="6"/>
  <c r="AW30" i="6"/>
  <c r="AU30" i="6"/>
  <c r="AS30" i="6"/>
  <c r="AQ30" i="6"/>
  <c r="AN30" i="6"/>
  <c r="AJ30" i="6"/>
  <c r="J30" i="6"/>
  <c r="H30" i="6"/>
  <c r="F30" i="6"/>
  <c r="D30" i="6"/>
  <c r="B30" i="6"/>
  <c r="BM29" i="6"/>
  <c r="BK29" i="6"/>
  <c r="BI29" i="6"/>
  <c r="BG29" i="6"/>
  <c r="BE29" i="6"/>
  <c r="BA29" i="6"/>
  <c r="AY29" i="6"/>
  <c r="AW29" i="6"/>
  <c r="AU29" i="6"/>
  <c r="AS29" i="6"/>
  <c r="AQ29" i="6"/>
  <c r="AN29" i="6"/>
  <c r="AJ29" i="6"/>
  <c r="J29" i="6"/>
  <c r="H29" i="6"/>
  <c r="F29" i="6"/>
  <c r="D29" i="6"/>
  <c r="B29" i="6"/>
  <c r="BM28" i="6"/>
  <c r="BK28" i="6"/>
  <c r="BI28" i="6"/>
  <c r="BG28" i="6"/>
  <c r="BE28" i="6"/>
  <c r="BA28" i="6"/>
  <c r="AY28" i="6"/>
  <c r="AW28" i="6"/>
  <c r="AU28" i="6"/>
  <c r="AS28" i="6"/>
  <c r="AQ28" i="6"/>
  <c r="AN28" i="6"/>
  <c r="AJ28" i="6"/>
  <c r="J28" i="6"/>
  <c r="H28" i="6"/>
  <c r="F28" i="6"/>
  <c r="D28" i="6"/>
  <c r="B28" i="6"/>
  <c r="BM27" i="6"/>
  <c r="BK27" i="6"/>
  <c r="BI27" i="6"/>
  <c r="BG27" i="6"/>
  <c r="BE27" i="6"/>
  <c r="BA27" i="6"/>
  <c r="AY27" i="6"/>
  <c r="AW27" i="6"/>
  <c r="AU27" i="6"/>
  <c r="AS27" i="6"/>
  <c r="AQ27" i="6"/>
  <c r="AN27" i="6"/>
  <c r="AJ27" i="6"/>
  <c r="J27" i="6"/>
  <c r="H27" i="6"/>
  <c r="F27" i="6"/>
  <c r="D27" i="6"/>
  <c r="B27" i="6"/>
  <c r="BM26" i="6"/>
  <c r="BK26" i="6"/>
  <c r="BI26" i="6"/>
  <c r="BG26" i="6"/>
  <c r="BE26" i="6"/>
  <c r="BA26" i="6"/>
  <c r="AY26" i="6"/>
  <c r="AW26" i="6"/>
  <c r="AU26" i="6"/>
  <c r="AS26" i="6"/>
  <c r="AQ26" i="6"/>
  <c r="AN26" i="6"/>
  <c r="AJ26" i="6"/>
  <c r="J26" i="6"/>
  <c r="H26" i="6"/>
  <c r="F26" i="6"/>
  <c r="D26" i="6"/>
  <c r="B26" i="6"/>
  <c r="BM25" i="6"/>
  <c r="BK25" i="6"/>
  <c r="BI25" i="6"/>
  <c r="BG25" i="6"/>
  <c r="BE25" i="6"/>
  <c r="BA25" i="6"/>
  <c r="AY25" i="6"/>
  <c r="AW25" i="6"/>
  <c r="AU25" i="6"/>
  <c r="AS25" i="6"/>
  <c r="AQ25" i="6"/>
  <c r="AN25" i="6"/>
  <c r="AJ25" i="6"/>
  <c r="J25" i="6"/>
  <c r="H25" i="6"/>
  <c r="F25" i="6"/>
  <c r="D25" i="6"/>
  <c r="B25" i="6"/>
  <c r="BM24" i="6"/>
  <c r="BK24" i="6"/>
  <c r="BI24" i="6"/>
  <c r="BG24" i="6"/>
  <c r="BE24" i="6"/>
  <c r="BA24" i="6"/>
  <c r="AY24" i="6"/>
  <c r="AW24" i="6"/>
  <c r="AU24" i="6"/>
  <c r="AS24" i="6"/>
  <c r="AQ24" i="6"/>
  <c r="AO24" i="6"/>
  <c r="AM24" i="6"/>
  <c r="AI24" i="6"/>
  <c r="AC24" i="6"/>
  <c r="Z24" i="6"/>
  <c r="V24" i="6"/>
  <c r="S24" i="6"/>
  <c r="N24" i="6"/>
  <c r="J24" i="6"/>
  <c r="H24" i="6"/>
  <c r="F24" i="6"/>
  <c r="D24" i="6"/>
  <c r="B24" i="6"/>
  <c r="BM23" i="6"/>
  <c r="BK23" i="6"/>
  <c r="BI23" i="6"/>
  <c r="BG23" i="6"/>
  <c r="BE23" i="6"/>
  <c r="BA23" i="6"/>
  <c r="AY23" i="6"/>
  <c r="AW23" i="6"/>
  <c r="AU23" i="6"/>
  <c r="AS23" i="6"/>
  <c r="AQ23" i="6"/>
  <c r="AN23" i="6"/>
  <c r="AL23" i="6"/>
  <c r="I23" i="6"/>
  <c r="G23" i="6"/>
  <c r="E23" i="6"/>
  <c r="C23" i="6"/>
  <c r="BN22" i="6"/>
  <c r="BL22" i="6"/>
  <c r="BJ22" i="6"/>
  <c r="BH22" i="6"/>
  <c r="BF22" i="6"/>
  <c r="BD22" i="6"/>
  <c r="AZ22" i="6"/>
  <c r="AX22" i="6"/>
  <c r="AV22" i="6"/>
  <c r="AT22" i="6"/>
  <c r="AR22" i="6"/>
  <c r="AP22" i="6"/>
  <c r="AM22" i="6"/>
  <c r="J22" i="6"/>
  <c r="H22" i="6"/>
  <c r="F22" i="6"/>
  <c r="D22" i="6"/>
  <c r="B22" i="6"/>
  <c r="BM21" i="6"/>
  <c r="BK21" i="6"/>
  <c r="BI21" i="6"/>
  <c r="BG21" i="6"/>
  <c r="BE21" i="6"/>
  <c r="BA21" i="6"/>
  <c r="AY21" i="6"/>
  <c r="AW21" i="6"/>
  <c r="AU21" i="6"/>
  <c r="AS21" i="6"/>
  <c r="AQ21" i="6"/>
  <c r="AN21" i="6"/>
  <c r="AL21" i="6"/>
  <c r="I21" i="6"/>
  <c r="G21" i="6"/>
  <c r="E21" i="6"/>
  <c r="C21" i="6"/>
  <c r="BN20" i="6"/>
  <c r="BL20" i="6"/>
  <c r="BJ20" i="6"/>
  <c r="BH20" i="6"/>
  <c r="BF20" i="6"/>
  <c r="BD20" i="6"/>
  <c r="AZ20" i="6"/>
  <c r="AX20" i="6"/>
  <c r="AV20" i="6"/>
  <c r="AT20" i="6"/>
  <c r="AR20" i="6"/>
  <c r="AP20" i="6"/>
  <c r="AM20" i="6"/>
  <c r="J20" i="6"/>
  <c r="H20" i="6"/>
  <c r="F20" i="6"/>
  <c r="D20" i="6"/>
  <c r="B20" i="6"/>
  <c r="BM19" i="6"/>
  <c r="BK19" i="6"/>
  <c r="BI19" i="6"/>
  <c r="BG19" i="6"/>
  <c r="BE19" i="6"/>
  <c r="BA19" i="6"/>
  <c r="AY19" i="6"/>
  <c r="AW19" i="6"/>
  <c r="AU19" i="6"/>
  <c r="AS19" i="6"/>
  <c r="AQ19" i="6"/>
  <c r="AN19" i="6"/>
  <c r="AL19" i="6"/>
  <c r="AH19" i="6"/>
  <c r="AF19" i="6"/>
  <c r="AD19" i="6"/>
  <c r="AB19" i="6"/>
  <c r="Z19" i="6"/>
  <c r="W19" i="6"/>
  <c r="T19" i="6"/>
  <c r="R19" i="6"/>
  <c r="P19" i="6"/>
  <c r="I19" i="6"/>
  <c r="G19" i="6"/>
  <c r="E19" i="6"/>
  <c r="C19" i="6"/>
  <c r="BN18" i="6"/>
  <c r="BL18" i="6"/>
  <c r="BJ18" i="6"/>
  <c r="BH18" i="6"/>
  <c r="BF18" i="6"/>
  <c r="BD18" i="6"/>
  <c r="AZ18" i="6"/>
  <c r="AX18" i="6"/>
  <c r="AV18" i="6"/>
  <c r="AT18" i="6"/>
  <c r="AR18" i="6"/>
  <c r="AP18" i="6"/>
  <c r="AM18" i="6"/>
  <c r="AI18" i="6"/>
  <c r="I18" i="6"/>
  <c r="G18" i="6"/>
  <c r="E18" i="6"/>
  <c r="C18" i="6"/>
  <c r="BN17" i="6"/>
  <c r="BL17" i="6"/>
  <c r="BJ17" i="6"/>
  <c r="BH17" i="6"/>
  <c r="BF17" i="6"/>
  <c r="BD17" i="6"/>
  <c r="AZ17" i="6"/>
  <c r="AX17" i="6"/>
  <c r="AV17" i="6"/>
  <c r="AT17" i="6"/>
  <c r="AR17" i="6"/>
  <c r="AP17" i="6"/>
  <c r="AM17" i="6"/>
  <c r="AI17" i="6"/>
  <c r="I17" i="6"/>
  <c r="G17" i="6"/>
  <c r="E17" i="6"/>
  <c r="C17" i="6"/>
  <c r="BN16" i="6"/>
  <c r="BL16" i="6"/>
  <c r="BJ16" i="6"/>
  <c r="BH16" i="6"/>
  <c r="BF16" i="6"/>
  <c r="BD16" i="6"/>
  <c r="AZ16" i="6"/>
  <c r="AX16" i="6"/>
  <c r="AV16" i="6"/>
  <c r="AT16" i="6"/>
  <c r="AR16" i="6"/>
  <c r="AP16" i="6"/>
  <c r="AM16" i="6"/>
  <c r="AI16" i="6"/>
  <c r="I16" i="6"/>
  <c r="G16" i="6"/>
  <c r="E16" i="6"/>
  <c r="C16" i="6"/>
  <c r="BN15" i="6"/>
  <c r="BL15" i="6"/>
  <c r="BJ15" i="6"/>
  <c r="BH15" i="6"/>
  <c r="BF15" i="6"/>
  <c r="BD15" i="6"/>
  <c r="AZ15" i="6"/>
  <c r="AX15" i="6"/>
  <c r="AV15" i="6"/>
  <c r="AT15" i="6"/>
  <c r="AR15" i="6"/>
  <c r="AP15" i="6"/>
  <c r="AM15" i="6"/>
  <c r="AK15" i="6"/>
  <c r="I15" i="6"/>
  <c r="G15" i="6"/>
  <c r="E15" i="6"/>
  <c r="C15" i="6"/>
  <c r="BN14" i="6"/>
  <c r="BL14" i="6"/>
  <c r="BJ14" i="6"/>
  <c r="BH14" i="6"/>
  <c r="BF14" i="6"/>
  <c r="BD14" i="6"/>
  <c r="AZ14" i="6"/>
  <c r="AX14" i="6"/>
  <c r="AV14" i="6"/>
  <c r="AT14" i="6"/>
  <c r="AR14" i="6"/>
  <c r="AP14" i="6"/>
  <c r="AM14" i="6"/>
  <c r="J14" i="6"/>
  <c r="H14" i="6"/>
  <c r="F14" i="6"/>
  <c r="D14" i="6"/>
  <c r="B14" i="6"/>
  <c r="BM13" i="6"/>
  <c r="BK13" i="6"/>
  <c r="BI13" i="6"/>
  <c r="BG13" i="6"/>
  <c r="BE13" i="6"/>
  <c r="BA13" i="6"/>
  <c r="AY13" i="6"/>
  <c r="AW13" i="6"/>
  <c r="AU13" i="6"/>
  <c r="AS13" i="6"/>
  <c r="AQ13" i="6"/>
  <c r="AN13" i="6"/>
  <c r="AL13" i="6"/>
  <c r="J13" i="6"/>
  <c r="H13" i="6"/>
  <c r="F13" i="6"/>
  <c r="D13" i="6"/>
  <c r="B13" i="6"/>
  <c r="H4" i="6"/>
  <c r="I3" i="6"/>
  <c r="AN40" i="6"/>
  <c r="AI40" i="6"/>
  <c r="G40" i="6"/>
  <c r="C40" i="6"/>
  <c r="BL39" i="6"/>
  <c r="BH39" i="6"/>
  <c r="BD39" i="6"/>
  <c r="AX39" i="6"/>
  <c r="AT39" i="6"/>
  <c r="AP39" i="6"/>
  <c r="AI39" i="6"/>
  <c r="I39" i="6"/>
  <c r="G39" i="6"/>
  <c r="E39" i="6"/>
  <c r="C39" i="6"/>
  <c r="BN38" i="6"/>
  <c r="BL38" i="6"/>
  <c r="BJ38" i="6"/>
  <c r="BH38" i="6"/>
  <c r="BF38" i="6"/>
  <c r="BD38" i="6"/>
  <c r="AZ38" i="6"/>
  <c r="AX38" i="6"/>
  <c r="AV38" i="6"/>
  <c r="AT38" i="6"/>
  <c r="AR38" i="6"/>
  <c r="AP38" i="6"/>
  <c r="AL38" i="6"/>
  <c r="AI38" i="6"/>
  <c r="I38" i="6"/>
  <c r="G38" i="6"/>
  <c r="E38" i="6"/>
  <c r="C38" i="6"/>
  <c r="BN37" i="6"/>
  <c r="BL37" i="6"/>
  <c r="BJ37" i="6"/>
  <c r="BH37" i="6"/>
  <c r="BF37" i="6"/>
  <c r="BD37" i="6"/>
  <c r="AZ37" i="6"/>
  <c r="AX37" i="6"/>
  <c r="AV37" i="6"/>
  <c r="AT37" i="6"/>
  <c r="AR37" i="6"/>
  <c r="AP37" i="6"/>
  <c r="AL37" i="6"/>
  <c r="AI37" i="6"/>
  <c r="I37" i="6"/>
  <c r="G37" i="6"/>
  <c r="E37" i="6"/>
  <c r="C37" i="6"/>
  <c r="BN36" i="6"/>
  <c r="BL36" i="6"/>
  <c r="BJ36" i="6"/>
  <c r="BH36" i="6"/>
  <c r="BF36" i="6"/>
  <c r="BD36" i="6"/>
  <c r="AZ36" i="6"/>
  <c r="AX36" i="6"/>
  <c r="AV36" i="6"/>
  <c r="AT36" i="6"/>
  <c r="AR36" i="6"/>
  <c r="AP36" i="6"/>
  <c r="AM36" i="6"/>
  <c r="AJ36" i="6"/>
  <c r="J36" i="6"/>
  <c r="H36" i="6"/>
  <c r="F36" i="6"/>
  <c r="D36" i="6"/>
  <c r="B36" i="6"/>
  <c r="BM35" i="6"/>
  <c r="BK35" i="6"/>
  <c r="BI35" i="6"/>
  <c r="BG35" i="6"/>
  <c r="BE35" i="6"/>
  <c r="BA35" i="6"/>
  <c r="AY35" i="6"/>
  <c r="AW35" i="6"/>
  <c r="AU35" i="6"/>
  <c r="AS35" i="6"/>
  <c r="AQ35" i="6"/>
  <c r="AN35" i="6"/>
  <c r="AL35" i="6"/>
  <c r="J35" i="6"/>
  <c r="H35" i="6"/>
  <c r="F35" i="6"/>
  <c r="D35" i="6"/>
  <c r="B35" i="6"/>
  <c r="BM34" i="6"/>
  <c r="BK34" i="6"/>
  <c r="BI34" i="6"/>
  <c r="BG34" i="6"/>
  <c r="BE34" i="6"/>
  <c r="BA34" i="6"/>
  <c r="AY34" i="6"/>
  <c r="AW34" i="6"/>
  <c r="AU34" i="6"/>
  <c r="AS34" i="6"/>
  <c r="AQ34" i="6"/>
  <c r="AN34" i="6"/>
  <c r="AI34" i="6"/>
  <c r="I34" i="6"/>
  <c r="G34" i="6"/>
  <c r="E34" i="6"/>
  <c r="C34" i="6"/>
  <c r="BN33" i="6"/>
  <c r="BL33" i="6"/>
  <c r="BJ33" i="6"/>
  <c r="BH33" i="6"/>
  <c r="BF33" i="6"/>
  <c r="BD33" i="6"/>
  <c r="AZ33" i="6"/>
  <c r="AX33" i="6"/>
  <c r="AV33" i="6"/>
  <c r="AT33" i="6"/>
  <c r="AR33" i="6"/>
  <c r="AP33" i="6"/>
  <c r="AL33" i="6"/>
  <c r="AI33" i="6"/>
  <c r="I33" i="6"/>
  <c r="G33" i="6"/>
  <c r="E33" i="6"/>
  <c r="C33" i="6"/>
  <c r="BN32" i="6"/>
  <c r="BL32" i="6"/>
  <c r="BJ32" i="6"/>
  <c r="BH32" i="6"/>
  <c r="BF32" i="6"/>
  <c r="BD32" i="6"/>
  <c r="AZ32" i="6"/>
  <c r="AX32" i="6"/>
  <c r="AV32" i="6"/>
  <c r="AT32" i="6"/>
  <c r="AR32" i="6"/>
  <c r="AP32" i="6"/>
  <c r="AL32" i="6"/>
  <c r="AI32" i="6"/>
  <c r="I32" i="6"/>
  <c r="G32" i="6"/>
  <c r="E32" i="6"/>
  <c r="C32" i="6"/>
  <c r="BN31" i="6"/>
  <c r="BL31" i="6"/>
  <c r="BJ31" i="6"/>
  <c r="BH31" i="6"/>
  <c r="BF31" i="6"/>
  <c r="BD31" i="6"/>
  <c r="AZ31" i="6"/>
  <c r="AX31" i="6"/>
  <c r="AV31" i="6"/>
  <c r="AT31" i="6"/>
  <c r="AR31" i="6"/>
  <c r="AP31" i="6"/>
  <c r="AL31" i="6"/>
  <c r="AI31" i="6"/>
  <c r="I31" i="6"/>
  <c r="G31" i="6"/>
  <c r="E31" i="6"/>
  <c r="C31" i="6"/>
  <c r="BN30" i="6"/>
  <c r="BL30" i="6"/>
  <c r="BJ30" i="6"/>
  <c r="BH30" i="6"/>
  <c r="BF30" i="6"/>
  <c r="BD30" i="6"/>
  <c r="AZ30" i="6"/>
  <c r="AX30" i="6"/>
  <c r="AV30" i="6"/>
  <c r="AT30" i="6"/>
  <c r="AR30" i="6"/>
  <c r="AP30" i="6"/>
  <c r="AL30" i="6"/>
  <c r="AI30" i="6"/>
  <c r="I30" i="6"/>
  <c r="G30" i="6"/>
  <c r="E30" i="6"/>
  <c r="C30" i="6"/>
  <c r="BN29" i="6"/>
  <c r="BL29" i="6"/>
  <c r="BJ29" i="6"/>
  <c r="BH29" i="6"/>
  <c r="BF29" i="6"/>
  <c r="BD29" i="6"/>
  <c r="AZ29" i="6"/>
  <c r="AX29" i="6"/>
  <c r="AV29" i="6"/>
  <c r="AT29" i="6"/>
  <c r="AR29" i="6"/>
  <c r="AP29" i="6"/>
  <c r="AL29" i="6"/>
  <c r="AI29" i="6"/>
  <c r="I29" i="6"/>
  <c r="G29" i="6"/>
  <c r="E29" i="6"/>
  <c r="C29" i="6"/>
  <c r="BN28" i="6"/>
  <c r="BL28" i="6"/>
  <c r="BJ28" i="6"/>
  <c r="BH28" i="6"/>
  <c r="BF28" i="6"/>
  <c r="BD28" i="6"/>
  <c r="AZ28" i="6"/>
  <c r="AX28" i="6"/>
  <c r="AV28" i="6"/>
  <c r="AT28" i="6"/>
  <c r="AR28" i="6"/>
  <c r="AP28" i="6"/>
  <c r="AL28" i="6"/>
  <c r="AI28" i="6"/>
  <c r="I28" i="6"/>
  <c r="G28" i="6"/>
  <c r="E28" i="6"/>
  <c r="C28" i="6"/>
  <c r="BN27" i="6"/>
  <c r="BL27" i="6"/>
  <c r="BJ27" i="6"/>
  <c r="BH27" i="6"/>
  <c r="BF27" i="6"/>
  <c r="BD27" i="6"/>
  <c r="AZ27" i="6"/>
  <c r="AX27" i="6"/>
  <c r="AV27" i="6"/>
  <c r="AT27" i="6"/>
  <c r="AR27" i="6"/>
  <c r="AP27" i="6"/>
  <c r="AL27" i="6"/>
  <c r="AI27" i="6"/>
  <c r="I27" i="6"/>
  <c r="G27" i="6"/>
  <c r="E27" i="6"/>
  <c r="C27" i="6"/>
  <c r="BN26" i="6"/>
  <c r="BL26" i="6"/>
  <c r="BJ26" i="6"/>
  <c r="BH26" i="6"/>
  <c r="BF26" i="6"/>
  <c r="BD26" i="6"/>
  <c r="AZ26" i="6"/>
  <c r="AX26" i="6"/>
  <c r="AV26" i="6"/>
  <c r="AT26" i="6"/>
  <c r="AR26" i="6"/>
  <c r="AP26" i="6"/>
  <c r="AL26" i="6"/>
  <c r="AI26" i="6"/>
  <c r="I26" i="6"/>
  <c r="G26" i="6"/>
  <c r="E26" i="6"/>
  <c r="C26" i="6"/>
  <c r="BN25" i="6"/>
  <c r="BL25" i="6"/>
  <c r="BJ25" i="6"/>
  <c r="BH25" i="6"/>
  <c r="BF25" i="6"/>
  <c r="BD25" i="6"/>
  <c r="AZ25" i="6"/>
  <c r="AX25" i="6"/>
  <c r="AV25" i="6"/>
  <c r="AT25" i="6"/>
  <c r="AR25" i="6"/>
  <c r="AP25" i="6"/>
  <c r="AL25" i="6"/>
  <c r="AI25" i="6"/>
  <c r="I25" i="6"/>
  <c r="G25" i="6"/>
  <c r="E25" i="6"/>
  <c r="C25" i="6"/>
  <c r="BN24" i="6"/>
  <c r="BL24" i="6"/>
  <c r="BJ24" i="6"/>
  <c r="BH24" i="6"/>
  <c r="BF24" i="6"/>
  <c r="BD24" i="6"/>
  <c r="AZ24" i="6"/>
  <c r="AX24" i="6"/>
  <c r="AV24" i="6"/>
  <c r="AT24" i="6"/>
  <c r="AR24" i="6"/>
  <c r="AP24" i="6"/>
  <c r="AN24" i="6"/>
  <c r="AL24" i="6"/>
  <c r="AF24" i="6"/>
  <c r="AB24" i="6"/>
  <c r="W24" i="6"/>
  <c r="T24" i="6"/>
  <c r="Q24" i="6"/>
  <c r="K24" i="6"/>
  <c r="I24" i="6"/>
  <c r="G24" i="6"/>
  <c r="E24" i="6"/>
  <c r="C24" i="6"/>
  <c r="BN23" i="6"/>
  <c r="BL23" i="6"/>
  <c r="BJ23" i="6"/>
  <c r="BH23" i="6"/>
  <c r="BF23" i="6"/>
  <c r="BD23" i="6"/>
  <c r="AZ23" i="6"/>
  <c r="AX23" i="6"/>
  <c r="AV23" i="6"/>
  <c r="AT23" i="6"/>
  <c r="AR23" i="6"/>
  <c r="AP23" i="6"/>
  <c r="AM23" i="6"/>
  <c r="J23" i="6"/>
  <c r="H23" i="6"/>
  <c r="F23" i="6"/>
  <c r="D23" i="6"/>
  <c r="B23" i="6"/>
  <c r="BM22" i="6"/>
  <c r="BK22" i="6"/>
  <c r="BI22" i="6"/>
  <c r="BG22" i="6"/>
  <c r="BE22" i="6"/>
  <c r="BA22" i="6"/>
  <c r="AY22" i="6"/>
  <c r="AW22" i="6"/>
  <c r="AU22" i="6"/>
  <c r="AS22" i="6"/>
  <c r="AQ22" i="6"/>
  <c r="AN22" i="6"/>
  <c r="AL22" i="6"/>
  <c r="I22" i="6"/>
  <c r="G22" i="6"/>
  <c r="E22" i="6"/>
  <c r="C22" i="6"/>
  <c r="BN21" i="6"/>
  <c r="BL21" i="6"/>
  <c r="BJ21" i="6"/>
  <c r="BH21" i="6"/>
  <c r="BF21" i="6"/>
  <c r="BD21" i="6"/>
  <c r="AZ21" i="6"/>
  <c r="AX21" i="6"/>
  <c r="AV21" i="6"/>
  <c r="AT21" i="6"/>
  <c r="AR21" i="6"/>
  <c r="AP21" i="6"/>
  <c r="AM21" i="6"/>
  <c r="J21" i="6"/>
  <c r="H21" i="6"/>
  <c r="F21" i="6"/>
  <c r="D21" i="6"/>
  <c r="B21" i="6"/>
  <c r="BM20" i="6"/>
  <c r="BK20" i="6"/>
  <c r="BI20" i="6"/>
  <c r="BG20" i="6"/>
  <c r="BE20" i="6"/>
  <c r="BA20" i="6"/>
  <c r="AY20" i="6"/>
  <c r="AW20" i="6"/>
  <c r="AU20" i="6"/>
  <c r="AS20" i="6"/>
  <c r="AQ20" i="6"/>
  <c r="AN20" i="6"/>
  <c r="AL20" i="6"/>
  <c r="I20" i="6"/>
  <c r="G20" i="6"/>
  <c r="E20" i="6"/>
  <c r="C20" i="6"/>
  <c r="BN19" i="6"/>
  <c r="BL19" i="6"/>
  <c r="BJ19" i="6"/>
  <c r="BH19" i="6"/>
  <c r="BF19" i="6"/>
  <c r="BD19" i="6"/>
  <c r="AZ19" i="6"/>
  <c r="AX19" i="6"/>
  <c r="AV19" i="6"/>
  <c r="AT19" i="6"/>
  <c r="AR19" i="6"/>
  <c r="AP19" i="6"/>
  <c r="AM19" i="6"/>
  <c r="AI19" i="6"/>
  <c r="AG19" i="6"/>
  <c r="AE19" i="6"/>
  <c r="AC19" i="6"/>
  <c r="AA19" i="6"/>
  <c r="X19" i="6"/>
  <c r="V19" i="6"/>
  <c r="S19" i="6"/>
  <c r="Q19" i="6"/>
  <c r="J19" i="6"/>
  <c r="H19" i="6"/>
  <c r="F19" i="6"/>
  <c r="D19" i="6"/>
  <c r="B19" i="6"/>
  <c r="BM18" i="6"/>
  <c r="BK18" i="6"/>
  <c r="BI18" i="6"/>
  <c r="BG18" i="6"/>
  <c r="BE18" i="6"/>
  <c r="BA18" i="6"/>
  <c r="AY18" i="6"/>
  <c r="AW18" i="6"/>
  <c r="AU18" i="6"/>
  <c r="AS18" i="6"/>
  <c r="AQ18" i="6"/>
  <c r="AN18" i="6"/>
  <c r="AL18" i="6"/>
  <c r="J18" i="6"/>
  <c r="H18" i="6"/>
  <c r="F18" i="6"/>
  <c r="D18" i="6"/>
  <c r="B18" i="6"/>
  <c r="BM17" i="6"/>
  <c r="BK17" i="6"/>
  <c r="BI17" i="6"/>
  <c r="BG17" i="6"/>
  <c r="BE17" i="6"/>
  <c r="BA17" i="6"/>
  <c r="AY17" i="6"/>
  <c r="AW17" i="6"/>
  <c r="AU17" i="6"/>
  <c r="AS17" i="6"/>
  <c r="AQ17" i="6"/>
  <c r="AN17" i="6"/>
  <c r="AL17" i="6"/>
  <c r="J17" i="6"/>
  <c r="H17" i="6"/>
  <c r="F17" i="6"/>
  <c r="D17" i="6"/>
  <c r="B17" i="6"/>
  <c r="BM16" i="6"/>
  <c r="BK16" i="6"/>
  <c r="BI16" i="6"/>
  <c r="BG16" i="6"/>
  <c r="BE16" i="6"/>
  <c r="BA16" i="6"/>
  <c r="AY16" i="6"/>
  <c r="AW16" i="6"/>
  <c r="AU16" i="6"/>
  <c r="AS16" i="6"/>
  <c r="AQ16" i="6"/>
  <c r="AN16" i="6"/>
  <c r="AL16" i="6"/>
  <c r="J16" i="6"/>
  <c r="H16" i="6"/>
  <c r="F16" i="6"/>
  <c r="D16" i="6"/>
  <c r="B16" i="6"/>
  <c r="BM15" i="6"/>
  <c r="BK15" i="6"/>
  <c r="BI15" i="6"/>
  <c r="BG15" i="6"/>
  <c r="BE15" i="6"/>
  <c r="BA15" i="6"/>
  <c r="AY15" i="6"/>
  <c r="AW15" i="6"/>
  <c r="AU15" i="6"/>
  <c r="AS15" i="6"/>
  <c r="AQ15" i="6"/>
  <c r="AN15" i="6"/>
  <c r="AL15" i="6"/>
  <c r="J15" i="6"/>
  <c r="H15" i="6"/>
  <c r="F15" i="6"/>
  <c r="D15" i="6"/>
  <c r="B15" i="6"/>
  <c r="BM14" i="6"/>
  <c r="BK14" i="6"/>
  <c r="BI14" i="6"/>
  <c r="BG14" i="6"/>
  <c r="BE14" i="6"/>
  <c r="BA14" i="6"/>
  <c r="AY14" i="6"/>
  <c r="AW14" i="6"/>
  <c r="AU14" i="6"/>
  <c r="AS14" i="6"/>
  <c r="AQ14" i="6"/>
  <c r="AN14" i="6"/>
  <c r="AL14" i="6"/>
  <c r="I14" i="6"/>
  <c r="G14" i="6"/>
  <c r="E14" i="6"/>
  <c r="C14" i="6"/>
  <c r="BN13" i="6"/>
  <c r="BL13" i="6"/>
  <c r="BJ13" i="6"/>
  <c r="BH13" i="6"/>
  <c r="BF13" i="6"/>
  <c r="BD13" i="6"/>
  <c r="AZ13" i="6"/>
  <c r="AX13" i="6"/>
  <c r="AV13" i="6"/>
  <c r="AT13" i="6"/>
  <c r="AR13" i="6"/>
  <c r="AP13" i="6"/>
  <c r="AM13" i="6"/>
  <c r="AI13" i="6"/>
  <c r="I13" i="6"/>
  <c r="G13" i="6"/>
  <c r="E13" i="6"/>
  <c r="C13" i="6"/>
  <c r="I4" i="6"/>
  <c r="H3" i="6"/>
  <c r="I4" i="5"/>
  <c r="H3" i="5"/>
  <c r="B21" i="3"/>
  <c r="C20" i="3"/>
  <c r="A20" i="3"/>
  <c r="B19" i="3"/>
  <c r="C18" i="3"/>
  <c r="A18" i="3"/>
  <c r="B17" i="3"/>
  <c r="C16" i="3"/>
  <c r="A16" i="3"/>
  <c r="B15" i="3"/>
  <c r="C14" i="3"/>
  <c r="A14" i="3"/>
  <c r="B13" i="3"/>
  <c r="C12" i="3"/>
  <c r="A12" i="3"/>
  <c r="B11" i="3"/>
  <c r="C10" i="3"/>
  <c r="A10" i="3"/>
  <c r="B9" i="3"/>
  <c r="C8" i="3"/>
  <c r="A8" i="3"/>
  <c r="B7" i="3"/>
  <c r="C6" i="3"/>
  <c r="A6" i="3"/>
  <c r="B5" i="3"/>
  <c r="C4" i="3"/>
  <c r="A4" i="3"/>
  <c r="L7" i="2"/>
  <c r="D6" i="2"/>
  <c r="L5" i="2"/>
  <c r="F5" i="2"/>
  <c r="B5" i="2"/>
  <c r="J4" i="2"/>
  <c r="F4" i="2"/>
  <c r="B4" i="2"/>
  <c r="J3" i="2"/>
  <c r="F3" i="2"/>
  <c r="B3" i="2"/>
  <c r="H4" i="5"/>
  <c r="I3" i="5"/>
  <c r="C21" i="3"/>
  <c r="A21" i="3"/>
  <c r="B20" i="3"/>
  <c r="C19" i="3"/>
  <c r="A19" i="3"/>
  <c r="B18" i="3"/>
  <c r="C17" i="3"/>
  <c r="A17" i="3"/>
  <c r="B16" i="3"/>
  <c r="C15" i="3"/>
  <c r="A15" i="3"/>
  <c r="B14" i="3"/>
  <c r="C13" i="3"/>
  <c r="A13" i="3"/>
  <c r="B12" i="3"/>
  <c r="C11" i="3"/>
  <c r="A11" i="3"/>
  <c r="B10" i="3"/>
  <c r="C9" i="3"/>
  <c r="A9" i="3"/>
  <c r="B8" i="3"/>
  <c r="C7" i="3"/>
  <c r="A7" i="3"/>
  <c r="B6" i="3"/>
  <c r="C5" i="3"/>
  <c r="A5" i="3"/>
  <c r="B4" i="3"/>
  <c r="L8" i="2"/>
  <c r="L6" i="2"/>
  <c r="B6" i="2"/>
  <c r="H5" i="2"/>
  <c r="D5" i="2"/>
  <c r="L4" i="2"/>
  <c r="H4" i="2"/>
  <c r="D4" i="2"/>
  <c r="L3" i="2"/>
  <c r="H3" i="2"/>
  <c r="D3" i="2"/>
  <c r="BA1948" i="5" l="1"/>
  <c r="BA1947" i="5"/>
  <c r="BA1946" i="5"/>
  <c r="AY1948" i="5"/>
  <c r="AY1947" i="5"/>
  <c r="AY1946" i="5"/>
  <c r="AY1945" i="5"/>
  <c r="AY1944" i="5"/>
  <c r="AY1943" i="5"/>
  <c r="AY1942" i="5"/>
  <c r="AY1941" i="5"/>
  <c r="AY1940" i="5"/>
  <c r="AY1939" i="5"/>
  <c r="AY1938" i="5"/>
  <c r="AY1937" i="5"/>
  <c r="AY1936" i="5"/>
  <c r="AY1935" i="5"/>
  <c r="AY1934" i="5"/>
  <c r="AY1933" i="5"/>
  <c r="AY1932" i="5"/>
  <c r="BA1931" i="5"/>
  <c r="BA1930" i="5"/>
  <c r="BA1929" i="5"/>
  <c r="BA1928" i="5"/>
  <c r="BA1927" i="5"/>
  <c r="BA1926" i="5"/>
  <c r="BA1925" i="5"/>
  <c r="BA1924" i="5"/>
  <c r="BA1923" i="5"/>
  <c r="BA1922" i="5"/>
  <c r="BA1921" i="5"/>
  <c r="BA1920" i="5"/>
  <c r="BA1919" i="5"/>
  <c r="BA1918" i="5"/>
  <c r="BA1917" i="5"/>
  <c r="BA1916" i="5"/>
  <c r="BA1915" i="5"/>
  <c r="BA1914" i="5"/>
  <c r="BA1913" i="5"/>
  <c r="BA1912" i="5"/>
  <c r="BA1911" i="5"/>
  <c r="BA1910" i="5"/>
  <c r="BA1909" i="5"/>
  <c r="BA1908" i="5"/>
  <c r="BA1907" i="5"/>
  <c r="BA1906" i="5"/>
  <c r="BA1905" i="5"/>
  <c r="BA1904" i="5"/>
  <c r="BA1903" i="5"/>
  <c r="BA1902" i="5"/>
  <c r="BA1901" i="5"/>
  <c r="BA1900" i="5"/>
  <c r="BA1899" i="5"/>
  <c r="BA1898" i="5"/>
  <c r="BA1897" i="5"/>
  <c r="BA1896" i="5"/>
  <c r="BA1895" i="5"/>
  <c r="BA1894" i="5"/>
  <c r="BA1893" i="5"/>
  <c r="BA1892" i="5"/>
  <c r="BA1891" i="5"/>
  <c r="BA1890" i="5"/>
  <c r="BA1889" i="5"/>
  <c r="BA1888" i="5"/>
  <c r="BA1887" i="5"/>
  <c r="BA1886" i="5"/>
  <c r="BA1885" i="5"/>
  <c r="BA1884" i="5"/>
  <c r="BA1883" i="5"/>
  <c r="BA1882" i="5"/>
  <c r="BA1881" i="5"/>
  <c r="BA1880" i="5"/>
  <c r="BA1879" i="5"/>
  <c r="BA1878" i="5"/>
  <c r="BA1877" i="5"/>
  <c r="BA1876" i="5"/>
  <c r="BA1875" i="5"/>
  <c r="BA1874" i="5"/>
  <c r="BA1873" i="5"/>
  <c r="BA1872" i="5"/>
  <c r="BA1871" i="5"/>
  <c r="BA1870" i="5"/>
  <c r="BA1869" i="5"/>
  <c r="BA1868" i="5"/>
  <c r="BA1867" i="5"/>
  <c r="BA1866" i="5"/>
  <c r="BA1865" i="5"/>
  <c r="BA1864" i="5"/>
  <c r="BA1863" i="5"/>
  <c r="BA1862" i="5"/>
  <c r="BA1861" i="5"/>
  <c r="BA1860" i="5"/>
  <c r="BA1859" i="5"/>
  <c r="BA1858" i="5"/>
  <c r="BA1857" i="5"/>
  <c r="BA1856" i="5"/>
  <c r="BA1855" i="5"/>
  <c r="BA1854" i="5"/>
  <c r="BA1853" i="5"/>
  <c r="BA1852" i="5"/>
  <c r="BA1851" i="5"/>
  <c r="BA1850" i="5"/>
  <c r="BA1849" i="5"/>
  <c r="BA1848" i="5"/>
  <c r="BA1847" i="5"/>
  <c r="BA1846" i="5"/>
  <c r="BA1845" i="5"/>
  <c r="BA1844" i="5"/>
  <c r="BA1843" i="5"/>
  <c r="BA1842" i="5"/>
  <c r="BA1841" i="5"/>
  <c r="BA1840" i="5"/>
  <c r="BA1839" i="5"/>
  <c r="BA1838" i="5"/>
  <c r="BA1837" i="5"/>
  <c r="BA1836" i="5"/>
  <c r="BA1835" i="5"/>
  <c r="BA1834" i="5"/>
  <c r="BA1833" i="5"/>
  <c r="BA1832" i="5"/>
  <c r="BA1831" i="5"/>
  <c r="BA1830" i="5"/>
  <c r="BA1829" i="5"/>
  <c r="BA1828" i="5"/>
  <c r="BA1827" i="5"/>
  <c r="BA1826" i="5"/>
  <c r="BA1825" i="5"/>
  <c r="BA1824" i="5"/>
  <c r="BA1823" i="5"/>
  <c r="BA1822" i="5"/>
  <c r="BA1821" i="5"/>
  <c r="BA1820" i="5"/>
  <c r="BA1819" i="5"/>
  <c r="BA1818" i="5"/>
  <c r="BA1817" i="5"/>
  <c r="BA1816" i="5"/>
  <c r="BA1815" i="5"/>
  <c r="BA1814" i="5"/>
  <c r="BA1813" i="5"/>
  <c r="BA1812" i="5"/>
  <c r="BA1811" i="5"/>
  <c r="BA1810" i="5"/>
  <c r="BA1809" i="5"/>
  <c r="BA1808" i="5"/>
  <c r="BA1807" i="5"/>
  <c r="BA1806" i="5"/>
  <c r="BA1805" i="5"/>
  <c r="BA1804" i="5"/>
  <c r="BA1803" i="5"/>
  <c r="BA1802" i="5"/>
  <c r="BA1801" i="5"/>
  <c r="BA1800" i="5"/>
  <c r="BA1799" i="5"/>
  <c r="BA1798" i="5"/>
  <c r="BA1797" i="5"/>
  <c r="BA1796" i="5"/>
  <c r="BA1795" i="5"/>
  <c r="BA1794" i="5"/>
  <c r="BA1793" i="5"/>
  <c r="BA1792" i="5"/>
  <c r="BA1791" i="5"/>
  <c r="BA1790" i="5"/>
  <c r="BA1789" i="5"/>
  <c r="BA1788" i="5"/>
  <c r="BA1787" i="5"/>
  <c r="BA1786" i="5"/>
  <c r="BA1785" i="5"/>
  <c r="BA1784" i="5"/>
  <c r="BA1783" i="5"/>
  <c r="BA1782" i="5"/>
  <c r="BA1781" i="5"/>
  <c r="BA1780" i="5"/>
  <c r="BA1779" i="5"/>
  <c r="BA1778" i="5"/>
  <c r="BA1777" i="5"/>
  <c r="BA1776" i="5"/>
  <c r="BA1775" i="5"/>
  <c r="BA1774" i="5"/>
  <c r="BA1773" i="5"/>
  <c r="BA1772" i="5"/>
  <c r="BA1771" i="5"/>
  <c r="BA1770" i="5"/>
  <c r="BA1769" i="5"/>
  <c r="BA1768" i="5"/>
  <c r="BA1767" i="5"/>
  <c r="BA1766" i="5"/>
  <c r="BA1765" i="5"/>
  <c r="BA1764" i="5"/>
  <c r="BA1763" i="5"/>
  <c r="BA1762" i="5"/>
  <c r="BA1761" i="5"/>
  <c r="BA1760" i="5"/>
  <c r="BA1759" i="5"/>
  <c r="BA1758" i="5"/>
  <c r="BA1757" i="5"/>
  <c r="BA1756" i="5"/>
  <c r="BA1755" i="5"/>
  <c r="BA1754" i="5"/>
  <c r="BA1753" i="5"/>
  <c r="BA1752" i="5"/>
  <c r="BA1751" i="5"/>
  <c r="BA1750" i="5"/>
  <c r="BA1749" i="5"/>
  <c r="BA1748" i="5"/>
  <c r="BA1747" i="5"/>
  <c r="BA1746" i="5"/>
  <c r="BA1745" i="5"/>
  <c r="BA1744" i="5"/>
  <c r="BA1743" i="5"/>
  <c r="BA1742" i="5"/>
  <c r="BA1741" i="5"/>
  <c r="BA1740" i="5"/>
  <c r="BA1739" i="5"/>
  <c r="BA1738" i="5"/>
  <c r="BA1737" i="5"/>
  <c r="BA1736" i="5"/>
  <c r="BA1735" i="5"/>
  <c r="BA1734" i="5"/>
  <c r="BA1733" i="5"/>
  <c r="BA1732" i="5"/>
  <c r="BA1731" i="5"/>
  <c r="BA1730" i="5"/>
  <c r="BA1729" i="5"/>
  <c r="BA1728" i="5"/>
  <c r="BA1727" i="5"/>
  <c r="BA1726" i="5"/>
  <c r="BA1725" i="5"/>
  <c r="BA1724" i="5"/>
  <c r="BA1723" i="5"/>
  <c r="BA1722" i="5"/>
  <c r="BA1721" i="5"/>
  <c r="BA1720" i="5"/>
  <c r="BA1719" i="5"/>
  <c r="BA1718" i="5"/>
  <c r="BA1717" i="5"/>
  <c r="BA1716" i="5"/>
  <c r="BA1715" i="5"/>
  <c r="BA1714" i="5"/>
  <c r="BA1713" i="5"/>
  <c r="BA1712" i="5"/>
  <c r="BA1711" i="5"/>
  <c r="BA1710" i="5"/>
  <c r="BA1709" i="5"/>
  <c r="BA1708" i="5"/>
  <c r="BA1707" i="5"/>
  <c r="BA1706" i="5"/>
  <c r="BA1705" i="5"/>
  <c r="BA1704" i="5"/>
  <c r="BA1703" i="5"/>
  <c r="BA1702" i="5"/>
  <c r="BA1701" i="5"/>
  <c r="BA1700" i="5"/>
  <c r="BA1699" i="5"/>
  <c r="BA1698" i="5"/>
  <c r="BA1697" i="5"/>
  <c r="BA1696" i="5"/>
  <c r="BA1695" i="5"/>
  <c r="BA1694" i="5"/>
  <c r="BA1693" i="5"/>
  <c r="BA1692" i="5"/>
  <c r="BA1691" i="5"/>
  <c r="BA1690" i="5"/>
  <c r="BA1689" i="5"/>
  <c r="BA1688" i="5"/>
  <c r="BA1687" i="5"/>
  <c r="BA1686" i="5"/>
  <c r="BA1685" i="5"/>
  <c r="BA1684" i="5"/>
  <c r="BA1683" i="5"/>
  <c r="BA1682" i="5"/>
  <c r="BA1681" i="5"/>
  <c r="BA1680" i="5"/>
  <c r="BA1679" i="5"/>
  <c r="BA1678" i="5"/>
  <c r="BA1677" i="5"/>
  <c r="BA1676" i="5"/>
  <c r="BA1675" i="5"/>
  <c r="BA1674" i="5"/>
  <c r="BA1673" i="5"/>
  <c r="BA1672" i="5"/>
  <c r="BA1671" i="5"/>
  <c r="BA1670" i="5"/>
  <c r="BA1669" i="5"/>
  <c r="BA1668" i="5"/>
  <c r="BA1667" i="5"/>
  <c r="BA1666" i="5"/>
  <c r="BA1665" i="5"/>
  <c r="BA1664" i="5"/>
  <c r="BA1663" i="5"/>
  <c r="BA1662" i="5"/>
  <c r="BA1661" i="5"/>
  <c r="BA1660" i="5"/>
  <c r="BA1659" i="5"/>
  <c r="BA1658" i="5"/>
  <c r="BA1657" i="5"/>
  <c r="BA1656" i="5"/>
  <c r="BA1655" i="5"/>
  <c r="BA1654" i="5"/>
  <c r="BA1653" i="5"/>
  <c r="BA1652" i="5"/>
  <c r="BA1651" i="5"/>
  <c r="BA1650" i="5"/>
  <c r="BA1649" i="5"/>
  <c r="BA1648" i="5"/>
  <c r="BA1647" i="5"/>
  <c r="BA1646" i="5"/>
  <c r="BA1645" i="5"/>
  <c r="BA1644" i="5"/>
  <c r="BA1643" i="5"/>
  <c r="BA1642" i="5"/>
  <c r="BA1641" i="5"/>
  <c r="BA1640" i="5"/>
  <c r="BA1639" i="5"/>
  <c r="BA1638" i="5"/>
  <c r="BA1637" i="5"/>
  <c r="BA1636" i="5"/>
  <c r="BA1635" i="5"/>
  <c r="BA1634" i="5"/>
  <c r="BA1633" i="5"/>
  <c r="BA1632" i="5"/>
  <c r="BA1631" i="5"/>
  <c r="BA1630" i="5"/>
  <c r="BA1629" i="5"/>
  <c r="BA1628" i="5"/>
  <c r="BA1627" i="5"/>
  <c r="BA1626" i="5"/>
  <c r="BA1625" i="5"/>
  <c r="BA1624" i="5"/>
  <c r="BA1623" i="5"/>
  <c r="BA1622" i="5"/>
  <c r="BA1621" i="5"/>
  <c r="BA1620" i="5"/>
  <c r="BA1619" i="5"/>
  <c r="BA1618" i="5"/>
  <c r="BA1617" i="5"/>
  <c r="BA1616" i="5"/>
  <c r="BA1615" i="5"/>
  <c r="BA1614" i="5"/>
  <c r="BA1613" i="5"/>
  <c r="BA1612" i="5"/>
  <c r="BA1611" i="5"/>
  <c r="BA1610" i="5"/>
  <c r="BA1609" i="5"/>
  <c r="BA1608" i="5"/>
  <c r="BA1945" i="5"/>
  <c r="BA1944" i="5"/>
  <c r="BA1943" i="5"/>
  <c r="BA1942" i="5"/>
  <c r="BA1941" i="5"/>
  <c r="BA1940" i="5"/>
  <c r="BA1939" i="5"/>
  <c r="BA1938" i="5"/>
  <c r="BA1937" i="5"/>
  <c r="BA1936" i="5"/>
  <c r="BA1935" i="5"/>
  <c r="BA1934" i="5"/>
  <c r="BA1933" i="5"/>
  <c r="BA1932" i="5"/>
  <c r="AY1931" i="5"/>
  <c r="AY1930" i="5"/>
  <c r="AY1929" i="5"/>
  <c r="AY1928" i="5"/>
  <c r="AY1927" i="5"/>
  <c r="AY1926" i="5"/>
  <c r="AY1925" i="5"/>
  <c r="AY1924" i="5"/>
  <c r="AY1923" i="5"/>
  <c r="AY1922" i="5"/>
  <c r="AY1921" i="5"/>
  <c r="AY1920" i="5"/>
  <c r="AY1919" i="5"/>
  <c r="AY1918" i="5"/>
  <c r="AY1917" i="5"/>
  <c r="AY1916" i="5"/>
  <c r="AY1915" i="5"/>
  <c r="AY1914" i="5"/>
  <c r="AY1913" i="5"/>
  <c r="AY1912" i="5"/>
  <c r="AY1911" i="5"/>
  <c r="AY1910" i="5"/>
  <c r="AY1909" i="5"/>
  <c r="AY1908" i="5"/>
  <c r="AY1907" i="5"/>
  <c r="AY1906" i="5"/>
  <c r="AY1905" i="5"/>
  <c r="AY1904" i="5"/>
  <c r="AY1903" i="5"/>
  <c r="AY1902" i="5"/>
  <c r="AY1901" i="5"/>
  <c r="AY1900" i="5"/>
  <c r="AY1899" i="5"/>
  <c r="AY1898" i="5"/>
  <c r="AY1897" i="5"/>
  <c r="AY1896" i="5"/>
  <c r="AY1895" i="5"/>
  <c r="AY1894" i="5"/>
  <c r="AY1893" i="5"/>
  <c r="AY1892" i="5"/>
  <c r="AY1891" i="5"/>
  <c r="AY1890" i="5"/>
  <c r="AY1889" i="5"/>
  <c r="AY1888" i="5"/>
  <c r="AY1887" i="5"/>
  <c r="AY1886" i="5"/>
  <c r="AY1885" i="5"/>
  <c r="AY1884" i="5"/>
  <c r="AY1883" i="5"/>
  <c r="AY1882" i="5"/>
  <c r="AY1881" i="5"/>
  <c r="AY1880" i="5"/>
  <c r="AY1879" i="5"/>
  <c r="AY1878" i="5"/>
  <c r="AY1877" i="5"/>
  <c r="AY1876" i="5"/>
  <c r="AY1875" i="5"/>
  <c r="AY1874" i="5"/>
  <c r="AY1873" i="5"/>
  <c r="AY1872" i="5"/>
  <c r="AY1871" i="5"/>
  <c r="AY1870" i="5"/>
  <c r="AY1869" i="5"/>
  <c r="AY1868" i="5"/>
  <c r="AY1867" i="5"/>
  <c r="AY1866" i="5"/>
  <c r="AY1865" i="5"/>
  <c r="AY1864" i="5"/>
  <c r="AY1863" i="5"/>
  <c r="AY1862" i="5"/>
  <c r="AY1861" i="5"/>
  <c r="AY1860" i="5"/>
  <c r="AY1859" i="5"/>
  <c r="AY1858" i="5"/>
  <c r="AY1857" i="5"/>
  <c r="AY1856" i="5"/>
  <c r="AY1855" i="5"/>
  <c r="AY1854" i="5"/>
  <c r="AY1853" i="5"/>
  <c r="AY1852" i="5"/>
  <c r="AY1851" i="5"/>
  <c r="AY1850" i="5"/>
  <c r="AY1849" i="5"/>
  <c r="AY1848" i="5"/>
  <c r="AY1847" i="5"/>
  <c r="AY1846" i="5"/>
  <c r="AY1845" i="5"/>
  <c r="AY1844" i="5"/>
  <c r="AY1843" i="5"/>
  <c r="AY1842" i="5"/>
  <c r="AY1841" i="5"/>
  <c r="AY1840" i="5"/>
  <c r="AY1839" i="5"/>
  <c r="AY1838" i="5"/>
  <c r="AY1837" i="5"/>
  <c r="AY1836" i="5"/>
  <c r="AY1835" i="5"/>
  <c r="AY1834" i="5"/>
  <c r="AY1833" i="5"/>
  <c r="AY1832" i="5"/>
  <c r="AY1831" i="5"/>
  <c r="AY1830" i="5"/>
  <c r="AY1829" i="5"/>
  <c r="AY1828" i="5"/>
  <c r="AY1827" i="5"/>
  <c r="AY1826" i="5"/>
  <c r="AY1825" i="5"/>
  <c r="AY1824" i="5"/>
  <c r="AY1823" i="5"/>
  <c r="AY1822" i="5"/>
  <c r="AY1821" i="5"/>
  <c r="AY1820" i="5"/>
  <c r="AY1819" i="5"/>
  <c r="AY1818" i="5"/>
  <c r="AY1817" i="5"/>
  <c r="AY1816" i="5"/>
  <c r="AY1815" i="5"/>
  <c r="AY1814" i="5"/>
  <c r="AY1813" i="5"/>
  <c r="AY1812" i="5"/>
  <c r="AY1811" i="5"/>
  <c r="AY1810" i="5"/>
  <c r="AY1809" i="5"/>
  <c r="AY1808" i="5"/>
  <c r="AY1807" i="5"/>
  <c r="AY1806" i="5"/>
  <c r="AY1805" i="5"/>
  <c r="AY1804" i="5"/>
  <c r="AY1803" i="5"/>
  <c r="AY1802" i="5"/>
  <c r="AY1801" i="5"/>
  <c r="AY1800" i="5"/>
  <c r="AY1799" i="5"/>
  <c r="AY1798" i="5"/>
  <c r="AY1797" i="5"/>
  <c r="AY1796" i="5"/>
  <c r="AY1795" i="5"/>
  <c r="AY1794" i="5"/>
  <c r="AY1793" i="5"/>
  <c r="AY1792" i="5"/>
  <c r="AY1791" i="5"/>
  <c r="AY1790" i="5"/>
  <c r="AY1789" i="5"/>
  <c r="AY1788" i="5"/>
  <c r="AY1787" i="5"/>
  <c r="AY1786" i="5"/>
  <c r="AY1785" i="5"/>
  <c r="AY1784" i="5"/>
  <c r="AY1783" i="5"/>
  <c r="AY1782" i="5"/>
  <c r="AY1781" i="5"/>
  <c r="AY1780" i="5"/>
  <c r="AY1779" i="5"/>
  <c r="AY1778" i="5"/>
  <c r="AY1777" i="5"/>
  <c r="AY1776" i="5"/>
  <c r="AY1775" i="5"/>
  <c r="AY1774" i="5"/>
  <c r="AY1773" i="5"/>
  <c r="AY1772" i="5"/>
  <c r="AY1771" i="5"/>
  <c r="AY1770" i="5"/>
  <c r="AY1769" i="5"/>
  <c r="AY1768" i="5"/>
  <c r="AY1767" i="5"/>
  <c r="AY1766" i="5"/>
  <c r="AY1765" i="5"/>
  <c r="AY1764" i="5"/>
  <c r="AY1763" i="5"/>
  <c r="AY1762" i="5"/>
  <c r="AY1761" i="5"/>
  <c r="AY1760" i="5"/>
  <c r="AY1759" i="5"/>
  <c r="AY1758" i="5"/>
  <c r="AY1757" i="5"/>
  <c r="AY1756" i="5"/>
  <c r="AY1755" i="5"/>
  <c r="AY1754" i="5"/>
  <c r="AY1753" i="5"/>
  <c r="AY1752" i="5"/>
  <c r="AY1751" i="5"/>
  <c r="AY1750" i="5"/>
  <c r="AY1749" i="5"/>
  <c r="AY1748" i="5"/>
  <c r="AY1747" i="5"/>
  <c r="AY1746" i="5"/>
  <c r="AY1745" i="5"/>
  <c r="AY1744" i="5"/>
  <c r="AY1743" i="5"/>
  <c r="AY1742" i="5"/>
  <c r="AY1741" i="5"/>
  <c r="AY1740" i="5"/>
  <c r="AY1739" i="5"/>
  <c r="AY1738" i="5"/>
  <c r="AY1737" i="5"/>
  <c r="AY1736" i="5"/>
  <c r="AY1735" i="5"/>
  <c r="AY1734" i="5"/>
  <c r="AY1733" i="5"/>
  <c r="AY1732" i="5"/>
  <c r="AY1731" i="5"/>
  <c r="AY1730" i="5"/>
  <c r="AY1729" i="5"/>
  <c r="AY1728" i="5"/>
  <c r="AY1727" i="5"/>
  <c r="AY1726" i="5"/>
  <c r="AY1725" i="5"/>
  <c r="AY1724" i="5"/>
  <c r="AY1723" i="5"/>
  <c r="AY1722" i="5"/>
  <c r="AY1721" i="5"/>
  <c r="AY1720" i="5"/>
  <c r="AY1719" i="5"/>
  <c r="AY1718" i="5"/>
  <c r="AY1717" i="5"/>
  <c r="AY1716" i="5"/>
  <c r="AY1715" i="5"/>
  <c r="AY1714" i="5"/>
  <c r="AY1713" i="5"/>
  <c r="AY1712" i="5"/>
  <c r="AY1711" i="5"/>
  <c r="AY1710" i="5"/>
  <c r="AY1709" i="5"/>
  <c r="AY1708" i="5"/>
  <c r="AY1707" i="5"/>
  <c r="AY1706" i="5"/>
  <c r="AY1705" i="5"/>
  <c r="AY1704" i="5"/>
  <c r="AY1703" i="5"/>
  <c r="AY1702" i="5"/>
  <c r="AY1701" i="5"/>
  <c r="AY1700" i="5"/>
  <c r="AY1699" i="5"/>
  <c r="AY1698" i="5"/>
  <c r="AY1697" i="5"/>
  <c r="AY1696" i="5"/>
  <c r="AY1695" i="5"/>
  <c r="AY1694" i="5"/>
  <c r="AY1693" i="5"/>
  <c r="AY1692" i="5"/>
  <c r="AY1691" i="5"/>
  <c r="AY1690" i="5"/>
  <c r="AY1689" i="5"/>
  <c r="AY1688" i="5"/>
  <c r="AY1687" i="5"/>
  <c r="AY1686" i="5"/>
  <c r="AY1685" i="5"/>
  <c r="AY1684" i="5"/>
  <c r="AY1683" i="5"/>
  <c r="AY1682" i="5"/>
  <c r="AY1681" i="5"/>
  <c r="AY1680" i="5"/>
  <c r="AY1679" i="5"/>
  <c r="AY1678" i="5"/>
  <c r="AY1677" i="5"/>
  <c r="AY1676" i="5"/>
  <c r="AY1675" i="5"/>
  <c r="AY1674" i="5"/>
  <c r="AY1673" i="5"/>
  <c r="AY1672" i="5"/>
  <c r="AY1671" i="5"/>
  <c r="AY1670" i="5"/>
  <c r="AY1669" i="5"/>
  <c r="AY1668" i="5"/>
  <c r="AY1667" i="5"/>
  <c r="AY1666" i="5"/>
  <c r="AY1665" i="5"/>
  <c r="AY1664" i="5"/>
  <c r="AY1663" i="5"/>
  <c r="AY1662" i="5"/>
  <c r="AY1661" i="5"/>
  <c r="AY1660" i="5"/>
  <c r="AY1659" i="5"/>
  <c r="AY1658" i="5"/>
  <c r="AY1657" i="5"/>
  <c r="AY1656" i="5"/>
  <c r="AY1655" i="5"/>
  <c r="AY1654" i="5"/>
  <c r="AY1653" i="5"/>
  <c r="AY1652" i="5"/>
  <c r="AY1651" i="5"/>
  <c r="AY1650" i="5"/>
  <c r="AY1649" i="5"/>
  <c r="AY1648" i="5"/>
  <c r="AY1647" i="5"/>
  <c r="AY1646" i="5"/>
  <c r="AY1645" i="5"/>
  <c r="AY1644" i="5"/>
  <c r="AY1643" i="5"/>
  <c r="AY1642" i="5"/>
  <c r="AY1641" i="5"/>
  <c r="AY1640" i="5"/>
  <c r="AY1639" i="5"/>
  <c r="AY1638" i="5"/>
  <c r="AY1637" i="5"/>
  <c r="AY1636" i="5"/>
  <c r="AY1635" i="5"/>
  <c r="AY1634" i="5"/>
  <c r="AY1633" i="5"/>
  <c r="AY1632" i="5"/>
  <c r="AY1631" i="5"/>
  <c r="AY1630" i="5"/>
  <c r="AY1629" i="5"/>
  <c r="AY1628" i="5"/>
  <c r="AY1627" i="5"/>
  <c r="AY1626" i="5"/>
  <c r="AY1625" i="5"/>
  <c r="AY1624" i="5"/>
  <c r="AY1623" i="5"/>
  <c r="AY1622" i="5"/>
  <c r="AY1621" i="5"/>
  <c r="AY1620" i="5"/>
  <c r="AY1619" i="5"/>
  <c r="AY1618" i="5"/>
  <c r="AY1617" i="5"/>
  <c r="AY1616" i="5"/>
  <c r="AY1615" i="5"/>
  <c r="AY1614" i="5"/>
  <c r="AY1613" i="5"/>
  <c r="AY1612" i="5"/>
  <c r="AY1611" i="5"/>
  <c r="AY1610" i="5"/>
  <c r="AY1609" i="5"/>
  <c r="AY1608" i="5"/>
  <c r="AY1607" i="5"/>
  <c r="AY1606" i="5"/>
  <c r="AY1605" i="5"/>
  <c r="AY1604" i="5"/>
  <c r="AY1603" i="5"/>
  <c r="AY1602" i="5"/>
  <c r="AY1601" i="5"/>
  <c r="AY1600" i="5"/>
  <c r="AY1599" i="5"/>
  <c r="AY1598" i="5"/>
  <c r="BA1607" i="5"/>
  <c r="BA1606" i="5"/>
  <c r="BA1605" i="5"/>
  <c r="BA1604" i="5"/>
  <c r="BA1603" i="5"/>
  <c r="BA1602" i="5"/>
  <c r="BA1601" i="5"/>
  <c r="BA1600" i="5"/>
  <c r="BA1599" i="5"/>
  <c r="BA1598" i="5"/>
  <c r="AY1597" i="5"/>
  <c r="AY1596" i="5"/>
  <c r="AY1595" i="5"/>
  <c r="AY1594" i="5"/>
  <c r="AY1593" i="5"/>
  <c r="AY1592" i="5"/>
  <c r="AY1591" i="5"/>
  <c r="AY1590" i="5"/>
  <c r="AY1589" i="5"/>
  <c r="AY1588" i="5"/>
  <c r="AY1587" i="5"/>
  <c r="AY1586" i="5"/>
  <c r="AY1585" i="5"/>
  <c r="AY1584" i="5"/>
  <c r="AY1583" i="5"/>
  <c r="AY1582" i="5"/>
  <c r="AY1581" i="5"/>
  <c r="AY1580" i="5"/>
  <c r="AY1579" i="5"/>
  <c r="AY1578" i="5"/>
  <c r="AY1577" i="5"/>
  <c r="AY1576" i="5"/>
  <c r="AY1575" i="5"/>
  <c r="AY1574" i="5"/>
  <c r="AY1573" i="5"/>
  <c r="AY1572" i="5"/>
  <c r="AY1571" i="5"/>
  <c r="AY1570" i="5"/>
  <c r="AY1569" i="5"/>
  <c r="AY1568" i="5"/>
  <c r="AY1567" i="5"/>
  <c r="AY1566" i="5"/>
  <c r="AY1565" i="5"/>
  <c r="AY1564" i="5"/>
  <c r="AY1563" i="5"/>
  <c r="AY1562" i="5"/>
  <c r="AY1561" i="5"/>
  <c r="AY1560" i="5"/>
  <c r="AY1559" i="5"/>
  <c r="AY1558" i="5"/>
  <c r="AY1557" i="5"/>
  <c r="AY1556" i="5"/>
  <c r="AY1555" i="5"/>
  <c r="AY1554" i="5"/>
  <c r="AY1553" i="5"/>
  <c r="AY1552" i="5"/>
  <c r="AY1551" i="5"/>
  <c r="AY1550" i="5"/>
  <c r="AY1549" i="5"/>
  <c r="AY1548" i="5"/>
  <c r="AY1547" i="5"/>
  <c r="AY1546" i="5"/>
  <c r="AY1545" i="5"/>
  <c r="AY1544" i="5"/>
  <c r="AY1543" i="5"/>
  <c r="AY1542" i="5"/>
  <c r="AY1541" i="5"/>
  <c r="AY1540" i="5"/>
  <c r="AY1539" i="5"/>
  <c r="AY1538" i="5"/>
  <c r="AY1537" i="5"/>
  <c r="AY1536" i="5"/>
  <c r="AY1535" i="5"/>
  <c r="AY1534" i="5"/>
  <c r="AY1533" i="5"/>
  <c r="AY1532" i="5"/>
  <c r="AY1531" i="5"/>
  <c r="AY1530" i="5"/>
  <c r="AY1529" i="5"/>
  <c r="AY1528" i="5"/>
  <c r="AY1527" i="5"/>
  <c r="AY1526" i="5"/>
  <c r="AY1525" i="5"/>
  <c r="AY1524" i="5"/>
  <c r="AY1523" i="5"/>
  <c r="AY1522" i="5"/>
  <c r="AY1521" i="5"/>
  <c r="AY1520" i="5"/>
  <c r="AY1519" i="5"/>
  <c r="AY1518" i="5"/>
  <c r="AY1517" i="5"/>
  <c r="AY1516" i="5"/>
  <c r="AY1515" i="5"/>
  <c r="AY1514" i="5"/>
  <c r="AY1513" i="5"/>
  <c r="AY1512" i="5"/>
  <c r="AY1511" i="5"/>
  <c r="AY1510" i="5"/>
  <c r="AY1509" i="5"/>
  <c r="AY1508" i="5"/>
  <c r="AY1507" i="5"/>
  <c r="AY1506" i="5"/>
  <c r="AY1505" i="5"/>
  <c r="AY1504" i="5"/>
  <c r="AY1503" i="5"/>
  <c r="AY1502" i="5"/>
  <c r="AY1501" i="5"/>
  <c r="AY1500" i="5"/>
  <c r="AY1499" i="5"/>
  <c r="AY1498" i="5"/>
  <c r="AY1497" i="5"/>
  <c r="AY1496" i="5"/>
  <c r="AY1495" i="5"/>
  <c r="AY1494" i="5"/>
  <c r="AY1493" i="5"/>
  <c r="AY1492" i="5"/>
  <c r="AY1491" i="5"/>
  <c r="AY1490" i="5"/>
  <c r="AY1489" i="5"/>
  <c r="AY1488" i="5"/>
  <c r="AY1487" i="5"/>
  <c r="AY1486" i="5"/>
  <c r="AY1485" i="5"/>
  <c r="AY1484" i="5"/>
  <c r="AY1483" i="5"/>
  <c r="AY1482" i="5"/>
  <c r="AY1481" i="5"/>
  <c r="AY1480" i="5"/>
  <c r="AY1479" i="5"/>
  <c r="AY1478" i="5"/>
  <c r="AY1477" i="5"/>
  <c r="AY1476" i="5"/>
  <c r="AY1475" i="5"/>
  <c r="AY1474" i="5"/>
  <c r="AY1473" i="5"/>
  <c r="AY1472" i="5"/>
  <c r="AY1471" i="5"/>
  <c r="AY1470" i="5"/>
  <c r="AY1469" i="5"/>
  <c r="AY1468" i="5"/>
  <c r="AY1467" i="5"/>
  <c r="AY1466" i="5"/>
  <c r="AY1465" i="5"/>
  <c r="AY1464" i="5"/>
  <c r="AY1463" i="5"/>
  <c r="AY1462" i="5"/>
  <c r="AY1461" i="5"/>
  <c r="AY1460" i="5"/>
  <c r="AY1459" i="5"/>
  <c r="AY1458" i="5"/>
  <c r="AY1457" i="5"/>
  <c r="AY1456" i="5"/>
  <c r="AY1455" i="5"/>
  <c r="AY1454" i="5"/>
  <c r="AY1453" i="5"/>
  <c r="AY1452" i="5"/>
  <c r="AY1451" i="5"/>
  <c r="AY1450" i="5"/>
  <c r="AY1449" i="5"/>
  <c r="AY1448" i="5"/>
  <c r="AY1447" i="5"/>
  <c r="AY1446" i="5"/>
  <c r="AY1445" i="5"/>
  <c r="AY1444" i="5"/>
  <c r="AY1443" i="5"/>
  <c r="AY1442" i="5"/>
  <c r="AY1441" i="5"/>
  <c r="AY1440" i="5"/>
  <c r="AY1439" i="5"/>
  <c r="AY1438" i="5"/>
  <c r="AY1437" i="5"/>
  <c r="AY1436" i="5"/>
  <c r="AY1435" i="5"/>
  <c r="AY1434" i="5"/>
  <c r="AY1433" i="5"/>
  <c r="AY1432" i="5"/>
  <c r="AY1431" i="5"/>
  <c r="AY1430" i="5"/>
  <c r="AY1429" i="5"/>
  <c r="AY1428" i="5"/>
  <c r="AY1427" i="5"/>
  <c r="AY1426" i="5"/>
  <c r="AY1425" i="5"/>
  <c r="AY1424" i="5"/>
  <c r="AY1423" i="5"/>
  <c r="AY1422" i="5"/>
  <c r="AY1421" i="5"/>
  <c r="AY1420" i="5"/>
  <c r="AY1419" i="5"/>
  <c r="AY1418" i="5"/>
  <c r="AY1417" i="5"/>
  <c r="AY1416" i="5"/>
  <c r="AY1415" i="5"/>
  <c r="AY1414" i="5"/>
  <c r="AY1413" i="5"/>
  <c r="AY1412" i="5"/>
  <c r="AY1411" i="5"/>
  <c r="AY1410" i="5"/>
  <c r="AY1409" i="5"/>
  <c r="AY1408" i="5"/>
  <c r="AY1407" i="5"/>
  <c r="AY1406" i="5"/>
  <c r="AY1405" i="5"/>
  <c r="AY1404" i="5"/>
  <c r="AY1403" i="5"/>
  <c r="AY1402" i="5"/>
  <c r="AY1401" i="5"/>
  <c r="AY1400" i="5"/>
  <c r="AY1399" i="5"/>
  <c r="AY1398" i="5"/>
  <c r="AY1397" i="5"/>
  <c r="AY1396" i="5"/>
  <c r="AY1395" i="5"/>
  <c r="AY1394" i="5"/>
  <c r="AY1393" i="5"/>
  <c r="AY1392" i="5"/>
  <c r="AY1391" i="5"/>
  <c r="AY1390" i="5"/>
  <c r="AY1389" i="5"/>
  <c r="AY1388" i="5"/>
  <c r="AY1387" i="5"/>
  <c r="AY1386" i="5"/>
  <c r="AY1385" i="5"/>
  <c r="AY1384" i="5"/>
  <c r="AY1383" i="5"/>
  <c r="AY1382" i="5"/>
  <c r="AY1381" i="5"/>
  <c r="AY1380" i="5"/>
  <c r="AY1379" i="5"/>
  <c r="AY1378" i="5"/>
  <c r="AY1377" i="5"/>
  <c r="AY1376" i="5"/>
  <c r="AY1375" i="5"/>
  <c r="AY1374" i="5"/>
  <c r="AY1373" i="5"/>
  <c r="AY1372" i="5"/>
  <c r="AY1371" i="5"/>
  <c r="AY1370" i="5"/>
  <c r="AY1369" i="5"/>
  <c r="AY1368" i="5"/>
  <c r="AY1367" i="5"/>
  <c r="AY1366" i="5"/>
  <c r="AY1365" i="5"/>
  <c r="AY1364" i="5"/>
  <c r="AY1363" i="5"/>
  <c r="AY1362" i="5"/>
  <c r="AY1361" i="5"/>
  <c r="AY1360" i="5"/>
  <c r="AY1359" i="5"/>
  <c r="AY1358" i="5"/>
  <c r="AY1357" i="5"/>
  <c r="AY1356" i="5"/>
  <c r="AY1355" i="5"/>
  <c r="AY1354" i="5"/>
  <c r="AY1353" i="5"/>
  <c r="AY1352" i="5"/>
  <c r="AY1351" i="5"/>
  <c r="AY1350" i="5"/>
  <c r="AY1349" i="5"/>
  <c r="AY1348" i="5"/>
  <c r="AY1347" i="5"/>
  <c r="AY1346" i="5"/>
  <c r="AY1345" i="5"/>
  <c r="AY1344" i="5"/>
  <c r="AY1343" i="5"/>
  <c r="AY1342" i="5"/>
  <c r="AY1341" i="5"/>
  <c r="AY1340" i="5"/>
  <c r="AY1339" i="5"/>
  <c r="AY1338" i="5"/>
  <c r="AY1337" i="5"/>
  <c r="AY1336" i="5"/>
  <c r="AY1335" i="5"/>
  <c r="AY1334" i="5"/>
  <c r="AY1333" i="5"/>
  <c r="AY1332" i="5"/>
  <c r="AY1331" i="5"/>
  <c r="AY1330" i="5"/>
  <c r="AY1329" i="5"/>
  <c r="AY1328" i="5"/>
  <c r="AY1327" i="5"/>
  <c r="AY1326" i="5"/>
  <c r="AY1325" i="5"/>
  <c r="AY1324" i="5"/>
  <c r="AY1323" i="5"/>
  <c r="AY1322" i="5"/>
  <c r="AY1321" i="5"/>
  <c r="AY1320" i="5"/>
  <c r="AY1319" i="5"/>
  <c r="AY1318" i="5"/>
  <c r="AY1317" i="5"/>
  <c r="AY1316" i="5"/>
  <c r="AY1315" i="5"/>
  <c r="AY1314" i="5"/>
  <c r="AY1313" i="5"/>
  <c r="AY1312" i="5"/>
  <c r="AY1311" i="5"/>
  <c r="AY1310" i="5"/>
  <c r="AY1309" i="5"/>
  <c r="AY1308" i="5"/>
  <c r="AY1307" i="5"/>
  <c r="AY1306" i="5"/>
  <c r="AY1305" i="5"/>
  <c r="AY1304" i="5"/>
  <c r="AY1303" i="5"/>
  <c r="AY1302" i="5"/>
  <c r="AY1301" i="5"/>
  <c r="AY1300" i="5"/>
  <c r="AY1299" i="5"/>
  <c r="AY1298" i="5"/>
  <c r="AY1297" i="5"/>
  <c r="AY1296" i="5"/>
  <c r="AY1295" i="5"/>
  <c r="AY1294" i="5"/>
  <c r="AY1293" i="5"/>
  <c r="AY1292" i="5"/>
  <c r="AY1291" i="5"/>
  <c r="AY1290" i="5"/>
  <c r="AY1289" i="5"/>
  <c r="AY1288" i="5"/>
  <c r="AY1287" i="5"/>
  <c r="AY1286" i="5"/>
  <c r="AY1285" i="5"/>
  <c r="AY1284" i="5"/>
  <c r="AY1283" i="5"/>
  <c r="AY1282" i="5"/>
  <c r="AY1281" i="5"/>
  <c r="AY1280" i="5"/>
  <c r="AY1279" i="5"/>
  <c r="AY1278" i="5"/>
  <c r="AY1277" i="5"/>
  <c r="AY1276" i="5"/>
  <c r="AY1275" i="5"/>
  <c r="AY1274" i="5"/>
  <c r="AY1273" i="5"/>
  <c r="AY1272" i="5"/>
  <c r="AY1271" i="5"/>
  <c r="AY1270" i="5"/>
  <c r="AY1269" i="5"/>
  <c r="AY1268" i="5"/>
  <c r="AY1267" i="5"/>
  <c r="AY1266" i="5"/>
  <c r="AY1265" i="5"/>
  <c r="AY1264" i="5"/>
  <c r="AY1263" i="5"/>
  <c r="AY1262" i="5"/>
  <c r="BA1597" i="5"/>
  <c r="BA1596" i="5"/>
  <c r="BA1595" i="5"/>
  <c r="BA1594" i="5"/>
  <c r="BA1593" i="5"/>
  <c r="BA1592" i="5"/>
  <c r="BA1591" i="5"/>
  <c r="BA1590" i="5"/>
  <c r="BA1589" i="5"/>
  <c r="BA1588" i="5"/>
  <c r="BA1587" i="5"/>
  <c r="BA1586" i="5"/>
  <c r="BA1585" i="5"/>
  <c r="BA1584" i="5"/>
  <c r="BA1583" i="5"/>
  <c r="BA1582" i="5"/>
  <c r="BA1581" i="5"/>
  <c r="BA1580" i="5"/>
  <c r="BA1579" i="5"/>
  <c r="BA1578" i="5"/>
  <c r="BA1577" i="5"/>
  <c r="BA1576" i="5"/>
  <c r="BA1575" i="5"/>
  <c r="BA1574" i="5"/>
  <c r="BA1573" i="5"/>
  <c r="BA1572" i="5"/>
  <c r="BA1571" i="5"/>
  <c r="BA1570" i="5"/>
  <c r="BA1569" i="5"/>
  <c r="BA1568" i="5"/>
  <c r="BA1567" i="5"/>
  <c r="BA1566" i="5"/>
  <c r="BA1565" i="5"/>
  <c r="BA1564" i="5"/>
  <c r="BA1563" i="5"/>
  <c r="BA1562" i="5"/>
  <c r="BA1561" i="5"/>
  <c r="BA1560" i="5"/>
  <c r="BA1559" i="5"/>
  <c r="BA1558" i="5"/>
  <c r="BA1557" i="5"/>
  <c r="BA1556" i="5"/>
  <c r="BA1555" i="5"/>
  <c r="BA1554" i="5"/>
  <c r="BA1553" i="5"/>
  <c r="BA1552" i="5"/>
  <c r="BA1551" i="5"/>
  <c r="BA1550" i="5"/>
  <c r="BA1549" i="5"/>
  <c r="BA1548" i="5"/>
  <c r="BA1547" i="5"/>
  <c r="BA1546" i="5"/>
  <c r="BA1545" i="5"/>
  <c r="BA1544" i="5"/>
  <c r="BA1543" i="5"/>
  <c r="BA1542" i="5"/>
  <c r="BA1541" i="5"/>
  <c r="BA1540" i="5"/>
  <c r="BA1539" i="5"/>
  <c r="BA1538" i="5"/>
  <c r="BA1537" i="5"/>
  <c r="BA1536" i="5"/>
  <c r="BA1535" i="5"/>
  <c r="BA1534" i="5"/>
  <c r="BA1533" i="5"/>
  <c r="BA1532" i="5"/>
  <c r="BA1531" i="5"/>
  <c r="BA1530" i="5"/>
  <c r="BA1529" i="5"/>
  <c r="BA1528" i="5"/>
  <c r="BA1527" i="5"/>
  <c r="BA1526" i="5"/>
  <c r="BA1525" i="5"/>
  <c r="BA1524" i="5"/>
  <c r="BA1523" i="5"/>
  <c r="BA1522" i="5"/>
  <c r="BA1521" i="5"/>
  <c r="BA1520" i="5"/>
  <c r="BA1519" i="5"/>
  <c r="BA1518" i="5"/>
  <c r="BA1517" i="5"/>
  <c r="BA1516" i="5"/>
  <c r="BA1515" i="5"/>
  <c r="BA1514" i="5"/>
  <c r="BA1513" i="5"/>
  <c r="BA1512" i="5"/>
  <c r="BA1511" i="5"/>
  <c r="BA1510" i="5"/>
  <c r="BA1509" i="5"/>
  <c r="BA1508" i="5"/>
  <c r="BA1507" i="5"/>
  <c r="BA1506" i="5"/>
  <c r="BA1505" i="5"/>
  <c r="BA1504" i="5"/>
  <c r="BA1503" i="5"/>
  <c r="BA1502" i="5"/>
  <c r="BA1501" i="5"/>
  <c r="BA1500" i="5"/>
  <c r="BA1499" i="5"/>
  <c r="BA1498" i="5"/>
  <c r="BA1497" i="5"/>
  <c r="BA1496" i="5"/>
  <c r="BA1495" i="5"/>
  <c r="BA1494" i="5"/>
  <c r="BA1493" i="5"/>
  <c r="BA1492" i="5"/>
  <c r="BA1491" i="5"/>
  <c r="BA1490" i="5"/>
  <c r="BA1489" i="5"/>
  <c r="BA1488" i="5"/>
  <c r="BA1487" i="5"/>
  <c r="BA1486" i="5"/>
  <c r="BA1485" i="5"/>
  <c r="BA1484" i="5"/>
  <c r="BA1483" i="5"/>
  <c r="BA1482" i="5"/>
  <c r="BA1481" i="5"/>
  <c r="BA1480" i="5"/>
  <c r="BA1479" i="5"/>
  <c r="BA1478" i="5"/>
  <c r="BA1477" i="5"/>
  <c r="BA1476" i="5"/>
  <c r="BA1475" i="5"/>
  <c r="BA1474" i="5"/>
  <c r="BA1473" i="5"/>
  <c r="BA1472" i="5"/>
  <c r="BA1471" i="5"/>
  <c r="BA1470" i="5"/>
  <c r="BA1469" i="5"/>
  <c r="BA1468" i="5"/>
  <c r="BA1467" i="5"/>
  <c r="BA1466" i="5"/>
  <c r="BA1465" i="5"/>
  <c r="BA1464" i="5"/>
  <c r="BA1463" i="5"/>
  <c r="BA1462" i="5"/>
  <c r="BA1461" i="5"/>
  <c r="BA1460" i="5"/>
  <c r="BA1459" i="5"/>
  <c r="BA1458" i="5"/>
  <c r="BA1457" i="5"/>
  <c r="BA1456" i="5"/>
  <c r="BA1455" i="5"/>
  <c r="BA1454" i="5"/>
  <c r="BA1453" i="5"/>
  <c r="BA1452" i="5"/>
  <c r="BA1451" i="5"/>
  <c r="BA1450" i="5"/>
  <c r="BA1449" i="5"/>
  <c r="BA1448" i="5"/>
  <c r="BA1447" i="5"/>
  <c r="BA1446" i="5"/>
  <c r="BA1445" i="5"/>
  <c r="BA1444" i="5"/>
  <c r="BA1443" i="5"/>
  <c r="BA1442" i="5"/>
  <c r="BA1441" i="5"/>
  <c r="BA1440" i="5"/>
  <c r="BA1439" i="5"/>
  <c r="BA1438" i="5"/>
  <c r="BA1437" i="5"/>
  <c r="BA1436" i="5"/>
  <c r="BA1435" i="5"/>
  <c r="BA1434" i="5"/>
  <c r="BA1433" i="5"/>
  <c r="BA1432" i="5"/>
  <c r="BA1431" i="5"/>
  <c r="BA1430" i="5"/>
  <c r="BA1429" i="5"/>
  <c r="BA1428" i="5"/>
  <c r="BA1427" i="5"/>
  <c r="BA1426" i="5"/>
  <c r="BA1425" i="5"/>
  <c r="BA1424" i="5"/>
  <c r="BA1423" i="5"/>
  <c r="BA1422" i="5"/>
  <c r="BA1421" i="5"/>
  <c r="BA1420" i="5"/>
  <c r="BA1419" i="5"/>
  <c r="BA1418" i="5"/>
  <c r="BA1417" i="5"/>
  <c r="BA1416" i="5"/>
  <c r="BA1415" i="5"/>
  <c r="BA1414" i="5"/>
  <c r="BA1413" i="5"/>
  <c r="BA1412" i="5"/>
  <c r="BA1411" i="5"/>
  <c r="BA1410" i="5"/>
  <c r="BA1409" i="5"/>
  <c r="BA1408" i="5"/>
  <c r="BA1407" i="5"/>
  <c r="BA1406" i="5"/>
  <c r="BA1405" i="5"/>
  <c r="BA1404" i="5"/>
  <c r="BA1403" i="5"/>
  <c r="BA1402" i="5"/>
  <c r="BA1401" i="5"/>
  <c r="BA1400" i="5"/>
  <c r="BA1399" i="5"/>
  <c r="BA1398" i="5"/>
  <c r="BA1397" i="5"/>
  <c r="BA1396" i="5"/>
  <c r="BA1395" i="5"/>
  <c r="BA1394" i="5"/>
  <c r="BA1393" i="5"/>
  <c r="BA1392" i="5"/>
  <c r="BA1391" i="5"/>
  <c r="BA1390" i="5"/>
  <c r="BA1389" i="5"/>
  <c r="BA1388" i="5"/>
  <c r="BA1387" i="5"/>
  <c r="BA1386" i="5"/>
  <c r="BA1385" i="5"/>
  <c r="BA1384" i="5"/>
  <c r="BA1383" i="5"/>
  <c r="BA1382" i="5"/>
  <c r="BA1381" i="5"/>
  <c r="BA1380" i="5"/>
  <c r="BA1379" i="5"/>
  <c r="BA1378" i="5"/>
  <c r="BA1377" i="5"/>
  <c r="BA1376" i="5"/>
  <c r="BA1375" i="5"/>
  <c r="BA1374" i="5"/>
  <c r="BA1373" i="5"/>
  <c r="BA1372" i="5"/>
  <c r="BA1371" i="5"/>
  <c r="BA1370" i="5"/>
  <c r="BA1369" i="5"/>
  <c r="BA1368" i="5"/>
  <c r="BA1367" i="5"/>
  <c r="BA1366" i="5"/>
  <c r="BA1365" i="5"/>
  <c r="BA1364" i="5"/>
  <c r="BA1363" i="5"/>
  <c r="BA1362" i="5"/>
  <c r="BA1361" i="5"/>
  <c r="BA1360" i="5"/>
  <c r="BA1359" i="5"/>
  <c r="BA1358" i="5"/>
  <c r="BA1357" i="5"/>
  <c r="BA1356" i="5"/>
  <c r="BA1355" i="5"/>
  <c r="BA1354" i="5"/>
  <c r="BA1353" i="5"/>
  <c r="BA1352" i="5"/>
  <c r="BA1351" i="5"/>
  <c r="BA1350" i="5"/>
  <c r="BA1349" i="5"/>
  <c r="BA1348" i="5"/>
  <c r="BA1347" i="5"/>
  <c r="BA1346" i="5"/>
  <c r="BA1345" i="5"/>
  <c r="BA1344" i="5"/>
  <c r="BA1343" i="5"/>
  <c r="BA1342" i="5"/>
  <c r="BA1341" i="5"/>
  <c r="BA1340" i="5"/>
  <c r="BA1339" i="5"/>
  <c r="BA1338" i="5"/>
  <c r="BA1337" i="5"/>
  <c r="BA1336" i="5"/>
  <c r="BA1335" i="5"/>
  <c r="BA1334" i="5"/>
  <c r="BA1333" i="5"/>
  <c r="BA1332" i="5"/>
  <c r="BA1331" i="5"/>
  <c r="BA1330" i="5"/>
  <c r="BA1329" i="5"/>
  <c r="BA1328" i="5"/>
  <c r="BA1327" i="5"/>
  <c r="BA1326" i="5"/>
  <c r="BA1325" i="5"/>
  <c r="BA1324" i="5"/>
  <c r="BA1323" i="5"/>
  <c r="BA1322" i="5"/>
  <c r="BA1321" i="5"/>
  <c r="BA1320" i="5"/>
  <c r="BA1319" i="5"/>
  <c r="BA1318" i="5"/>
  <c r="BA1317" i="5"/>
  <c r="BA1316" i="5"/>
  <c r="BA1315" i="5"/>
  <c r="BA1314" i="5"/>
  <c r="BA1313" i="5"/>
  <c r="BA1312" i="5"/>
  <c r="BA1311" i="5"/>
  <c r="BA1310" i="5"/>
  <c r="BA1309" i="5"/>
  <c r="BA1308" i="5"/>
  <c r="BA1307" i="5"/>
  <c r="BA1306" i="5"/>
  <c r="BA1305" i="5"/>
  <c r="BA1304" i="5"/>
  <c r="BA1303" i="5"/>
  <c r="BA1302" i="5"/>
  <c r="BA1301" i="5"/>
  <c r="BA1300" i="5"/>
  <c r="BA1299" i="5"/>
  <c r="BA1298" i="5"/>
  <c r="BA1297" i="5"/>
  <c r="BA1296" i="5"/>
  <c r="BA1295" i="5"/>
  <c r="BA1294" i="5"/>
  <c r="BA1293" i="5"/>
  <c r="BA1292" i="5"/>
  <c r="BA1291" i="5"/>
  <c r="BA1290" i="5"/>
  <c r="BA1289" i="5"/>
  <c r="BA1288" i="5"/>
  <c r="BA1287" i="5"/>
  <c r="BA1286" i="5"/>
  <c r="BA1285" i="5"/>
  <c r="BA1284" i="5"/>
  <c r="BA1283" i="5"/>
  <c r="BA1282" i="5"/>
  <c r="BA1281" i="5"/>
  <c r="BA1280" i="5"/>
  <c r="BA1279" i="5"/>
  <c r="BA1278" i="5"/>
  <c r="BA1277" i="5"/>
  <c r="BA1276" i="5"/>
  <c r="BA1275" i="5"/>
  <c r="BA1274" i="5"/>
  <c r="BA1273" i="5"/>
  <c r="BA1272" i="5"/>
  <c r="BA1271" i="5"/>
  <c r="BA1270" i="5"/>
  <c r="BA1269" i="5"/>
  <c r="BA1268" i="5"/>
  <c r="BA1267" i="5"/>
  <c r="BA1266" i="5"/>
  <c r="BA1265" i="5"/>
  <c r="BA1264" i="5"/>
  <c r="BA1263" i="5"/>
  <c r="BA1262" i="5"/>
  <c r="BA1261" i="5"/>
  <c r="BA1260" i="5"/>
  <c r="BA1259" i="5"/>
  <c r="BA1258" i="5"/>
  <c r="BA1257" i="5"/>
  <c r="BA1256" i="5"/>
  <c r="BA1255" i="5"/>
  <c r="BA1254" i="5"/>
  <c r="BA1253" i="5"/>
  <c r="BA1252" i="5"/>
  <c r="BA1251" i="5"/>
  <c r="BA1250" i="5"/>
  <c r="BA1249" i="5"/>
  <c r="BA1248" i="5"/>
  <c r="BA1247" i="5"/>
  <c r="BA1246" i="5"/>
  <c r="BA1245" i="5"/>
  <c r="BA1244" i="5"/>
  <c r="BA1243" i="5"/>
  <c r="BA1242" i="5"/>
  <c r="BA1241" i="5"/>
  <c r="BA1240" i="5"/>
  <c r="BA1239" i="5"/>
  <c r="BA1238" i="5"/>
  <c r="BA1237" i="5"/>
  <c r="BA1236" i="5"/>
  <c r="BA1235" i="5"/>
  <c r="BA1234" i="5"/>
  <c r="BA1233" i="5"/>
  <c r="BA1232" i="5"/>
  <c r="BA1231" i="5"/>
  <c r="BA1230" i="5"/>
  <c r="BA1229" i="5"/>
  <c r="BA1228" i="5"/>
  <c r="BA1227" i="5"/>
  <c r="BA1226" i="5"/>
  <c r="BA1225" i="5"/>
  <c r="BA1224" i="5"/>
  <c r="BA1223" i="5"/>
  <c r="BA1222" i="5"/>
  <c r="BA1221" i="5"/>
  <c r="BA1220" i="5"/>
  <c r="BA1219" i="5"/>
  <c r="BA1218" i="5"/>
  <c r="BA1217" i="5"/>
  <c r="BA1216" i="5"/>
  <c r="BA1215" i="5"/>
  <c r="BA1214" i="5"/>
  <c r="BA1213" i="5"/>
  <c r="BA1212" i="5"/>
  <c r="BA1211" i="5"/>
  <c r="BA1210" i="5"/>
  <c r="BA1209" i="5"/>
  <c r="BA1208" i="5"/>
  <c r="BA1207" i="5"/>
  <c r="BA1206" i="5"/>
  <c r="BA1205" i="5"/>
  <c r="BA1204" i="5"/>
  <c r="BA1203" i="5"/>
  <c r="BA1202" i="5"/>
  <c r="BA1201" i="5"/>
  <c r="BA1200" i="5"/>
  <c r="BA1199" i="5"/>
  <c r="BA1198" i="5"/>
  <c r="BA1197" i="5"/>
  <c r="BA1196" i="5"/>
  <c r="BA1195" i="5"/>
  <c r="BA1194" i="5"/>
  <c r="BA1193" i="5"/>
  <c r="BA1192" i="5"/>
  <c r="BA1191" i="5"/>
  <c r="BA1190" i="5"/>
  <c r="BA1189" i="5"/>
  <c r="BA1188" i="5"/>
  <c r="BA1187" i="5"/>
  <c r="BA1186" i="5"/>
  <c r="BA1185" i="5"/>
  <c r="BA1184" i="5"/>
  <c r="BA1183" i="5"/>
  <c r="BA1182" i="5"/>
  <c r="BA1181" i="5"/>
  <c r="BA1180" i="5"/>
  <c r="BA1179" i="5"/>
  <c r="BA1178" i="5"/>
  <c r="BA1177" i="5"/>
  <c r="BA1176" i="5"/>
  <c r="BA1175" i="5"/>
  <c r="BA1174" i="5"/>
  <c r="BA1173" i="5"/>
  <c r="BA1172" i="5"/>
  <c r="BA1171" i="5"/>
  <c r="BA1170" i="5"/>
  <c r="BA1169" i="5"/>
  <c r="BA1168" i="5"/>
  <c r="BA1167" i="5"/>
  <c r="BA1166" i="5"/>
  <c r="BA1165" i="5"/>
  <c r="BA1164" i="5"/>
  <c r="BA1163" i="5"/>
  <c r="BA1162" i="5"/>
  <c r="BA1161" i="5"/>
  <c r="BA1160" i="5"/>
  <c r="BA1159" i="5"/>
  <c r="BA1158" i="5"/>
  <c r="BA1157" i="5"/>
  <c r="BA1156" i="5"/>
  <c r="BA1155" i="5"/>
  <c r="BA1154" i="5"/>
  <c r="BA1153" i="5"/>
  <c r="BA1152" i="5"/>
  <c r="BA1151" i="5"/>
  <c r="BA1150" i="5"/>
  <c r="BA1149" i="5"/>
  <c r="BA1148" i="5"/>
  <c r="BA1147" i="5"/>
  <c r="BA1146" i="5"/>
  <c r="BA1145" i="5"/>
  <c r="BA1144" i="5"/>
  <c r="BA1143" i="5"/>
  <c r="BA1142" i="5"/>
  <c r="BA1141" i="5"/>
  <c r="BA1140" i="5"/>
  <c r="BA1139" i="5"/>
  <c r="BA1138" i="5"/>
  <c r="BA1137" i="5"/>
  <c r="BA1136" i="5"/>
  <c r="BA1135" i="5"/>
  <c r="BA1134" i="5"/>
  <c r="BA1133" i="5"/>
  <c r="BA1132" i="5"/>
  <c r="BA1131" i="5"/>
  <c r="BA1130" i="5"/>
  <c r="BA1129" i="5"/>
  <c r="BA1128" i="5"/>
  <c r="BA1127" i="5"/>
  <c r="BA1126" i="5"/>
  <c r="BA1125" i="5"/>
  <c r="BA1124" i="5"/>
  <c r="BA1123" i="5"/>
  <c r="BA1122" i="5"/>
  <c r="BA1121" i="5"/>
  <c r="BA1120" i="5"/>
  <c r="BA1119" i="5"/>
  <c r="BA1118" i="5"/>
  <c r="BA1117" i="5"/>
  <c r="BA1116" i="5"/>
  <c r="BA1115" i="5"/>
  <c r="BA1114" i="5"/>
  <c r="BA1113" i="5"/>
  <c r="BA1112" i="5"/>
  <c r="BA1111" i="5"/>
  <c r="BA1110" i="5"/>
  <c r="BA1109" i="5"/>
  <c r="BA1108" i="5"/>
  <c r="BA1107" i="5"/>
  <c r="BA1106" i="5"/>
  <c r="BA1105" i="5"/>
  <c r="BA1104" i="5"/>
  <c r="BA1103" i="5"/>
  <c r="BA1102" i="5"/>
  <c r="BA1101" i="5"/>
  <c r="BA1100" i="5"/>
  <c r="BA1099" i="5"/>
  <c r="BA1098" i="5"/>
  <c r="BA1097" i="5"/>
  <c r="BA1096" i="5"/>
  <c r="BA1095" i="5"/>
  <c r="BA1094" i="5"/>
  <c r="BA1093" i="5"/>
  <c r="BA1092" i="5"/>
  <c r="BA1091" i="5"/>
  <c r="BA1090" i="5"/>
  <c r="BA1089" i="5"/>
  <c r="BA1088" i="5"/>
  <c r="BA1087" i="5"/>
  <c r="BA1086" i="5"/>
  <c r="BA1085" i="5"/>
  <c r="BA1084" i="5"/>
  <c r="BA1083" i="5"/>
  <c r="BA1082" i="5"/>
  <c r="BA1081" i="5"/>
  <c r="BA1080" i="5"/>
  <c r="BA1079" i="5"/>
  <c r="BA1078" i="5"/>
  <c r="BA1077" i="5"/>
  <c r="BA1076" i="5"/>
  <c r="BA1075" i="5"/>
  <c r="BA1074" i="5"/>
  <c r="BA1073" i="5"/>
  <c r="BA1072" i="5"/>
  <c r="BA1071" i="5"/>
  <c r="BA1070" i="5"/>
  <c r="BA1069" i="5"/>
  <c r="BA1068" i="5"/>
  <c r="BA1067" i="5"/>
  <c r="BA1066" i="5"/>
  <c r="BA1065" i="5"/>
  <c r="BA1064" i="5"/>
  <c r="BA1063" i="5"/>
  <c r="BA1062" i="5"/>
  <c r="BA1061" i="5"/>
  <c r="BA1060" i="5"/>
  <c r="BA1059" i="5"/>
  <c r="BA1058" i="5"/>
  <c r="BA1057" i="5"/>
  <c r="BA1056" i="5"/>
  <c r="BA1055" i="5"/>
  <c r="BA1054" i="5"/>
  <c r="BA1053" i="5"/>
  <c r="BA1052" i="5"/>
  <c r="BA1051" i="5"/>
  <c r="BA1050" i="5"/>
  <c r="BA1049" i="5"/>
  <c r="BA1048" i="5"/>
  <c r="BA1047" i="5"/>
  <c r="BA1046" i="5"/>
  <c r="BA1045" i="5"/>
  <c r="BA1044" i="5"/>
  <c r="BA1043" i="5"/>
  <c r="BA1042" i="5"/>
  <c r="BA1041" i="5"/>
  <c r="BA1040" i="5"/>
  <c r="BA1039" i="5"/>
  <c r="BA1038" i="5"/>
  <c r="BA1037" i="5"/>
  <c r="BA1036" i="5"/>
  <c r="BA1035" i="5"/>
  <c r="BA1034" i="5"/>
  <c r="BA1033" i="5"/>
  <c r="BA1032" i="5"/>
  <c r="BA1031" i="5"/>
  <c r="BA1030" i="5"/>
  <c r="BA1029" i="5"/>
  <c r="BA1028" i="5"/>
  <c r="BA1027" i="5"/>
  <c r="BA1026" i="5"/>
  <c r="BA1025" i="5"/>
  <c r="BA1024" i="5"/>
  <c r="BA1023" i="5"/>
  <c r="BA1022" i="5"/>
  <c r="BA1021" i="5"/>
  <c r="BA1020" i="5"/>
  <c r="BA1019" i="5"/>
  <c r="BA1018" i="5"/>
  <c r="BA1017" i="5"/>
  <c r="BA1016" i="5"/>
  <c r="BA1015" i="5"/>
  <c r="BA1014" i="5"/>
  <c r="BA1013" i="5"/>
  <c r="BA1012" i="5"/>
  <c r="BA1011" i="5"/>
  <c r="BA1010" i="5"/>
  <c r="BA1009" i="5"/>
  <c r="BA1008" i="5"/>
  <c r="BA1007" i="5"/>
  <c r="BA1006" i="5"/>
  <c r="BA1005" i="5"/>
  <c r="BA1004" i="5"/>
  <c r="BA1003" i="5"/>
  <c r="BA1002" i="5"/>
  <c r="BA1001" i="5"/>
  <c r="BA1000" i="5"/>
  <c r="BA999" i="5"/>
  <c r="BA998" i="5"/>
  <c r="BA997" i="5"/>
  <c r="BA996" i="5"/>
  <c r="BA995" i="5"/>
  <c r="BA994" i="5"/>
  <c r="BA993" i="5"/>
  <c r="BA992" i="5"/>
  <c r="BA991" i="5"/>
  <c r="BA990" i="5"/>
  <c r="BA989" i="5"/>
  <c r="BA988" i="5"/>
  <c r="BA987" i="5"/>
  <c r="BA986" i="5"/>
  <c r="BA985" i="5"/>
  <c r="BA984" i="5"/>
  <c r="BA983" i="5"/>
  <c r="BA982" i="5"/>
  <c r="BA981" i="5"/>
  <c r="BA980" i="5"/>
  <c r="BA979" i="5"/>
  <c r="BA978" i="5"/>
  <c r="BA977" i="5"/>
  <c r="BA976" i="5"/>
  <c r="BA975" i="5"/>
  <c r="BA974" i="5"/>
  <c r="BA973" i="5"/>
  <c r="BA972" i="5"/>
  <c r="BA971" i="5"/>
  <c r="BA970" i="5"/>
  <c r="BA969" i="5"/>
  <c r="BA968" i="5"/>
  <c r="BA967" i="5"/>
  <c r="BA966" i="5"/>
  <c r="BA965" i="5"/>
  <c r="BA964" i="5"/>
  <c r="BA963" i="5"/>
  <c r="BA962" i="5"/>
  <c r="BA961" i="5"/>
  <c r="BA960" i="5"/>
  <c r="BA959" i="5"/>
  <c r="BA958" i="5"/>
  <c r="BA957" i="5"/>
  <c r="BA956" i="5"/>
  <c r="BA955" i="5"/>
  <c r="BA954" i="5"/>
  <c r="BA953" i="5"/>
  <c r="BA952" i="5"/>
  <c r="BA951" i="5"/>
  <c r="BA950" i="5"/>
  <c r="BA949" i="5"/>
  <c r="BA948" i="5"/>
  <c r="BA947" i="5"/>
  <c r="BA946" i="5"/>
  <c r="BA945" i="5"/>
  <c r="BA944" i="5"/>
  <c r="BA943" i="5"/>
  <c r="BA942" i="5"/>
  <c r="BA941" i="5"/>
  <c r="BA940" i="5"/>
  <c r="BA939" i="5"/>
  <c r="BA938" i="5"/>
  <c r="BA937" i="5"/>
  <c r="BA936" i="5"/>
  <c r="BA935" i="5"/>
  <c r="BA934" i="5"/>
  <c r="BA933" i="5"/>
  <c r="BA932" i="5"/>
  <c r="BA931" i="5"/>
  <c r="BA930" i="5"/>
  <c r="BA929" i="5"/>
  <c r="BA928" i="5"/>
  <c r="BA927" i="5"/>
  <c r="BA926" i="5"/>
  <c r="BA925" i="5"/>
  <c r="BA924" i="5"/>
  <c r="BA923" i="5"/>
  <c r="BA922" i="5"/>
  <c r="BA921" i="5"/>
  <c r="BA920" i="5"/>
  <c r="BA919" i="5"/>
  <c r="BA918" i="5"/>
  <c r="BA917" i="5"/>
  <c r="BA916" i="5"/>
  <c r="BA915" i="5"/>
  <c r="BA914" i="5"/>
  <c r="BA913" i="5"/>
  <c r="BA912" i="5"/>
  <c r="BA911" i="5"/>
  <c r="BA910" i="5"/>
  <c r="BA909" i="5"/>
  <c r="BA908" i="5"/>
  <c r="BA907" i="5"/>
  <c r="BA906" i="5"/>
  <c r="BA905" i="5"/>
  <c r="BA904" i="5"/>
  <c r="BA903" i="5"/>
  <c r="BA902" i="5"/>
  <c r="BA901" i="5"/>
  <c r="BA900" i="5"/>
  <c r="BA899" i="5"/>
  <c r="BA898" i="5"/>
  <c r="BA897" i="5"/>
  <c r="BA896" i="5"/>
  <c r="BA895" i="5"/>
  <c r="BA894" i="5"/>
  <c r="BA893" i="5"/>
  <c r="BA892" i="5"/>
  <c r="BA891" i="5"/>
  <c r="BA890" i="5"/>
  <c r="BA889" i="5"/>
  <c r="BA888" i="5"/>
  <c r="BA887" i="5"/>
  <c r="BA886" i="5"/>
  <c r="BA885" i="5"/>
  <c r="BA884" i="5"/>
  <c r="BA883" i="5"/>
  <c r="BA882" i="5"/>
  <c r="BA881" i="5"/>
  <c r="BA880" i="5"/>
  <c r="BA879" i="5"/>
  <c r="BA878" i="5"/>
  <c r="BA877" i="5"/>
  <c r="BA876" i="5"/>
  <c r="BA875" i="5"/>
  <c r="BA874" i="5"/>
  <c r="BA873" i="5"/>
  <c r="BA872" i="5"/>
  <c r="BA871" i="5"/>
  <c r="BA870" i="5"/>
  <c r="BA869" i="5"/>
  <c r="BA868" i="5"/>
  <c r="BA867" i="5"/>
  <c r="BA866" i="5"/>
  <c r="BA865" i="5"/>
  <c r="BA864" i="5"/>
  <c r="BA863" i="5"/>
  <c r="BA862" i="5"/>
  <c r="BA861" i="5"/>
  <c r="BA860" i="5"/>
  <c r="BA859" i="5"/>
  <c r="BA858" i="5"/>
  <c r="BA857" i="5"/>
  <c r="BA856" i="5"/>
  <c r="BA855" i="5"/>
  <c r="BA854" i="5"/>
  <c r="BA853" i="5"/>
  <c r="BA852" i="5"/>
  <c r="BA851" i="5"/>
  <c r="BA850" i="5"/>
  <c r="BA849" i="5"/>
  <c r="BA848" i="5"/>
  <c r="BA847" i="5"/>
  <c r="BA846" i="5"/>
  <c r="BA845" i="5"/>
  <c r="BA844" i="5"/>
  <c r="BA843" i="5"/>
  <c r="BA842" i="5"/>
  <c r="BA841" i="5"/>
  <c r="BA840" i="5"/>
  <c r="BA839" i="5"/>
  <c r="BA838" i="5"/>
  <c r="BA837" i="5"/>
  <c r="BA836" i="5"/>
  <c r="BA835" i="5"/>
  <c r="BA834" i="5"/>
  <c r="BA833" i="5"/>
  <c r="BA832" i="5"/>
  <c r="BA831" i="5"/>
  <c r="BA830" i="5"/>
  <c r="BA829" i="5"/>
  <c r="BA828" i="5"/>
  <c r="BA827" i="5"/>
  <c r="BA826" i="5"/>
  <c r="BA825" i="5"/>
  <c r="BA824" i="5"/>
  <c r="BA823" i="5"/>
  <c r="BA822" i="5"/>
  <c r="BA821" i="5"/>
  <c r="BA820" i="5"/>
  <c r="BA819" i="5"/>
  <c r="BA818" i="5"/>
  <c r="BA817" i="5"/>
  <c r="BA816" i="5"/>
  <c r="BA815" i="5"/>
  <c r="BA814" i="5"/>
  <c r="BA813" i="5"/>
  <c r="BA812" i="5"/>
  <c r="BA811" i="5"/>
  <c r="BA810" i="5"/>
  <c r="BA809" i="5"/>
  <c r="BA808" i="5"/>
  <c r="BA807" i="5"/>
  <c r="BA806" i="5"/>
  <c r="BA805" i="5"/>
  <c r="BA804" i="5"/>
  <c r="BA803" i="5"/>
  <c r="BA802" i="5"/>
  <c r="BA801" i="5"/>
  <c r="BA800" i="5"/>
  <c r="BA799" i="5"/>
  <c r="BA798" i="5"/>
  <c r="BA797" i="5"/>
  <c r="BA796" i="5"/>
  <c r="BA795" i="5"/>
  <c r="BA794" i="5"/>
  <c r="BA793" i="5"/>
  <c r="BA792" i="5"/>
  <c r="BA791" i="5"/>
  <c r="BA790" i="5"/>
  <c r="BA789" i="5"/>
  <c r="BA788" i="5"/>
  <c r="BA787" i="5"/>
  <c r="BA786" i="5"/>
  <c r="BA785" i="5"/>
  <c r="BA784" i="5"/>
  <c r="BA783" i="5"/>
  <c r="BA782" i="5"/>
  <c r="BA781" i="5"/>
  <c r="BA780" i="5"/>
  <c r="BA779" i="5"/>
  <c r="BA778" i="5"/>
  <c r="BA777" i="5"/>
  <c r="BA776" i="5"/>
  <c r="BA775" i="5"/>
  <c r="BA774" i="5"/>
  <c r="BA773" i="5"/>
  <c r="BA772" i="5"/>
  <c r="BA771" i="5"/>
  <c r="BA770" i="5"/>
  <c r="BA769" i="5"/>
  <c r="BA768" i="5"/>
  <c r="BA767" i="5"/>
  <c r="BA766" i="5"/>
  <c r="BA765" i="5"/>
  <c r="BA764" i="5"/>
  <c r="BA763" i="5"/>
  <c r="BA762" i="5"/>
  <c r="BA761" i="5"/>
  <c r="BA760" i="5"/>
  <c r="BA759" i="5"/>
  <c r="BA758" i="5"/>
  <c r="BA757" i="5"/>
  <c r="BA756" i="5"/>
  <c r="BA755" i="5"/>
  <c r="BA754" i="5"/>
  <c r="BA753" i="5"/>
  <c r="BA752" i="5"/>
  <c r="BA751" i="5"/>
  <c r="BA750" i="5"/>
  <c r="BA749" i="5"/>
  <c r="BA748" i="5"/>
  <c r="BA747" i="5"/>
  <c r="BA746" i="5"/>
  <c r="BA745" i="5"/>
  <c r="BA744" i="5"/>
  <c r="BA743" i="5"/>
  <c r="BA742" i="5"/>
  <c r="BA741" i="5"/>
  <c r="BA740" i="5"/>
  <c r="BA739" i="5"/>
  <c r="BA738" i="5"/>
  <c r="BA737" i="5"/>
  <c r="BA736" i="5"/>
  <c r="BA735" i="5"/>
  <c r="BA734" i="5"/>
  <c r="BA733" i="5"/>
  <c r="BA732" i="5"/>
  <c r="BA731" i="5"/>
  <c r="BA730" i="5"/>
  <c r="BA729" i="5"/>
  <c r="BA728" i="5"/>
  <c r="BA727" i="5"/>
  <c r="BA726" i="5"/>
  <c r="BA725" i="5"/>
  <c r="BA724" i="5"/>
  <c r="BA723" i="5"/>
  <c r="BA722" i="5"/>
  <c r="BA721" i="5"/>
  <c r="BA720" i="5"/>
  <c r="BA719" i="5"/>
  <c r="BA718" i="5"/>
  <c r="BA717" i="5"/>
  <c r="BA716" i="5"/>
  <c r="BA715" i="5"/>
  <c r="BA714" i="5"/>
  <c r="BA713" i="5"/>
  <c r="BA712" i="5"/>
  <c r="BA711" i="5"/>
  <c r="BA710" i="5"/>
  <c r="BA709" i="5"/>
  <c r="BA708" i="5"/>
  <c r="BA707" i="5"/>
  <c r="BA706" i="5"/>
  <c r="BA705" i="5"/>
  <c r="BA704" i="5"/>
  <c r="BA703" i="5"/>
  <c r="BA702" i="5"/>
  <c r="BA701" i="5"/>
  <c r="BA700" i="5"/>
  <c r="BA699" i="5"/>
  <c r="BA698" i="5"/>
  <c r="BA697" i="5"/>
  <c r="BA696" i="5"/>
  <c r="BA695" i="5"/>
  <c r="BA694" i="5"/>
  <c r="BA693" i="5"/>
  <c r="BA692" i="5"/>
  <c r="BA691" i="5"/>
  <c r="BA690" i="5"/>
  <c r="BA689" i="5"/>
  <c r="BA688" i="5"/>
  <c r="BA687" i="5"/>
  <c r="BA686" i="5"/>
  <c r="BA685" i="5"/>
  <c r="BA684" i="5"/>
  <c r="BA683" i="5"/>
  <c r="BA682" i="5"/>
  <c r="BA681" i="5"/>
  <c r="BA680" i="5"/>
  <c r="BA679" i="5"/>
  <c r="BA678" i="5"/>
  <c r="BA677" i="5"/>
  <c r="BA676" i="5"/>
  <c r="BA675" i="5"/>
  <c r="BA674" i="5"/>
  <c r="BA673" i="5"/>
  <c r="BA672" i="5"/>
  <c r="BA671" i="5"/>
  <c r="BA670" i="5"/>
  <c r="BA669" i="5"/>
  <c r="BA668" i="5"/>
  <c r="BA667" i="5"/>
  <c r="BA666" i="5"/>
  <c r="BA665" i="5"/>
  <c r="BA664" i="5"/>
  <c r="BA663" i="5"/>
  <c r="BA662" i="5"/>
  <c r="BA661" i="5"/>
  <c r="BA660" i="5"/>
  <c r="BA659" i="5"/>
  <c r="BA658" i="5"/>
  <c r="BA657" i="5"/>
  <c r="BA656" i="5"/>
  <c r="BA655" i="5"/>
  <c r="BA654" i="5"/>
  <c r="BA653" i="5"/>
  <c r="BA652" i="5"/>
  <c r="BA651" i="5"/>
  <c r="BA650" i="5"/>
  <c r="BA649" i="5"/>
  <c r="BA648" i="5"/>
  <c r="BA647" i="5"/>
  <c r="BA646" i="5"/>
  <c r="BA645" i="5"/>
  <c r="BA644" i="5"/>
  <c r="BA643" i="5"/>
  <c r="BA642" i="5"/>
  <c r="BA641" i="5"/>
  <c r="BA640" i="5"/>
  <c r="BA639" i="5"/>
  <c r="BA638" i="5"/>
  <c r="BA637" i="5"/>
  <c r="BA636" i="5"/>
  <c r="BA635" i="5"/>
  <c r="BA634" i="5"/>
  <c r="BA633" i="5"/>
  <c r="BA632" i="5"/>
  <c r="BA631" i="5"/>
  <c r="BA630" i="5"/>
  <c r="BA629" i="5"/>
  <c r="BA628" i="5"/>
  <c r="BA627" i="5"/>
  <c r="BA626" i="5"/>
  <c r="BA625" i="5"/>
  <c r="BA624" i="5"/>
  <c r="BA623" i="5"/>
  <c r="BA622" i="5"/>
  <c r="BA621" i="5"/>
  <c r="BA620" i="5"/>
  <c r="BA619" i="5"/>
  <c r="BA618" i="5"/>
  <c r="BA617" i="5"/>
  <c r="BA616" i="5"/>
  <c r="BA615" i="5"/>
  <c r="BA614" i="5"/>
  <c r="BA613" i="5"/>
  <c r="BA612" i="5"/>
  <c r="BA611" i="5"/>
  <c r="BA610" i="5"/>
  <c r="BA609" i="5"/>
  <c r="BA608" i="5"/>
  <c r="BA607" i="5"/>
  <c r="BA606" i="5"/>
  <c r="BA605" i="5"/>
  <c r="BA604" i="5"/>
  <c r="BA603" i="5"/>
  <c r="BA602" i="5"/>
  <c r="BA601" i="5"/>
  <c r="BA600" i="5"/>
  <c r="BA599" i="5"/>
  <c r="BA598" i="5"/>
  <c r="BA597" i="5"/>
  <c r="BA596" i="5"/>
  <c r="BA595" i="5"/>
  <c r="BA594" i="5"/>
  <c r="BA593" i="5"/>
  <c r="BA592" i="5"/>
  <c r="BA591" i="5"/>
  <c r="BA590" i="5"/>
  <c r="BA589" i="5"/>
  <c r="BA588" i="5"/>
  <c r="BA587" i="5"/>
  <c r="BA586" i="5"/>
  <c r="BA585" i="5"/>
  <c r="BA584" i="5"/>
  <c r="BA583" i="5"/>
  <c r="BA582" i="5"/>
  <c r="BA581" i="5"/>
  <c r="BA580" i="5"/>
  <c r="AY1261" i="5"/>
  <c r="AY1260" i="5"/>
  <c r="AY1259" i="5"/>
  <c r="AY1258" i="5"/>
  <c r="AY1257" i="5"/>
  <c r="AY1256" i="5"/>
  <c r="AY1255" i="5"/>
  <c r="AY1254" i="5"/>
  <c r="AY1253" i="5"/>
  <c r="AY1252" i="5"/>
  <c r="AY1251" i="5"/>
  <c r="AY1250" i="5"/>
  <c r="AY1249" i="5"/>
  <c r="AY1248" i="5"/>
  <c r="AY1247" i="5"/>
  <c r="AY1246" i="5"/>
  <c r="AY1245" i="5"/>
  <c r="AY1244" i="5"/>
  <c r="AY1243" i="5"/>
  <c r="AY1242" i="5"/>
  <c r="AY1241" i="5"/>
  <c r="AY1240" i="5"/>
  <c r="AY1239" i="5"/>
  <c r="AY1238" i="5"/>
  <c r="AY1237" i="5"/>
  <c r="AY1236" i="5"/>
  <c r="AY1235" i="5"/>
  <c r="AY1234" i="5"/>
  <c r="AY1233" i="5"/>
  <c r="AY1232" i="5"/>
  <c r="AY1231" i="5"/>
  <c r="AY1230" i="5"/>
  <c r="AY1229" i="5"/>
  <c r="AY1228" i="5"/>
  <c r="AY1227" i="5"/>
  <c r="AY1226" i="5"/>
  <c r="AY1225" i="5"/>
  <c r="AY1224" i="5"/>
  <c r="AY1223" i="5"/>
  <c r="AY1222" i="5"/>
  <c r="AY1221" i="5"/>
  <c r="AY1220" i="5"/>
  <c r="AY1219" i="5"/>
  <c r="AY1218" i="5"/>
  <c r="AY1217" i="5"/>
  <c r="AY1216" i="5"/>
  <c r="AY1215" i="5"/>
  <c r="AY1214" i="5"/>
  <c r="AY1213" i="5"/>
  <c r="AY1212" i="5"/>
  <c r="AY1211" i="5"/>
  <c r="AY1210" i="5"/>
  <c r="AY1209" i="5"/>
  <c r="AY1208" i="5"/>
  <c r="AY1207" i="5"/>
  <c r="AY1206" i="5"/>
  <c r="AY1205" i="5"/>
  <c r="AY1204" i="5"/>
  <c r="AY1203" i="5"/>
  <c r="AY1202" i="5"/>
  <c r="AY1201" i="5"/>
  <c r="AY1200" i="5"/>
  <c r="AY1199" i="5"/>
  <c r="AY1198" i="5"/>
  <c r="AY1197" i="5"/>
  <c r="AY1196" i="5"/>
  <c r="AY1195" i="5"/>
  <c r="AY1194" i="5"/>
  <c r="AY1193" i="5"/>
  <c r="AY1192" i="5"/>
  <c r="AY1191" i="5"/>
  <c r="AY1190" i="5"/>
  <c r="AY1189" i="5"/>
  <c r="AY1188" i="5"/>
  <c r="AY1187" i="5"/>
  <c r="AY1186" i="5"/>
  <c r="AY1185" i="5"/>
  <c r="AY1184" i="5"/>
  <c r="AY1183" i="5"/>
  <c r="AY1182" i="5"/>
  <c r="AY1181" i="5"/>
  <c r="AY1180" i="5"/>
  <c r="AY1179" i="5"/>
  <c r="AY1178" i="5"/>
  <c r="AY1177" i="5"/>
  <c r="AY1176" i="5"/>
  <c r="AY1175" i="5"/>
  <c r="AY1174" i="5"/>
  <c r="AY1173" i="5"/>
  <c r="AY1172" i="5"/>
  <c r="AY1171" i="5"/>
  <c r="AY1170" i="5"/>
  <c r="AY1169" i="5"/>
  <c r="AY1168" i="5"/>
  <c r="AY1167" i="5"/>
  <c r="AY1166" i="5"/>
  <c r="AY1165" i="5"/>
  <c r="AY1164" i="5"/>
  <c r="AY1163" i="5"/>
  <c r="AY1162" i="5"/>
  <c r="AY1161" i="5"/>
  <c r="AY1160" i="5"/>
  <c r="AY1159" i="5"/>
  <c r="AY1158" i="5"/>
  <c r="AY1157" i="5"/>
  <c r="AY1156" i="5"/>
  <c r="AY1155" i="5"/>
  <c r="AY1154" i="5"/>
  <c r="AY1153" i="5"/>
  <c r="AY1152" i="5"/>
  <c r="AY1151" i="5"/>
  <c r="AY1150" i="5"/>
  <c r="AY1149" i="5"/>
  <c r="AY1148" i="5"/>
  <c r="AY1147" i="5"/>
  <c r="AY1146" i="5"/>
  <c r="AY1145" i="5"/>
  <c r="AY1144" i="5"/>
  <c r="AY1143" i="5"/>
  <c r="AY1142" i="5"/>
  <c r="AY1141" i="5"/>
  <c r="AY1140" i="5"/>
  <c r="AY1139" i="5"/>
  <c r="AY1138" i="5"/>
  <c r="AY1137" i="5"/>
  <c r="AY1136" i="5"/>
  <c r="AY1135" i="5"/>
  <c r="AY1134" i="5"/>
  <c r="AY1133" i="5"/>
  <c r="AY1132" i="5"/>
  <c r="AY1131" i="5"/>
  <c r="AY1130" i="5"/>
  <c r="AY1129" i="5"/>
  <c r="AY1128" i="5"/>
  <c r="AY1127" i="5"/>
  <c r="AY1126" i="5"/>
  <c r="AY1125" i="5"/>
  <c r="AY1124" i="5"/>
  <c r="AY1123" i="5"/>
  <c r="AY1122" i="5"/>
  <c r="AY1121" i="5"/>
  <c r="AY1120" i="5"/>
  <c r="AY1119" i="5"/>
  <c r="AY1118" i="5"/>
  <c r="AY1117" i="5"/>
  <c r="AY1116" i="5"/>
  <c r="AY1115" i="5"/>
  <c r="AY1114" i="5"/>
  <c r="AY1113" i="5"/>
  <c r="AY1112" i="5"/>
  <c r="AY1111" i="5"/>
  <c r="AY1110" i="5"/>
  <c r="AY1109" i="5"/>
  <c r="AY1108" i="5"/>
  <c r="AY1107" i="5"/>
  <c r="AY1106" i="5"/>
  <c r="AY1105" i="5"/>
  <c r="AY1104" i="5"/>
  <c r="AY1103" i="5"/>
  <c r="AY1102" i="5"/>
  <c r="AY1101" i="5"/>
  <c r="AY1100" i="5"/>
  <c r="AY1099" i="5"/>
  <c r="AY1098" i="5"/>
  <c r="AY1097" i="5"/>
  <c r="AY1096" i="5"/>
  <c r="AY1095" i="5"/>
  <c r="AY1094" i="5"/>
  <c r="AY1093" i="5"/>
  <c r="AY1092" i="5"/>
  <c r="AY1091" i="5"/>
  <c r="AY1090" i="5"/>
  <c r="AY1089" i="5"/>
  <c r="AY1088" i="5"/>
  <c r="AY1087" i="5"/>
  <c r="AY1086" i="5"/>
  <c r="AY1085" i="5"/>
  <c r="AY1084" i="5"/>
  <c r="AY1083" i="5"/>
  <c r="AY1082" i="5"/>
  <c r="AY1081" i="5"/>
  <c r="AY1080" i="5"/>
  <c r="AY1079" i="5"/>
  <c r="AY1078" i="5"/>
  <c r="AY1077" i="5"/>
  <c r="AY1076" i="5"/>
  <c r="AY1075" i="5"/>
  <c r="AY1074" i="5"/>
  <c r="AY1073" i="5"/>
  <c r="AY1072" i="5"/>
  <c r="AY1071" i="5"/>
  <c r="AY1070" i="5"/>
  <c r="AY1069" i="5"/>
  <c r="AY1068" i="5"/>
  <c r="AY1067" i="5"/>
  <c r="AY1066" i="5"/>
  <c r="AY1065" i="5"/>
  <c r="AY1064" i="5"/>
  <c r="AY1063" i="5"/>
  <c r="AY1062" i="5"/>
  <c r="AY1061" i="5"/>
  <c r="AY1060" i="5"/>
  <c r="AY1059" i="5"/>
  <c r="AY1058" i="5"/>
  <c r="AY1057" i="5"/>
  <c r="AY1056" i="5"/>
  <c r="AY1055" i="5"/>
  <c r="AY1054" i="5"/>
  <c r="AY1053" i="5"/>
  <c r="AY1052" i="5"/>
  <c r="AY1051" i="5"/>
  <c r="AY1050" i="5"/>
  <c r="AY1049" i="5"/>
  <c r="AY1048" i="5"/>
  <c r="AY1047" i="5"/>
  <c r="AY1046" i="5"/>
  <c r="AY1045" i="5"/>
  <c r="AY1044" i="5"/>
  <c r="AY1043" i="5"/>
  <c r="AY1042" i="5"/>
  <c r="AY1041" i="5"/>
  <c r="AY1040" i="5"/>
  <c r="AY1039" i="5"/>
  <c r="AY1038" i="5"/>
  <c r="AY1037" i="5"/>
  <c r="AY1036" i="5"/>
  <c r="AY1035" i="5"/>
  <c r="AY1034" i="5"/>
  <c r="AY1033" i="5"/>
  <c r="AY1032" i="5"/>
  <c r="AY1031" i="5"/>
  <c r="AY1030" i="5"/>
  <c r="AY1029" i="5"/>
  <c r="AY1028" i="5"/>
  <c r="AY1027" i="5"/>
  <c r="AY1026" i="5"/>
  <c r="AY1025" i="5"/>
  <c r="AY1024" i="5"/>
  <c r="AY1023" i="5"/>
  <c r="AY1022" i="5"/>
  <c r="AY1021" i="5"/>
  <c r="AY1020" i="5"/>
  <c r="AY1019" i="5"/>
  <c r="AY1018" i="5"/>
  <c r="AY1017" i="5"/>
  <c r="AY1016" i="5"/>
  <c r="AY1015" i="5"/>
  <c r="AY1014" i="5"/>
  <c r="AY1013" i="5"/>
  <c r="AY1012" i="5"/>
  <c r="AY1011" i="5"/>
  <c r="AY1010" i="5"/>
  <c r="AY1009" i="5"/>
  <c r="AY1008" i="5"/>
  <c r="AY1007" i="5"/>
  <c r="AY1006" i="5"/>
  <c r="AY1005" i="5"/>
  <c r="AY1004" i="5"/>
  <c r="AY1003" i="5"/>
  <c r="AY1002" i="5"/>
  <c r="AY1001" i="5"/>
  <c r="AY1000" i="5"/>
  <c r="AY999" i="5"/>
  <c r="AY998" i="5"/>
  <c r="AY997" i="5"/>
  <c r="AY996" i="5"/>
  <c r="AY995" i="5"/>
  <c r="AY994" i="5"/>
  <c r="AY993" i="5"/>
  <c r="AY992" i="5"/>
  <c r="AY991" i="5"/>
  <c r="AY990" i="5"/>
  <c r="AY989" i="5"/>
  <c r="AY988" i="5"/>
  <c r="AY987" i="5"/>
  <c r="AY986" i="5"/>
  <c r="AY985" i="5"/>
  <c r="AY984" i="5"/>
  <c r="AY983" i="5"/>
  <c r="AY982" i="5"/>
  <c r="AY981" i="5"/>
  <c r="AY980" i="5"/>
  <c r="AY979" i="5"/>
  <c r="AY978" i="5"/>
  <c r="AY977" i="5"/>
  <c r="AY976" i="5"/>
  <c r="AY975" i="5"/>
  <c r="AY974" i="5"/>
  <c r="AY973" i="5"/>
  <c r="AY972" i="5"/>
  <c r="AY971" i="5"/>
  <c r="AY970" i="5"/>
  <c r="AY969" i="5"/>
  <c r="AY968" i="5"/>
  <c r="AY967" i="5"/>
  <c r="AY966" i="5"/>
  <c r="AY965" i="5"/>
  <c r="AY964" i="5"/>
  <c r="AY963" i="5"/>
  <c r="AY962" i="5"/>
  <c r="AY961" i="5"/>
  <c r="AY960" i="5"/>
  <c r="AY959" i="5"/>
  <c r="AY958" i="5"/>
  <c r="AY957" i="5"/>
  <c r="AY956" i="5"/>
  <c r="AY955" i="5"/>
  <c r="AY954" i="5"/>
  <c r="AY953" i="5"/>
  <c r="AY952" i="5"/>
  <c r="AY951" i="5"/>
  <c r="AY950" i="5"/>
  <c r="AY949" i="5"/>
  <c r="AY948" i="5"/>
  <c r="AY947" i="5"/>
  <c r="AY946" i="5"/>
  <c r="AY945" i="5"/>
  <c r="AY944" i="5"/>
  <c r="AY943" i="5"/>
  <c r="AY942" i="5"/>
  <c r="AY941" i="5"/>
  <c r="AY940" i="5"/>
  <c r="AY939" i="5"/>
  <c r="AY938" i="5"/>
  <c r="AY937" i="5"/>
  <c r="AY936" i="5"/>
  <c r="AY935" i="5"/>
  <c r="AY934" i="5"/>
  <c r="AY933" i="5"/>
  <c r="AY932" i="5"/>
  <c r="AY931" i="5"/>
  <c r="AY930" i="5"/>
  <c r="AY929" i="5"/>
  <c r="AY928" i="5"/>
  <c r="AY927" i="5"/>
  <c r="AY926" i="5"/>
  <c r="AY925" i="5"/>
  <c r="AY924" i="5"/>
  <c r="AY923" i="5"/>
  <c r="AY922" i="5"/>
  <c r="AY921" i="5"/>
  <c r="AY920" i="5"/>
  <c r="AY919" i="5"/>
  <c r="AY918" i="5"/>
  <c r="AY917" i="5"/>
  <c r="AY916" i="5"/>
  <c r="AY915" i="5"/>
  <c r="AY914" i="5"/>
  <c r="AY913" i="5"/>
  <c r="AY912" i="5"/>
  <c r="AY911" i="5"/>
  <c r="AY910" i="5"/>
  <c r="AY909" i="5"/>
  <c r="AY908" i="5"/>
  <c r="AY907" i="5"/>
  <c r="AY906" i="5"/>
  <c r="AY905" i="5"/>
  <c r="AY904" i="5"/>
  <c r="AY903" i="5"/>
  <c r="AY902" i="5"/>
  <c r="AY901" i="5"/>
  <c r="AY900" i="5"/>
  <c r="AY899" i="5"/>
  <c r="AY898" i="5"/>
  <c r="AY897" i="5"/>
  <c r="AY896" i="5"/>
  <c r="AY895" i="5"/>
  <c r="AY894" i="5"/>
  <c r="AY893" i="5"/>
  <c r="AY892" i="5"/>
  <c r="AY891" i="5"/>
  <c r="AY890" i="5"/>
  <c r="AY889" i="5"/>
  <c r="AY888" i="5"/>
  <c r="AY887" i="5"/>
  <c r="AY886" i="5"/>
  <c r="AY885" i="5"/>
  <c r="AY884" i="5"/>
  <c r="AY883" i="5"/>
  <c r="AY882" i="5"/>
  <c r="AY881" i="5"/>
  <c r="AY880" i="5"/>
  <c r="AY879" i="5"/>
  <c r="AY878" i="5"/>
  <c r="AY877" i="5"/>
  <c r="AY876" i="5"/>
  <c r="AY875" i="5"/>
  <c r="AY874" i="5"/>
  <c r="AY873" i="5"/>
  <c r="AY872" i="5"/>
  <c r="AY871" i="5"/>
  <c r="AY870" i="5"/>
  <c r="AY869" i="5"/>
  <c r="AY868" i="5"/>
  <c r="AY867" i="5"/>
  <c r="AY866" i="5"/>
  <c r="AY865" i="5"/>
  <c r="AY864" i="5"/>
  <c r="AY863" i="5"/>
  <c r="AY862" i="5"/>
  <c r="AY861" i="5"/>
  <c r="AY860" i="5"/>
  <c r="AY859" i="5"/>
  <c r="AY858" i="5"/>
  <c r="AY857" i="5"/>
  <c r="AY856" i="5"/>
  <c r="AY855" i="5"/>
  <c r="AY854" i="5"/>
  <c r="AY853" i="5"/>
  <c r="AY852" i="5"/>
  <c r="AY851" i="5"/>
  <c r="AY850" i="5"/>
  <c r="AY849" i="5"/>
  <c r="AY848" i="5"/>
  <c r="AY847" i="5"/>
  <c r="AY846" i="5"/>
  <c r="AY845" i="5"/>
  <c r="AY844" i="5"/>
  <c r="AY843" i="5"/>
  <c r="AY842" i="5"/>
  <c r="AY841" i="5"/>
  <c r="AY840" i="5"/>
  <c r="AY839" i="5"/>
  <c r="AY838" i="5"/>
  <c r="AY837" i="5"/>
  <c r="AY836" i="5"/>
  <c r="AY835" i="5"/>
  <c r="AY834" i="5"/>
  <c r="AY833" i="5"/>
  <c r="AY832" i="5"/>
  <c r="AY831" i="5"/>
  <c r="AY830" i="5"/>
  <c r="AY829" i="5"/>
  <c r="AY828" i="5"/>
  <c r="AY827" i="5"/>
  <c r="AY826" i="5"/>
  <c r="AY825" i="5"/>
  <c r="AY824" i="5"/>
  <c r="AY823" i="5"/>
  <c r="AY822" i="5"/>
  <c r="AY821" i="5"/>
  <c r="AY820" i="5"/>
  <c r="AY819" i="5"/>
  <c r="AY818" i="5"/>
  <c r="AY817" i="5"/>
  <c r="AY816" i="5"/>
  <c r="AY815" i="5"/>
  <c r="AY814" i="5"/>
  <c r="AY813" i="5"/>
  <c r="AY812" i="5"/>
  <c r="AY811" i="5"/>
  <c r="AY810" i="5"/>
  <c r="AY809" i="5"/>
  <c r="AY808" i="5"/>
  <c r="AY807" i="5"/>
  <c r="AY806" i="5"/>
  <c r="AY805" i="5"/>
  <c r="AY804" i="5"/>
  <c r="AY803" i="5"/>
  <c r="AY802" i="5"/>
  <c r="AY801" i="5"/>
  <c r="AY800" i="5"/>
  <c r="AY799" i="5"/>
  <c r="AY798" i="5"/>
  <c r="AY797" i="5"/>
  <c r="AY796" i="5"/>
  <c r="AY795" i="5"/>
  <c r="AY794" i="5"/>
  <c r="AY793" i="5"/>
  <c r="AY792" i="5"/>
  <c r="AY791" i="5"/>
  <c r="AY790" i="5"/>
  <c r="AY789" i="5"/>
  <c r="AY788" i="5"/>
  <c r="AY787" i="5"/>
  <c r="AY786" i="5"/>
  <c r="AY785" i="5"/>
  <c r="AY784" i="5"/>
  <c r="AY783" i="5"/>
  <c r="AY782" i="5"/>
  <c r="AY781" i="5"/>
  <c r="AY780" i="5"/>
  <c r="AY779" i="5"/>
  <c r="AY778" i="5"/>
  <c r="AY777" i="5"/>
  <c r="AY776" i="5"/>
  <c r="AY775" i="5"/>
  <c r="AY774" i="5"/>
  <c r="AY773" i="5"/>
  <c r="AY772" i="5"/>
  <c r="AY771" i="5"/>
  <c r="AY770" i="5"/>
  <c r="AY769" i="5"/>
  <c r="AY768" i="5"/>
  <c r="AY767" i="5"/>
  <c r="AY766" i="5"/>
  <c r="AY765" i="5"/>
  <c r="AY764" i="5"/>
  <c r="AY763" i="5"/>
  <c r="AY762" i="5"/>
  <c r="AY761" i="5"/>
  <c r="AY760" i="5"/>
  <c r="AY759" i="5"/>
  <c r="AY758" i="5"/>
  <c r="AY757" i="5"/>
  <c r="AY756" i="5"/>
  <c r="AY755" i="5"/>
  <c r="AY754" i="5"/>
  <c r="AY753" i="5"/>
  <c r="AY752" i="5"/>
  <c r="AY751" i="5"/>
  <c r="AY750" i="5"/>
  <c r="AY749" i="5"/>
  <c r="AY748" i="5"/>
  <c r="AY747" i="5"/>
  <c r="AY746" i="5"/>
  <c r="AY745" i="5"/>
  <c r="AY744" i="5"/>
  <c r="AY743" i="5"/>
  <c r="AY742" i="5"/>
  <c r="AY741" i="5"/>
  <c r="AY740" i="5"/>
  <c r="AY739" i="5"/>
  <c r="AY738" i="5"/>
  <c r="AY737" i="5"/>
  <c r="AY736" i="5"/>
  <c r="AY735" i="5"/>
  <c r="AY734" i="5"/>
  <c r="AY733" i="5"/>
  <c r="AY732" i="5"/>
  <c r="AY731" i="5"/>
  <c r="AY730" i="5"/>
  <c r="AY729" i="5"/>
  <c r="AY728" i="5"/>
  <c r="AY727" i="5"/>
  <c r="AY726" i="5"/>
  <c r="AY725" i="5"/>
  <c r="AY724" i="5"/>
  <c r="AY723" i="5"/>
  <c r="AY722" i="5"/>
  <c r="AY721" i="5"/>
  <c r="AY720" i="5"/>
  <c r="AY719" i="5"/>
  <c r="AY718" i="5"/>
  <c r="AY717" i="5"/>
  <c r="AY716" i="5"/>
  <c r="AY715" i="5"/>
  <c r="AY714" i="5"/>
  <c r="AY713" i="5"/>
  <c r="AY712" i="5"/>
  <c r="AY711" i="5"/>
  <c r="AY710" i="5"/>
  <c r="AY709" i="5"/>
  <c r="AY708" i="5"/>
  <c r="AY707" i="5"/>
  <c r="AY706" i="5"/>
  <c r="AY705" i="5"/>
  <c r="AY704" i="5"/>
  <c r="AY703" i="5"/>
  <c r="AY702" i="5"/>
  <c r="AY701" i="5"/>
  <c r="AY700" i="5"/>
  <c r="AY699" i="5"/>
  <c r="AY698" i="5"/>
  <c r="AY697" i="5"/>
  <c r="AY696" i="5"/>
  <c r="AY695" i="5"/>
  <c r="AY694" i="5"/>
  <c r="AY693" i="5"/>
  <c r="AY692" i="5"/>
  <c r="AY691" i="5"/>
  <c r="AY690" i="5"/>
  <c r="AY689" i="5"/>
  <c r="AY688" i="5"/>
  <c r="AY687" i="5"/>
  <c r="AY686" i="5"/>
  <c r="AY685" i="5"/>
  <c r="AY684" i="5"/>
  <c r="AY683" i="5"/>
  <c r="AY682" i="5"/>
  <c r="AY681" i="5"/>
  <c r="AY680" i="5"/>
  <c r="AY679" i="5"/>
  <c r="AY678" i="5"/>
  <c r="AY677" i="5"/>
  <c r="AY676" i="5"/>
  <c r="AY675" i="5"/>
  <c r="AY674" i="5"/>
  <c r="AY673" i="5"/>
  <c r="AY672" i="5"/>
  <c r="AY671" i="5"/>
  <c r="AY670" i="5"/>
  <c r="AY669" i="5"/>
  <c r="AY668" i="5"/>
  <c r="AY667" i="5"/>
  <c r="AY666" i="5"/>
  <c r="AY665" i="5"/>
  <c r="AY664" i="5"/>
  <c r="AY663" i="5"/>
  <c r="AY662" i="5"/>
  <c r="AY661" i="5"/>
  <c r="AY660" i="5"/>
  <c r="AY659" i="5"/>
  <c r="AY658" i="5"/>
  <c r="AY657" i="5"/>
  <c r="AY656" i="5"/>
  <c r="AY655" i="5"/>
  <c r="AY654" i="5"/>
  <c r="AY653" i="5"/>
  <c r="AY652" i="5"/>
  <c r="AY651" i="5"/>
  <c r="AY650" i="5"/>
  <c r="AY649" i="5"/>
  <c r="AY648" i="5"/>
  <c r="AY647" i="5"/>
  <c r="AY646" i="5"/>
  <c r="AY645" i="5"/>
  <c r="AY644" i="5"/>
  <c r="AY643" i="5"/>
  <c r="AY642" i="5"/>
  <c r="AY641" i="5"/>
  <c r="AY640" i="5"/>
  <c r="AY639" i="5"/>
  <c r="AY638" i="5"/>
  <c r="AY637" i="5"/>
  <c r="AY636" i="5"/>
  <c r="AY635" i="5"/>
  <c r="AY634" i="5"/>
  <c r="AY633" i="5"/>
  <c r="AY632" i="5"/>
  <c r="AY631" i="5"/>
  <c r="AY630" i="5"/>
  <c r="AY629" i="5"/>
  <c r="AY628" i="5"/>
  <c r="AY627" i="5"/>
  <c r="AY626" i="5"/>
  <c r="AY625" i="5"/>
  <c r="AY624" i="5"/>
  <c r="AY623" i="5"/>
  <c r="AY622" i="5"/>
  <c r="AY621" i="5"/>
  <c r="AY620" i="5"/>
  <c r="AY619" i="5"/>
  <c r="AY618" i="5"/>
  <c r="AY617" i="5"/>
  <c r="AY616" i="5"/>
  <c r="AY615" i="5"/>
  <c r="AY614" i="5"/>
  <c r="AY613" i="5"/>
  <c r="AY612" i="5"/>
  <c r="AY611" i="5"/>
  <c r="AY610" i="5"/>
  <c r="AY609" i="5"/>
  <c r="AY608" i="5"/>
  <c r="AY607" i="5"/>
  <c r="AY606" i="5"/>
  <c r="AY605" i="5"/>
  <c r="AY604" i="5"/>
  <c r="AY603" i="5"/>
  <c r="AY602" i="5"/>
  <c r="AY601" i="5"/>
  <c r="AY600" i="5"/>
  <c r="AY599" i="5"/>
  <c r="AY598" i="5"/>
  <c r="AY597" i="5"/>
  <c r="AY596" i="5"/>
  <c r="AY595" i="5"/>
  <c r="AY594" i="5"/>
  <c r="AY593" i="5"/>
  <c r="AY592" i="5"/>
  <c r="AY591" i="5"/>
  <c r="AY590" i="5"/>
  <c r="AY589" i="5"/>
  <c r="AY588" i="5"/>
  <c r="AY587" i="5"/>
  <c r="AY586" i="5"/>
  <c r="AY585" i="5"/>
  <c r="AY584" i="5"/>
  <c r="AY583" i="5"/>
  <c r="AY582" i="5"/>
  <c r="AY581" i="5"/>
  <c r="AY580" i="5"/>
  <c r="BA579" i="5"/>
  <c r="BA578" i="5"/>
  <c r="BA577" i="5"/>
  <c r="BA576" i="5"/>
  <c r="BA575" i="5"/>
  <c r="BA574" i="5"/>
  <c r="BA573" i="5"/>
  <c r="BA572" i="5"/>
  <c r="BA571" i="5"/>
  <c r="BA570" i="5"/>
  <c r="BA569" i="5"/>
  <c r="BA568" i="5"/>
  <c r="BA567" i="5"/>
  <c r="BA566" i="5"/>
  <c r="BA565" i="5"/>
  <c r="BA564" i="5"/>
  <c r="BA563" i="5"/>
  <c r="BA562" i="5"/>
  <c r="BA561" i="5"/>
  <c r="BA560" i="5"/>
  <c r="BA559" i="5"/>
  <c r="BA558" i="5"/>
  <c r="BA557" i="5"/>
  <c r="BA556" i="5"/>
  <c r="BA555" i="5"/>
  <c r="BA554" i="5"/>
  <c r="BA553" i="5"/>
  <c r="BA552" i="5"/>
  <c r="BA551" i="5"/>
  <c r="BA550" i="5"/>
  <c r="BA549" i="5"/>
  <c r="BA548" i="5"/>
  <c r="BA547" i="5"/>
  <c r="BA546" i="5"/>
  <c r="BA545" i="5"/>
  <c r="BA544" i="5"/>
  <c r="BA543" i="5"/>
  <c r="BA542" i="5"/>
  <c r="BA541" i="5"/>
  <c r="BA540" i="5"/>
  <c r="BA539" i="5"/>
  <c r="BA538" i="5"/>
  <c r="BA537" i="5"/>
  <c r="BA536" i="5"/>
  <c r="BA535" i="5"/>
  <c r="BA534" i="5"/>
  <c r="BA533" i="5"/>
  <c r="BA532" i="5"/>
  <c r="BA531" i="5"/>
  <c r="BA530" i="5"/>
  <c r="BA529" i="5"/>
  <c r="BA528" i="5"/>
  <c r="BA527" i="5"/>
  <c r="BA526" i="5"/>
  <c r="BA525" i="5"/>
  <c r="BA524" i="5"/>
  <c r="BA523" i="5"/>
  <c r="BA522" i="5"/>
  <c r="BA521" i="5"/>
  <c r="BA520" i="5"/>
  <c r="BA519" i="5"/>
  <c r="BA518" i="5"/>
  <c r="BA517" i="5"/>
  <c r="BA516" i="5"/>
  <c r="BA515" i="5"/>
  <c r="BA514" i="5"/>
  <c r="BA513" i="5"/>
  <c r="BA512" i="5"/>
  <c r="BA511" i="5"/>
  <c r="BA510" i="5"/>
  <c r="BA509" i="5"/>
  <c r="BA508" i="5"/>
  <c r="BA507" i="5"/>
  <c r="BA506" i="5"/>
  <c r="BA505" i="5"/>
  <c r="BA504" i="5"/>
  <c r="BA503" i="5"/>
  <c r="BA502" i="5"/>
  <c r="BA501" i="5"/>
  <c r="BA500" i="5"/>
  <c r="BA499" i="5"/>
  <c r="BA498" i="5"/>
  <c r="BA497" i="5"/>
  <c r="BA496" i="5"/>
  <c r="BA495" i="5"/>
  <c r="BA494" i="5"/>
  <c r="BA493" i="5"/>
  <c r="BA492" i="5"/>
  <c r="BA491" i="5"/>
  <c r="BA490" i="5"/>
  <c r="BA489" i="5"/>
  <c r="BA488" i="5"/>
  <c r="BA487" i="5"/>
  <c r="BA486" i="5"/>
  <c r="BA485" i="5"/>
  <c r="BA484" i="5"/>
  <c r="BA483" i="5"/>
  <c r="BA482" i="5"/>
  <c r="BA481" i="5"/>
  <c r="BA480" i="5"/>
  <c r="BA479" i="5"/>
  <c r="BA478" i="5"/>
  <c r="BA477" i="5"/>
  <c r="BA476" i="5"/>
  <c r="BA475" i="5"/>
  <c r="BA474" i="5"/>
  <c r="BA473" i="5"/>
  <c r="BA472" i="5"/>
  <c r="BA471" i="5"/>
  <c r="BA470" i="5"/>
  <c r="BA469" i="5"/>
  <c r="BA468" i="5"/>
  <c r="BA467" i="5"/>
  <c r="BA466" i="5"/>
  <c r="BA465" i="5"/>
  <c r="BA464" i="5"/>
  <c r="BA463" i="5"/>
  <c r="BA462" i="5"/>
  <c r="BA461" i="5"/>
  <c r="BA460" i="5"/>
  <c r="BA459" i="5"/>
  <c r="BA458" i="5"/>
  <c r="BA457" i="5"/>
  <c r="BA456" i="5"/>
  <c r="BA455" i="5"/>
  <c r="BA454" i="5"/>
  <c r="BA453" i="5"/>
  <c r="BA452" i="5"/>
  <c r="BA451" i="5"/>
  <c r="BA450" i="5"/>
  <c r="BA449" i="5"/>
  <c r="BA448" i="5"/>
  <c r="BA447" i="5"/>
  <c r="BA446" i="5"/>
  <c r="BA445" i="5"/>
  <c r="BA444" i="5"/>
  <c r="BA443" i="5"/>
  <c r="BA442" i="5"/>
  <c r="BA441" i="5"/>
  <c r="BA440" i="5"/>
  <c r="BA439" i="5"/>
  <c r="BA438" i="5"/>
  <c r="BA437" i="5"/>
  <c r="BA436" i="5"/>
  <c r="BA435" i="5"/>
  <c r="BA434" i="5"/>
  <c r="BA433" i="5"/>
  <c r="BA432" i="5"/>
  <c r="BA431" i="5"/>
  <c r="BA430" i="5"/>
  <c r="BA429" i="5"/>
  <c r="BA428" i="5"/>
  <c r="BA427" i="5"/>
  <c r="BA426" i="5"/>
  <c r="BA425" i="5"/>
  <c r="BA424" i="5"/>
  <c r="BA423" i="5"/>
  <c r="BA422" i="5"/>
  <c r="BA421" i="5"/>
  <c r="BA420" i="5"/>
  <c r="BA419" i="5"/>
  <c r="BA418" i="5"/>
  <c r="BA417" i="5"/>
  <c r="BA416" i="5"/>
  <c r="BA415" i="5"/>
  <c r="BA414" i="5"/>
  <c r="BA413" i="5"/>
  <c r="BA412" i="5"/>
  <c r="BA411" i="5"/>
  <c r="BA410" i="5"/>
  <c r="BA409" i="5"/>
  <c r="BA408" i="5"/>
  <c r="BA407" i="5"/>
  <c r="BA406" i="5"/>
  <c r="BA405" i="5"/>
  <c r="BA404" i="5"/>
  <c r="BA403" i="5"/>
  <c r="BA402" i="5"/>
  <c r="BA401" i="5"/>
  <c r="BA400" i="5"/>
  <c r="BA399" i="5"/>
  <c r="BA398" i="5"/>
  <c r="BA397" i="5"/>
  <c r="BA396" i="5"/>
  <c r="BA395" i="5"/>
  <c r="BA394" i="5"/>
  <c r="BA393" i="5"/>
  <c r="BA392" i="5"/>
  <c r="BA391" i="5"/>
  <c r="BA390" i="5"/>
  <c r="BA389" i="5"/>
  <c r="BA388" i="5"/>
  <c r="BA387" i="5"/>
  <c r="BA386" i="5"/>
  <c r="BA385" i="5"/>
  <c r="BA384" i="5"/>
  <c r="BA383" i="5"/>
  <c r="BA382" i="5"/>
  <c r="BA381" i="5"/>
  <c r="BA380" i="5"/>
  <c r="BA379" i="5"/>
  <c r="BA378" i="5"/>
  <c r="BA377" i="5"/>
  <c r="BA376" i="5"/>
  <c r="BA375" i="5"/>
  <c r="BA374" i="5"/>
  <c r="BA373" i="5"/>
  <c r="BA372" i="5"/>
  <c r="BA371" i="5"/>
  <c r="BA370" i="5"/>
  <c r="BA369" i="5"/>
  <c r="BA368" i="5"/>
  <c r="BA367" i="5"/>
  <c r="BA366" i="5"/>
  <c r="BA365" i="5"/>
  <c r="BA364" i="5"/>
  <c r="BA363" i="5"/>
  <c r="BA362" i="5"/>
  <c r="BA361" i="5"/>
  <c r="BA360" i="5"/>
  <c r="BA359" i="5"/>
  <c r="BA358" i="5"/>
  <c r="BA357" i="5"/>
  <c r="BA356" i="5"/>
  <c r="BA355" i="5"/>
  <c r="BA354" i="5"/>
  <c r="BA353" i="5"/>
  <c r="BA352" i="5"/>
  <c r="BA351" i="5"/>
  <c r="BA350" i="5"/>
  <c r="BA349" i="5"/>
  <c r="BA348" i="5"/>
  <c r="BA347" i="5"/>
  <c r="BA346" i="5"/>
  <c r="BA345" i="5"/>
  <c r="BA344" i="5"/>
  <c r="BA343" i="5"/>
  <c r="BA342" i="5"/>
  <c r="BA341" i="5"/>
  <c r="BA340" i="5"/>
  <c r="BA339" i="5"/>
  <c r="BA338" i="5"/>
  <c r="BA337" i="5"/>
  <c r="BA336" i="5"/>
  <c r="BA335" i="5"/>
  <c r="BA334" i="5"/>
  <c r="BA333" i="5"/>
  <c r="BA332" i="5"/>
  <c r="BA331" i="5"/>
  <c r="BA330" i="5"/>
  <c r="BA329" i="5"/>
  <c r="BA328" i="5"/>
  <c r="BA327" i="5"/>
  <c r="BA326" i="5"/>
  <c r="BA325" i="5"/>
  <c r="BA324" i="5"/>
  <c r="BA323" i="5"/>
  <c r="BA322" i="5"/>
  <c r="BA321" i="5"/>
  <c r="BA320" i="5"/>
  <c r="BA319" i="5"/>
  <c r="BA318" i="5"/>
  <c r="BA317" i="5"/>
  <c r="BA316" i="5"/>
  <c r="BA315" i="5"/>
  <c r="BA314" i="5"/>
  <c r="BA313" i="5"/>
  <c r="BA312" i="5"/>
  <c r="BA311" i="5"/>
  <c r="BA310" i="5"/>
  <c r="BA309" i="5"/>
  <c r="BA308" i="5"/>
  <c r="BA307" i="5"/>
  <c r="BA306" i="5"/>
  <c r="BA305" i="5"/>
  <c r="BA304" i="5"/>
  <c r="BA303" i="5"/>
  <c r="BA302" i="5"/>
  <c r="BA301" i="5"/>
  <c r="BA300" i="5"/>
  <c r="BA299" i="5"/>
  <c r="BA298" i="5"/>
  <c r="BA297" i="5"/>
  <c r="BA296" i="5"/>
  <c r="BA295" i="5"/>
  <c r="BA294" i="5"/>
  <c r="BA293" i="5"/>
  <c r="BA292" i="5"/>
  <c r="BA291" i="5"/>
  <c r="BA290" i="5"/>
  <c r="BA289" i="5"/>
  <c r="BA288" i="5"/>
  <c r="BA287" i="5"/>
  <c r="BA286" i="5"/>
  <c r="BA285" i="5"/>
  <c r="BA284" i="5"/>
  <c r="BA283" i="5"/>
  <c r="BA282" i="5"/>
  <c r="BA281" i="5"/>
  <c r="BA280" i="5"/>
  <c r="BA279" i="5"/>
  <c r="BA278" i="5"/>
  <c r="BA277" i="5"/>
  <c r="BA276" i="5"/>
  <c r="BA275" i="5"/>
  <c r="BA274" i="5"/>
  <c r="BA273" i="5"/>
  <c r="BA272" i="5"/>
  <c r="BA271" i="5"/>
  <c r="BA270" i="5"/>
  <c r="BA269" i="5"/>
  <c r="BA268" i="5"/>
  <c r="BA267" i="5"/>
  <c r="BA266" i="5"/>
  <c r="BA265" i="5"/>
  <c r="BA264" i="5"/>
  <c r="BA263" i="5"/>
  <c r="BA262" i="5"/>
  <c r="BA261" i="5"/>
  <c r="BA260" i="5"/>
  <c r="BA259" i="5"/>
  <c r="BA258" i="5"/>
  <c r="BA257" i="5"/>
  <c r="BA256" i="5"/>
  <c r="BA255" i="5"/>
  <c r="BA254" i="5"/>
  <c r="BA253" i="5"/>
  <c r="BA252" i="5"/>
  <c r="BA251" i="5"/>
  <c r="BA250" i="5"/>
  <c r="BA249" i="5"/>
  <c r="BA248" i="5"/>
  <c r="BA247" i="5"/>
  <c r="BA246" i="5"/>
  <c r="BA245" i="5"/>
  <c r="BA244" i="5"/>
  <c r="BA243" i="5"/>
  <c r="BA242" i="5"/>
  <c r="BA241" i="5"/>
  <c r="BA240" i="5"/>
  <c r="BA239" i="5"/>
  <c r="BA238" i="5"/>
  <c r="BA237" i="5"/>
  <c r="BA236" i="5"/>
  <c r="BA235" i="5"/>
  <c r="BA234" i="5"/>
  <c r="BA233" i="5"/>
  <c r="BA232" i="5"/>
  <c r="BA231" i="5"/>
  <c r="BA230" i="5"/>
  <c r="BA229" i="5"/>
  <c r="BA228" i="5"/>
  <c r="BA227" i="5"/>
  <c r="BA226" i="5"/>
  <c r="BA225" i="5"/>
  <c r="BA224" i="5"/>
  <c r="BA223" i="5"/>
  <c r="BA222" i="5"/>
  <c r="BA221" i="5"/>
  <c r="BA220" i="5"/>
  <c r="BA219" i="5"/>
  <c r="BA218" i="5"/>
  <c r="BA217" i="5"/>
  <c r="BA216" i="5"/>
  <c r="BA215" i="5"/>
  <c r="BA214" i="5"/>
  <c r="BA213" i="5"/>
  <c r="BA212" i="5"/>
  <c r="BA211" i="5"/>
  <c r="BA210" i="5"/>
  <c r="BA209" i="5"/>
  <c r="BA208" i="5"/>
  <c r="BA207" i="5"/>
  <c r="BA206" i="5"/>
  <c r="BA205" i="5"/>
  <c r="BA204" i="5"/>
  <c r="BA203" i="5"/>
  <c r="BA202" i="5"/>
  <c r="BA201" i="5"/>
  <c r="BA200" i="5"/>
  <c r="BA199" i="5"/>
  <c r="BA198" i="5"/>
  <c r="BA197" i="5"/>
  <c r="BA196" i="5"/>
  <c r="BA195" i="5"/>
  <c r="BA194" i="5"/>
  <c r="BA193" i="5"/>
  <c r="BA192" i="5"/>
  <c r="BA191" i="5"/>
  <c r="BA190" i="5"/>
  <c r="BA189" i="5"/>
  <c r="BA188" i="5"/>
  <c r="BA187" i="5"/>
  <c r="BA186" i="5"/>
  <c r="BA185" i="5"/>
  <c r="BA184" i="5"/>
  <c r="BA183" i="5"/>
  <c r="BA182" i="5"/>
  <c r="BA181" i="5"/>
  <c r="BA180" i="5"/>
  <c r="BA179" i="5"/>
  <c r="BA178" i="5"/>
  <c r="BA177" i="5"/>
  <c r="BA176" i="5"/>
  <c r="BA175" i="5"/>
  <c r="BA174" i="5"/>
  <c r="BA173" i="5"/>
  <c r="BA172" i="5"/>
  <c r="BA171" i="5"/>
  <c r="BA170" i="5"/>
  <c r="BA169" i="5"/>
  <c r="BA168" i="5"/>
  <c r="BA167" i="5"/>
  <c r="BA166" i="5"/>
  <c r="BA165" i="5"/>
  <c r="BA164" i="5"/>
  <c r="BA163" i="5"/>
  <c r="BA162" i="5"/>
  <c r="BA161" i="5"/>
  <c r="BA160" i="5"/>
  <c r="BA159" i="5"/>
  <c r="BA158" i="5"/>
  <c r="BA157" i="5"/>
  <c r="BA156" i="5"/>
  <c r="BA155" i="5"/>
  <c r="BA154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33" i="5"/>
  <c r="BA132" i="5"/>
  <c r="BA131" i="5"/>
  <c r="BA130" i="5"/>
  <c r="BA129" i="5"/>
  <c r="BA128" i="5"/>
  <c r="BA127" i="5"/>
  <c r="BA126" i="5"/>
  <c r="BA125" i="5"/>
  <c r="BA124" i="5"/>
  <c r="BA123" i="5"/>
  <c r="BA122" i="5"/>
  <c r="BA121" i="5"/>
  <c r="BA120" i="5"/>
  <c r="BA119" i="5"/>
  <c r="BA118" i="5"/>
  <c r="BA117" i="5"/>
  <c r="BA116" i="5"/>
  <c r="BA115" i="5"/>
  <c r="BA114" i="5"/>
  <c r="BA113" i="5"/>
  <c r="BA112" i="5"/>
  <c r="BA111" i="5"/>
  <c r="BA110" i="5"/>
  <c r="BA109" i="5"/>
  <c r="BA108" i="5"/>
  <c r="BA107" i="5"/>
  <c r="BA106" i="5"/>
  <c r="BA105" i="5"/>
  <c r="BA104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9" i="5"/>
  <c r="BA88" i="5"/>
  <c r="BA87" i="5"/>
  <c r="BA86" i="5"/>
  <c r="BA85" i="5"/>
  <c r="BA84" i="5"/>
  <c r="BA83" i="5"/>
  <c r="BA82" i="5"/>
  <c r="BA81" i="5"/>
  <c r="BA80" i="5"/>
  <c r="BA79" i="5"/>
  <c r="BA78" i="5"/>
  <c r="BA77" i="5"/>
  <c r="BA76" i="5"/>
  <c r="BA75" i="5"/>
  <c r="BA74" i="5"/>
  <c r="BA73" i="5"/>
  <c r="BA72" i="5"/>
  <c r="BA71" i="5"/>
  <c r="BA70" i="5"/>
  <c r="BA69" i="5"/>
  <c r="BA68" i="5"/>
  <c r="BA67" i="5"/>
  <c r="BA66" i="5"/>
  <c r="BA65" i="5"/>
  <c r="BA64" i="5"/>
  <c r="BA63" i="5"/>
  <c r="BA62" i="5"/>
  <c r="BA61" i="5"/>
  <c r="BA60" i="5"/>
  <c r="BA59" i="5"/>
  <c r="BA58" i="5"/>
  <c r="BA57" i="5"/>
  <c r="BA56" i="5"/>
  <c r="BA55" i="5"/>
  <c r="BA54" i="5"/>
  <c r="BA53" i="5"/>
  <c r="BA52" i="5"/>
  <c r="BA51" i="5"/>
  <c r="BA50" i="5"/>
  <c r="BA49" i="5"/>
  <c r="BA48" i="5"/>
  <c r="BA47" i="5"/>
  <c r="BA46" i="5"/>
  <c r="BA45" i="5"/>
  <c r="BA44" i="5"/>
  <c r="BA43" i="5"/>
  <c r="BA42" i="5"/>
  <c r="BA41" i="5"/>
  <c r="BA40" i="5"/>
  <c r="BA39" i="5"/>
  <c r="BA38" i="5"/>
  <c r="BA37" i="5"/>
  <c r="BA36" i="5"/>
  <c r="BA35" i="5"/>
  <c r="BA34" i="5"/>
  <c r="BA33" i="5"/>
  <c r="BA32" i="5"/>
  <c r="BA31" i="5"/>
  <c r="BA30" i="5"/>
  <c r="BA29" i="5"/>
  <c r="BA28" i="5"/>
  <c r="BA27" i="5"/>
  <c r="BA26" i="5"/>
  <c r="BA25" i="5"/>
  <c r="BA24" i="5"/>
  <c r="BA23" i="5"/>
  <c r="BA22" i="5"/>
  <c r="BA21" i="5"/>
  <c r="BA20" i="5"/>
  <c r="BA19" i="5"/>
  <c r="BA18" i="5"/>
  <c r="AY17" i="5"/>
  <c r="AY16" i="5"/>
  <c r="AY15" i="5"/>
  <c r="AY14" i="5"/>
  <c r="AY13" i="5"/>
  <c r="AY579" i="5"/>
  <c r="AY578" i="5"/>
  <c r="AY577" i="5"/>
  <c r="AY576" i="5"/>
  <c r="AY575" i="5"/>
  <c r="AY574" i="5"/>
  <c r="AY573" i="5"/>
  <c r="AY572" i="5"/>
  <c r="AY571" i="5"/>
  <c r="AY570" i="5"/>
  <c r="AY569" i="5"/>
  <c r="AY568" i="5"/>
  <c r="AY567" i="5"/>
  <c r="AY566" i="5"/>
  <c r="AY565" i="5"/>
  <c r="AY564" i="5"/>
  <c r="AY563" i="5"/>
  <c r="AY562" i="5"/>
  <c r="AY561" i="5"/>
  <c r="AY560" i="5"/>
  <c r="AY559" i="5"/>
  <c r="AY558" i="5"/>
  <c r="AY557" i="5"/>
  <c r="AY556" i="5"/>
  <c r="AY555" i="5"/>
  <c r="AY554" i="5"/>
  <c r="AY553" i="5"/>
  <c r="AY552" i="5"/>
  <c r="AY551" i="5"/>
  <c r="AY550" i="5"/>
  <c r="AY549" i="5"/>
  <c r="AY548" i="5"/>
  <c r="AY547" i="5"/>
  <c r="AY546" i="5"/>
  <c r="AY545" i="5"/>
  <c r="AY544" i="5"/>
  <c r="AY543" i="5"/>
  <c r="AY542" i="5"/>
  <c r="AY541" i="5"/>
  <c r="AY540" i="5"/>
  <c r="AY539" i="5"/>
  <c r="AY538" i="5"/>
  <c r="AY537" i="5"/>
  <c r="AY536" i="5"/>
  <c r="AY535" i="5"/>
  <c r="AY534" i="5"/>
  <c r="AY533" i="5"/>
  <c r="AY532" i="5"/>
  <c r="AY531" i="5"/>
  <c r="AY530" i="5"/>
  <c r="AY529" i="5"/>
  <c r="AY528" i="5"/>
  <c r="AY527" i="5"/>
  <c r="AY526" i="5"/>
  <c r="AY525" i="5"/>
  <c r="AY524" i="5"/>
  <c r="AY523" i="5"/>
  <c r="AY522" i="5"/>
  <c r="AY521" i="5"/>
  <c r="AY520" i="5"/>
  <c r="AY519" i="5"/>
  <c r="AY518" i="5"/>
  <c r="AY517" i="5"/>
  <c r="AY516" i="5"/>
  <c r="AY515" i="5"/>
  <c r="AY514" i="5"/>
  <c r="AY513" i="5"/>
  <c r="AY512" i="5"/>
  <c r="AY511" i="5"/>
  <c r="AY510" i="5"/>
  <c r="AY509" i="5"/>
  <c r="AY508" i="5"/>
  <c r="AY507" i="5"/>
  <c r="AY506" i="5"/>
  <c r="AY505" i="5"/>
  <c r="AY504" i="5"/>
  <c r="AY503" i="5"/>
  <c r="AY502" i="5"/>
  <c r="AY501" i="5"/>
  <c r="AY500" i="5"/>
  <c r="AY499" i="5"/>
  <c r="AY498" i="5"/>
  <c r="AY497" i="5"/>
  <c r="AY496" i="5"/>
  <c r="AY495" i="5"/>
  <c r="AY494" i="5"/>
  <c r="AY493" i="5"/>
  <c r="AY492" i="5"/>
  <c r="AY491" i="5"/>
  <c r="AY490" i="5"/>
  <c r="AY489" i="5"/>
  <c r="AY488" i="5"/>
  <c r="AY487" i="5"/>
  <c r="AY486" i="5"/>
  <c r="AY485" i="5"/>
  <c r="AY484" i="5"/>
  <c r="AY483" i="5"/>
  <c r="AY482" i="5"/>
  <c r="AY481" i="5"/>
  <c r="AY480" i="5"/>
  <c r="AY479" i="5"/>
  <c r="AY478" i="5"/>
  <c r="AY477" i="5"/>
  <c r="AY476" i="5"/>
  <c r="AY475" i="5"/>
  <c r="AY474" i="5"/>
  <c r="AY473" i="5"/>
  <c r="AY472" i="5"/>
  <c r="AY471" i="5"/>
  <c r="AY470" i="5"/>
  <c r="AY469" i="5"/>
  <c r="AY468" i="5"/>
  <c r="AY467" i="5"/>
  <c r="AY466" i="5"/>
  <c r="AY465" i="5"/>
  <c r="AY464" i="5"/>
  <c r="AY463" i="5"/>
  <c r="AY462" i="5"/>
  <c r="AY461" i="5"/>
  <c r="AY460" i="5"/>
  <c r="AY459" i="5"/>
  <c r="AY458" i="5"/>
  <c r="AY457" i="5"/>
  <c r="AY456" i="5"/>
  <c r="AY455" i="5"/>
  <c r="AY454" i="5"/>
  <c r="AY453" i="5"/>
  <c r="AY452" i="5"/>
  <c r="AY451" i="5"/>
  <c r="AY450" i="5"/>
  <c r="AY449" i="5"/>
  <c r="AY448" i="5"/>
  <c r="AY447" i="5"/>
  <c r="AY446" i="5"/>
  <c r="AY445" i="5"/>
  <c r="AY444" i="5"/>
  <c r="AY443" i="5"/>
  <c r="AY442" i="5"/>
  <c r="AY441" i="5"/>
  <c r="AY440" i="5"/>
  <c r="AY439" i="5"/>
  <c r="AY438" i="5"/>
  <c r="AY437" i="5"/>
  <c r="AY436" i="5"/>
  <c r="AY435" i="5"/>
  <c r="AY434" i="5"/>
  <c r="AY433" i="5"/>
  <c r="AY432" i="5"/>
  <c r="AY431" i="5"/>
  <c r="AY430" i="5"/>
  <c r="AY429" i="5"/>
  <c r="AY428" i="5"/>
  <c r="AY427" i="5"/>
  <c r="AY426" i="5"/>
  <c r="AY425" i="5"/>
  <c r="AY424" i="5"/>
  <c r="AY423" i="5"/>
  <c r="AY422" i="5"/>
  <c r="AY421" i="5"/>
  <c r="AY420" i="5"/>
  <c r="AY419" i="5"/>
  <c r="AY418" i="5"/>
  <c r="AY417" i="5"/>
  <c r="AY416" i="5"/>
  <c r="AY415" i="5"/>
  <c r="AY414" i="5"/>
  <c r="AY413" i="5"/>
  <c r="AY412" i="5"/>
  <c r="AY411" i="5"/>
  <c r="AY410" i="5"/>
  <c r="AY409" i="5"/>
  <c r="AY408" i="5"/>
  <c r="AY407" i="5"/>
  <c r="AY406" i="5"/>
  <c r="AY405" i="5"/>
  <c r="AY404" i="5"/>
  <c r="AY403" i="5"/>
  <c r="AY402" i="5"/>
  <c r="AY401" i="5"/>
  <c r="AY400" i="5"/>
  <c r="AY399" i="5"/>
  <c r="AY398" i="5"/>
  <c r="AY397" i="5"/>
  <c r="AY396" i="5"/>
  <c r="AY395" i="5"/>
  <c r="AY394" i="5"/>
  <c r="AY393" i="5"/>
  <c r="AY392" i="5"/>
  <c r="AY391" i="5"/>
  <c r="AY390" i="5"/>
  <c r="AY389" i="5"/>
  <c r="AY388" i="5"/>
  <c r="AY387" i="5"/>
  <c r="AY386" i="5"/>
  <c r="AY385" i="5"/>
  <c r="AY384" i="5"/>
  <c r="AY383" i="5"/>
  <c r="AY382" i="5"/>
  <c r="AY381" i="5"/>
  <c r="AY380" i="5"/>
  <c r="AY379" i="5"/>
  <c r="AY378" i="5"/>
  <c r="AY377" i="5"/>
  <c r="AY376" i="5"/>
  <c r="AY375" i="5"/>
  <c r="AY374" i="5"/>
  <c r="AY373" i="5"/>
  <c r="AY372" i="5"/>
  <c r="AY371" i="5"/>
  <c r="AY370" i="5"/>
  <c r="AY369" i="5"/>
  <c r="AY368" i="5"/>
  <c r="AY367" i="5"/>
  <c r="AY366" i="5"/>
  <c r="AY365" i="5"/>
  <c r="AY364" i="5"/>
  <c r="AY363" i="5"/>
  <c r="AY362" i="5"/>
  <c r="AY361" i="5"/>
  <c r="AY360" i="5"/>
  <c r="AY359" i="5"/>
  <c r="AY358" i="5"/>
  <c r="AY357" i="5"/>
  <c r="AY356" i="5"/>
  <c r="AY355" i="5"/>
  <c r="AY354" i="5"/>
  <c r="AY353" i="5"/>
  <c r="AY352" i="5"/>
  <c r="AY351" i="5"/>
  <c r="AY350" i="5"/>
  <c r="AY349" i="5"/>
  <c r="AY348" i="5"/>
  <c r="AY347" i="5"/>
  <c r="AY346" i="5"/>
  <c r="AY345" i="5"/>
  <c r="AY344" i="5"/>
  <c r="AY343" i="5"/>
  <c r="AY342" i="5"/>
  <c r="AY341" i="5"/>
  <c r="AY340" i="5"/>
  <c r="AY339" i="5"/>
  <c r="AY338" i="5"/>
  <c r="AY337" i="5"/>
  <c r="AY336" i="5"/>
  <c r="AY335" i="5"/>
  <c r="AY334" i="5"/>
  <c r="AY333" i="5"/>
  <c r="AY332" i="5"/>
  <c r="AY331" i="5"/>
  <c r="AY330" i="5"/>
  <c r="AY329" i="5"/>
  <c r="AY328" i="5"/>
  <c r="AY327" i="5"/>
  <c r="AY326" i="5"/>
  <c r="AY325" i="5"/>
  <c r="AY324" i="5"/>
  <c r="AY323" i="5"/>
  <c r="AY322" i="5"/>
  <c r="AY321" i="5"/>
  <c r="AY320" i="5"/>
  <c r="AY319" i="5"/>
  <c r="AY318" i="5"/>
  <c r="AY317" i="5"/>
  <c r="AY316" i="5"/>
  <c r="AY315" i="5"/>
  <c r="AY314" i="5"/>
  <c r="AY313" i="5"/>
  <c r="AY312" i="5"/>
  <c r="AY311" i="5"/>
  <c r="AY310" i="5"/>
  <c r="AY309" i="5"/>
  <c r="AY308" i="5"/>
  <c r="AY307" i="5"/>
  <c r="AY306" i="5"/>
  <c r="AY305" i="5"/>
  <c r="AY304" i="5"/>
  <c r="AY303" i="5"/>
  <c r="AY302" i="5"/>
  <c r="AY301" i="5"/>
  <c r="AY300" i="5"/>
  <c r="AY299" i="5"/>
  <c r="AY298" i="5"/>
  <c r="AY297" i="5"/>
  <c r="AY296" i="5"/>
  <c r="AY295" i="5"/>
  <c r="AY294" i="5"/>
  <c r="AY293" i="5"/>
  <c r="AY292" i="5"/>
  <c r="AY291" i="5"/>
  <c r="AY290" i="5"/>
  <c r="AY289" i="5"/>
  <c r="AY288" i="5"/>
  <c r="AY287" i="5"/>
  <c r="AY286" i="5"/>
  <c r="AY285" i="5"/>
  <c r="AY284" i="5"/>
  <c r="AY283" i="5"/>
  <c r="AY282" i="5"/>
  <c r="AY281" i="5"/>
  <c r="AY280" i="5"/>
  <c r="AY279" i="5"/>
  <c r="AY278" i="5"/>
  <c r="AY277" i="5"/>
  <c r="AY276" i="5"/>
  <c r="AY275" i="5"/>
  <c r="AY274" i="5"/>
  <c r="AY273" i="5"/>
  <c r="AY272" i="5"/>
  <c r="AY271" i="5"/>
  <c r="AY270" i="5"/>
  <c r="AY269" i="5"/>
  <c r="AY268" i="5"/>
  <c r="AY267" i="5"/>
  <c r="AY266" i="5"/>
  <c r="AY265" i="5"/>
  <c r="AY264" i="5"/>
  <c r="AY263" i="5"/>
  <c r="AY262" i="5"/>
  <c r="AY261" i="5"/>
  <c r="AY260" i="5"/>
  <c r="AY259" i="5"/>
  <c r="AY258" i="5"/>
  <c r="AY257" i="5"/>
  <c r="AY256" i="5"/>
  <c r="AY255" i="5"/>
  <c r="AY254" i="5"/>
  <c r="AY253" i="5"/>
  <c r="AY252" i="5"/>
  <c r="AY251" i="5"/>
  <c r="AY250" i="5"/>
  <c r="AY249" i="5"/>
  <c r="AY248" i="5"/>
  <c r="AY247" i="5"/>
  <c r="AY246" i="5"/>
  <c r="AY245" i="5"/>
  <c r="AY244" i="5"/>
  <c r="AY243" i="5"/>
  <c r="AY242" i="5"/>
  <c r="AY241" i="5"/>
  <c r="AY240" i="5"/>
  <c r="AY239" i="5"/>
  <c r="AY238" i="5"/>
  <c r="AY237" i="5"/>
  <c r="AY236" i="5"/>
  <c r="AY235" i="5"/>
  <c r="AY234" i="5"/>
  <c r="AY233" i="5"/>
  <c r="AY232" i="5"/>
  <c r="AY231" i="5"/>
  <c r="AY230" i="5"/>
  <c r="AY229" i="5"/>
  <c r="AY228" i="5"/>
  <c r="AY227" i="5"/>
  <c r="AY226" i="5"/>
  <c r="AY225" i="5"/>
  <c r="AY224" i="5"/>
  <c r="AY223" i="5"/>
  <c r="AY222" i="5"/>
  <c r="AY221" i="5"/>
  <c r="AY220" i="5"/>
  <c r="AY219" i="5"/>
  <c r="AY218" i="5"/>
  <c r="AY217" i="5"/>
  <c r="AY216" i="5"/>
  <c r="AY215" i="5"/>
  <c r="AY214" i="5"/>
  <c r="AY213" i="5"/>
  <c r="AY212" i="5"/>
  <c r="AY211" i="5"/>
  <c r="AY210" i="5"/>
  <c r="AY209" i="5"/>
  <c r="AY208" i="5"/>
  <c r="AY207" i="5"/>
  <c r="AY206" i="5"/>
  <c r="AY205" i="5"/>
  <c r="AY204" i="5"/>
  <c r="AY203" i="5"/>
  <c r="AY202" i="5"/>
  <c r="AY201" i="5"/>
  <c r="AY200" i="5"/>
  <c r="AY199" i="5"/>
  <c r="AY198" i="5"/>
  <c r="AY197" i="5"/>
  <c r="AY196" i="5"/>
  <c r="AY195" i="5"/>
  <c r="AY194" i="5"/>
  <c r="AY193" i="5"/>
  <c r="AY192" i="5"/>
  <c r="AY191" i="5"/>
  <c r="AY190" i="5"/>
  <c r="AY189" i="5"/>
  <c r="AY188" i="5"/>
  <c r="AY187" i="5"/>
  <c r="AY186" i="5"/>
  <c r="AY185" i="5"/>
  <c r="AY184" i="5"/>
  <c r="AY183" i="5"/>
  <c r="AY182" i="5"/>
  <c r="AY181" i="5"/>
  <c r="AY180" i="5"/>
  <c r="AY179" i="5"/>
  <c r="AY178" i="5"/>
  <c r="AY177" i="5"/>
  <c r="AY176" i="5"/>
  <c r="AY175" i="5"/>
  <c r="AY174" i="5"/>
  <c r="AY173" i="5"/>
  <c r="AY172" i="5"/>
  <c r="AY171" i="5"/>
  <c r="AY170" i="5"/>
  <c r="AY169" i="5"/>
  <c r="AY168" i="5"/>
  <c r="AY167" i="5"/>
  <c r="AY166" i="5"/>
  <c r="AY165" i="5"/>
  <c r="AY164" i="5"/>
  <c r="AY163" i="5"/>
  <c r="AY162" i="5"/>
  <c r="AY161" i="5"/>
  <c r="AY160" i="5"/>
  <c r="AY159" i="5"/>
  <c r="AY158" i="5"/>
  <c r="AY157" i="5"/>
  <c r="AY156" i="5"/>
  <c r="AY155" i="5"/>
  <c r="AY154" i="5"/>
  <c r="AY153" i="5"/>
  <c r="AY152" i="5"/>
  <c r="AY151" i="5"/>
  <c r="AY150" i="5"/>
  <c r="AY149" i="5"/>
  <c r="AY148" i="5"/>
  <c r="AY147" i="5"/>
  <c r="AY146" i="5"/>
  <c r="AY145" i="5"/>
  <c r="AY144" i="5"/>
  <c r="AY143" i="5"/>
  <c r="AY142" i="5"/>
  <c r="AY141" i="5"/>
  <c r="AY140" i="5"/>
  <c r="AY139" i="5"/>
  <c r="AY138" i="5"/>
  <c r="AY137" i="5"/>
  <c r="AY136" i="5"/>
  <c r="AY135" i="5"/>
  <c r="AY134" i="5"/>
  <c r="AY133" i="5"/>
  <c r="AY132" i="5"/>
  <c r="AY131" i="5"/>
  <c r="AY130" i="5"/>
  <c r="AY129" i="5"/>
  <c r="AY128" i="5"/>
  <c r="AY127" i="5"/>
  <c r="AY126" i="5"/>
  <c r="AY125" i="5"/>
  <c r="AY124" i="5"/>
  <c r="AY123" i="5"/>
  <c r="AY122" i="5"/>
  <c r="AY121" i="5"/>
  <c r="AY120" i="5"/>
  <c r="AY119" i="5"/>
  <c r="AY118" i="5"/>
  <c r="AY117" i="5"/>
  <c r="AY116" i="5"/>
  <c r="AY115" i="5"/>
  <c r="AY114" i="5"/>
  <c r="AY113" i="5"/>
  <c r="AY112" i="5"/>
  <c r="AY111" i="5"/>
  <c r="AY110" i="5"/>
  <c r="AY109" i="5"/>
  <c r="AY108" i="5"/>
  <c r="AY107" i="5"/>
  <c r="AY106" i="5"/>
  <c r="AY105" i="5"/>
  <c r="AY104" i="5"/>
  <c r="AY103" i="5"/>
  <c r="AY102" i="5"/>
  <c r="AY101" i="5"/>
  <c r="AY100" i="5"/>
  <c r="AY99" i="5"/>
  <c r="AY98" i="5"/>
  <c r="AY97" i="5"/>
  <c r="AY96" i="5"/>
  <c r="AY95" i="5"/>
  <c r="AY94" i="5"/>
  <c r="AY93" i="5"/>
  <c r="AY92" i="5"/>
  <c r="AY91" i="5"/>
  <c r="AY90" i="5"/>
  <c r="AY89" i="5"/>
  <c r="AY88" i="5"/>
  <c r="AY87" i="5"/>
  <c r="AY86" i="5"/>
  <c r="AY85" i="5"/>
  <c r="AY84" i="5"/>
  <c r="AY83" i="5"/>
  <c r="AY82" i="5"/>
  <c r="AY81" i="5"/>
  <c r="AY80" i="5"/>
  <c r="AY79" i="5"/>
  <c r="AY78" i="5"/>
  <c r="AY77" i="5"/>
  <c r="AY76" i="5"/>
  <c r="AY75" i="5"/>
  <c r="AY74" i="5"/>
  <c r="AY73" i="5"/>
  <c r="AY72" i="5"/>
  <c r="AY71" i="5"/>
  <c r="AY70" i="5"/>
  <c r="AY69" i="5"/>
  <c r="AY68" i="5"/>
  <c r="AY67" i="5"/>
  <c r="AY66" i="5"/>
  <c r="AY65" i="5"/>
  <c r="AY64" i="5"/>
  <c r="AY63" i="5"/>
  <c r="AY62" i="5"/>
  <c r="AY61" i="5"/>
  <c r="AY60" i="5"/>
  <c r="AY59" i="5"/>
  <c r="AY58" i="5"/>
  <c r="AY57" i="5"/>
  <c r="AY56" i="5"/>
  <c r="AY55" i="5"/>
  <c r="AY54" i="5"/>
  <c r="AY53" i="5"/>
  <c r="AY52" i="5"/>
  <c r="AY51" i="5"/>
  <c r="AY50" i="5"/>
  <c r="AY49" i="5"/>
  <c r="AY48" i="5"/>
  <c r="AY47" i="5"/>
  <c r="AY46" i="5"/>
  <c r="AY45" i="5"/>
  <c r="AY44" i="5"/>
  <c r="AY43" i="5"/>
  <c r="AY42" i="5"/>
  <c r="AY41" i="5"/>
  <c r="AY40" i="5"/>
  <c r="AY39" i="5"/>
  <c r="AY38" i="5"/>
  <c r="AY37" i="5"/>
  <c r="AY36" i="5"/>
  <c r="AY35" i="5"/>
  <c r="AY34" i="5"/>
  <c r="AY33" i="5"/>
  <c r="AY32" i="5"/>
  <c r="AY31" i="5"/>
  <c r="AY30" i="5"/>
  <c r="AY29" i="5"/>
  <c r="AY28" i="5"/>
  <c r="AY27" i="5"/>
  <c r="AY26" i="5"/>
  <c r="AY25" i="5"/>
  <c r="AY24" i="5"/>
  <c r="AY23" i="5"/>
  <c r="AY22" i="5"/>
  <c r="AY21" i="5"/>
  <c r="AY20" i="5"/>
  <c r="AY19" i="5"/>
  <c r="AY18" i="5"/>
  <c r="BA17" i="5"/>
  <c r="BA16" i="5"/>
  <c r="BA15" i="5"/>
  <c r="BA14" i="5"/>
  <c r="BA13" i="5"/>
  <c r="BN1948" i="5"/>
  <c r="BN1947" i="5"/>
  <c r="BN1946" i="5"/>
  <c r="BL1948" i="5"/>
  <c r="BL1947" i="5"/>
  <c r="BL1946" i="5"/>
  <c r="BL1945" i="5"/>
  <c r="BL1944" i="5"/>
  <c r="BL1943" i="5"/>
  <c r="BL1942" i="5"/>
  <c r="BL1941" i="5"/>
  <c r="BL1940" i="5"/>
  <c r="BL1939" i="5"/>
  <c r="BL1938" i="5"/>
  <c r="BL1937" i="5"/>
  <c r="BL1936" i="5"/>
  <c r="BL1935" i="5"/>
  <c r="BL1934" i="5"/>
  <c r="BL1933" i="5"/>
  <c r="BL1932" i="5"/>
  <c r="BN1945" i="5"/>
  <c r="BN1944" i="5"/>
  <c r="BN1943" i="5"/>
  <c r="BN1942" i="5"/>
  <c r="BN1941" i="5"/>
  <c r="BN1940" i="5"/>
  <c r="BN1939" i="5"/>
  <c r="BN1938" i="5"/>
  <c r="BN1937" i="5"/>
  <c r="BN1936" i="5"/>
  <c r="BN1935" i="5"/>
  <c r="BN1934" i="5"/>
  <c r="BN1933" i="5"/>
  <c r="BN1932" i="5"/>
  <c r="BN1931" i="5"/>
  <c r="BN1930" i="5"/>
  <c r="BN1929" i="5"/>
  <c r="BN1928" i="5"/>
  <c r="BN1927" i="5"/>
  <c r="BN1926" i="5"/>
  <c r="BN1925" i="5"/>
  <c r="BN1924" i="5"/>
  <c r="BN1923" i="5"/>
  <c r="BN1922" i="5"/>
  <c r="BN1921" i="5"/>
  <c r="BN1920" i="5"/>
  <c r="BN1919" i="5"/>
  <c r="BN1918" i="5"/>
  <c r="BN1917" i="5"/>
  <c r="BN1916" i="5"/>
  <c r="BN1915" i="5"/>
  <c r="BN1914" i="5"/>
  <c r="BN1913" i="5"/>
  <c r="BN1912" i="5"/>
  <c r="BN1911" i="5"/>
  <c r="BN1910" i="5"/>
  <c r="BN1909" i="5"/>
  <c r="BN1908" i="5"/>
  <c r="BN1907" i="5"/>
  <c r="BN1906" i="5"/>
  <c r="BN1905" i="5"/>
  <c r="BN1904" i="5"/>
  <c r="BN1903" i="5"/>
  <c r="BN1902" i="5"/>
  <c r="BN1901" i="5"/>
  <c r="BN1900" i="5"/>
  <c r="BN1899" i="5"/>
  <c r="BN1898" i="5"/>
  <c r="BN1897" i="5"/>
  <c r="BN1896" i="5"/>
  <c r="BN1895" i="5"/>
  <c r="BN1894" i="5"/>
  <c r="BN1893" i="5"/>
  <c r="BN1892" i="5"/>
  <c r="BN1891" i="5"/>
  <c r="BN1890" i="5"/>
  <c r="BN1889" i="5"/>
  <c r="BN1888" i="5"/>
  <c r="BN1887" i="5"/>
  <c r="BN1886" i="5"/>
  <c r="BN1885" i="5"/>
  <c r="BN1884" i="5"/>
  <c r="BN1883" i="5"/>
  <c r="BN1882" i="5"/>
  <c r="BN1881" i="5"/>
  <c r="BN1880" i="5"/>
  <c r="BN1879" i="5"/>
  <c r="BN1878" i="5"/>
  <c r="BN1877" i="5"/>
  <c r="BN1876" i="5"/>
  <c r="BN1875" i="5"/>
  <c r="BN1874" i="5"/>
  <c r="BN1873" i="5"/>
  <c r="BN1872" i="5"/>
  <c r="BN1871" i="5"/>
  <c r="BN1870" i="5"/>
  <c r="BN1869" i="5"/>
  <c r="BN1868" i="5"/>
  <c r="BN1867" i="5"/>
  <c r="BN1866" i="5"/>
  <c r="BN1865" i="5"/>
  <c r="BN1864" i="5"/>
  <c r="BN1863" i="5"/>
  <c r="BN1862" i="5"/>
  <c r="BN1861" i="5"/>
  <c r="BN1860" i="5"/>
  <c r="BN1859" i="5"/>
  <c r="BN1858" i="5"/>
  <c r="BN1857" i="5"/>
  <c r="BN1856" i="5"/>
  <c r="BN1855" i="5"/>
  <c r="BN1854" i="5"/>
  <c r="BN1853" i="5"/>
  <c r="BN1852" i="5"/>
  <c r="BN1851" i="5"/>
  <c r="BN1850" i="5"/>
  <c r="BN1849" i="5"/>
  <c r="BN1848" i="5"/>
  <c r="BN1847" i="5"/>
  <c r="BN1846" i="5"/>
  <c r="BN1845" i="5"/>
  <c r="BN1844" i="5"/>
  <c r="BN1843" i="5"/>
  <c r="BN1842" i="5"/>
  <c r="BN1841" i="5"/>
  <c r="BN1840" i="5"/>
  <c r="BN1839" i="5"/>
  <c r="BN1838" i="5"/>
  <c r="BN1837" i="5"/>
  <c r="BN1836" i="5"/>
  <c r="BN1835" i="5"/>
  <c r="BN1834" i="5"/>
  <c r="BN1833" i="5"/>
  <c r="BN1832" i="5"/>
  <c r="BN1831" i="5"/>
  <c r="BN1830" i="5"/>
  <c r="BN1829" i="5"/>
  <c r="BN1828" i="5"/>
  <c r="BN1827" i="5"/>
  <c r="BN1826" i="5"/>
  <c r="BN1825" i="5"/>
  <c r="BN1824" i="5"/>
  <c r="BN1823" i="5"/>
  <c r="BN1822" i="5"/>
  <c r="BN1821" i="5"/>
  <c r="BN1820" i="5"/>
  <c r="BN1819" i="5"/>
  <c r="BN1818" i="5"/>
  <c r="BN1817" i="5"/>
  <c r="BN1816" i="5"/>
  <c r="BN1815" i="5"/>
  <c r="BN1814" i="5"/>
  <c r="BN1813" i="5"/>
  <c r="BN1812" i="5"/>
  <c r="BN1811" i="5"/>
  <c r="BN1810" i="5"/>
  <c r="BN1809" i="5"/>
  <c r="BN1808" i="5"/>
  <c r="BN1807" i="5"/>
  <c r="BN1806" i="5"/>
  <c r="BN1805" i="5"/>
  <c r="BN1804" i="5"/>
  <c r="BN1803" i="5"/>
  <c r="BN1802" i="5"/>
  <c r="BN1801" i="5"/>
  <c r="BN1800" i="5"/>
  <c r="BN1799" i="5"/>
  <c r="BN1798" i="5"/>
  <c r="BN1797" i="5"/>
  <c r="BN1796" i="5"/>
  <c r="BN1795" i="5"/>
  <c r="BN1794" i="5"/>
  <c r="BN1793" i="5"/>
  <c r="BN1792" i="5"/>
  <c r="BN1791" i="5"/>
  <c r="BN1790" i="5"/>
  <c r="BN1789" i="5"/>
  <c r="BN1788" i="5"/>
  <c r="BN1787" i="5"/>
  <c r="BN1786" i="5"/>
  <c r="BN1785" i="5"/>
  <c r="BN1784" i="5"/>
  <c r="BN1783" i="5"/>
  <c r="BN1782" i="5"/>
  <c r="BN1781" i="5"/>
  <c r="BN1780" i="5"/>
  <c r="BN1779" i="5"/>
  <c r="BN1778" i="5"/>
  <c r="BN1777" i="5"/>
  <c r="BN1776" i="5"/>
  <c r="BN1775" i="5"/>
  <c r="BN1774" i="5"/>
  <c r="BN1773" i="5"/>
  <c r="BN1772" i="5"/>
  <c r="BN1771" i="5"/>
  <c r="BN1770" i="5"/>
  <c r="BN1769" i="5"/>
  <c r="BN1768" i="5"/>
  <c r="BN1767" i="5"/>
  <c r="BN1766" i="5"/>
  <c r="BN1765" i="5"/>
  <c r="BN1764" i="5"/>
  <c r="BN1763" i="5"/>
  <c r="BN1762" i="5"/>
  <c r="BN1761" i="5"/>
  <c r="BN1760" i="5"/>
  <c r="BN1759" i="5"/>
  <c r="BN1758" i="5"/>
  <c r="BN1757" i="5"/>
  <c r="BN1756" i="5"/>
  <c r="BN1755" i="5"/>
  <c r="BN1754" i="5"/>
  <c r="BN1753" i="5"/>
  <c r="BN1752" i="5"/>
  <c r="BN1751" i="5"/>
  <c r="BN1750" i="5"/>
  <c r="BN1749" i="5"/>
  <c r="BN1748" i="5"/>
  <c r="BN1747" i="5"/>
  <c r="BN1746" i="5"/>
  <c r="BN1745" i="5"/>
  <c r="BN1744" i="5"/>
  <c r="BN1743" i="5"/>
  <c r="BN1742" i="5"/>
  <c r="BN1741" i="5"/>
  <c r="BN1740" i="5"/>
  <c r="BN1739" i="5"/>
  <c r="BN1738" i="5"/>
  <c r="BN1737" i="5"/>
  <c r="BN1736" i="5"/>
  <c r="BN1735" i="5"/>
  <c r="BN1734" i="5"/>
  <c r="BN1733" i="5"/>
  <c r="BN1732" i="5"/>
  <c r="BN1731" i="5"/>
  <c r="BN1730" i="5"/>
  <c r="BN1729" i="5"/>
  <c r="BN1728" i="5"/>
  <c r="BN1727" i="5"/>
  <c r="BN1726" i="5"/>
  <c r="BN1725" i="5"/>
  <c r="BN1724" i="5"/>
  <c r="BN1723" i="5"/>
  <c r="BN1722" i="5"/>
  <c r="BN1721" i="5"/>
  <c r="BN1720" i="5"/>
  <c r="BN1719" i="5"/>
  <c r="BN1718" i="5"/>
  <c r="BN1717" i="5"/>
  <c r="BN1716" i="5"/>
  <c r="BN1715" i="5"/>
  <c r="BN1714" i="5"/>
  <c r="BN1713" i="5"/>
  <c r="BN1712" i="5"/>
  <c r="BN1711" i="5"/>
  <c r="BN1710" i="5"/>
  <c r="BN1709" i="5"/>
  <c r="BN1708" i="5"/>
  <c r="BN1707" i="5"/>
  <c r="BN1706" i="5"/>
  <c r="BN1705" i="5"/>
  <c r="BN1704" i="5"/>
  <c r="BN1703" i="5"/>
  <c r="BN1702" i="5"/>
  <c r="BN1701" i="5"/>
  <c r="BN1700" i="5"/>
  <c r="BN1699" i="5"/>
  <c r="BN1698" i="5"/>
  <c r="BN1697" i="5"/>
  <c r="BN1696" i="5"/>
  <c r="BN1695" i="5"/>
  <c r="BN1694" i="5"/>
  <c r="BN1693" i="5"/>
  <c r="BN1692" i="5"/>
  <c r="BN1691" i="5"/>
  <c r="BN1690" i="5"/>
  <c r="BN1689" i="5"/>
  <c r="BN1688" i="5"/>
  <c r="BN1687" i="5"/>
  <c r="BN1686" i="5"/>
  <c r="BN1685" i="5"/>
  <c r="BN1684" i="5"/>
  <c r="BN1683" i="5"/>
  <c r="BN1682" i="5"/>
  <c r="BN1681" i="5"/>
  <c r="BN1680" i="5"/>
  <c r="BN1679" i="5"/>
  <c r="BN1678" i="5"/>
  <c r="BN1677" i="5"/>
  <c r="BN1676" i="5"/>
  <c r="BN1675" i="5"/>
  <c r="BN1674" i="5"/>
  <c r="BN1673" i="5"/>
  <c r="BN1672" i="5"/>
  <c r="BN1671" i="5"/>
  <c r="BN1670" i="5"/>
  <c r="BN1669" i="5"/>
  <c r="BN1668" i="5"/>
  <c r="BN1667" i="5"/>
  <c r="BN1666" i="5"/>
  <c r="BN1665" i="5"/>
  <c r="BN1664" i="5"/>
  <c r="BN1663" i="5"/>
  <c r="BN1662" i="5"/>
  <c r="BN1661" i="5"/>
  <c r="BN1660" i="5"/>
  <c r="BN1659" i="5"/>
  <c r="BN1658" i="5"/>
  <c r="BN1657" i="5"/>
  <c r="BN1656" i="5"/>
  <c r="BN1655" i="5"/>
  <c r="BN1654" i="5"/>
  <c r="BN1653" i="5"/>
  <c r="BN1652" i="5"/>
  <c r="BN1651" i="5"/>
  <c r="BN1650" i="5"/>
  <c r="BN1649" i="5"/>
  <c r="BN1648" i="5"/>
  <c r="BN1647" i="5"/>
  <c r="BN1646" i="5"/>
  <c r="BN1645" i="5"/>
  <c r="BN1644" i="5"/>
  <c r="BN1643" i="5"/>
  <c r="BN1642" i="5"/>
  <c r="BN1641" i="5"/>
  <c r="BN1640" i="5"/>
  <c r="BN1639" i="5"/>
  <c r="BN1638" i="5"/>
  <c r="BN1637" i="5"/>
  <c r="BN1636" i="5"/>
  <c r="BN1635" i="5"/>
  <c r="BN1634" i="5"/>
  <c r="BN1633" i="5"/>
  <c r="BN1632" i="5"/>
  <c r="BN1631" i="5"/>
  <c r="BN1630" i="5"/>
  <c r="BN1629" i="5"/>
  <c r="BN1628" i="5"/>
  <c r="BN1627" i="5"/>
  <c r="BN1626" i="5"/>
  <c r="BN1625" i="5"/>
  <c r="BN1624" i="5"/>
  <c r="BN1623" i="5"/>
  <c r="BN1622" i="5"/>
  <c r="BN1621" i="5"/>
  <c r="BN1620" i="5"/>
  <c r="BN1619" i="5"/>
  <c r="BN1618" i="5"/>
  <c r="BN1617" i="5"/>
  <c r="BN1616" i="5"/>
  <c r="BN1615" i="5"/>
  <c r="BN1614" i="5"/>
  <c r="BN1613" i="5"/>
  <c r="BN1612" i="5"/>
  <c r="BN1611" i="5"/>
  <c r="BN1610" i="5"/>
  <c r="BN1609" i="5"/>
  <c r="BN1608" i="5"/>
  <c r="BN1607" i="5"/>
  <c r="BL1931" i="5"/>
  <c r="BL1930" i="5"/>
  <c r="BL1929" i="5"/>
  <c r="BL1928" i="5"/>
  <c r="BL1927" i="5"/>
  <c r="BL1926" i="5"/>
  <c r="BL1925" i="5"/>
  <c r="BL1924" i="5"/>
  <c r="BL1923" i="5"/>
  <c r="BL1922" i="5"/>
  <c r="BL1921" i="5"/>
  <c r="BL1920" i="5"/>
  <c r="BL1919" i="5"/>
  <c r="BL1918" i="5"/>
  <c r="BL1917" i="5"/>
  <c r="BL1916" i="5"/>
  <c r="BL1915" i="5"/>
  <c r="BL1914" i="5"/>
  <c r="BL1913" i="5"/>
  <c r="BL1912" i="5"/>
  <c r="BL1911" i="5"/>
  <c r="BL1910" i="5"/>
  <c r="BL1909" i="5"/>
  <c r="BL1908" i="5"/>
  <c r="BL1907" i="5"/>
  <c r="BL1906" i="5"/>
  <c r="BL1905" i="5"/>
  <c r="BL1904" i="5"/>
  <c r="BL1903" i="5"/>
  <c r="BL1902" i="5"/>
  <c r="BL1901" i="5"/>
  <c r="BL1900" i="5"/>
  <c r="BL1899" i="5"/>
  <c r="BL1898" i="5"/>
  <c r="BL1897" i="5"/>
  <c r="BL1896" i="5"/>
  <c r="BL1895" i="5"/>
  <c r="BL1894" i="5"/>
  <c r="BL1893" i="5"/>
  <c r="BL1892" i="5"/>
  <c r="BL1891" i="5"/>
  <c r="BL1890" i="5"/>
  <c r="BL1889" i="5"/>
  <c r="BL1888" i="5"/>
  <c r="BL1887" i="5"/>
  <c r="BL1886" i="5"/>
  <c r="BL1885" i="5"/>
  <c r="BL1884" i="5"/>
  <c r="BL1883" i="5"/>
  <c r="BL1882" i="5"/>
  <c r="BL1881" i="5"/>
  <c r="BL1880" i="5"/>
  <c r="BL1879" i="5"/>
  <c r="BL1878" i="5"/>
  <c r="BL1877" i="5"/>
  <c r="BL1876" i="5"/>
  <c r="BL1875" i="5"/>
  <c r="BL1874" i="5"/>
  <c r="BL1873" i="5"/>
  <c r="BL1872" i="5"/>
  <c r="BL1871" i="5"/>
  <c r="BL1870" i="5"/>
  <c r="BL1869" i="5"/>
  <c r="BL1868" i="5"/>
  <c r="BL1867" i="5"/>
  <c r="BL1866" i="5"/>
  <c r="BL1865" i="5"/>
  <c r="BL1864" i="5"/>
  <c r="BL1863" i="5"/>
  <c r="BL1862" i="5"/>
  <c r="BL1861" i="5"/>
  <c r="BL1860" i="5"/>
  <c r="BL1859" i="5"/>
  <c r="BL1858" i="5"/>
  <c r="BL1857" i="5"/>
  <c r="BL1856" i="5"/>
  <c r="BL1855" i="5"/>
  <c r="BL1854" i="5"/>
  <c r="BL1853" i="5"/>
  <c r="BL1852" i="5"/>
  <c r="BL1851" i="5"/>
  <c r="BL1850" i="5"/>
  <c r="BL1849" i="5"/>
  <c r="BL1848" i="5"/>
  <c r="BL1847" i="5"/>
  <c r="BL1846" i="5"/>
  <c r="BL1845" i="5"/>
  <c r="BL1844" i="5"/>
  <c r="BL1843" i="5"/>
  <c r="BL1842" i="5"/>
  <c r="BL1841" i="5"/>
  <c r="BL1840" i="5"/>
  <c r="BL1839" i="5"/>
  <c r="BL1838" i="5"/>
  <c r="BL1837" i="5"/>
  <c r="BL1836" i="5"/>
  <c r="BL1835" i="5"/>
  <c r="BL1834" i="5"/>
  <c r="BL1833" i="5"/>
  <c r="BL1832" i="5"/>
  <c r="BL1831" i="5"/>
  <c r="BL1830" i="5"/>
  <c r="BL1829" i="5"/>
  <c r="BL1828" i="5"/>
  <c r="BL1827" i="5"/>
  <c r="BL1826" i="5"/>
  <c r="BL1825" i="5"/>
  <c r="BL1824" i="5"/>
  <c r="BL1823" i="5"/>
  <c r="BL1822" i="5"/>
  <c r="BL1821" i="5"/>
  <c r="BL1820" i="5"/>
  <c r="BL1819" i="5"/>
  <c r="BL1818" i="5"/>
  <c r="BL1817" i="5"/>
  <c r="BL1816" i="5"/>
  <c r="BL1815" i="5"/>
  <c r="BL1814" i="5"/>
  <c r="BL1813" i="5"/>
  <c r="BL1812" i="5"/>
  <c r="BL1811" i="5"/>
  <c r="BL1810" i="5"/>
  <c r="BL1809" i="5"/>
  <c r="BL1808" i="5"/>
  <c r="BL1807" i="5"/>
  <c r="BL1806" i="5"/>
  <c r="BL1805" i="5"/>
  <c r="BL1804" i="5"/>
  <c r="BL1803" i="5"/>
  <c r="BL1802" i="5"/>
  <c r="BL1801" i="5"/>
  <c r="BL1800" i="5"/>
  <c r="BL1799" i="5"/>
  <c r="BL1798" i="5"/>
  <c r="BL1797" i="5"/>
  <c r="BL1796" i="5"/>
  <c r="BL1795" i="5"/>
  <c r="BL1794" i="5"/>
  <c r="BL1793" i="5"/>
  <c r="BL1792" i="5"/>
  <c r="BL1791" i="5"/>
  <c r="BL1790" i="5"/>
  <c r="BL1789" i="5"/>
  <c r="BL1788" i="5"/>
  <c r="BL1787" i="5"/>
  <c r="BL1786" i="5"/>
  <c r="BL1785" i="5"/>
  <c r="BL1784" i="5"/>
  <c r="BL1783" i="5"/>
  <c r="BL1782" i="5"/>
  <c r="BL1781" i="5"/>
  <c r="BL1780" i="5"/>
  <c r="BL1779" i="5"/>
  <c r="BL1778" i="5"/>
  <c r="BL1777" i="5"/>
  <c r="BL1776" i="5"/>
  <c r="BL1775" i="5"/>
  <c r="BL1774" i="5"/>
  <c r="BL1773" i="5"/>
  <c r="BL1772" i="5"/>
  <c r="BL1771" i="5"/>
  <c r="BL1770" i="5"/>
  <c r="BL1769" i="5"/>
  <c r="BL1768" i="5"/>
  <c r="BL1767" i="5"/>
  <c r="BL1766" i="5"/>
  <c r="BL1765" i="5"/>
  <c r="BL1764" i="5"/>
  <c r="BL1763" i="5"/>
  <c r="BL1762" i="5"/>
  <c r="BL1761" i="5"/>
  <c r="BL1760" i="5"/>
  <c r="BL1759" i="5"/>
  <c r="BL1758" i="5"/>
  <c r="BL1757" i="5"/>
  <c r="BL1756" i="5"/>
  <c r="BL1755" i="5"/>
  <c r="BL1754" i="5"/>
  <c r="BL1753" i="5"/>
  <c r="BL1752" i="5"/>
  <c r="BL1751" i="5"/>
  <c r="BL1750" i="5"/>
  <c r="BL1749" i="5"/>
  <c r="BL1748" i="5"/>
  <c r="BL1747" i="5"/>
  <c r="BL1746" i="5"/>
  <c r="BL1745" i="5"/>
  <c r="BL1744" i="5"/>
  <c r="BL1743" i="5"/>
  <c r="BL1742" i="5"/>
  <c r="BL1741" i="5"/>
  <c r="BL1740" i="5"/>
  <c r="BL1739" i="5"/>
  <c r="BL1738" i="5"/>
  <c r="BL1737" i="5"/>
  <c r="BL1736" i="5"/>
  <c r="BL1735" i="5"/>
  <c r="BL1734" i="5"/>
  <c r="BL1733" i="5"/>
  <c r="BL1732" i="5"/>
  <c r="BL1731" i="5"/>
  <c r="BL1730" i="5"/>
  <c r="BL1729" i="5"/>
  <c r="BL1728" i="5"/>
  <c r="BL1727" i="5"/>
  <c r="BL1726" i="5"/>
  <c r="BL1725" i="5"/>
  <c r="BL1724" i="5"/>
  <c r="BL1723" i="5"/>
  <c r="BL1722" i="5"/>
  <c r="BL1721" i="5"/>
  <c r="BL1720" i="5"/>
  <c r="BL1719" i="5"/>
  <c r="BL1718" i="5"/>
  <c r="BL1717" i="5"/>
  <c r="BL1716" i="5"/>
  <c r="BL1715" i="5"/>
  <c r="BL1714" i="5"/>
  <c r="BL1713" i="5"/>
  <c r="BL1712" i="5"/>
  <c r="BL1711" i="5"/>
  <c r="BL1710" i="5"/>
  <c r="BL1709" i="5"/>
  <c r="BL1708" i="5"/>
  <c r="BL1707" i="5"/>
  <c r="BL1706" i="5"/>
  <c r="BL1705" i="5"/>
  <c r="BL1704" i="5"/>
  <c r="BL1703" i="5"/>
  <c r="BL1702" i="5"/>
  <c r="BL1701" i="5"/>
  <c r="BL1700" i="5"/>
  <c r="BL1699" i="5"/>
  <c r="BL1698" i="5"/>
  <c r="BL1697" i="5"/>
  <c r="BL1696" i="5"/>
  <c r="BL1695" i="5"/>
  <c r="BL1694" i="5"/>
  <c r="BL1693" i="5"/>
  <c r="BL1692" i="5"/>
  <c r="BL1691" i="5"/>
  <c r="BL1690" i="5"/>
  <c r="BL1689" i="5"/>
  <c r="BL1688" i="5"/>
  <c r="BL1687" i="5"/>
  <c r="BL1686" i="5"/>
  <c r="BL1685" i="5"/>
  <c r="BL1684" i="5"/>
  <c r="BL1683" i="5"/>
  <c r="BL1682" i="5"/>
  <c r="BL1681" i="5"/>
  <c r="BL1680" i="5"/>
  <c r="BL1679" i="5"/>
  <c r="BL1678" i="5"/>
  <c r="BL1677" i="5"/>
  <c r="BL1676" i="5"/>
  <c r="BL1675" i="5"/>
  <c r="BL1674" i="5"/>
  <c r="BL1673" i="5"/>
  <c r="BL1672" i="5"/>
  <c r="BL1671" i="5"/>
  <c r="BL1670" i="5"/>
  <c r="BL1669" i="5"/>
  <c r="BL1668" i="5"/>
  <c r="BL1667" i="5"/>
  <c r="BL1666" i="5"/>
  <c r="BL1665" i="5"/>
  <c r="BL1664" i="5"/>
  <c r="BL1663" i="5"/>
  <c r="BL1662" i="5"/>
  <c r="BL1661" i="5"/>
  <c r="BL1660" i="5"/>
  <c r="BL1659" i="5"/>
  <c r="BL1658" i="5"/>
  <c r="BL1657" i="5"/>
  <c r="BL1656" i="5"/>
  <c r="BL1655" i="5"/>
  <c r="BL1654" i="5"/>
  <c r="BL1653" i="5"/>
  <c r="BL1652" i="5"/>
  <c r="BL1651" i="5"/>
  <c r="BL1650" i="5"/>
  <c r="BL1649" i="5"/>
  <c r="BL1648" i="5"/>
  <c r="BL1647" i="5"/>
  <c r="BL1646" i="5"/>
  <c r="BL1645" i="5"/>
  <c r="BL1644" i="5"/>
  <c r="BL1643" i="5"/>
  <c r="BL1642" i="5"/>
  <c r="BL1641" i="5"/>
  <c r="BL1640" i="5"/>
  <c r="BL1639" i="5"/>
  <c r="BL1638" i="5"/>
  <c r="BL1637" i="5"/>
  <c r="BL1636" i="5"/>
  <c r="BL1635" i="5"/>
  <c r="BL1634" i="5"/>
  <c r="BL1633" i="5"/>
  <c r="BL1632" i="5"/>
  <c r="BL1631" i="5"/>
  <c r="BL1630" i="5"/>
  <c r="BL1629" i="5"/>
  <c r="BL1628" i="5"/>
  <c r="BL1627" i="5"/>
  <c r="BL1626" i="5"/>
  <c r="BL1625" i="5"/>
  <c r="BL1624" i="5"/>
  <c r="BL1623" i="5"/>
  <c r="BL1622" i="5"/>
  <c r="BL1621" i="5"/>
  <c r="BL1620" i="5"/>
  <c r="BL1619" i="5"/>
  <c r="BL1618" i="5"/>
  <c r="BL1617" i="5"/>
  <c r="BL1616" i="5"/>
  <c r="BL1615" i="5"/>
  <c r="BL1614" i="5"/>
  <c r="BL1613" i="5"/>
  <c r="BL1612" i="5"/>
  <c r="BL1611" i="5"/>
  <c r="BL1610" i="5"/>
  <c r="BL1609" i="5"/>
  <c r="BL1608" i="5"/>
  <c r="BL1607" i="5"/>
  <c r="BL1606" i="5"/>
  <c r="BL1605" i="5"/>
  <c r="BL1604" i="5"/>
  <c r="BL1603" i="5"/>
  <c r="BL1602" i="5"/>
  <c r="BL1601" i="5"/>
  <c r="BL1600" i="5"/>
  <c r="BL1599" i="5"/>
  <c r="BL1598" i="5"/>
  <c r="BL1597" i="5"/>
  <c r="BL1596" i="5"/>
  <c r="BL1595" i="5"/>
  <c r="BL1594" i="5"/>
  <c r="BL1593" i="5"/>
  <c r="BL1592" i="5"/>
  <c r="BL1591" i="5"/>
  <c r="BL1590" i="5"/>
  <c r="BL1589" i="5"/>
  <c r="BL1588" i="5"/>
  <c r="BL1587" i="5"/>
  <c r="BL1586" i="5"/>
  <c r="BL1585" i="5"/>
  <c r="BL1584" i="5"/>
  <c r="BL1583" i="5"/>
  <c r="BL1582" i="5"/>
  <c r="BL1581" i="5"/>
  <c r="BL1580" i="5"/>
  <c r="BL1579" i="5"/>
  <c r="BL1578" i="5"/>
  <c r="BL1577" i="5"/>
  <c r="BL1576" i="5"/>
  <c r="BL1575" i="5"/>
  <c r="BL1574" i="5"/>
  <c r="BL1573" i="5"/>
  <c r="BL1572" i="5"/>
  <c r="BL1571" i="5"/>
  <c r="BL1570" i="5"/>
  <c r="BL1569" i="5"/>
  <c r="BL1568" i="5"/>
  <c r="BL1567" i="5"/>
  <c r="BL1566" i="5"/>
  <c r="BL1565" i="5"/>
  <c r="BL1564" i="5"/>
  <c r="BL1563" i="5"/>
  <c r="BL1562" i="5"/>
  <c r="BL1561" i="5"/>
  <c r="BL1560" i="5"/>
  <c r="BL1559" i="5"/>
  <c r="BL1558" i="5"/>
  <c r="BL1557" i="5"/>
  <c r="BL1556" i="5"/>
  <c r="BL1555" i="5"/>
  <c r="BL1554" i="5"/>
  <c r="BL1553" i="5"/>
  <c r="BL1552" i="5"/>
  <c r="BL1551" i="5"/>
  <c r="BL1550" i="5"/>
  <c r="BL1549" i="5"/>
  <c r="BL1548" i="5"/>
  <c r="BL1547" i="5"/>
  <c r="BL1546" i="5"/>
  <c r="BL1545" i="5"/>
  <c r="BL1544" i="5"/>
  <c r="BL1543" i="5"/>
  <c r="BL1542" i="5"/>
  <c r="BL1541" i="5"/>
  <c r="BL1540" i="5"/>
  <c r="BL1539" i="5"/>
  <c r="BL1538" i="5"/>
  <c r="BL1537" i="5"/>
  <c r="BL1536" i="5"/>
  <c r="BL1535" i="5"/>
  <c r="BL1534" i="5"/>
  <c r="BL1533" i="5"/>
  <c r="BL1532" i="5"/>
  <c r="BL1531" i="5"/>
  <c r="BL1530" i="5"/>
  <c r="BL1529" i="5"/>
  <c r="BL1528" i="5"/>
  <c r="BL1527" i="5"/>
  <c r="BL1526" i="5"/>
  <c r="BL1525" i="5"/>
  <c r="BL1524" i="5"/>
  <c r="BL1523" i="5"/>
  <c r="BL1522" i="5"/>
  <c r="BL1521" i="5"/>
  <c r="BL1520" i="5"/>
  <c r="BL1519" i="5"/>
  <c r="BL1518" i="5"/>
  <c r="BL1517" i="5"/>
  <c r="BL1516" i="5"/>
  <c r="BL1515" i="5"/>
  <c r="BL1514" i="5"/>
  <c r="BL1513" i="5"/>
  <c r="BL1512" i="5"/>
  <c r="BL1511" i="5"/>
  <c r="BL1510" i="5"/>
  <c r="BL1509" i="5"/>
  <c r="BL1508" i="5"/>
  <c r="BL1507" i="5"/>
  <c r="BL1506" i="5"/>
  <c r="BL1505" i="5"/>
  <c r="BL1504" i="5"/>
  <c r="BL1503" i="5"/>
  <c r="BL1502" i="5"/>
  <c r="BL1501" i="5"/>
  <c r="BL1500" i="5"/>
  <c r="BL1499" i="5"/>
  <c r="BL1498" i="5"/>
  <c r="BL1497" i="5"/>
  <c r="BL1496" i="5"/>
  <c r="BL1495" i="5"/>
  <c r="BL1494" i="5"/>
  <c r="BL1493" i="5"/>
  <c r="BL1492" i="5"/>
  <c r="BL1491" i="5"/>
  <c r="BL1490" i="5"/>
  <c r="BL1489" i="5"/>
  <c r="BL1488" i="5"/>
  <c r="BL1487" i="5"/>
  <c r="BL1486" i="5"/>
  <c r="BL1485" i="5"/>
  <c r="BL1484" i="5"/>
  <c r="BL1483" i="5"/>
  <c r="BL1482" i="5"/>
  <c r="BL1481" i="5"/>
  <c r="BL1480" i="5"/>
  <c r="BL1479" i="5"/>
  <c r="BL1478" i="5"/>
  <c r="BL1477" i="5"/>
  <c r="BL1476" i="5"/>
  <c r="BL1475" i="5"/>
  <c r="BL1474" i="5"/>
  <c r="BL1473" i="5"/>
  <c r="BL1472" i="5"/>
  <c r="BL1471" i="5"/>
  <c r="BL1470" i="5"/>
  <c r="BL1469" i="5"/>
  <c r="BL1468" i="5"/>
  <c r="BL1467" i="5"/>
  <c r="BL1466" i="5"/>
  <c r="BL1465" i="5"/>
  <c r="BL1464" i="5"/>
  <c r="BL1463" i="5"/>
  <c r="BL1462" i="5"/>
  <c r="BL1461" i="5"/>
  <c r="BL1460" i="5"/>
  <c r="BL1459" i="5"/>
  <c r="BL1458" i="5"/>
  <c r="BL1457" i="5"/>
  <c r="BL1456" i="5"/>
  <c r="BL1455" i="5"/>
  <c r="BL1454" i="5"/>
  <c r="BL1453" i="5"/>
  <c r="BL1452" i="5"/>
  <c r="BL1451" i="5"/>
  <c r="BL1450" i="5"/>
  <c r="BL1449" i="5"/>
  <c r="BL1448" i="5"/>
  <c r="BL1447" i="5"/>
  <c r="BL1446" i="5"/>
  <c r="BL1445" i="5"/>
  <c r="BL1444" i="5"/>
  <c r="BL1443" i="5"/>
  <c r="BL1442" i="5"/>
  <c r="BL1441" i="5"/>
  <c r="BL1440" i="5"/>
  <c r="BL1439" i="5"/>
  <c r="BL1438" i="5"/>
  <c r="BL1437" i="5"/>
  <c r="BL1436" i="5"/>
  <c r="BL1435" i="5"/>
  <c r="BL1434" i="5"/>
  <c r="BL1433" i="5"/>
  <c r="BL1432" i="5"/>
  <c r="BL1431" i="5"/>
  <c r="BL1430" i="5"/>
  <c r="BL1429" i="5"/>
  <c r="BL1428" i="5"/>
  <c r="BL1427" i="5"/>
  <c r="BL1426" i="5"/>
  <c r="BL1425" i="5"/>
  <c r="BL1424" i="5"/>
  <c r="BL1423" i="5"/>
  <c r="BL1422" i="5"/>
  <c r="BL1421" i="5"/>
  <c r="BL1420" i="5"/>
  <c r="BL1419" i="5"/>
  <c r="BL1418" i="5"/>
  <c r="BL1417" i="5"/>
  <c r="BL1416" i="5"/>
  <c r="BL1415" i="5"/>
  <c r="BL1414" i="5"/>
  <c r="BL1413" i="5"/>
  <c r="BL1412" i="5"/>
  <c r="BL1411" i="5"/>
  <c r="BL1410" i="5"/>
  <c r="BL1409" i="5"/>
  <c r="BL1408" i="5"/>
  <c r="BL1407" i="5"/>
  <c r="BL1406" i="5"/>
  <c r="BL1405" i="5"/>
  <c r="BL1404" i="5"/>
  <c r="BL1403" i="5"/>
  <c r="BL1402" i="5"/>
  <c r="BL1401" i="5"/>
  <c r="BL1400" i="5"/>
  <c r="BL1399" i="5"/>
  <c r="BL1398" i="5"/>
  <c r="BL1397" i="5"/>
  <c r="BL1396" i="5"/>
  <c r="BL1395" i="5"/>
  <c r="BL1394" i="5"/>
  <c r="BL1393" i="5"/>
  <c r="BL1392" i="5"/>
  <c r="BL1391" i="5"/>
  <c r="BL1390" i="5"/>
  <c r="BL1389" i="5"/>
  <c r="BL1388" i="5"/>
  <c r="BL1387" i="5"/>
  <c r="BL1386" i="5"/>
  <c r="BL1385" i="5"/>
  <c r="BL1384" i="5"/>
  <c r="BL1383" i="5"/>
  <c r="BL1382" i="5"/>
  <c r="BL1381" i="5"/>
  <c r="BL1380" i="5"/>
  <c r="BL1379" i="5"/>
  <c r="BL1378" i="5"/>
  <c r="BL1377" i="5"/>
  <c r="BL1376" i="5"/>
  <c r="BL1375" i="5"/>
  <c r="BL1374" i="5"/>
  <c r="BL1373" i="5"/>
  <c r="BL1372" i="5"/>
  <c r="BL1371" i="5"/>
  <c r="BL1370" i="5"/>
  <c r="BL1369" i="5"/>
  <c r="BL1368" i="5"/>
  <c r="BL1367" i="5"/>
  <c r="BL1366" i="5"/>
  <c r="BL1365" i="5"/>
  <c r="BL1364" i="5"/>
  <c r="BL1363" i="5"/>
  <c r="BL1362" i="5"/>
  <c r="BL1361" i="5"/>
  <c r="BL1360" i="5"/>
  <c r="BL1359" i="5"/>
  <c r="BL1358" i="5"/>
  <c r="BL1357" i="5"/>
  <c r="BL1356" i="5"/>
  <c r="BL1355" i="5"/>
  <c r="BL1354" i="5"/>
  <c r="BL1353" i="5"/>
  <c r="BL1352" i="5"/>
  <c r="BL1351" i="5"/>
  <c r="BL1350" i="5"/>
  <c r="BL1349" i="5"/>
  <c r="BL1348" i="5"/>
  <c r="BL1347" i="5"/>
  <c r="BL1346" i="5"/>
  <c r="BL1345" i="5"/>
  <c r="BL1344" i="5"/>
  <c r="BL1343" i="5"/>
  <c r="BL1342" i="5"/>
  <c r="BL1341" i="5"/>
  <c r="BL1340" i="5"/>
  <c r="BL1339" i="5"/>
  <c r="BL1338" i="5"/>
  <c r="BL1337" i="5"/>
  <c r="BL1336" i="5"/>
  <c r="BL1335" i="5"/>
  <c r="BL1334" i="5"/>
  <c r="BL1333" i="5"/>
  <c r="BL1332" i="5"/>
  <c r="BL1331" i="5"/>
  <c r="BL1330" i="5"/>
  <c r="BL1329" i="5"/>
  <c r="BL1328" i="5"/>
  <c r="BL1327" i="5"/>
  <c r="BL1326" i="5"/>
  <c r="BL1325" i="5"/>
  <c r="BL1324" i="5"/>
  <c r="BL1323" i="5"/>
  <c r="BL1322" i="5"/>
  <c r="BL1321" i="5"/>
  <c r="BL1320" i="5"/>
  <c r="BL1319" i="5"/>
  <c r="BL1318" i="5"/>
  <c r="BL1317" i="5"/>
  <c r="BL1316" i="5"/>
  <c r="BL1315" i="5"/>
  <c r="BL1314" i="5"/>
  <c r="BL1313" i="5"/>
  <c r="BL1312" i="5"/>
  <c r="BL1311" i="5"/>
  <c r="BL1310" i="5"/>
  <c r="BL1309" i="5"/>
  <c r="BL1308" i="5"/>
  <c r="BL1307" i="5"/>
  <c r="BL1306" i="5"/>
  <c r="BL1305" i="5"/>
  <c r="BL1304" i="5"/>
  <c r="BL1303" i="5"/>
  <c r="BL1302" i="5"/>
  <c r="BL1301" i="5"/>
  <c r="BL1300" i="5"/>
  <c r="BL1299" i="5"/>
  <c r="BL1298" i="5"/>
  <c r="BL1297" i="5"/>
  <c r="BL1296" i="5"/>
  <c r="BL1295" i="5"/>
  <c r="BL1294" i="5"/>
  <c r="BL1293" i="5"/>
  <c r="BL1292" i="5"/>
  <c r="BL1291" i="5"/>
  <c r="BL1290" i="5"/>
  <c r="BL1289" i="5"/>
  <c r="BL1288" i="5"/>
  <c r="BL1287" i="5"/>
  <c r="BL1286" i="5"/>
  <c r="BL1285" i="5"/>
  <c r="BL1284" i="5"/>
  <c r="BL1283" i="5"/>
  <c r="BL1282" i="5"/>
  <c r="BL1281" i="5"/>
  <c r="BL1280" i="5"/>
  <c r="BL1279" i="5"/>
  <c r="BL1278" i="5"/>
  <c r="BL1277" i="5"/>
  <c r="BL1276" i="5"/>
  <c r="BL1275" i="5"/>
  <c r="BL1274" i="5"/>
  <c r="BL1273" i="5"/>
  <c r="BL1272" i="5"/>
  <c r="BL1271" i="5"/>
  <c r="BL1270" i="5"/>
  <c r="BL1269" i="5"/>
  <c r="BL1268" i="5"/>
  <c r="BL1267" i="5"/>
  <c r="BL1266" i="5"/>
  <c r="BL1265" i="5"/>
  <c r="BL1264" i="5"/>
  <c r="BL1263" i="5"/>
  <c r="BL1262" i="5"/>
  <c r="BN1606" i="5"/>
  <c r="BN1605" i="5"/>
  <c r="BN1604" i="5"/>
  <c r="BN1603" i="5"/>
  <c r="BN1602" i="5"/>
  <c r="BN1601" i="5"/>
  <c r="BN1600" i="5"/>
  <c r="BN1599" i="5"/>
  <c r="BN1598" i="5"/>
  <c r="BN1597" i="5"/>
  <c r="BN1596" i="5"/>
  <c r="BN1595" i="5"/>
  <c r="BN1594" i="5"/>
  <c r="BN1593" i="5"/>
  <c r="BN1592" i="5"/>
  <c r="BN1591" i="5"/>
  <c r="BN1590" i="5"/>
  <c r="BN1589" i="5"/>
  <c r="BN1588" i="5"/>
  <c r="BN1587" i="5"/>
  <c r="BN1586" i="5"/>
  <c r="BN1585" i="5"/>
  <c r="BN1584" i="5"/>
  <c r="BN1583" i="5"/>
  <c r="BN1582" i="5"/>
  <c r="BN1581" i="5"/>
  <c r="BN1580" i="5"/>
  <c r="BN1579" i="5"/>
  <c r="BN1578" i="5"/>
  <c r="BN1577" i="5"/>
  <c r="BN1576" i="5"/>
  <c r="BN1575" i="5"/>
  <c r="BN1574" i="5"/>
  <c r="BN1573" i="5"/>
  <c r="BN1572" i="5"/>
  <c r="BN1571" i="5"/>
  <c r="BN1570" i="5"/>
  <c r="BN1569" i="5"/>
  <c r="BN1568" i="5"/>
  <c r="BN1567" i="5"/>
  <c r="BN1566" i="5"/>
  <c r="BN1565" i="5"/>
  <c r="BN1564" i="5"/>
  <c r="BN1563" i="5"/>
  <c r="BN1562" i="5"/>
  <c r="BN1561" i="5"/>
  <c r="BN1560" i="5"/>
  <c r="BN1559" i="5"/>
  <c r="BN1558" i="5"/>
  <c r="BN1557" i="5"/>
  <c r="BN1556" i="5"/>
  <c r="BN1555" i="5"/>
  <c r="BN1554" i="5"/>
  <c r="BN1553" i="5"/>
  <c r="BN1552" i="5"/>
  <c r="BN1551" i="5"/>
  <c r="BN1550" i="5"/>
  <c r="BN1549" i="5"/>
  <c r="BN1548" i="5"/>
  <c r="BN1547" i="5"/>
  <c r="BN1546" i="5"/>
  <c r="BN1545" i="5"/>
  <c r="BN1544" i="5"/>
  <c r="BN1543" i="5"/>
  <c r="BN1542" i="5"/>
  <c r="BN1541" i="5"/>
  <c r="BN1540" i="5"/>
  <c r="BN1539" i="5"/>
  <c r="BN1538" i="5"/>
  <c r="BN1537" i="5"/>
  <c r="BN1536" i="5"/>
  <c r="BN1535" i="5"/>
  <c r="BN1534" i="5"/>
  <c r="BN1533" i="5"/>
  <c r="BN1532" i="5"/>
  <c r="BN1531" i="5"/>
  <c r="BN1530" i="5"/>
  <c r="BN1529" i="5"/>
  <c r="BN1528" i="5"/>
  <c r="BN1527" i="5"/>
  <c r="BN1526" i="5"/>
  <c r="BN1525" i="5"/>
  <c r="BN1524" i="5"/>
  <c r="BN1523" i="5"/>
  <c r="BN1522" i="5"/>
  <c r="BN1521" i="5"/>
  <c r="BN1520" i="5"/>
  <c r="BN1519" i="5"/>
  <c r="BN1518" i="5"/>
  <c r="BN1517" i="5"/>
  <c r="BN1516" i="5"/>
  <c r="BN1515" i="5"/>
  <c r="BN1514" i="5"/>
  <c r="BN1513" i="5"/>
  <c r="BN1512" i="5"/>
  <c r="BN1511" i="5"/>
  <c r="BN1510" i="5"/>
  <c r="BN1509" i="5"/>
  <c r="BN1508" i="5"/>
  <c r="BN1507" i="5"/>
  <c r="BN1506" i="5"/>
  <c r="BN1505" i="5"/>
  <c r="BN1504" i="5"/>
  <c r="BN1503" i="5"/>
  <c r="BN1502" i="5"/>
  <c r="BN1501" i="5"/>
  <c r="BN1500" i="5"/>
  <c r="BN1499" i="5"/>
  <c r="BN1498" i="5"/>
  <c r="BN1497" i="5"/>
  <c r="BN1496" i="5"/>
  <c r="BN1495" i="5"/>
  <c r="BN1494" i="5"/>
  <c r="BN1493" i="5"/>
  <c r="BN1492" i="5"/>
  <c r="BN1491" i="5"/>
  <c r="BN1490" i="5"/>
  <c r="BN1489" i="5"/>
  <c r="BN1488" i="5"/>
  <c r="BN1487" i="5"/>
  <c r="BN1486" i="5"/>
  <c r="BN1485" i="5"/>
  <c r="BN1484" i="5"/>
  <c r="BN1483" i="5"/>
  <c r="BN1482" i="5"/>
  <c r="BN1481" i="5"/>
  <c r="BN1480" i="5"/>
  <c r="BN1479" i="5"/>
  <c r="BN1478" i="5"/>
  <c r="BN1477" i="5"/>
  <c r="BN1476" i="5"/>
  <c r="BN1475" i="5"/>
  <c r="BN1474" i="5"/>
  <c r="BN1473" i="5"/>
  <c r="BN1472" i="5"/>
  <c r="BN1471" i="5"/>
  <c r="BN1470" i="5"/>
  <c r="BN1469" i="5"/>
  <c r="BN1468" i="5"/>
  <c r="BN1467" i="5"/>
  <c r="BN1466" i="5"/>
  <c r="BN1465" i="5"/>
  <c r="BN1464" i="5"/>
  <c r="BN1463" i="5"/>
  <c r="BN1462" i="5"/>
  <c r="BN1461" i="5"/>
  <c r="BN1460" i="5"/>
  <c r="BN1459" i="5"/>
  <c r="BN1458" i="5"/>
  <c r="BN1457" i="5"/>
  <c r="BN1456" i="5"/>
  <c r="BN1455" i="5"/>
  <c r="BN1454" i="5"/>
  <c r="BN1453" i="5"/>
  <c r="BN1452" i="5"/>
  <c r="BN1451" i="5"/>
  <c r="BN1450" i="5"/>
  <c r="BN1449" i="5"/>
  <c r="BN1448" i="5"/>
  <c r="BN1447" i="5"/>
  <c r="BN1446" i="5"/>
  <c r="BN1445" i="5"/>
  <c r="BN1444" i="5"/>
  <c r="BN1443" i="5"/>
  <c r="BN1442" i="5"/>
  <c r="BN1441" i="5"/>
  <c r="BN1440" i="5"/>
  <c r="BN1439" i="5"/>
  <c r="BN1438" i="5"/>
  <c r="BN1437" i="5"/>
  <c r="BN1436" i="5"/>
  <c r="BN1435" i="5"/>
  <c r="BN1434" i="5"/>
  <c r="BN1433" i="5"/>
  <c r="BN1432" i="5"/>
  <c r="BN1431" i="5"/>
  <c r="BN1430" i="5"/>
  <c r="BN1429" i="5"/>
  <c r="BN1428" i="5"/>
  <c r="BN1427" i="5"/>
  <c r="BN1426" i="5"/>
  <c r="BN1425" i="5"/>
  <c r="BN1424" i="5"/>
  <c r="BN1423" i="5"/>
  <c r="BN1422" i="5"/>
  <c r="BN1421" i="5"/>
  <c r="BN1420" i="5"/>
  <c r="BN1419" i="5"/>
  <c r="BN1418" i="5"/>
  <c r="BN1417" i="5"/>
  <c r="BN1416" i="5"/>
  <c r="BN1415" i="5"/>
  <c r="BN1414" i="5"/>
  <c r="BN1413" i="5"/>
  <c r="BN1412" i="5"/>
  <c r="BN1411" i="5"/>
  <c r="BN1410" i="5"/>
  <c r="BN1409" i="5"/>
  <c r="BN1408" i="5"/>
  <c r="BN1407" i="5"/>
  <c r="BN1406" i="5"/>
  <c r="BN1405" i="5"/>
  <c r="BN1404" i="5"/>
  <c r="BN1403" i="5"/>
  <c r="BN1402" i="5"/>
  <c r="BN1401" i="5"/>
  <c r="BN1400" i="5"/>
  <c r="BN1399" i="5"/>
  <c r="BN1398" i="5"/>
  <c r="BN1397" i="5"/>
  <c r="BN1396" i="5"/>
  <c r="BN1395" i="5"/>
  <c r="BN1394" i="5"/>
  <c r="BN1393" i="5"/>
  <c r="BN1392" i="5"/>
  <c r="BN1391" i="5"/>
  <c r="BN1390" i="5"/>
  <c r="BN1389" i="5"/>
  <c r="BN1388" i="5"/>
  <c r="BN1387" i="5"/>
  <c r="BN1386" i="5"/>
  <c r="BN1385" i="5"/>
  <c r="BN1384" i="5"/>
  <c r="BN1383" i="5"/>
  <c r="BN1382" i="5"/>
  <c r="BN1381" i="5"/>
  <c r="BN1380" i="5"/>
  <c r="BN1379" i="5"/>
  <c r="BN1378" i="5"/>
  <c r="BN1377" i="5"/>
  <c r="BN1376" i="5"/>
  <c r="BN1375" i="5"/>
  <c r="BN1374" i="5"/>
  <c r="BN1373" i="5"/>
  <c r="BN1372" i="5"/>
  <c r="BN1371" i="5"/>
  <c r="BN1370" i="5"/>
  <c r="BN1369" i="5"/>
  <c r="BN1368" i="5"/>
  <c r="BN1367" i="5"/>
  <c r="BN1366" i="5"/>
  <c r="BN1365" i="5"/>
  <c r="BN1364" i="5"/>
  <c r="BN1363" i="5"/>
  <c r="BN1362" i="5"/>
  <c r="BN1361" i="5"/>
  <c r="BN1360" i="5"/>
  <c r="BN1359" i="5"/>
  <c r="BN1358" i="5"/>
  <c r="BN1357" i="5"/>
  <c r="BN1356" i="5"/>
  <c r="BN1355" i="5"/>
  <c r="BN1354" i="5"/>
  <c r="BN1353" i="5"/>
  <c r="BN1352" i="5"/>
  <c r="BN1351" i="5"/>
  <c r="BN1350" i="5"/>
  <c r="BN1349" i="5"/>
  <c r="BN1348" i="5"/>
  <c r="BN1347" i="5"/>
  <c r="BN1346" i="5"/>
  <c r="BN1345" i="5"/>
  <c r="BN1344" i="5"/>
  <c r="BN1343" i="5"/>
  <c r="BN1342" i="5"/>
  <c r="BN1341" i="5"/>
  <c r="BN1340" i="5"/>
  <c r="BN1339" i="5"/>
  <c r="BN1338" i="5"/>
  <c r="BN1337" i="5"/>
  <c r="BN1336" i="5"/>
  <c r="BN1335" i="5"/>
  <c r="BN1334" i="5"/>
  <c r="BN1333" i="5"/>
  <c r="BN1332" i="5"/>
  <c r="BN1331" i="5"/>
  <c r="BN1330" i="5"/>
  <c r="BN1329" i="5"/>
  <c r="BN1328" i="5"/>
  <c r="BN1327" i="5"/>
  <c r="BN1326" i="5"/>
  <c r="BN1325" i="5"/>
  <c r="BN1324" i="5"/>
  <c r="BN1323" i="5"/>
  <c r="BN1322" i="5"/>
  <c r="BN1321" i="5"/>
  <c r="BN1320" i="5"/>
  <c r="BN1319" i="5"/>
  <c r="BN1318" i="5"/>
  <c r="BN1317" i="5"/>
  <c r="BN1316" i="5"/>
  <c r="BN1315" i="5"/>
  <c r="BN1314" i="5"/>
  <c r="BN1313" i="5"/>
  <c r="BN1312" i="5"/>
  <c r="BN1311" i="5"/>
  <c r="BN1310" i="5"/>
  <c r="BN1309" i="5"/>
  <c r="BN1308" i="5"/>
  <c r="BN1307" i="5"/>
  <c r="BN1306" i="5"/>
  <c r="BN1305" i="5"/>
  <c r="BN1304" i="5"/>
  <c r="BN1303" i="5"/>
  <c r="BN1302" i="5"/>
  <c r="BN1301" i="5"/>
  <c r="BN1300" i="5"/>
  <c r="BN1299" i="5"/>
  <c r="BN1298" i="5"/>
  <c r="BN1297" i="5"/>
  <c r="BN1296" i="5"/>
  <c r="BN1295" i="5"/>
  <c r="BN1294" i="5"/>
  <c r="BN1293" i="5"/>
  <c r="BN1292" i="5"/>
  <c r="BN1291" i="5"/>
  <c r="BN1290" i="5"/>
  <c r="BN1289" i="5"/>
  <c r="BN1288" i="5"/>
  <c r="BN1287" i="5"/>
  <c r="BN1286" i="5"/>
  <c r="BN1285" i="5"/>
  <c r="BN1284" i="5"/>
  <c r="BN1283" i="5"/>
  <c r="BN1282" i="5"/>
  <c r="BN1281" i="5"/>
  <c r="BN1280" i="5"/>
  <c r="BN1279" i="5"/>
  <c r="BN1278" i="5"/>
  <c r="BN1277" i="5"/>
  <c r="BN1276" i="5"/>
  <c r="BN1275" i="5"/>
  <c r="BN1274" i="5"/>
  <c r="BN1273" i="5"/>
  <c r="BN1272" i="5"/>
  <c r="BN1271" i="5"/>
  <c r="BN1270" i="5"/>
  <c r="BN1269" i="5"/>
  <c r="BN1268" i="5"/>
  <c r="BN1267" i="5"/>
  <c r="BN1266" i="5"/>
  <c r="BN1265" i="5"/>
  <c r="BN1264" i="5"/>
  <c r="BN1263" i="5"/>
  <c r="BN1262" i="5"/>
  <c r="BN1261" i="5"/>
  <c r="BN1260" i="5"/>
  <c r="BN1259" i="5"/>
  <c r="BN1258" i="5"/>
  <c r="BN1257" i="5"/>
  <c r="BN1256" i="5"/>
  <c r="BN1255" i="5"/>
  <c r="BN1254" i="5"/>
  <c r="BN1253" i="5"/>
  <c r="BN1252" i="5"/>
  <c r="BN1251" i="5"/>
  <c r="BN1250" i="5"/>
  <c r="BN1249" i="5"/>
  <c r="BN1248" i="5"/>
  <c r="BN1247" i="5"/>
  <c r="BN1246" i="5"/>
  <c r="BN1245" i="5"/>
  <c r="BN1244" i="5"/>
  <c r="BN1243" i="5"/>
  <c r="BN1242" i="5"/>
  <c r="BN1241" i="5"/>
  <c r="BN1240" i="5"/>
  <c r="BN1239" i="5"/>
  <c r="BN1238" i="5"/>
  <c r="BN1237" i="5"/>
  <c r="BN1236" i="5"/>
  <c r="BN1235" i="5"/>
  <c r="BN1234" i="5"/>
  <c r="BN1233" i="5"/>
  <c r="BN1232" i="5"/>
  <c r="BN1231" i="5"/>
  <c r="BN1230" i="5"/>
  <c r="BN1229" i="5"/>
  <c r="BN1228" i="5"/>
  <c r="BN1227" i="5"/>
  <c r="BN1226" i="5"/>
  <c r="BN1225" i="5"/>
  <c r="BN1224" i="5"/>
  <c r="BN1223" i="5"/>
  <c r="BN1222" i="5"/>
  <c r="BN1221" i="5"/>
  <c r="BN1220" i="5"/>
  <c r="BN1219" i="5"/>
  <c r="BN1218" i="5"/>
  <c r="BN1217" i="5"/>
  <c r="BN1216" i="5"/>
  <c r="BN1215" i="5"/>
  <c r="BN1214" i="5"/>
  <c r="BN1213" i="5"/>
  <c r="BN1212" i="5"/>
  <c r="BN1211" i="5"/>
  <c r="BN1210" i="5"/>
  <c r="BN1209" i="5"/>
  <c r="BN1208" i="5"/>
  <c r="BN1207" i="5"/>
  <c r="BN1206" i="5"/>
  <c r="BN1205" i="5"/>
  <c r="BN1204" i="5"/>
  <c r="BN1203" i="5"/>
  <c r="BN1202" i="5"/>
  <c r="BN1201" i="5"/>
  <c r="BN1200" i="5"/>
  <c r="BN1199" i="5"/>
  <c r="BN1198" i="5"/>
  <c r="BN1197" i="5"/>
  <c r="BN1196" i="5"/>
  <c r="BN1195" i="5"/>
  <c r="BN1194" i="5"/>
  <c r="BN1193" i="5"/>
  <c r="BN1192" i="5"/>
  <c r="BN1191" i="5"/>
  <c r="BN1190" i="5"/>
  <c r="BN1189" i="5"/>
  <c r="BN1188" i="5"/>
  <c r="BN1187" i="5"/>
  <c r="BN1186" i="5"/>
  <c r="BN1185" i="5"/>
  <c r="BN1184" i="5"/>
  <c r="BN1183" i="5"/>
  <c r="BN1182" i="5"/>
  <c r="BN1181" i="5"/>
  <c r="BN1180" i="5"/>
  <c r="BN1179" i="5"/>
  <c r="BN1178" i="5"/>
  <c r="BN1177" i="5"/>
  <c r="BN1176" i="5"/>
  <c r="BN1175" i="5"/>
  <c r="BN1174" i="5"/>
  <c r="BN1173" i="5"/>
  <c r="BN1172" i="5"/>
  <c r="BN1171" i="5"/>
  <c r="BN1170" i="5"/>
  <c r="BN1169" i="5"/>
  <c r="BN1168" i="5"/>
  <c r="BN1167" i="5"/>
  <c r="BN1166" i="5"/>
  <c r="BN1165" i="5"/>
  <c r="BN1164" i="5"/>
  <c r="BN1163" i="5"/>
  <c r="BN1162" i="5"/>
  <c r="BN1161" i="5"/>
  <c r="BN1160" i="5"/>
  <c r="BN1159" i="5"/>
  <c r="BN1158" i="5"/>
  <c r="BN1157" i="5"/>
  <c r="BN1156" i="5"/>
  <c r="BN1155" i="5"/>
  <c r="BN1154" i="5"/>
  <c r="BN1153" i="5"/>
  <c r="BN1152" i="5"/>
  <c r="BN1151" i="5"/>
  <c r="BN1150" i="5"/>
  <c r="BN1149" i="5"/>
  <c r="BN1148" i="5"/>
  <c r="BN1147" i="5"/>
  <c r="BN1146" i="5"/>
  <c r="BN1145" i="5"/>
  <c r="BN1144" i="5"/>
  <c r="BN1143" i="5"/>
  <c r="BN1142" i="5"/>
  <c r="BN1141" i="5"/>
  <c r="BN1140" i="5"/>
  <c r="BN1139" i="5"/>
  <c r="BN1138" i="5"/>
  <c r="BN1137" i="5"/>
  <c r="BN1136" i="5"/>
  <c r="BN1135" i="5"/>
  <c r="BN1134" i="5"/>
  <c r="BN1133" i="5"/>
  <c r="BN1132" i="5"/>
  <c r="BN1131" i="5"/>
  <c r="BN1130" i="5"/>
  <c r="BN1129" i="5"/>
  <c r="BN1128" i="5"/>
  <c r="BN1127" i="5"/>
  <c r="BN1126" i="5"/>
  <c r="BN1125" i="5"/>
  <c r="BN1124" i="5"/>
  <c r="BN1123" i="5"/>
  <c r="BN1122" i="5"/>
  <c r="BN1121" i="5"/>
  <c r="BN1120" i="5"/>
  <c r="BN1119" i="5"/>
  <c r="BN1118" i="5"/>
  <c r="BN1117" i="5"/>
  <c r="BN1116" i="5"/>
  <c r="BN1115" i="5"/>
  <c r="BN1114" i="5"/>
  <c r="BN1113" i="5"/>
  <c r="BN1112" i="5"/>
  <c r="BN1111" i="5"/>
  <c r="BN1110" i="5"/>
  <c r="BN1109" i="5"/>
  <c r="BN1108" i="5"/>
  <c r="BN1107" i="5"/>
  <c r="BN1106" i="5"/>
  <c r="BN1105" i="5"/>
  <c r="BN1104" i="5"/>
  <c r="BN1103" i="5"/>
  <c r="BN1102" i="5"/>
  <c r="BN1101" i="5"/>
  <c r="BN1100" i="5"/>
  <c r="BN1099" i="5"/>
  <c r="BN1098" i="5"/>
  <c r="BN1097" i="5"/>
  <c r="BN1096" i="5"/>
  <c r="BN1095" i="5"/>
  <c r="BN1094" i="5"/>
  <c r="BN1093" i="5"/>
  <c r="BN1092" i="5"/>
  <c r="BN1091" i="5"/>
  <c r="BN1090" i="5"/>
  <c r="BN1089" i="5"/>
  <c r="BN1088" i="5"/>
  <c r="BN1087" i="5"/>
  <c r="BN1086" i="5"/>
  <c r="BN1085" i="5"/>
  <c r="BN1084" i="5"/>
  <c r="BN1083" i="5"/>
  <c r="BN1082" i="5"/>
  <c r="BN1081" i="5"/>
  <c r="BN1080" i="5"/>
  <c r="BN1079" i="5"/>
  <c r="BN1078" i="5"/>
  <c r="BN1077" i="5"/>
  <c r="BN1076" i="5"/>
  <c r="BN1075" i="5"/>
  <c r="BN1074" i="5"/>
  <c r="BN1073" i="5"/>
  <c r="BN1072" i="5"/>
  <c r="BN1071" i="5"/>
  <c r="BN1070" i="5"/>
  <c r="BN1069" i="5"/>
  <c r="BN1068" i="5"/>
  <c r="BN1067" i="5"/>
  <c r="BN1066" i="5"/>
  <c r="BN1065" i="5"/>
  <c r="BN1064" i="5"/>
  <c r="BN1063" i="5"/>
  <c r="BN1062" i="5"/>
  <c r="BN1061" i="5"/>
  <c r="BN1060" i="5"/>
  <c r="BN1059" i="5"/>
  <c r="BN1058" i="5"/>
  <c r="BN1057" i="5"/>
  <c r="BN1056" i="5"/>
  <c r="BN1055" i="5"/>
  <c r="BN1054" i="5"/>
  <c r="BN1053" i="5"/>
  <c r="BN1052" i="5"/>
  <c r="BN1051" i="5"/>
  <c r="BN1050" i="5"/>
  <c r="BN1049" i="5"/>
  <c r="BN1048" i="5"/>
  <c r="BN1047" i="5"/>
  <c r="BN1046" i="5"/>
  <c r="BN1045" i="5"/>
  <c r="BN1044" i="5"/>
  <c r="BN1043" i="5"/>
  <c r="BN1042" i="5"/>
  <c r="BN1041" i="5"/>
  <c r="BN1040" i="5"/>
  <c r="BN1039" i="5"/>
  <c r="BN1038" i="5"/>
  <c r="BN1037" i="5"/>
  <c r="BN1036" i="5"/>
  <c r="BN1035" i="5"/>
  <c r="BN1034" i="5"/>
  <c r="BN1033" i="5"/>
  <c r="BN1032" i="5"/>
  <c r="BN1031" i="5"/>
  <c r="BN1030" i="5"/>
  <c r="BN1029" i="5"/>
  <c r="BN1028" i="5"/>
  <c r="BN1027" i="5"/>
  <c r="BN1026" i="5"/>
  <c r="BN1025" i="5"/>
  <c r="BN1024" i="5"/>
  <c r="BN1023" i="5"/>
  <c r="BN1022" i="5"/>
  <c r="BN1021" i="5"/>
  <c r="BN1020" i="5"/>
  <c r="BN1019" i="5"/>
  <c r="BN1018" i="5"/>
  <c r="BN1017" i="5"/>
  <c r="BN1016" i="5"/>
  <c r="BN1015" i="5"/>
  <c r="BN1014" i="5"/>
  <c r="BN1013" i="5"/>
  <c r="BN1012" i="5"/>
  <c r="BN1011" i="5"/>
  <c r="BN1010" i="5"/>
  <c r="BN1009" i="5"/>
  <c r="BN1008" i="5"/>
  <c r="BN1007" i="5"/>
  <c r="BN1006" i="5"/>
  <c r="BN1005" i="5"/>
  <c r="BN1004" i="5"/>
  <c r="BN1003" i="5"/>
  <c r="BN1002" i="5"/>
  <c r="BN1001" i="5"/>
  <c r="BN1000" i="5"/>
  <c r="BN999" i="5"/>
  <c r="BN998" i="5"/>
  <c r="BN997" i="5"/>
  <c r="BN996" i="5"/>
  <c r="BN995" i="5"/>
  <c r="BN994" i="5"/>
  <c r="BN993" i="5"/>
  <c r="BN992" i="5"/>
  <c r="BN991" i="5"/>
  <c r="BN990" i="5"/>
  <c r="BN989" i="5"/>
  <c r="BN988" i="5"/>
  <c r="BN987" i="5"/>
  <c r="BN986" i="5"/>
  <c r="BN985" i="5"/>
  <c r="BN984" i="5"/>
  <c r="BN983" i="5"/>
  <c r="BN982" i="5"/>
  <c r="BN981" i="5"/>
  <c r="BN980" i="5"/>
  <c r="BN979" i="5"/>
  <c r="BN978" i="5"/>
  <c r="BN977" i="5"/>
  <c r="BN976" i="5"/>
  <c r="BN975" i="5"/>
  <c r="BN974" i="5"/>
  <c r="BN973" i="5"/>
  <c r="BN972" i="5"/>
  <c r="BN971" i="5"/>
  <c r="BN970" i="5"/>
  <c r="BN969" i="5"/>
  <c r="BN968" i="5"/>
  <c r="BN967" i="5"/>
  <c r="BN966" i="5"/>
  <c r="BN965" i="5"/>
  <c r="BN964" i="5"/>
  <c r="BN963" i="5"/>
  <c r="BN962" i="5"/>
  <c r="BN961" i="5"/>
  <c r="BN960" i="5"/>
  <c r="BN959" i="5"/>
  <c r="BN958" i="5"/>
  <c r="BN957" i="5"/>
  <c r="BN956" i="5"/>
  <c r="BN955" i="5"/>
  <c r="BN954" i="5"/>
  <c r="BN953" i="5"/>
  <c r="BN952" i="5"/>
  <c r="BN951" i="5"/>
  <c r="BN950" i="5"/>
  <c r="BN949" i="5"/>
  <c r="BN948" i="5"/>
  <c r="BN947" i="5"/>
  <c r="BN946" i="5"/>
  <c r="BN945" i="5"/>
  <c r="BN944" i="5"/>
  <c r="BN943" i="5"/>
  <c r="BN942" i="5"/>
  <c r="BN941" i="5"/>
  <c r="BN940" i="5"/>
  <c r="BN939" i="5"/>
  <c r="BN938" i="5"/>
  <c r="BN937" i="5"/>
  <c r="BN936" i="5"/>
  <c r="BN935" i="5"/>
  <c r="BN934" i="5"/>
  <c r="BN933" i="5"/>
  <c r="BN932" i="5"/>
  <c r="BN931" i="5"/>
  <c r="BN930" i="5"/>
  <c r="BN929" i="5"/>
  <c r="BN928" i="5"/>
  <c r="BN927" i="5"/>
  <c r="BN926" i="5"/>
  <c r="BN925" i="5"/>
  <c r="BN924" i="5"/>
  <c r="BN923" i="5"/>
  <c r="BN922" i="5"/>
  <c r="BN921" i="5"/>
  <c r="BN920" i="5"/>
  <c r="BN919" i="5"/>
  <c r="BN918" i="5"/>
  <c r="BN917" i="5"/>
  <c r="BN916" i="5"/>
  <c r="BN915" i="5"/>
  <c r="BN914" i="5"/>
  <c r="BN913" i="5"/>
  <c r="BN912" i="5"/>
  <c r="BN911" i="5"/>
  <c r="BN910" i="5"/>
  <c r="BN909" i="5"/>
  <c r="BN908" i="5"/>
  <c r="BN907" i="5"/>
  <c r="BN906" i="5"/>
  <c r="BN905" i="5"/>
  <c r="BN904" i="5"/>
  <c r="BN903" i="5"/>
  <c r="BN902" i="5"/>
  <c r="BN901" i="5"/>
  <c r="BN900" i="5"/>
  <c r="BN899" i="5"/>
  <c r="BN898" i="5"/>
  <c r="BN897" i="5"/>
  <c r="BN896" i="5"/>
  <c r="BN895" i="5"/>
  <c r="BN894" i="5"/>
  <c r="BN893" i="5"/>
  <c r="BN892" i="5"/>
  <c r="BN891" i="5"/>
  <c r="BN890" i="5"/>
  <c r="BN889" i="5"/>
  <c r="BN888" i="5"/>
  <c r="BN887" i="5"/>
  <c r="BN886" i="5"/>
  <c r="BN885" i="5"/>
  <c r="BN884" i="5"/>
  <c r="BN883" i="5"/>
  <c r="BN882" i="5"/>
  <c r="BN881" i="5"/>
  <c r="BN880" i="5"/>
  <c r="BN879" i="5"/>
  <c r="BN878" i="5"/>
  <c r="BN877" i="5"/>
  <c r="BN876" i="5"/>
  <c r="BN875" i="5"/>
  <c r="BN874" i="5"/>
  <c r="BN873" i="5"/>
  <c r="BN872" i="5"/>
  <c r="BN871" i="5"/>
  <c r="BN870" i="5"/>
  <c r="BN869" i="5"/>
  <c r="BN868" i="5"/>
  <c r="BN867" i="5"/>
  <c r="BN866" i="5"/>
  <c r="BN865" i="5"/>
  <c r="BN864" i="5"/>
  <c r="BN863" i="5"/>
  <c r="BN862" i="5"/>
  <c r="BN861" i="5"/>
  <c r="BN860" i="5"/>
  <c r="BN859" i="5"/>
  <c r="BN858" i="5"/>
  <c r="BN857" i="5"/>
  <c r="BN856" i="5"/>
  <c r="BN855" i="5"/>
  <c r="BN854" i="5"/>
  <c r="BN853" i="5"/>
  <c r="BN852" i="5"/>
  <c r="BN851" i="5"/>
  <c r="BN850" i="5"/>
  <c r="BN849" i="5"/>
  <c r="BN848" i="5"/>
  <c r="BN847" i="5"/>
  <c r="BN846" i="5"/>
  <c r="BN845" i="5"/>
  <c r="BN844" i="5"/>
  <c r="BN843" i="5"/>
  <c r="BN842" i="5"/>
  <c r="BN841" i="5"/>
  <c r="BN840" i="5"/>
  <c r="BN839" i="5"/>
  <c r="BN838" i="5"/>
  <c r="BN837" i="5"/>
  <c r="BN836" i="5"/>
  <c r="BN835" i="5"/>
  <c r="BN834" i="5"/>
  <c r="BN833" i="5"/>
  <c r="BN832" i="5"/>
  <c r="BN831" i="5"/>
  <c r="BN830" i="5"/>
  <c r="BN829" i="5"/>
  <c r="BN828" i="5"/>
  <c r="BN827" i="5"/>
  <c r="BN826" i="5"/>
  <c r="BN825" i="5"/>
  <c r="BN824" i="5"/>
  <c r="BN823" i="5"/>
  <c r="BN822" i="5"/>
  <c r="BN821" i="5"/>
  <c r="BN820" i="5"/>
  <c r="BN819" i="5"/>
  <c r="BN818" i="5"/>
  <c r="BN817" i="5"/>
  <c r="BN816" i="5"/>
  <c r="BN815" i="5"/>
  <c r="BN814" i="5"/>
  <c r="BN813" i="5"/>
  <c r="BN812" i="5"/>
  <c r="BN811" i="5"/>
  <c r="BN810" i="5"/>
  <c r="BN809" i="5"/>
  <c r="BN808" i="5"/>
  <c r="BN807" i="5"/>
  <c r="BN806" i="5"/>
  <c r="BN805" i="5"/>
  <c r="BN804" i="5"/>
  <c r="BN803" i="5"/>
  <c r="BN802" i="5"/>
  <c r="BN801" i="5"/>
  <c r="BN800" i="5"/>
  <c r="BN799" i="5"/>
  <c r="BN798" i="5"/>
  <c r="BN797" i="5"/>
  <c r="BN796" i="5"/>
  <c r="BN795" i="5"/>
  <c r="BN794" i="5"/>
  <c r="BN793" i="5"/>
  <c r="BN792" i="5"/>
  <c r="BN791" i="5"/>
  <c r="BN790" i="5"/>
  <c r="BN789" i="5"/>
  <c r="BN788" i="5"/>
  <c r="BN787" i="5"/>
  <c r="BN786" i="5"/>
  <c r="BN785" i="5"/>
  <c r="BN784" i="5"/>
  <c r="BN783" i="5"/>
  <c r="BN782" i="5"/>
  <c r="BN781" i="5"/>
  <c r="BN780" i="5"/>
  <c r="BN779" i="5"/>
  <c r="BN778" i="5"/>
  <c r="BN777" i="5"/>
  <c r="BN776" i="5"/>
  <c r="BN775" i="5"/>
  <c r="BN774" i="5"/>
  <c r="BN773" i="5"/>
  <c r="BN772" i="5"/>
  <c r="BN771" i="5"/>
  <c r="BN770" i="5"/>
  <c r="BN769" i="5"/>
  <c r="BN768" i="5"/>
  <c r="BN767" i="5"/>
  <c r="BN766" i="5"/>
  <c r="BN765" i="5"/>
  <c r="BN764" i="5"/>
  <c r="BN763" i="5"/>
  <c r="BN762" i="5"/>
  <c r="BN761" i="5"/>
  <c r="BN760" i="5"/>
  <c r="BN759" i="5"/>
  <c r="BN758" i="5"/>
  <c r="BN757" i="5"/>
  <c r="BN756" i="5"/>
  <c r="BN755" i="5"/>
  <c r="BN754" i="5"/>
  <c r="BN753" i="5"/>
  <c r="BN752" i="5"/>
  <c r="BN751" i="5"/>
  <c r="BN750" i="5"/>
  <c r="BN749" i="5"/>
  <c r="BN748" i="5"/>
  <c r="BN747" i="5"/>
  <c r="BN746" i="5"/>
  <c r="BN745" i="5"/>
  <c r="BN744" i="5"/>
  <c r="BN743" i="5"/>
  <c r="BN742" i="5"/>
  <c r="BN741" i="5"/>
  <c r="BN740" i="5"/>
  <c r="BN739" i="5"/>
  <c r="BN738" i="5"/>
  <c r="BN737" i="5"/>
  <c r="BN736" i="5"/>
  <c r="BN735" i="5"/>
  <c r="BN734" i="5"/>
  <c r="BN733" i="5"/>
  <c r="BN732" i="5"/>
  <c r="BN731" i="5"/>
  <c r="BN730" i="5"/>
  <c r="BN729" i="5"/>
  <c r="BN728" i="5"/>
  <c r="BN727" i="5"/>
  <c r="BN726" i="5"/>
  <c r="BN725" i="5"/>
  <c r="BN724" i="5"/>
  <c r="BN723" i="5"/>
  <c r="BN722" i="5"/>
  <c r="BN721" i="5"/>
  <c r="BN720" i="5"/>
  <c r="BN719" i="5"/>
  <c r="BN718" i="5"/>
  <c r="BN717" i="5"/>
  <c r="BN716" i="5"/>
  <c r="BN715" i="5"/>
  <c r="BN714" i="5"/>
  <c r="BN713" i="5"/>
  <c r="BN712" i="5"/>
  <c r="BN711" i="5"/>
  <c r="BN710" i="5"/>
  <c r="BN709" i="5"/>
  <c r="BN708" i="5"/>
  <c r="BN707" i="5"/>
  <c r="BN706" i="5"/>
  <c r="BN705" i="5"/>
  <c r="BN704" i="5"/>
  <c r="BN703" i="5"/>
  <c r="BN702" i="5"/>
  <c r="BN701" i="5"/>
  <c r="BN700" i="5"/>
  <c r="BN699" i="5"/>
  <c r="BN698" i="5"/>
  <c r="BN697" i="5"/>
  <c r="BN696" i="5"/>
  <c r="BN695" i="5"/>
  <c r="BN694" i="5"/>
  <c r="BN693" i="5"/>
  <c r="BN692" i="5"/>
  <c r="BN691" i="5"/>
  <c r="BN690" i="5"/>
  <c r="BN689" i="5"/>
  <c r="BN688" i="5"/>
  <c r="BN687" i="5"/>
  <c r="BN686" i="5"/>
  <c r="BN685" i="5"/>
  <c r="BN684" i="5"/>
  <c r="BN683" i="5"/>
  <c r="BN682" i="5"/>
  <c r="BN681" i="5"/>
  <c r="BN680" i="5"/>
  <c r="BN679" i="5"/>
  <c r="BN678" i="5"/>
  <c r="BN677" i="5"/>
  <c r="BN676" i="5"/>
  <c r="BN675" i="5"/>
  <c r="BN674" i="5"/>
  <c r="BN673" i="5"/>
  <c r="BN672" i="5"/>
  <c r="BN671" i="5"/>
  <c r="BN670" i="5"/>
  <c r="BN669" i="5"/>
  <c r="BN668" i="5"/>
  <c r="BN667" i="5"/>
  <c r="BN666" i="5"/>
  <c r="BN665" i="5"/>
  <c r="BN664" i="5"/>
  <c r="BN663" i="5"/>
  <c r="BN662" i="5"/>
  <c r="BN661" i="5"/>
  <c r="BN660" i="5"/>
  <c r="BN659" i="5"/>
  <c r="BN658" i="5"/>
  <c r="BN657" i="5"/>
  <c r="BN656" i="5"/>
  <c r="BN655" i="5"/>
  <c r="BN654" i="5"/>
  <c r="BN653" i="5"/>
  <c r="BN652" i="5"/>
  <c r="BN651" i="5"/>
  <c r="BN650" i="5"/>
  <c r="BN649" i="5"/>
  <c r="BN648" i="5"/>
  <c r="BN647" i="5"/>
  <c r="BN646" i="5"/>
  <c r="BN645" i="5"/>
  <c r="BN644" i="5"/>
  <c r="BN643" i="5"/>
  <c r="BN642" i="5"/>
  <c r="BN641" i="5"/>
  <c r="BN640" i="5"/>
  <c r="BN639" i="5"/>
  <c r="BN638" i="5"/>
  <c r="BN637" i="5"/>
  <c r="BN636" i="5"/>
  <c r="BN635" i="5"/>
  <c r="BN634" i="5"/>
  <c r="BN633" i="5"/>
  <c r="BN632" i="5"/>
  <c r="BN631" i="5"/>
  <c r="BN630" i="5"/>
  <c r="BN629" i="5"/>
  <c r="BN628" i="5"/>
  <c r="BN627" i="5"/>
  <c r="BN626" i="5"/>
  <c r="BN625" i="5"/>
  <c r="BN624" i="5"/>
  <c r="BN623" i="5"/>
  <c r="BN622" i="5"/>
  <c r="BN621" i="5"/>
  <c r="BN620" i="5"/>
  <c r="BN619" i="5"/>
  <c r="BN618" i="5"/>
  <c r="BN617" i="5"/>
  <c r="BN616" i="5"/>
  <c r="BN615" i="5"/>
  <c r="BN614" i="5"/>
  <c r="BN613" i="5"/>
  <c r="BN612" i="5"/>
  <c r="BN611" i="5"/>
  <c r="BN610" i="5"/>
  <c r="BN609" i="5"/>
  <c r="BN608" i="5"/>
  <c r="BN607" i="5"/>
  <c r="BN606" i="5"/>
  <c r="BN605" i="5"/>
  <c r="BN604" i="5"/>
  <c r="BN603" i="5"/>
  <c r="BN602" i="5"/>
  <c r="BN601" i="5"/>
  <c r="BN600" i="5"/>
  <c r="BN599" i="5"/>
  <c r="BN598" i="5"/>
  <c r="BN597" i="5"/>
  <c r="BN596" i="5"/>
  <c r="BN595" i="5"/>
  <c r="BN594" i="5"/>
  <c r="BN593" i="5"/>
  <c r="BN592" i="5"/>
  <c r="BN591" i="5"/>
  <c r="BN590" i="5"/>
  <c r="BN589" i="5"/>
  <c r="BN588" i="5"/>
  <c r="BN587" i="5"/>
  <c r="BN586" i="5"/>
  <c r="BN585" i="5"/>
  <c r="BN584" i="5"/>
  <c r="BN583" i="5"/>
  <c r="BN582" i="5"/>
  <c r="BN581" i="5"/>
  <c r="BN580" i="5"/>
  <c r="BN579" i="5"/>
  <c r="BL1261" i="5"/>
  <c r="BL1260" i="5"/>
  <c r="BL1259" i="5"/>
  <c r="BL1258" i="5"/>
  <c r="BL1257" i="5"/>
  <c r="BL1256" i="5"/>
  <c r="BL1255" i="5"/>
  <c r="BL1254" i="5"/>
  <c r="BL1253" i="5"/>
  <c r="BL1252" i="5"/>
  <c r="BL1251" i="5"/>
  <c r="BL1250" i="5"/>
  <c r="BL1249" i="5"/>
  <c r="BL1248" i="5"/>
  <c r="BL1247" i="5"/>
  <c r="BL1246" i="5"/>
  <c r="BL1245" i="5"/>
  <c r="BL1244" i="5"/>
  <c r="BL1243" i="5"/>
  <c r="BL1242" i="5"/>
  <c r="BL1241" i="5"/>
  <c r="BL1240" i="5"/>
  <c r="BL1239" i="5"/>
  <c r="BL1238" i="5"/>
  <c r="BL1237" i="5"/>
  <c r="BL1236" i="5"/>
  <c r="BL1235" i="5"/>
  <c r="BL1234" i="5"/>
  <c r="BL1233" i="5"/>
  <c r="BL1232" i="5"/>
  <c r="BL1231" i="5"/>
  <c r="BL1230" i="5"/>
  <c r="BL1229" i="5"/>
  <c r="BL1228" i="5"/>
  <c r="BL1227" i="5"/>
  <c r="BL1226" i="5"/>
  <c r="BL1225" i="5"/>
  <c r="BL1224" i="5"/>
  <c r="BL1223" i="5"/>
  <c r="BL1222" i="5"/>
  <c r="BL1221" i="5"/>
  <c r="BL1220" i="5"/>
  <c r="BL1219" i="5"/>
  <c r="BL1218" i="5"/>
  <c r="BL1217" i="5"/>
  <c r="BL1216" i="5"/>
  <c r="BL1215" i="5"/>
  <c r="BL1214" i="5"/>
  <c r="BL1213" i="5"/>
  <c r="BL1212" i="5"/>
  <c r="BL1211" i="5"/>
  <c r="BL1210" i="5"/>
  <c r="BL1209" i="5"/>
  <c r="BL1208" i="5"/>
  <c r="BL1207" i="5"/>
  <c r="BL1206" i="5"/>
  <c r="BL1205" i="5"/>
  <c r="BL1204" i="5"/>
  <c r="BL1203" i="5"/>
  <c r="BL1202" i="5"/>
  <c r="BL1201" i="5"/>
  <c r="BL1200" i="5"/>
  <c r="BL1199" i="5"/>
  <c r="BL1198" i="5"/>
  <c r="BL1197" i="5"/>
  <c r="BL1196" i="5"/>
  <c r="BL1195" i="5"/>
  <c r="BL1194" i="5"/>
  <c r="BL1193" i="5"/>
  <c r="BL1192" i="5"/>
  <c r="BL1191" i="5"/>
  <c r="BL1190" i="5"/>
  <c r="BL1189" i="5"/>
  <c r="BL1188" i="5"/>
  <c r="BL1187" i="5"/>
  <c r="BL1186" i="5"/>
  <c r="BL1185" i="5"/>
  <c r="BL1184" i="5"/>
  <c r="BL1183" i="5"/>
  <c r="BL1182" i="5"/>
  <c r="BL1181" i="5"/>
  <c r="BL1180" i="5"/>
  <c r="BL1179" i="5"/>
  <c r="BL1178" i="5"/>
  <c r="BL1177" i="5"/>
  <c r="BL1176" i="5"/>
  <c r="BL1175" i="5"/>
  <c r="BL1174" i="5"/>
  <c r="BL1173" i="5"/>
  <c r="BL1172" i="5"/>
  <c r="BL1171" i="5"/>
  <c r="BL1170" i="5"/>
  <c r="BL1169" i="5"/>
  <c r="BL1168" i="5"/>
  <c r="BL1167" i="5"/>
  <c r="BL1166" i="5"/>
  <c r="BL1165" i="5"/>
  <c r="BL1164" i="5"/>
  <c r="BL1163" i="5"/>
  <c r="BL1162" i="5"/>
  <c r="BL1161" i="5"/>
  <c r="BL1160" i="5"/>
  <c r="BL1159" i="5"/>
  <c r="BL1158" i="5"/>
  <c r="BL1157" i="5"/>
  <c r="BL1156" i="5"/>
  <c r="BL1155" i="5"/>
  <c r="BL1154" i="5"/>
  <c r="BL1153" i="5"/>
  <c r="BL1152" i="5"/>
  <c r="BL1151" i="5"/>
  <c r="BL1150" i="5"/>
  <c r="BL1149" i="5"/>
  <c r="BL1148" i="5"/>
  <c r="BL1147" i="5"/>
  <c r="BL1146" i="5"/>
  <c r="BL1145" i="5"/>
  <c r="BL1144" i="5"/>
  <c r="BL1143" i="5"/>
  <c r="BL1142" i="5"/>
  <c r="BL1141" i="5"/>
  <c r="BL1140" i="5"/>
  <c r="BL1139" i="5"/>
  <c r="BL1138" i="5"/>
  <c r="BL1137" i="5"/>
  <c r="BL1136" i="5"/>
  <c r="BL1135" i="5"/>
  <c r="BL1134" i="5"/>
  <c r="BL1133" i="5"/>
  <c r="BL1132" i="5"/>
  <c r="BL1131" i="5"/>
  <c r="BL1130" i="5"/>
  <c r="BL1129" i="5"/>
  <c r="BL1128" i="5"/>
  <c r="BL1127" i="5"/>
  <c r="BL1126" i="5"/>
  <c r="BL1125" i="5"/>
  <c r="BL1124" i="5"/>
  <c r="BL1123" i="5"/>
  <c r="BL1122" i="5"/>
  <c r="BL1121" i="5"/>
  <c r="BL1120" i="5"/>
  <c r="BL1119" i="5"/>
  <c r="BL1118" i="5"/>
  <c r="BL1117" i="5"/>
  <c r="BL1116" i="5"/>
  <c r="BL1115" i="5"/>
  <c r="BL1114" i="5"/>
  <c r="BL1113" i="5"/>
  <c r="BL1112" i="5"/>
  <c r="BL1111" i="5"/>
  <c r="BL1110" i="5"/>
  <c r="BL1109" i="5"/>
  <c r="BL1108" i="5"/>
  <c r="BL1107" i="5"/>
  <c r="BL1106" i="5"/>
  <c r="BL1105" i="5"/>
  <c r="BL1104" i="5"/>
  <c r="BL1103" i="5"/>
  <c r="BL1102" i="5"/>
  <c r="BL1101" i="5"/>
  <c r="BL1100" i="5"/>
  <c r="BL1099" i="5"/>
  <c r="BL1098" i="5"/>
  <c r="BL1097" i="5"/>
  <c r="BL1096" i="5"/>
  <c r="BL1095" i="5"/>
  <c r="BL1094" i="5"/>
  <c r="BL1093" i="5"/>
  <c r="BL1092" i="5"/>
  <c r="BL1091" i="5"/>
  <c r="BL1090" i="5"/>
  <c r="BL1089" i="5"/>
  <c r="BL1088" i="5"/>
  <c r="BL1087" i="5"/>
  <c r="BL1086" i="5"/>
  <c r="BL1085" i="5"/>
  <c r="BL1084" i="5"/>
  <c r="BL1083" i="5"/>
  <c r="BL1082" i="5"/>
  <c r="BL1081" i="5"/>
  <c r="BL1080" i="5"/>
  <c r="BL1079" i="5"/>
  <c r="BL1078" i="5"/>
  <c r="BL1077" i="5"/>
  <c r="BL1076" i="5"/>
  <c r="BL1075" i="5"/>
  <c r="BL1074" i="5"/>
  <c r="BL1073" i="5"/>
  <c r="BL1072" i="5"/>
  <c r="BL1071" i="5"/>
  <c r="BL1070" i="5"/>
  <c r="BL1069" i="5"/>
  <c r="BL1068" i="5"/>
  <c r="BL1067" i="5"/>
  <c r="BL1066" i="5"/>
  <c r="BL1065" i="5"/>
  <c r="BL1064" i="5"/>
  <c r="BL1063" i="5"/>
  <c r="BL1062" i="5"/>
  <c r="BL1061" i="5"/>
  <c r="BL1060" i="5"/>
  <c r="BL1059" i="5"/>
  <c r="BL1058" i="5"/>
  <c r="BL1057" i="5"/>
  <c r="BL1056" i="5"/>
  <c r="BL1055" i="5"/>
  <c r="BL1054" i="5"/>
  <c r="BL1053" i="5"/>
  <c r="BL1052" i="5"/>
  <c r="BL1051" i="5"/>
  <c r="BL1050" i="5"/>
  <c r="BL1049" i="5"/>
  <c r="BL1048" i="5"/>
  <c r="BL1047" i="5"/>
  <c r="BL1046" i="5"/>
  <c r="BL1045" i="5"/>
  <c r="BL1044" i="5"/>
  <c r="BL1043" i="5"/>
  <c r="BL1042" i="5"/>
  <c r="BL1041" i="5"/>
  <c r="BL1040" i="5"/>
  <c r="BL1039" i="5"/>
  <c r="BL1038" i="5"/>
  <c r="BL1037" i="5"/>
  <c r="BL1036" i="5"/>
  <c r="BL1035" i="5"/>
  <c r="BL1034" i="5"/>
  <c r="BL1033" i="5"/>
  <c r="BL1032" i="5"/>
  <c r="BL1031" i="5"/>
  <c r="BL1030" i="5"/>
  <c r="BL1029" i="5"/>
  <c r="BL1028" i="5"/>
  <c r="BL1027" i="5"/>
  <c r="BL1026" i="5"/>
  <c r="BL1025" i="5"/>
  <c r="BL1024" i="5"/>
  <c r="BL1023" i="5"/>
  <c r="BL1022" i="5"/>
  <c r="BL1021" i="5"/>
  <c r="BL1020" i="5"/>
  <c r="BL1019" i="5"/>
  <c r="BL1018" i="5"/>
  <c r="BL1017" i="5"/>
  <c r="BL1016" i="5"/>
  <c r="BL1015" i="5"/>
  <c r="BL1014" i="5"/>
  <c r="BL1013" i="5"/>
  <c r="BL1012" i="5"/>
  <c r="BL1011" i="5"/>
  <c r="BL1010" i="5"/>
  <c r="BL1009" i="5"/>
  <c r="BL1008" i="5"/>
  <c r="BL1007" i="5"/>
  <c r="BL1006" i="5"/>
  <c r="BL1005" i="5"/>
  <c r="BL1004" i="5"/>
  <c r="BL1003" i="5"/>
  <c r="BL1002" i="5"/>
  <c r="BL1001" i="5"/>
  <c r="BL1000" i="5"/>
  <c r="BL999" i="5"/>
  <c r="BL998" i="5"/>
  <c r="BL997" i="5"/>
  <c r="BL996" i="5"/>
  <c r="BL995" i="5"/>
  <c r="BL994" i="5"/>
  <c r="BL993" i="5"/>
  <c r="BL992" i="5"/>
  <c r="BL991" i="5"/>
  <c r="BL990" i="5"/>
  <c r="BL989" i="5"/>
  <c r="BL988" i="5"/>
  <c r="BL987" i="5"/>
  <c r="BL986" i="5"/>
  <c r="BL985" i="5"/>
  <c r="BL984" i="5"/>
  <c r="BL983" i="5"/>
  <c r="BL982" i="5"/>
  <c r="BL981" i="5"/>
  <c r="BL980" i="5"/>
  <c r="BL979" i="5"/>
  <c r="BL978" i="5"/>
  <c r="BL977" i="5"/>
  <c r="BL976" i="5"/>
  <c r="BL975" i="5"/>
  <c r="BL974" i="5"/>
  <c r="BL973" i="5"/>
  <c r="BL972" i="5"/>
  <c r="BL971" i="5"/>
  <c r="BL970" i="5"/>
  <c r="BL969" i="5"/>
  <c r="BL968" i="5"/>
  <c r="BL967" i="5"/>
  <c r="BL966" i="5"/>
  <c r="BL965" i="5"/>
  <c r="BL964" i="5"/>
  <c r="BL963" i="5"/>
  <c r="BL962" i="5"/>
  <c r="BL961" i="5"/>
  <c r="BL960" i="5"/>
  <c r="BL959" i="5"/>
  <c r="BL958" i="5"/>
  <c r="BL957" i="5"/>
  <c r="BL956" i="5"/>
  <c r="BL955" i="5"/>
  <c r="BL954" i="5"/>
  <c r="BL953" i="5"/>
  <c r="BL952" i="5"/>
  <c r="BL951" i="5"/>
  <c r="BL950" i="5"/>
  <c r="BL949" i="5"/>
  <c r="BL948" i="5"/>
  <c r="BL947" i="5"/>
  <c r="BL946" i="5"/>
  <c r="BL945" i="5"/>
  <c r="BL944" i="5"/>
  <c r="BL943" i="5"/>
  <c r="BL942" i="5"/>
  <c r="BL941" i="5"/>
  <c r="BL940" i="5"/>
  <c r="BL939" i="5"/>
  <c r="BL938" i="5"/>
  <c r="BL937" i="5"/>
  <c r="BL936" i="5"/>
  <c r="BL935" i="5"/>
  <c r="BL934" i="5"/>
  <c r="BL933" i="5"/>
  <c r="BL932" i="5"/>
  <c r="BL931" i="5"/>
  <c r="BL930" i="5"/>
  <c r="BL929" i="5"/>
  <c r="BL928" i="5"/>
  <c r="BL927" i="5"/>
  <c r="BL926" i="5"/>
  <c r="BL925" i="5"/>
  <c r="BL924" i="5"/>
  <c r="BL923" i="5"/>
  <c r="BL922" i="5"/>
  <c r="BL921" i="5"/>
  <c r="BL920" i="5"/>
  <c r="BL919" i="5"/>
  <c r="BL918" i="5"/>
  <c r="BL917" i="5"/>
  <c r="BL916" i="5"/>
  <c r="BL915" i="5"/>
  <c r="BL914" i="5"/>
  <c r="BL913" i="5"/>
  <c r="BL912" i="5"/>
  <c r="BL911" i="5"/>
  <c r="BL910" i="5"/>
  <c r="BL909" i="5"/>
  <c r="BL908" i="5"/>
  <c r="BL907" i="5"/>
  <c r="BL906" i="5"/>
  <c r="BL905" i="5"/>
  <c r="BL904" i="5"/>
  <c r="BL903" i="5"/>
  <c r="BL902" i="5"/>
  <c r="BL901" i="5"/>
  <c r="BL900" i="5"/>
  <c r="BL899" i="5"/>
  <c r="BL898" i="5"/>
  <c r="BL897" i="5"/>
  <c r="BL896" i="5"/>
  <c r="BL895" i="5"/>
  <c r="BL894" i="5"/>
  <c r="BL893" i="5"/>
  <c r="BL892" i="5"/>
  <c r="BL891" i="5"/>
  <c r="BL890" i="5"/>
  <c r="BL889" i="5"/>
  <c r="BL888" i="5"/>
  <c r="BL887" i="5"/>
  <c r="BL886" i="5"/>
  <c r="BL885" i="5"/>
  <c r="BL884" i="5"/>
  <c r="BL883" i="5"/>
  <c r="BL882" i="5"/>
  <c r="BL881" i="5"/>
  <c r="BL880" i="5"/>
  <c r="BL879" i="5"/>
  <c r="BL878" i="5"/>
  <c r="BL877" i="5"/>
  <c r="BL876" i="5"/>
  <c r="BL875" i="5"/>
  <c r="BL874" i="5"/>
  <c r="BL873" i="5"/>
  <c r="BL872" i="5"/>
  <c r="BL871" i="5"/>
  <c r="BL870" i="5"/>
  <c r="BL869" i="5"/>
  <c r="BL868" i="5"/>
  <c r="BL867" i="5"/>
  <c r="BL866" i="5"/>
  <c r="BL865" i="5"/>
  <c r="BL864" i="5"/>
  <c r="BL863" i="5"/>
  <c r="BL862" i="5"/>
  <c r="BL861" i="5"/>
  <c r="BL860" i="5"/>
  <c r="BL859" i="5"/>
  <c r="BL858" i="5"/>
  <c r="BL857" i="5"/>
  <c r="BL856" i="5"/>
  <c r="BL855" i="5"/>
  <c r="BL854" i="5"/>
  <c r="BL853" i="5"/>
  <c r="BL852" i="5"/>
  <c r="BL851" i="5"/>
  <c r="BL850" i="5"/>
  <c r="BL849" i="5"/>
  <c r="BL848" i="5"/>
  <c r="BL847" i="5"/>
  <c r="BL846" i="5"/>
  <c r="BL845" i="5"/>
  <c r="BL844" i="5"/>
  <c r="BL843" i="5"/>
  <c r="BL842" i="5"/>
  <c r="BL841" i="5"/>
  <c r="BL840" i="5"/>
  <c r="BL839" i="5"/>
  <c r="BL838" i="5"/>
  <c r="BL837" i="5"/>
  <c r="BL836" i="5"/>
  <c r="BL835" i="5"/>
  <c r="BL834" i="5"/>
  <c r="BL833" i="5"/>
  <c r="BL832" i="5"/>
  <c r="BL831" i="5"/>
  <c r="BL830" i="5"/>
  <c r="BL829" i="5"/>
  <c r="BL828" i="5"/>
  <c r="BL827" i="5"/>
  <c r="BL826" i="5"/>
  <c r="BL825" i="5"/>
  <c r="BL824" i="5"/>
  <c r="BL823" i="5"/>
  <c r="BL822" i="5"/>
  <c r="BL821" i="5"/>
  <c r="BL820" i="5"/>
  <c r="BL819" i="5"/>
  <c r="BL818" i="5"/>
  <c r="BL817" i="5"/>
  <c r="BL816" i="5"/>
  <c r="BL815" i="5"/>
  <c r="BL814" i="5"/>
  <c r="BL813" i="5"/>
  <c r="BL812" i="5"/>
  <c r="BL811" i="5"/>
  <c r="BL810" i="5"/>
  <c r="BL809" i="5"/>
  <c r="BL808" i="5"/>
  <c r="BL807" i="5"/>
  <c r="BL806" i="5"/>
  <c r="BL805" i="5"/>
  <c r="BL804" i="5"/>
  <c r="BL803" i="5"/>
  <c r="BL802" i="5"/>
  <c r="BL801" i="5"/>
  <c r="BL800" i="5"/>
  <c r="BL799" i="5"/>
  <c r="BL798" i="5"/>
  <c r="BL797" i="5"/>
  <c r="BL796" i="5"/>
  <c r="BL795" i="5"/>
  <c r="BL794" i="5"/>
  <c r="BL793" i="5"/>
  <c r="BL792" i="5"/>
  <c r="BL791" i="5"/>
  <c r="BL790" i="5"/>
  <c r="BL789" i="5"/>
  <c r="BL788" i="5"/>
  <c r="BL787" i="5"/>
  <c r="BL786" i="5"/>
  <c r="BL785" i="5"/>
  <c r="BL784" i="5"/>
  <c r="BL783" i="5"/>
  <c r="BL782" i="5"/>
  <c r="BL781" i="5"/>
  <c r="BL780" i="5"/>
  <c r="BL779" i="5"/>
  <c r="BL778" i="5"/>
  <c r="BL777" i="5"/>
  <c r="BL776" i="5"/>
  <c r="BL775" i="5"/>
  <c r="BL774" i="5"/>
  <c r="BL773" i="5"/>
  <c r="BL772" i="5"/>
  <c r="BL771" i="5"/>
  <c r="BL770" i="5"/>
  <c r="BL769" i="5"/>
  <c r="BL768" i="5"/>
  <c r="BL767" i="5"/>
  <c r="BL766" i="5"/>
  <c r="BL765" i="5"/>
  <c r="BL764" i="5"/>
  <c r="BL763" i="5"/>
  <c r="BL762" i="5"/>
  <c r="BL761" i="5"/>
  <c r="BL760" i="5"/>
  <c r="BL759" i="5"/>
  <c r="BL758" i="5"/>
  <c r="BL757" i="5"/>
  <c r="BL756" i="5"/>
  <c r="BL755" i="5"/>
  <c r="BL754" i="5"/>
  <c r="BL753" i="5"/>
  <c r="BL752" i="5"/>
  <c r="BL751" i="5"/>
  <c r="BL750" i="5"/>
  <c r="BL749" i="5"/>
  <c r="BL748" i="5"/>
  <c r="BL747" i="5"/>
  <c r="BL746" i="5"/>
  <c r="BL745" i="5"/>
  <c r="BL744" i="5"/>
  <c r="BL743" i="5"/>
  <c r="BL742" i="5"/>
  <c r="BL741" i="5"/>
  <c r="BL740" i="5"/>
  <c r="BL739" i="5"/>
  <c r="BL738" i="5"/>
  <c r="BL737" i="5"/>
  <c r="BL736" i="5"/>
  <c r="BL735" i="5"/>
  <c r="BL734" i="5"/>
  <c r="BL733" i="5"/>
  <c r="BL732" i="5"/>
  <c r="BL731" i="5"/>
  <c r="BL730" i="5"/>
  <c r="BL729" i="5"/>
  <c r="BL728" i="5"/>
  <c r="BL727" i="5"/>
  <c r="BL726" i="5"/>
  <c r="BL725" i="5"/>
  <c r="BL724" i="5"/>
  <c r="BL723" i="5"/>
  <c r="BL722" i="5"/>
  <c r="BL721" i="5"/>
  <c r="BL720" i="5"/>
  <c r="BL719" i="5"/>
  <c r="BL718" i="5"/>
  <c r="BL717" i="5"/>
  <c r="BL716" i="5"/>
  <c r="BL715" i="5"/>
  <c r="BL714" i="5"/>
  <c r="BL713" i="5"/>
  <c r="BL712" i="5"/>
  <c r="BL711" i="5"/>
  <c r="BL710" i="5"/>
  <c r="BL709" i="5"/>
  <c r="BL708" i="5"/>
  <c r="BL707" i="5"/>
  <c r="BL706" i="5"/>
  <c r="BL705" i="5"/>
  <c r="BL704" i="5"/>
  <c r="BL703" i="5"/>
  <c r="BL702" i="5"/>
  <c r="BL701" i="5"/>
  <c r="BL700" i="5"/>
  <c r="BL699" i="5"/>
  <c r="BL698" i="5"/>
  <c r="BL697" i="5"/>
  <c r="BL696" i="5"/>
  <c r="BL695" i="5"/>
  <c r="BL694" i="5"/>
  <c r="BL693" i="5"/>
  <c r="BL692" i="5"/>
  <c r="BL691" i="5"/>
  <c r="BL690" i="5"/>
  <c r="BL689" i="5"/>
  <c r="BL688" i="5"/>
  <c r="BL687" i="5"/>
  <c r="BL686" i="5"/>
  <c r="BL685" i="5"/>
  <c r="BL684" i="5"/>
  <c r="BL683" i="5"/>
  <c r="BL682" i="5"/>
  <c r="BL681" i="5"/>
  <c r="BL680" i="5"/>
  <c r="BL679" i="5"/>
  <c r="BL678" i="5"/>
  <c r="BL677" i="5"/>
  <c r="BL676" i="5"/>
  <c r="BL675" i="5"/>
  <c r="BL674" i="5"/>
  <c r="BL673" i="5"/>
  <c r="BL672" i="5"/>
  <c r="BL671" i="5"/>
  <c r="BL670" i="5"/>
  <c r="BL669" i="5"/>
  <c r="BL668" i="5"/>
  <c r="BL667" i="5"/>
  <c r="BL666" i="5"/>
  <c r="BL665" i="5"/>
  <c r="BL664" i="5"/>
  <c r="BL663" i="5"/>
  <c r="BL662" i="5"/>
  <c r="BL661" i="5"/>
  <c r="BL660" i="5"/>
  <c r="BL659" i="5"/>
  <c r="BL658" i="5"/>
  <c r="BL657" i="5"/>
  <c r="BL656" i="5"/>
  <c r="BL655" i="5"/>
  <c r="BL654" i="5"/>
  <c r="BL653" i="5"/>
  <c r="BL652" i="5"/>
  <c r="BL651" i="5"/>
  <c r="BL650" i="5"/>
  <c r="BL649" i="5"/>
  <c r="BL648" i="5"/>
  <c r="BL647" i="5"/>
  <c r="BL646" i="5"/>
  <c r="BL645" i="5"/>
  <c r="BL644" i="5"/>
  <c r="BL643" i="5"/>
  <c r="BL642" i="5"/>
  <c r="BL641" i="5"/>
  <c r="BL640" i="5"/>
  <c r="BL639" i="5"/>
  <c r="BL638" i="5"/>
  <c r="BL637" i="5"/>
  <c r="BL636" i="5"/>
  <c r="BL635" i="5"/>
  <c r="BL634" i="5"/>
  <c r="BL633" i="5"/>
  <c r="BL632" i="5"/>
  <c r="BL631" i="5"/>
  <c r="BL630" i="5"/>
  <c r="BL629" i="5"/>
  <c r="BL628" i="5"/>
  <c r="BL627" i="5"/>
  <c r="BL626" i="5"/>
  <c r="BL625" i="5"/>
  <c r="BL624" i="5"/>
  <c r="BL623" i="5"/>
  <c r="BL622" i="5"/>
  <c r="BL621" i="5"/>
  <c r="BL620" i="5"/>
  <c r="BL619" i="5"/>
  <c r="BL618" i="5"/>
  <c r="BL617" i="5"/>
  <c r="BL616" i="5"/>
  <c r="BL615" i="5"/>
  <c r="BL614" i="5"/>
  <c r="BL613" i="5"/>
  <c r="BL612" i="5"/>
  <c r="BL611" i="5"/>
  <c r="BL610" i="5"/>
  <c r="BL609" i="5"/>
  <c r="BL608" i="5"/>
  <c r="BL607" i="5"/>
  <c r="BL606" i="5"/>
  <c r="BL605" i="5"/>
  <c r="BL604" i="5"/>
  <c r="BL603" i="5"/>
  <c r="BL602" i="5"/>
  <c r="BL601" i="5"/>
  <c r="BL600" i="5"/>
  <c r="BL599" i="5"/>
  <c r="BL598" i="5"/>
  <c r="BL597" i="5"/>
  <c r="BL596" i="5"/>
  <c r="BL595" i="5"/>
  <c r="BL594" i="5"/>
  <c r="BL593" i="5"/>
  <c r="BL592" i="5"/>
  <c r="BL591" i="5"/>
  <c r="BL590" i="5"/>
  <c r="BL589" i="5"/>
  <c r="BL588" i="5"/>
  <c r="BL587" i="5"/>
  <c r="BL586" i="5"/>
  <c r="BL585" i="5"/>
  <c r="BL584" i="5"/>
  <c r="BL583" i="5"/>
  <c r="BL582" i="5"/>
  <c r="BL581" i="5"/>
  <c r="BL580" i="5"/>
  <c r="BL579" i="5"/>
  <c r="BN578" i="5"/>
  <c r="BN577" i="5"/>
  <c r="BN576" i="5"/>
  <c r="BN575" i="5"/>
  <c r="BN574" i="5"/>
  <c r="BN573" i="5"/>
  <c r="BN572" i="5"/>
  <c r="BN571" i="5"/>
  <c r="BN570" i="5"/>
  <c r="BN569" i="5"/>
  <c r="BN568" i="5"/>
  <c r="BN567" i="5"/>
  <c r="BN566" i="5"/>
  <c r="BN565" i="5"/>
  <c r="BN564" i="5"/>
  <c r="BN563" i="5"/>
  <c r="BN562" i="5"/>
  <c r="BN561" i="5"/>
  <c r="BN560" i="5"/>
  <c r="BN559" i="5"/>
  <c r="BN558" i="5"/>
  <c r="BN557" i="5"/>
  <c r="BN556" i="5"/>
  <c r="BN555" i="5"/>
  <c r="BN554" i="5"/>
  <c r="BN553" i="5"/>
  <c r="BN552" i="5"/>
  <c r="BN551" i="5"/>
  <c r="BN550" i="5"/>
  <c r="BN549" i="5"/>
  <c r="BN548" i="5"/>
  <c r="BN547" i="5"/>
  <c r="BN546" i="5"/>
  <c r="BN545" i="5"/>
  <c r="BN544" i="5"/>
  <c r="BN543" i="5"/>
  <c r="BN542" i="5"/>
  <c r="BN541" i="5"/>
  <c r="BN540" i="5"/>
  <c r="BN539" i="5"/>
  <c r="BN538" i="5"/>
  <c r="BN537" i="5"/>
  <c r="BN536" i="5"/>
  <c r="BN535" i="5"/>
  <c r="BN534" i="5"/>
  <c r="BN533" i="5"/>
  <c r="BN532" i="5"/>
  <c r="BN531" i="5"/>
  <c r="BN530" i="5"/>
  <c r="BN529" i="5"/>
  <c r="BN528" i="5"/>
  <c r="BN527" i="5"/>
  <c r="BN526" i="5"/>
  <c r="BN525" i="5"/>
  <c r="BN524" i="5"/>
  <c r="BN523" i="5"/>
  <c r="BN522" i="5"/>
  <c r="BN521" i="5"/>
  <c r="BN520" i="5"/>
  <c r="BN519" i="5"/>
  <c r="BN518" i="5"/>
  <c r="BN517" i="5"/>
  <c r="BN516" i="5"/>
  <c r="BN515" i="5"/>
  <c r="BN514" i="5"/>
  <c r="BN513" i="5"/>
  <c r="BN512" i="5"/>
  <c r="BN511" i="5"/>
  <c r="BN510" i="5"/>
  <c r="BN509" i="5"/>
  <c r="BN508" i="5"/>
  <c r="BN507" i="5"/>
  <c r="BN506" i="5"/>
  <c r="BN505" i="5"/>
  <c r="BN504" i="5"/>
  <c r="BN503" i="5"/>
  <c r="BN502" i="5"/>
  <c r="BN501" i="5"/>
  <c r="BN500" i="5"/>
  <c r="BN499" i="5"/>
  <c r="BN498" i="5"/>
  <c r="BN497" i="5"/>
  <c r="BN496" i="5"/>
  <c r="BN495" i="5"/>
  <c r="BN494" i="5"/>
  <c r="BN493" i="5"/>
  <c r="BN492" i="5"/>
  <c r="BN491" i="5"/>
  <c r="BN490" i="5"/>
  <c r="BN489" i="5"/>
  <c r="BN488" i="5"/>
  <c r="BN487" i="5"/>
  <c r="BN486" i="5"/>
  <c r="BN485" i="5"/>
  <c r="BN484" i="5"/>
  <c r="BN483" i="5"/>
  <c r="BN482" i="5"/>
  <c r="BN481" i="5"/>
  <c r="BN480" i="5"/>
  <c r="BN479" i="5"/>
  <c r="BN478" i="5"/>
  <c r="BN477" i="5"/>
  <c r="BN476" i="5"/>
  <c r="BN475" i="5"/>
  <c r="BN474" i="5"/>
  <c r="BN473" i="5"/>
  <c r="BN472" i="5"/>
  <c r="BN471" i="5"/>
  <c r="BN470" i="5"/>
  <c r="BN469" i="5"/>
  <c r="BN468" i="5"/>
  <c r="BN467" i="5"/>
  <c r="BN466" i="5"/>
  <c r="BN465" i="5"/>
  <c r="BN464" i="5"/>
  <c r="BN463" i="5"/>
  <c r="BN462" i="5"/>
  <c r="BN461" i="5"/>
  <c r="BN460" i="5"/>
  <c r="BN459" i="5"/>
  <c r="BN458" i="5"/>
  <c r="BN457" i="5"/>
  <c r="BN456" i="5"/>
  <c r="BN455" i="5"/>
  <c r="BN454" i="5"/>
  <c r="BN453" i="5"/>
  <c r="BN452" i="5"/>
  <c r="BN451" i="5"/>
  <c r="BN450" i="5"/>
  <c r="BN449" i="5"/>
  <c r="BN448" i="5"/>
  <c r="BN447" i="5"/>
  <c r="BN446" i="5"/>
  <c r="BN445" i="5"/>
  <c r="BN444" i="5"/>
  <c r="BN443" i="5"/>
  <c r="BN442" i="5"/>
  <c r="BN441" i="5"/>
  <c r="BN440" i="5"/>
  <c r="BN439" i="5"/>
  <c r="BN438" i="5"/>
  <c r="BN437" i="5"/>
  <c r="BN436" i="5"/>
  <c r="BN435" i="5"/>
  <c r="BN434" i="5"/>
  <c r="BN433" i="5"/>
  <c r="BN432" i="5"/>
  <c r="BN431" i="5"/>
  <c r="BN430" i="5"/>
  <c r="BN429" i="5"/>
  <c r="BN428" i="5"/>
  <c r="BN427" i="5"/>
  <c r="BN426" i="5"/>
  <c r="BN425" i="5"/>
  <c r="BN424" i="5"/>
  <c r="BN423" i="5"/>
  <c r="BN422" i="5"/>
  <c r="BN421" i="5"/>
  <c r="BN420" i="5"/>
  <c r="BN419" i="5"/>
  <c r="BN418" i="5"/>
  <c r="BN417" i="5"/>
  <c r="BN416" i="5"/>
  <c r="BN415" i="5"/>
  <c r="BN414" i="5"/>
  <c r="BN413" i="5"/>
  <c r="BN412" i="5"/>
  <c r="BN411" i="5"/>
  <c r="BN410" i="5"/>
  <c r="BN409" i="5"/>
  <c r="BN408" i="5"/>
  <c r="BN407" i="5"/>
  <c r="BN406" i="5"/>
  <c r="BN405" i="5"/>
  <c r="BN404" i="5"/>
  <c r="BN403" i="5"/>
  <c r="BN402" i="5"/>
  <c r="BN401" i="5"/>
  <c r="BN400" i="5"/>
  <c r="BN399" i="5"/>
  <c r="BN398" i="5"/>
  <c r="BN397" i="5"/>
  <c r="BN396" i="5"/>
  <c r="BN395" i="5"/>
  <c r="BN394" i="5"/>
  <c r="BN393" i="5"/>
  <c r="BN392" i="5"/>
  <c r="BN391" i="5"/>
  <c r="BN390" i="5"/>
  <c r="BN389" i="5"/>
  <c r="BN388" i="5"/>
  <c r="BN387" i="5"/>
  <c r="BN386" i="5"/>
  <c r="BN385" i="5"/>
  <c r="BN384" i="5"/>
  <c r="BN383" i="5"/>
  <c r="BN382" i="5"/>
  <c r="BN381" i="5"/>
  <c r="BN380" i="5"/>
  <c r="BN379" i="5"/>
  <c r="BN378" i="5"/>
  <c r="BN377" i="5"/>
  <c r="BN376" i="5"/>
  <c r="BN375" i="5"/>
  <c r="BN374" i="5"/>
  <c r="BN373" i="5"/>
  <c r="BN372" i="5"/>
  <c r="BN371" i="5"/>
  <c r="BN370" i="5"/>
  <c r="BN369" i="5"/>
  <c r="BN368" i="5"/>
  <c r="BN367" i="5"/>
  <c r="BN366" i="5"/>
  <c r="BN365" i="5"/>
  <c r="BN364" i="5"/>
  <c r="BN363" i="5"/>
  <c r="BN362" i="5"/>
  <c r="BN361" i="5"/>
  <c r="BN360" i="5"/>
  <c r="BN359" i="5"/>
  <c r="BN358" i="5"/>
  <c r="BN357" i="5"/>
  <c r="BN356" i="5"/>
  <c r="BN355" i="5"/>
  <c r="BN354" i="5"/>
  <c r="BN353" i="5"/>
  <c r="BN352" i="5"/>
  <c r="BN351" i="5"/>
  <c r="BN350" i="5"/>
  <c r="BN349" i="5"/>
  <c r="BN348" i="5"/>
  <c r="BN347" i="5"/>
  <c r="BN346" i="5"/>
  <c r="BN345" i="5"/>
  <c r="BN344" i="5"/>
  <c r="BN343" i="5"/>
  <c r="BN342" i="5"/>
  <c r="BN341" i="5"/>
  <c r="BN340" i="5"/>
  <c r="BN339" i="5"/>
  <c r="BN338" i="5"/>
  <c r="BN337" i="5"/>
  <c r="BN336" i="5"/>
  <c r="BN335" i="5"/>
  <c r="BN334" i="5"/>
  <c r="BN333" i="5"/>
  <c r="BN332" i="5"/>
  <c r="BN331" i="5"/>
  <c r="BN330" i="5"/>
  <c r="BN329" i="5"/>
  <c r="BN328" i="5"/>
  <c r="BN327" i="5"/>
  <c r="BN326" i="5"/>
  <c r="BN325" i="5"/>
  <c r="BN324" i="5"/>
  <c r="BN323" i="5"/>
  <c r="BN322" i="5"/>
  <c r="BN321" i="5"/>
  <c r="BN320" i="5"/>
  <c r="BN319" i="5"/>
  <c r="BN318" i="5"/>
  <c r="BN317" i="5"/>
  <c r="BN316" i="5"/>
  <c r="BN315" i="5"/>
  <c r="BN314" i="5"/>
  <c r="BN313" i="5"/>
  <c r="BN312" i="5"/>
  <c r="BN311" i="5"/>
  <c r="BN310" i="5"/>
  <c r="BN309" i="5"/>
  <c r="BN308" i="5"/>
  <c r="BN307" i="5"/>
  <c r="BN306" i="5"/>
  <c r="BN305" i="5"/>
  <c r="BN304" i="5"/>
  <c r="BN303" i="5"/>
  <c r="BN302" i="5"/>
  <c r="BN301" i="5"/>
  <c r="BN300" i="5"/>
  <c r="BN299" i="5"/>
  <c r="BN298" i="5"/>
  <c r="BN297" i="5"/>
  <c r="BN296" i="5"/>
  <c r="BN295" i="5"/>
  <c r="BN294" i="5"/>
  <c r="BN293" i="5"/>
  <c r="BN292" i="5"/>
  <c r="BN291" i="5"/>
  <c r="BN290" i="5"/>
  <c r="BN289" i="5"/>
  <c r="BN288" i="5"/>
  <c r="BN287" i="5"/>
  <c r="BN286" i="5"/>
  <c r="BN285" i="5"/>
  <c r="BN284" i="5"/>
  <c r="BN283" i="5"/>
  <c r="BN282" i="5"/>
  <c r="BN281" i="5"/>
  <c r="BN280" i="5"/>
  <c r="BN279" i="5"/>
  <c r="BN278" i="5"/>
  <c r="BN277" i="5"/>
  <c r="BN276" i="5"/>
  <c r="BN275" i="5"/>
  <c r="BN274" i="5"/>
  <c r="BN273" i="5"/>
  <c r="BN272" i="5"/>
  <c r="BN271" i="5"/>
  <c r="BN270" i="5"/>
  <c r="BN269" i="5"/>
  <c r="BN268" i="5"/>
  <c r="BN267" i="5"/>
  <c r="BN266" i="5"/>
  <c r="BN265" i="5"/>
  <c r="BN264" i="5"/>
  <c r="BN263" i="5"/>
  <c r="BN262" i="5"/>
  <c r="BN261" i="5"/>
  <c r="BN260" i="5"/>
  <c r="BN259" i="5"/>
  <c r="BN258" i="5"/>
  <c r="BN257" i="5"/>
  <c r="BN256" i="5"/>
  <c r="BN255" i="5"/>
  <c r="BN254" i="5"/>
  <c r="BN253" i="5"/>
  <c r="BN252" i="5"/>
  <c r="BN251" i="5"/>
  <c r="BN250" i="5"/>
  <c r="BN249" i="5"/>
  <c r="BN248" i="5"/>
  <c r="BN247" i="5"/>
  <c r="BN246" i="5"/>
  <c r="BN245" i="5"/>
  <c r="BN244" i="5"/>
  <c r="BN243" i="5"/>
  <c r="BN242" i="5"/>
  <c r="BN241" i="5"/>
  <c r="BN240" i="5"/>
  <c r="BN239" i="5"/>
  <c r="BN238" i="5"/>
  <c r="BN237" i="5"/>
  <c r="BN236" i="5"/>
  <c r="BN235" i="5"/>
  <c r="BN234" i="5"/>
  <c r="BN233" i="5"/>
  <c r="BN232" i="5"/>
  <c r="BN231" i="5"/>
  <c r="BN230" i="5"/>
  <c r="BN229" i="5"/>
  <c r="BN228" i="5"/>
  <c r="BN227" i="5"/>
  <c r="BN226" i="5"/>
  <c r="BN225" i="5"/>
  <c r="BN224" i="5"/>
  <c r="BN223" i="5"/>
  <c r="BN222" i="5"/>
  <c r="BN221" i="5"/>
  <c r="BN220" i="5"/>
  <c r="BN219" i="5"/>
  <c r="BN218" i="5"/>
  <c r="BN217" i="5"/>
  <c r="BN216" i="5"/>
  <c r="BN215" i="5"/>
  <c r="BN214" i="5"/>
  <c r="BN213" i="5"/>
  <c r="BN212" i="5"/>
  <c r="BN211" i="5"/>
  <c r="BN210" i="5"/>
  <c r="BN209" i="5"/>
  <c r="BN208" i="5"/>
  <c r="BN207" i="5"/>
  <c r="BN206" i="5"/>
  <c r="BN205" i="5"/>
  <c r="BN204" i="5"/>
  <c r="BN203" i="5"/>
  <c r="BN202" i="5"/>
  <c r="BN201" i="5"/>
  <c r="BN200" i="5"/>
  <c r="BN199" i="5"/>
  <c r="BN198" i="5"/>
  <c r="BN197" i="5"/>
  <c r="BN196" i="5"/>
  <c r="BN195" i="5"/>
  <c r="BN194" i="5"/>
  <c r="BN193" i="5"/>
  <c r="BN192" i="5"/>
  <c r="BN191" i="5"/>
  <c r="BN190" i="5"/>
  <c r="BN189" i="5"/>
  <c r="BN188" i="5"/>
  <c r="BN187" i="5"/>
  <c r="BN186" i="5"/>
  <c r="BN185" i="5"/>
  <c r="BN184" i="5"/>
  <c r="BN183" i="5"/>
  <c r="BN182" i="5"/>
  <c r="BN181" i="5"/>
  <c r="BN180" i="5"/>
  <c r="BN179" i="5"/>
  <c r="BN178" i="5"/>
  <c r="BN177" i="5"/>
  <c r="BN176" i="5"/>
  <c r="BN175" i="5"/>
  <c r="BN174" i="5"/>
  <c r="BN173" i="5"/>
  <c r="BN172" i="5"/>
  <c r="BN171" i="5"/>
  <c r="BN170" i="5"/>
  <c r="BN169" i="5"/>
  <c r="BN168" i="5"/>
  <c r="BN167" i="5"/>
  <c r="BN166" i="5"/>
  <c r="BN165" i="5"/>
  <c r="BN164" i="5"/>
  <c r="BN163" i="5"/>
  <c r="BN162" i="5"/>
  <c r="BN161" i="5"/>
  <c r="BN160" i="5"/>
  <c r="BN159" i="5"/>
  <c r="BN158" i="5"/>
  <c r="BN157" i="5"/>
  <c r="BN156" i="5"/>
  <c r="BN155" i="5"/>
  <c r="BN154" i="5"/>
  <c r="BN153" i="5"/>
  <c r="BN152" i="5"/>
  <c r="BN151" i="5"/>
  <c r="BN150" i="5"/>
  <c r="BN149" i="5"/>
  <c r="BN148" i="5"/>
  <c r="BN147" i="5"/>
  <c r="BN146" i="5"/>
  <c r="BN145" i="5"/>
  <c r="BN144" i="5"/>
  <c r="BN143" i="5"/>
  <c r="BN142" i="5"/>
  <c r="BN141" i="5"/>
  <c r="BN140" i="5"/>
  <c r="BN139" i="5"/>
  <c r="BN138" i="5"/>
  <c r="BN137" i="5"/>
  <c r="BN136" i="5"/>
  <c r="BN135" i="5"/>
  <c r="BN134" i="5"/>
  <c r="BN133" i="5"/>
  <c r="BN132" i="5"/>
  <c r="BN131" i="5"/>
  <c r="BN130" i="5"/>
  <c r="BN129" i="5"/>
  <c r="BN128" i="5"/>
  <c r="BN127" i="5"/>
  <c r="BN126" i="5"/>
  <c r="BN125" i="5"/>
  <c r="BN124" i="5"/>
  <c r="BN123" i="5"/>
  <c r="BN122" i="5"/>
  <c r="BN121" i="5"/>
  <c r="BN120" i="5"/>
  <c r="BN119" i="5"/>
  <c r="BN118" i="5"/>
  <c r="BN117" i="5"/>
  <c r="BN116" i="5"/>
  <c r="BN115" i="5"/>
  <c r="BN114" i="5"/>
  <c r="BN113" i="5"/>
  <c r="BN112" i="5"/>
  <c r="BN111" i="5"/>
  <c r="BN110" i="5"/>
  <c r="BN109" i="5"/>
  <c r="BN108" i="5"/>
  <c r="BN107" i="5"/>
  <c r="BN106" i="5"/>
  <c r="BN105" i="5"/>
  <c r="BN104" i="5"/>
  <c r="BN103" i="5"/>
  <c r="BN102" i="5"/>
  <c r="BN101" i="5"/>
  <c r="BN100" i="5"/>
  <c r="BN99" i="5"/>
  <c r="BN98" i="5"/>
  <c r="BN97" i="5"/>
  <c r="BN96" i="5"/>
  <c r="BN95" i="5"/>
  <c r="BN94" i="5"/>
  <c r="BN93" i="5"/>
  <c r="BN92" i="5"/>
  <c r="BN91" i="5"/>
  <c r="BN90" i="5"/>
  <c r="BN89" i="5"/>
  <c r="BN88" i="5"/>
  <c r="BN87" i="5"/>
  <c r="BN86" i="5"/>
  <c r="BN85" i="5"/>
  <c r="BN84" i="5"/>
  <c r="BN83" i="5"/>
  <c r="BN82" i="5"/>
  <c r="BN81" i="5"/>
  <c r="BN80" i="5"/>
  <c r="BN79" i="5"/>
  <c r="BN78" i="5"/>
  <c r="BN77" i="5"/>
  <c r="BN76" i="5"/>
  <c r="BN75" i="5"/>
  <c r="BN74" i="5"/>
  <c r="BN73" i="5"/>
  <c r="BN72" i="5"/>
  <c r="BN71" i="5"/>
  <c r="BN70" i="5"/>
  <c r="BN69" i="5"/>
  <c r="BN68" i="5"/>
  <c r="BN67" i="5"/>
  <c r="BN66" i="5"/>
  <c r="BN65" i="5"/>
  <c r="BN64" i="5"/>
  <c r="BN63" i="5"/>
  <c r="BN62" i="5"/>
  <c r="BN61" i="5"/>
  <c r="BN60" i="5"/>
  <c r="BN59" i="5"/>
  <c r="BN58" i="5"/>
  <c r="BN57" i="5"/>
  <c r="BN56" i="5"/>
  <c r="BN55" i="5"/>
  <c r="BN54" i="5"/>
  <c r="BN53" i="5"/>
  <c r="BN52" i="5"/>
  <c r="BN51" i="5"/>
  <c r="BN50" i="5"/>
  <c r="BN49" i="5"/>
  <c r="BN48" i="5"/>
  <c r="BN47" i="5"/>
  <c r="BN46" i="5"/>
  <c r="BN45" i="5"/>
  <c r="BN44" i="5"/>
  <c r="BN43" i="5"/>
  <c r="BN42" i="5"/>
  <c r="BN41" i="5"/>
  <c r="BN40" i="5"/>
  <c r="BN39" i="5"/>
  <c r="BN38" i="5"/>
  <c r="BN37" i="5"/>
  <c r="BN36" i="5"/>
  <c r="BN35" i="5"/>
  <c r="BN34" i="5"/>
  <c r="BN33" i="5"/>
  <c r="BN32" i="5"/>
  <c r="BN31" i="5"/>
  <c r="BN30" i="5"/>
  <c r="BN29" i="5"/>
  <c r="BN28" i="5"/>
  <c r="BN27" i="5"/>
  <c r="BN26" i="5"/>
  <c r="BN25" i="5"/>
  <c r="BN24" i="5"/>
  <c r="BN23" i="5"/>
  <c r="BN22" i="5"/>
  <c r="BN21" i="5"/>
  <c r="BN20" i="5"/>
  <c r="BN19" i="5"/>
  <c r="BN18" i="5"/>
  <c r="BL17" i="5"/>
  <c r="BL16" i="5"/>
  <c r="BL15" i="5"/>
  <c r="BL14" i="5"/>
  <c r="BL13" i="5"/>
  <c r="BL578" i="5"/>
  <c r="BL577" i="5"/>
  <c r="BL576" i="5"/>
  <c r="BL575" i="5"/>
  <c r="BL574" i="5"/>
  <c r="BL573" i="5"/>
  <c r="BL572" i="5"/>
  <c r="BL571" i="5"/>
  <c r="BL570" i="5"/>
  <c r="BL569" i="5"/>
  <c r="BL568" i="5"/>
  <c r="BL567" i="5"/>
  <c r="BL566" i="5"/>
  <c r="BL565" i="5"/>
  <c r="BL564" i="5"/>
  <c r="BL563" i="5"/>
  <c r="BL562" i="5"/>
  <c r="BL561" i="5"/>
  <c r="BL560" i="5"/>
  <c r="BL559" i="5"/>
  <c r="BL558" i="5"/>
  <c r="BL557" i="5"/>
  <c r="BL556" i="5"/>
  <c r="BL555" i="5"/>
  <c r="BL554" i="5"/>
  <c r="BL553" i="5"/>
  <c r="BL552" i="5"/>
  <c r="BL551" i="5"/>
  <c r="BL550" i="5"/>
  <c r="BL549" i="5"/>
  <c r="BL548" i="5"/>
  <c r="BL547" i="5"/>
  <c r="BL546" i="5"/>
  <c r="BL545" i="5"/>
  <c r="BL544" i="5"/>
  <c r="BL543" i="5"/>
  <c r="BL542" i="5"/>
  <c r="BL541" i="5"/>
  <c r="BL540" i="5"/>
  <c r="BL539" i="5"/>
  <c r="BL538" i="5"/>
  <c r="BL537" i="5"/>
  <c r="BL536" i="5"/>
  <c r="BL535" i="5"/>
  <c r="BL534" i="5"/>
  <c r="BL533" i="5"/>
  <c r="BL532" i="5"/>
  <c r="BL531" i="5"/>
  <c r="BL530" i="5"/>
  <c r="BL529" i="5"/>
  <c r="BL528" i="5"/>
  <c r="BL527" i="5"/>
  <c r="BL526" i="5"/>
  <c r="BL525" i="5"/>
  <c r="BL524" i="5"/>
  <c r="BL523" i="5"/>
  <c r="BL522" i="5"/>
  <c r="BL521" i="5"/>
  <c r="BL520" i="5"/>
  <c r="BL519" i="5"/>
  <c r="BL518" i="5"/>
  <c r="BL517" i="5"/>
  <c r="BL516" i="5"/>
  <c r="BL515" i="5"/>
  <c r="BL514" i="5"/>
  <c r="BL513" i="5"/>
  <c r="BL512" i="5"/>
  <c r="BL511" i="5"/>
  <c r="BL510" i="5"/>
  <c r="BL509" i="5"/>
  <c r="BL508" i="5"/>
  <c r="BL507" i="5"/>
  <c r="BL506" i="5"/>
  <c r="BL505" i="5"/>
  <c r="BL504" i="5"/>
  <c r="BL503" i="5"/>
  <c r="BL502" i="5"/>
  <c r="BL501" i="5"/>
  <c r="BL500" i="5"/>
  <c r="BL499" i="5"/>
  <c r="BL498" i="5"/>
  <c r="BL497" i="5"/>
  <c r="BL496" i="5"/>
  <c r="BL495" i="5"/>
  <c r="BL494" i="5"/>
  <c r="BL493" i="5"/>
  <c r="BL492" i="5"/>
  <c r="BL491" i="5"/>
  <c r="BL490" i="5"/>
  <c r="BL489" i="5"/>
  <c r="BL488" i="5"/>
  <c r="BL487" i="5"/>
  <c r="BL486" i="5"/>
  <c r="BL485" i="5"/>
  <c r="BL484" i="5"/>
  <c r="BL483" i="5"/>
  <c r="BL482" i="5"/>
  <c r="BL481" i="5"/>
  <c r="BL480" i="5"/>
  <c r="BL479" i="5"/>
  <c r="BL478" i="5"/>
  <c r="BL477" i="5"/>
  <c r="BL476" i="5"/>
  <c r="BL475" i="5"/>
  <c r="BL474" i="5"/>
  <c r="BL473" i="5"/>
  <c r="BL472" i="5"/>
  <c r="BL471" i="5"/>
  <c r="BL470" i="5"/>
  <c r="BL469" i="5"/>
  <c r="BL468" i="5"/>
  <c r="BL467" i="5"/>
  <c r="BL466" i="5"/>
  <c r="BL465" i="5"/>
  <c r="BL464" i="5"/>
  <c r="BL463" i="5"/>
  <c r="BL462" i="5"/>
  <c r="BL461" i="5"/>
  <c r="BL460" i="5"/>
  <c r="BL459" i="5"/>
  <c r="BL458" i="5"/>
  <c r="BL457" i="5"/>
  <c r="BL456" i="5"/>
  <c r="BL455" i="5"/>
  <c r="BL454" i="5"/>
  <c r="BL453" i="5"/>
  <c r="BL452" i="5"/>
  <c r="BL451" i="5"/>
  <c r="BL450" i="5"/>
  <c r="BL449" i="5"/>
  <c r="BL448" i="5"/>
  <c r="BL447" i="5"/>
  <c r="BL446" i="5"/>
  <c r="BL445" i="5"/>
  <c r="BL444" i="5"/>
  <c r="BL443" i="5"/>
  <c r="BL442" i="5"/>
  <c r="BL441" i="5"/>
  <c r="BL440" i="5"/>
  <c r="BL439" i="5"/>
  <c r="BL438" i="5"/>
  <c r="BL437" i="5"/>
  <c r="BL436" i="5"/>
  <c r="BL435" i="5"/>
  <c r="BL434" i="5"/>
  <c r="BL433" i="5"/>
  <c r="BL432" i="5"/>
  <c r="BL431" i="5"/>
  <c r="BL430" i="5"/>
  <c r="BL429" i="5"/>
  <c r="BL428" i="5"/>
  <c r="BL427" i="5"/>
  <c r="BL426" i="5"/>
  <c r="BL425" i="5"/>
  <c r="BL424" i="5"/>
  <c r="BL423" i="5"/>
  <c r="BL422" i="5"/>
  <c r="BL421" i="5"/>
  <c r="BL420" i="5"/>
  <c r="BL419" i="5"/>
  <c r="BL418" i="5"/>
  <c r="BL417" i="5"/>
  <c r="BL416" i="5"/>
  <c r="BL415" i="5"/>
  <c r="BL414" i="5"/>
  <c r="BL413" i="5"/>
  <c r="BL412" i="5"/>
  <c r="BL411" i="5"/>
  <c r="BL410" i="5"/>
  <c r="BL409" i="5"/>
  <c r="BL408" i="5"/>
  <c r="BL407" i="5"/>
  <c r="BL406" i="5"/>
  <c r="BL405" i="5"/>
  <c r="BL404" i="5"/>
  <c r="BL403" i="5"/>
  <c r="BL402" i="5"/>
  <c r="BL401" i="5"/>
  <c r="BL400" i="5"/>
  <c r="BL399" i="5"/>
  <c r="BL398" i="5"/>
  <c r="BL397" i="5"/>
  <c r="BL396" i="5"/>
  <c r="BL395" i="5"/>
  <c r="BL394" i="5"/>
  <c r="BL393" i="5"/>
  <c r="BL392" i="5"/>
  <c r="BL391" i="5"/>
  <c r="BL390" i="5"/>
  <c r="BL389" i="5"/>
  <c r="BL388" i="5"/>
  <c r="BL387" i="5"/>
  <c r="BL386" i="5"/>
  <c r="BL385" i="5"/>
  <c r="BL384" i="5"/>
  <c r="BL383" i="5"/>
  <c r="BL382" i="5"/>
  <c r="BL381" i="5"/>
  <c r="BL380" i="5"/>
  <c r="BL379" i="5"/>
  <c r="BL378" i="5"/>
  <c r="BL377" i="5"/>
  <c r="BL376" i="5"/>
  <c r="BL375" i="5"/>
  <c r="BL374" i="5"/>
  <c r="BL373" i="5"/>
  <c r="BL372" i="5"/>
  <c r="BL371" i="5"/>
  <c r="BL370" i="5"/>
  <c r="BL369" i="5"/>
  <c r="BL368" i="5"/>
  <c r="BL367" i="5"/>
  <c r="BL366" i="5"/>
  <c r="BL365" i="5"/>
  <c r="BL364" i="5"/>
  <c r="BL363" i="5"/>
  <c r="BL362" i="5"/>
  <c r="BL361" i="5"/>
  <c r="BL360" i="5"/>
  <c r="BL359" i="5"/>
  <c r="BL358" i="5"/>
  <c r="BL357" i="5"/>
  <c r="BL356" i="5"/>
  <c r="BL355" i="5"/>
  <c r="BL354" i="5"/>
  <c r="BL353" i="5"/>
  <c r="BL352" i="5"/>
  <c r="BL351" i="5"/>
  <c r="BL350" i="5"/>
  <c r="BL349" i="5"/>
  <c r="BL348" i="5"/>
  <c r="BL347" i="5"/>
  <c r="BL346" i="5"/>
  <c r="BL345" i="5"/>
  <c r="BL344" i="5"/>
  <c r="BL343" i="5"/>
  <c r="BL342" i="5"/>
  <c r="BL341" i="5"/>
  <c r="BL340" i="5"/>
  <c r="BL339" i="5"/>
  <c r="BL338" i="5"/>
  <c r="BL337" i="5"/>
  <c r="BL336" i="5"/>
  <c r="BL335" i="5"/>
  <c r="BL334" i="5"/>
  <c r="BL333" i="5"/>
  <c r="BL332" i="5"/>
  <c r="BL331" i="5"/>
  <c r="BL330" i="5"/>
  <c r="BL329" i="5"/>
  <c r="BL328" i="5"/>
  <c r="BL327" i="5"/>
  <c r="BL326" i="5"/>
  <c r="BL325" i="5"/>
  <c r="BL324" i="5"/>
  <c r="BL323" i="5"/>
  <c r="BL322" i="5"/>
  <c r="BL321" i="5"/>
  <c r="BL320" i="5"/>
  <c r="BL319" i="5"/>
  <c r="BL318" i="5"/>
  <c r="BL317" i="5"/>
  <c r="BL316" i="5"/>
  <c r="BL315" i="5"/>
  <c r="BL314" i="5"/>
  <c r="BL313" i="5"/>
  <c r="BL312" i="5"/>
  <c r="BL311" i="5"/>
  <c r="BL310" i="5"/>
  <c r="BL309" i="5"/>
  <c r="BL308" i="5"/>
  <c r="BL307" i="5"/>
  <c r="BL306" i="5"/>
  <c r="BL305" i="5"/>
  <c r="BL304" i="5"/>
  <c r="BL303" i="5"/>
  <c r="BL302" i="5"/>
  <c r="BL301" i="5"/>
  <c r="BL300" i="5"/>
  <c r="BL299" i="5"/>
  <c r="BL298" i="5"/>
  <c r="BL297" i="5"/>
  <c r="BL296" i="5"/>
  <c r="BL295" i="5"/>
  <c r="BL294" i="5"/>
  <c r="BL293" i="5"/>
  <c r="BL292" i="5"/>
  <c r="BL291" i="5"/>
  <c r="BL290" i="5"/>
  <c r="BL289" i="5"/>
  <c r="BL288" i="5"/>
  <c r="BL287" i="5"/>
  <c r="BL286" i="5"/>
  <c r="BL285" i="5"/>
  <c r="BL284" i="5"/>
  <c r="BL283" i="5"/>
  <c r="BL282" i="5"/>
  <c r="BL281" i="5"/>
  <c r="BL280" i="5"/>
  <c r="BL279" i="5"/>
  <c r="BL278" i="5"/>
  <c r="BL277" i="5"/>
  <c r="BL276" i="5"/>
  <c r="BL275" i="5"/>
  <c r="BL274" i="5"/>
  <c r="BL273" i="5"/>
  <c r="BL272" i="5"/>
  <c r="BL271" i="5"/>
  <c r="BL270" i="5"/>
  <c r="BL269" i="5"/>
  <c r="BL268" i="5"/>
  <c r="BL267" i="5"/>
  <c r="BL266" i="5"/>
  <c r="BL265" i="5"/>
  <c r="BL264" i="5"/>
  <c r="BL263" i="5"/>
  <c r="BL262" i="5"/>
  <c r="BL261" i="5"/>
  <c r="BL260" i="5"/>
  <c r="BL259" i="5"/>
  <c r="BL258" i="5"/>
  <c r="BL257" i="5"/>
  <c r="BL256" i="5"/>
  <c r="BL255" i="5"/>
  <c r="BL254" i="5"/>
  <c r="BL253" i="5"/>
  <c r="BL252" i="5"/>
  <c r="BL251" i="5"/>
  <c r="BL250" i="5"/>
  <c r="BL249" i="5"/>
  <c r="BL248" i="5"/>
  <c r="BL247" i="5"/>
  <c r="BL246" i="5"/>
  <c r="BL245" i="5"/>
  <c r="BL244" i="5"/>
  <c r="BL243" i="5"/>
  <c r="BL242" i="5"/>
  <c r="BL241" i="5"/>
  <c r="BL240" i="5"/>
  <c r="BL239" i="5"/>
  <c r="BL238" i="5"/>
  <c r="BL237" i="5"/>
  <c r="BL236" i="5"/>
  <c r="BL235" i="5"/>
  <c r="BL234" i="5"/>
  <c r="BL233" i="5"/>
  <c r="BL232" i="5"/>
  <c r="BL231" i="5"/>
  <c r="BL230" i="5"/>
  <c r="BL229" i="5"/>
  <c r="BL228" i="5"/>
  <c r="BL227" i="5"/>
  <c r="BL226" i="5"/>
  <c r="BL225" i="5"/>
  <c r="BL224" i="5"/>
  <c r="BL223" i="5"/>
  <c r="BL222" i="5"/>
  <c r="BL221" i="5"/>
  <c r="BL220" i="5"/>
  <c r="BL219" i="5"/>
  <c r="BL218" i="5"/>
  <c r="BL217" i="5"/>
  <c r="BL216" i="5"/>
  <c r="BL215" i="5"/>
  <c r="BL214" i="5"/>
  <c r="BL213" i="5"/>
  <c r="BL212" i="5"/>
  <c r="BL211" i="5"/>
  <c r="BL210" i="5"/>
  <c r="BL209" i="5"/>
  <c r="BL208" i="5"/>
  <c r="BL207" i="5"/>
  <c r="BL206" i="5"/>
  <c r="BL205" i="5"/>
  <c r="BL204" i="5"/>
  <c r="BL203" i="5"/>
  <c r="BL202" i="5"/>
  <c r="BL201" i="5"/>
  <c r="BL200" i="5"/>
  <c r="BL199" i="5"/>
  <c r="BL198" i="5"/>
  <c r="BL197" i="5"/>
  <c r="BL196" i="5"/>
  <c r="BL195" i="5"/>
  <c r="BL194" i="5"/>
  <c r="BL193" i="5"/>
  <c r="BL192" i="5"/>
  <c r="BL191" i="5"/>
  <c r="BL190" i="5"/>
  <c r="BL189" i="5"/>
  <c r="BL188" i="5"/>
  <c r="BL187" i="5"/>
  <c r="BL186" i="5"/>
  <c r="BL185" i="5"/>
  <c r="BL184" i="5"/>
  <c r="BL183" i="5"/>
  <c r="BL182" i="5"/>
  <c r="BL181" i="5"/>
  <c r="BL180" i="5"/>
  <c r="BL179" i="5"/>
  <c r="BL178" i="5"/>
  <c r="BL177" i="5"/>
  <c r="BL176" i="5"/>
  <c r="BL175" i="5"/>
  <c r="BL174" i="5"/>
  <c r="BL173" i="5"/>
  <c r="BL172" i="5"/>
  <c r="BL171" i="5"/>
  <c r="BL170" i="5"/>
  <c r="BL169" i="5"/>
  <c r="BL168" i="5"/>
  <c r="BL167" i="5"/>
  <c r="BL166" i="5"/>
  <c r="BL165" i="5"/>
  <c r="BL164" i="5"/>
  <c r="BL163" i="5"/>
  <c r="BL162" i="5"/>
  <c r="BL161" i="5"/>
  <c r="BL160" i="5"/>
  <c r="BL159" i="5"/>
  <c r="BL158" i="5"/>
  <c r="BL157" i="5"/>
  <c r="BL156" i="5"/>
  <c r="BL155" i="5"/>
  <c r="BL154" i="5"/>
  <c r="BL153" i="5"/>
  <c r="BL152" i="5"/>
  <c r="BL151" i="5"/>
  <c r="BL150" i="5"/>
  <c r="BL149" i="5"/>
  <c r="BL148" i="5"/>
  <c r="BL147" i="5"/>
  <c r="BL146" i="5"/>
  <c r="BL145" i="5"/>
  <c r="BL144" i="5"/>
  <c r="BL143" i="5"/>
  <c r="BL142" i="5"/>
  <c r="BL141" i="5"/>
  <c r="BL140" i="5"/>
  <c r="BL139" i="5"/>
  <c r="BL138" i="5"/>
  <c r="BL137" i="5"/>
  <c r="BL136" i="5"/>
  <c r="BL135" i="5"/>
  <c r="BL134" i="5"/>
  <c r="BL133" i="5"/>
  <c r="BL132" i="5"/>
  <c r="BL131" i="5"/>
  <c r="BL130" i="5"/>
  <c r="BL129" i="5"/>
  <c r="BL128" i="5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5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2" i="5"/>
  <c r="BL21" i="5"/>
  <c r="BL20" i="5"/>
  <c r="BL19" i="5"/>
  <c r="BL18" i="5"/>
  <c r="BN17" i="5"/>
  <c r="BN16" i="5"/>
  <c r="BN15" i="5"/>
  <c r="BN14" i="5"/>
  <c r="BN13" i="5"/>
  <c r="AR6" i="6"/>
  <c r="AT6" i="6"/>
  <c r="AV6" i="6"/>
  <c r="AX6" i="6"/>
  <c r="L3" i="6"/>
  <c r="BK6" i="6"/>
  <c r="L4" i="6"/>
</calcChain>
</file>

<file path=xl/sharedStrings.xml><?xml version="1.0" encoding="utf-8"?>
<sst xmlns="http://schemas.openxmlformats.org/spreadsheetml/2006/main" count="824" uniqueCount="144">
  <si>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</si>
  <si>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</si>
  <si>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</si>
  <si>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</si>
  <si>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Тип источников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</si>
  <si>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</si>
  <si>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</si>
  <si>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</si>
  <si>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 (да/нет)</t>
  </si>
  <si>
    <t>значение</t>
  </si>
  <si>
    <t>Забайкальский край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</si>
  <si>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</si>
  <si>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</si>
  <si>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</si>
  <si>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</si>
  <si>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</si>
  <si>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</si>
  <si>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</si>
  <si>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</si>
  <si>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</si>
  <si>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</si>
  <si>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</si>
  <si>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</si>
  <si>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</si>
  <si>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</si>
  <si>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</si>
  <si>
    <t>Итого снижение совокупного объема выбросов по данным отчета, тонн</t>
  </si>
  <si>
    <t>Итого снижение совокупного объема выбросов опасных загрязняющих веществ, тонн</t>
  </si>
  <si>
    <t xml:space="preserve"> 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</si>
  <si>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</si>
  <si>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</si>
  <si>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</si>
  <si>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</si>
  <si>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Тип мероприятия</t>
  </si>
  <si>
    <t>Наименование мероприятия в Комплексном плане</t>
  </si>
  <si>
    <t>Срок реализации мероприятия, дд.мм.гггг.</t>
  </si>
  <si>
    <t>Описание мероприятия (краткое содержание, основные этапы реализации)</t>
  </si>
  <si>
    <t>Стадии реализации мероприятия</t>
  </si>
  <si>
    <t>Объем финансирования за весь период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</si>
  <si>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</si>
  <si>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</si>
  <si>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</si>
  <si>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</si>
  <si>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Данные о принятом локальном акте (ЛА) о реализации мероприятия в части проектно-изыскательских работ</t>
  </si>
  <si>
    <t>Проведены инженерные изыскания</t>
  </si>
  <si>
    <t>Разработка проектной документации</t>
  </si>
  <si>
    <t>Проведение экспертизы инженерных изысканий и/или проектной документации</t>
  </si>
  <si>
    <t>Данные о принятом локальном акте (ЛА) о реализации мероприятия в части строительно-монтажных работ</t>
  </si>
  <si>
    <t xml:space="preserve">Произведена поставка оборудования		
</t>
  </si>
  <si>
    <t>Завершены общестроительные работы</t>
  </si>
  <si>
    <t>Проведены пусконаладочные работы</t>
  </si>
  <si>
    <t>Ввод в эксплуатацию/завершение мероприятия</t>
  </si>
  <si>
    <t>Текущий статус мероприятия</t>
  </si>
  <si>
    <t>Наличие рисков срыва сроков мероприятия
(да/нет)</t>
  </si>
  <si>
    <t>Причина риска и действия по устранению</t>
  </si>
  <si>
    <t>Плановая дата принятия ЛА</t>
  </si>
  <si>
    <t>Фактическая дата принятия ЛА</t>
  </si>
  <si>
    <t>Реквизиты ЛА</t>
  </si>
  <si>
    <t>Плановая дата</t>
  </si>
  <si>
    <t>Фактическая дата</t>
  </si>
  <si>
    <t>Текущий статус</t>
  </si>
  <si>
    <t>Реквизиты ЛА о вводе в эксплуатацию/завершении мероприятия</t>
  </si>
  <si>
    <t>Всего</t>
  </si>
  <si>
    <t>ФБ</t>
  </si>
  <si>
    <t>КБС</t>
  </si>
  <si>
    <t>Внебюджет</t>
  </si>
  <si>
    <t>Плановое снижение до 2026 года</t>
  </si>
  <si>
    <t>Фактическое снижение на отчетную дату</t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</si>
  <si>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</si>
  <si>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Дата начала работ</t>
  </si>
  <si>
    <t>Дата завершения работ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</si>
  <si>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</si>
  <si>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</si>
  <si>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</si>
  <si>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</si>
  <si>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</si>
  <si>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</si>
  <si>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</si>
  <si>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</si>
  <si>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</si>
  <si>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</si>
  <si>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</si>
  <si>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Работы завершены</t>
  </si>
  <si>
    <t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t>
  </si>
  <si>
    <t>Нет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</si>
  <si>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</si>
  <si>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</si>
  <si>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</si>
  <si>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</si>
  <si>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</si>
  <si>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Акт от 30.11.2022 г.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</si>
  <si>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</si>
  <si>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</si>
  <si>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</si>
  <si>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</si>
  <si>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</si>
  <si>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</si>
  <si>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</si>
  <si>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</si>
  <si>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</si>
  <si>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</si>
  <si>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</si>
  <si>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</si>
  <si>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</si>
  <si>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</si>
  <si>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</si>
  <si>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</si>
  <si>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</si>
  <si>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</si>
  <si>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</si>
  <si>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</si>
  <si>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Выполнено</t>
  </si>
  <si>
    <t>Не выполнено</t>
  </si>
  <si>
    <t>Работы ведутся в соответствии с планом</t>
  </si>
  <si>
    <t xml:space="preserve">ПСД повторно направлена на государственную экспертизу. Строительно-монтажные работы по закрытию котельной Гимназии 21 начаты с 15 мая 2023 года. Завершены демонтажные работы, выполнены работы по монтажу внутренней системы отопления, водоснабжения, электроснабжения, отделочные работы. Тепловой пункт собран, выполнены работы по установке автоматики и присоединению к электрике. Завершены работы по прокладке теплотрассы от здания школы до точки подключения к сетям «ТГК-14». Строительно-монтажные работы выполнены на 100 %. 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</si>
  <si>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</si>
  <si>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</si>
  <si>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</si>
  <si>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</si>
  <si>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</si>
  <si>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</si>
  <si>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2.1.7.</t>
  </si>
  <si>
    <t>Модернизация котельной МБДОУ №30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</si>
  <si>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</si>
  <si>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</si>
  <si>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</si>
  <si>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</si>
  <si>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</si>
  <si>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Работы ведутся с отставанием от плана</t>
  </si>
  <si>
    <t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По состоянию на 01.10.2023 г. проложено 86,62 км газораспределительных сетей.  В 593 домовладениях выполнены работы по монтажу ВДГО.</t>
  </si>
  <si>
    <t>Да</t>
  </si>
  <si>
    <t xml:space="preserve">1. Прокладка газораспределителных  сетей. Причина риска: отставание от утвержденных план-графиков в связи с выявлением не обозначенных в документации объектов (самовольное размещение жителями сетей, септиков и.т.д. Действия по устранению: корректировки трассировок по проекту.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t>
  </si>
  <si>
    <t>Бенз/а/пирен</t>
  </si>
  <si>
    <t xml:space="preserve">Пыль неорганическая, содержащая двуокись кремния, в %: 70-20 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</si>
  <si>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</si>
  <si>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</si>
  <si>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</si>
  <si>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t>ПЛАН ПО КП</t>
  </si>
  <si>
    <t>ДАННЫЕ ПО ОТЧЕТУ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</si>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</sst>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0.0000"/>
    <numFmt numFmtId="166" formatCode="d\.m\.yyyy"/>
  </numFmts>
  <fonts count="21">
    <font>
      <sz val="10"/>
      <color rgb="FF000000"/>
      <name val="Arial"/>
      <scheme val="minor"/>
    </font>
    <font>
      <b/>
      <sz val="14"/>
      <color theme="1"/>
      <name val="Century Gothic"/>
    </font>
    <font>
      <sz val="14"/>
      <color theme="1"/>
      <name val="Century Gothic"/>
    </font>
    <font>
      <sz val="10"/>
      <color theme="1"/>
      <name val="Century Gothic"/>
    </font>
    <font>
      <b/>
      <sz val="10"/>
      <color theme="1"/>
      <name val="Century Gothic"/>
    </font>
    <font>
      <sz val="9"/>
      <color rgb="FF000000"/>
      <name val="Century Gothic"/>
    </font>
    <font>
      <b/>
      <sz val="12"/>
      <color rgb="FF000000"/>
      <name val="Century Gothic"/>
    </font>
    <font>
      <sz val="12"/>
      <color rgb="FF000000"/>
      <name val="Century Gothic"/>
    </font>
    <font>
      <b/>
      <sz val="10"/>
      <color theme="1"/>
      <name val="&quot;Century Gothic&quot;"/>
    </font>
    <font>
      <sz val="10"/>
      <color theme="1"/>
      <name val="&quot;Century Gothic&quot;"/>
    </font>
    <font>
      <u/>
      <sz val="10"/>
      <color rgb="FF0000FF"/>
      <name val="&quot;Century Gothic&quot;"/>
    </font>
    <font>
      <sz val="10"/>
      <color theme="1"/>
      <name val="Arial"/>
      <scheme val="minor"/>
    </font>
    <font>
      <sz val="9"/>
      <color theme="1"/>
      <name val="Century Gothic"/>
    </font>
    <font>
      <b/>
      <sz val="9"/>
      <color theme="1"/>
      <name val="Century Gothic"/>
    </font>
    <font>
      <sz val="9"/>
      <color rgb="FF000000"/>
      <name val="&quot;Century Gothic&quot;"/>
    </font>
    <font>
      <b/>
      <sz val="9"/>
      <color rgb="FF000000"/>
      <name val="Century Gothic"/>
    </font>
    <font>
      <b/>
      <sz val="18"/>
      <color rgb="FF000000"/>
      <name val="Century Gothic"/>
    </font>
    <font>
      <sz val="10"/>
      <name val="Arial"/>
    </font>
    <font>
      <b/>
      <sz val="9"/>
      <color theme="1"/>
      <name val="&quot;Century Gothic&quot;"/>
    </font>
    <font>
      <sz val="11"/>
      <color theme="1"/>
      <name val="&quot;Times New Roman&quot;"/>
    </font>
    <font>
      <b/>
      <sz val="9"/>
      <color rgb="FFFF0000"/>
      <name val="Century Gothic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3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/>
    <xf numFmtId="0" fontId="6" fillId="0" borderId="0" xfId="0" applyFont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10" fillId="0" borderId="3" xfId="0" applyFont="1" applyBorder="1" applyAlignment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4" fontId="13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4" fontId="12" fillId="0" borderId="0" xfId="0" applyNumberFormat="1" applyFont="1"/>
    <xf numFmtId="0" fontId="13" fillId="0" borderId="3" xfId="0" applyFont="1" applyBorder="1" applyAlignment="1">
      <alignment horizontal="left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4" fontId="13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/>
    <xf numFmtId="0" fontId="15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4" fontId="13" fillId="2" borderId="3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2" fillId="0" borderId="0" xfId="0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49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vertical="center" wrapText="1"/>
    </xf>
    <xf numFmtId="4" fontId="12" fillId="0" borderId="3" xfId="0" applyNumberFormat="1" applyFont="1" applyBorder="1" applyAlignment="1">
      <alignment vertical="center"/>
    </xf>
    <xf numFmtId="4" fontId="12" fillId="0" borderId="3" xfId="0" applyNumberFormat="1" applyFont="1" applyBorder="1" applyAlignment="1">
      <alignment vertical="center"/>
    </xf>
    <xf numFmtId="165" fontId="12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6" fontId="19" fillId="2" borderId="3" xfId="0" applyNumberFormat="1" applyFont="1" applyFill="1" applyBorder="1" applyAlignment="1">
      <alignment horizontal="center" vertical="top" wrapText="1"/>
    </xf>
    <xf numFmtId="166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9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horizontal="right" vertical="center" wrapText="1"/>
    </xf>
    <xf numFmtId="4" fontId="15" fillId="0" borderId="0" xfId="0" applyNumberFormat="1" applyFont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7" fillId="0" borderId="8" xfId="0" applyFont="1" applyBorder="1"/>
    <xf numFmtId="0" fontId="17" fillId="0" borderId="9" xfId="0" applyFont="1" applyBorder="1"/>
    <xf numFmtId="0" fontId="15" fillId="2" borderId="5" xfId="0" applyFont="1" applyFill="1" applyBorder="1" applyAlignment="1">
      <alignment horizontal="center" vertical="center" wrapText="1"/>
    </xf>
    <xf numFmtId="0" fontId="17" fillId="0" borderId="11" xfId="0" applyFont="1" applyBorder="1"/>
    <xf numFmtId="0" fontId="17" fillId="0" borderId="2" xfId="0" applyFont="1" applyBorder="1"/>
    <xf numFmtId="0" fontId="13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0" fillId="0" borderId="0" xfId="0" applyFont="1" applyAlignment="1"/>
    <xf numFmtId="0" fontId="18" fillId="0" borderId="4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 wrapText="1"/>
    </xf>
    <xf numFmtId="0" fontId="17" fillId="0" borderId="10" xfId="0" applyFont="1" applyBorder="1"/>
    <xf numFmtId="0" fontId="17" fillId="0" borderId="7" xfId="0" applyFont="1" applyBorder="1"/>
    <xf numFmtId="0" fontId="17" fillId="0" borderId="14" xfId="0" applyFont="1" applyBorder="1"/>
    <xf numFmtId="0" fontId="17" fillId="0" borderId="1" xfId="0" applyFont="1" applyBorder="1"/>
    <xf numFmtId="0" fontId="17" fillId="0" borderId="15" xfId="0" applyFont="1" applyBorder="1"/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7" fillId="0" borderId="12" xfId="0" applyFont="1" applyBorder="1"/>
    <xf numFmtId="0" fontId="17" fillId="0" borderId="13" xfId="0" applyFont="1" applyBorder="1"/>
    <xf numFmtId="0" fontId="15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8KV3bp90f_KWipMlJcEanBiX2KJOCcy4BfgDzukSqbU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1" Type="http://schemas.openxmlformats.org/officeDocument/2006/relationships/hyperlink" Target="https://docs.google.com/spreadsheets/d/1U1xQ8csI0_O3PL5Yv3x95djYlznRgRiRQfpUyDtPrfA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4" Type="http://schemas.openxmlformats.org/officeDocument/2006/relationships/hyperlink" Target="https://docs.google.com/spreadsheets/d/1CbF-CczbG4IoV0y7LA0BF2qynW3q-mwKnbVk5HwNYAk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tabSelected="1" workbookViewId="0"/>
  </sheetViews>
  <sheetFormatPr defaultColWidth="12.6640625" defaultRowHeight="15.75" customHeight="1"/>
  <cols>
    <col min="1" max="1" width="85.33203125" customWidth="1"/>
  </cols>
  <sheetData>
    <row r="1" spans="1:1" ht="15.75" customHeight="1">
      <c r="A1" s="1" t="s">
        <v>0</v>
      </c>
    </row>
    <row r="2" spans="1:1">
      <c r="A2" s="2"/>
    </row>
    <row r="3" spans="1:1">
      <c r="A3" s="3" t="s">
        <v>1</v>
      </c>
    </row>
    <row r="4" spans="1:1">
      <c r="A4" s="3" t="s">
        <v>2</v>
      </c>
    </row>
    <row r="5" spans="1:1">
      <c r="A5" s="3" t="s">
        <v>3</v>
      </c>
    </row>
    <row r="6" spans="1:1">
      <c r="A6" s="3"/>
    </row>
    <row r="7" spans="1:1">
      <c r="A7" s="2"/>
    </row>
    <row r="8" spans="1:1">
      <c r="A8" s="2"/>
    </row>
    <row r="9" spans="1:1">
      <c r="A9" s="2"/>
    </row>
    <row r="10" spans="1:1">
      <c r="A10" s="2"/>
    </row>
    <row r="11" spans="1:1">
      <c r="A11" s="2"/>
    </row>
    <row r="12" spans="1:1">
      <c r="A12" s="2"/>
    </row>
    <row r="13" spans="1:1">
      <c r="A13" s="2"/>
    </row>
    <row r="14" spans="1:1">
      <c r="A14" s="2"/>
    </row>
    <row r="15" spans="1:1">
      <c r="A15" s="2"/>
    </row>
    <row r="16" spans="1:1">
      <c r="A16" s="2"/>
    </row>
    <row r="17" spans="1:1">
      <c r="A17" s="2"/>
    </row>
    <row r="18" spans="1:1">
      <c r="A18" s="2"/>
    </row>
    <row r="19" spans="1:1">
      <c r="A19" s="2"/>
    </row>
    <row r="20" spans="1:1">
      <c r="A20" s="2"/>
    </row>
    <row r="21" spans="1:1">
      <c r="A21" s="2"/>
    </row>
    <row r="22" spans="1:1">
      <c r="A22" s="2"/>
    </row>
    <row r="23" spans="1:1">
      <c r="A23" s="2"/>
    </row>
    <row r="24" spans="1:1">
      <c r="A24" s="2"/>
    </row>
    <row r="25" spans="1:1">
      <c r="A25" s="2"/>
    </row>
    <row r="26" spans="1:1">
      <c r="A26" s="2"/>
    </row>
    <row r="27" spans="1:1">
      <c r="A27" s="2"/>
    </row>
    <row r="28" spans="1:1" ht="16.8">
      <c r="A28" s="2"/>
    </row>
    <row r="29" spans="1:1" ht="16.8">
      <c r="A29" s="2"/>
    </row>
    <row r="30" spans="1:1" ht="16.8">
      <c r="A30" s="2"/>
    </row>
    <row r="31" spans="1:1" ht="16.8">
      <c r="A31" s="2"/>
    </row>
    <row r="32" spans="1:1" ht="16.8">
      <c r="A32" s="2"/>
    </row>
    <row r="33" spans="1:1" ht="16.8">
      <c r="A33" s="2"/>
    </row>
    <row r="34" spans="1:1" ht="16.8">
      <c r="A34" s="2"/>
    </row>
    <row r="35" spans="1:1" ht="16.8">
      <c r="A35" s="2"/>
    </row>
    <row r="36" spans="1:1" ht="16.8">
      <c r="A36" s="2"/>
    </row>
    <row r="37" spans="1:1" ht="16.8">
      <c r="A37" s="2"/>
    </row>
    <row r="38" spans="1:1" ht="16.8">
      <c r="A38" s="2"/>
    </row>
    <row r="39" spans="1:1" ht="16.8">
      <c r="A39" s="2"/>
    </row>
    <row r="40" spans="1:1" ht="16.8">
      <c r="A40" s="2"/>
    </row>
    <row r="41" spans="1:1" ht="16.8">
      <c r="A41" s="2"/>
    </row>
    <row r="42" spans="1:1" ht="16.8">
      <c r="A42" s="2"/>
    </row>
    <row r="43" spans="1:1" ht="16.8">
      <c r="A43" s="2"/>
    </row>
    <row r="44" spans="1:1" ht="16.8">
      <c r="A44" s="2"/>
    </row>
    <row r="45" spans="1:1" ht="16.8">
      <c r="A45" s="2"/>
    </row>
    <row r="46" spans="1:1" ht="16.8">
      <c r="A46" s="2"/>
    </row>
    <row r="47" spans="1:1" ht="16.8">
      <c r="A47" s="2"/>
    </row>
    <row r="48" spans="1:1" ht="16.8">
      <c r="A48" s="2"/>
    </row>
    <row r="49" spans="1:1" ht="16.8">
      <c r="A49" s="2"/>
    </row>
    <row r="50" spans="1:1" ht="16.8">
      <c r="A50" s="2"/>
    </row>
    <row r="51" spans="1:1" ht="16.8">
      <c r="A51" s="2"/>
    </row>
    <row r="52" spans="1:1" ht="16.8">
      <c r="A52" s="2"/>
    </row>
    <row r="53" spans="1:1" ht="16.8">
      <c r="A53" s="2"/>
    </row>
    <row r="54" spans="1:1" ht="16.8">
      <c r="A54" s="2"/>
    </row>
    <row r="55" spans="1:1" ht="16.8">
      <c r="A55" s="2"/>
    </row>
    <row r="56" spans="1:1" ht="16.8">
      <c r="A56" s="2"/>
    </row>
    <row r="57" spans="1:1" ht="16.8">
      <c r="A57" s="2"/>
    </row>
    <row r="58" spans="1:1" ht="16.8">
      <c r="A58" s="2"/>
    </row>
    <row r="59" spans="1:1" ht="16.8">
      <c r="A59" s="2"/>
    </row>
    <row r="60" spans="1:1" ht="16.8">
      <c r="A60" s="2"/>
    </row>
    <row r="61" spans="1:1" ht="16.8">
      <c r="A61" s="2"/>
    </row>
    <row r="62" spans="1:1" ht="16.8">
      <c r="A62" s="2"/>
    </row>
    <row r="63" spans="1:1" ht="16.8">
      <c r="A63" s="2"/>
    </row>
    <row r="64" spans="1:1" ht="16.8">
      <c r="A64" s="2"/>
    </row>
    <row r="65" spans="1:1" ht="16.8">
      <c r="A65" s="2"/>
    </row>
    <row r="66" spans="1:1" ht="16.8">
      <c r="A66" s="2"/>
    </row>
    <row r="67" spans="1:1" ht="16.8">
      <c r="A67" s="2"/>
    </row>
    <row r="68" spans="1:1" ht="16.8">
      <c r="A68" s="2"/>
    </row>
    <row r="69" spans="1:1" ht="16.8">
      <c r="A69" s="2"/>
    </row>
    <row r="70" spans="1:1" ht="16.8">
      <c r="A70" s="2"/>
    </row>
    <row r="71" spans="1:1" ht="16.8">
      <c r="A71" s="2"/>
    </row>
    <row r="72" spans="1:1" ht="16.8">
      <c r="A72" s="2"/>
    </row>
    <row r="73" spans="1:1" ht="16.8">
      <c r="A73" s="2"/>
    </row>
    <row r="74" spans="1:1" ht="16.8">
      <c r="A74" s="2"/>
    </row>
    <row r="75" spans="1:1" ht="16.8">
      <c r="A75" s="2"/>
    </row>
    <row r="76" spans="1:1" ht="16.8">
      <c r="A76" s="2"/>
    </row>
    <row r="77" spans="1:1" ht="16.8">
      <c r="A77" s="2"/>
    </row>
    <row r="78" spans="1:1" ht="16.8">
      <c r="A78" s="2"/>
    </row>
    <row r="79" spans="1:1" ht="16.8">
      <c r="A79" s="2"/>
    </row>
    <row r="80" spans="1:1" ht="16.8">
      <c r="A80" s="2"/>
    </row>
    <row r="81" spans="1:1" ht="16.8">
      <c r="A81" s="2"/>
    </row>
    <row r="82" spans="1:1" ht="16.8">
      <c r="A82" s="2"/>
    </row>
    <row r="83" spans="1:1" ht="16.8">
      <c r="A83" s="2"/>
    </row>
    <row r="84" spans="1:1" ht="16.8">
      <c r="A84" s="2"/>
    </row>
    <row r="85" spans="1:1" ht="16.8">
      <c r="A85" s="2"/>
    </row>
    <row r="86" spans="1:1" ht="16.8">
      <c r="A86" s="2"/>
    </row>
    <row r="87" spans="1:1" ht="16.8">
      <c r="A87" s="2"/>
    </row>
    <row r="88" spans="1:1" ht="16.8">
      <c r="A88" s="2"/>
    </row>
    <row r="89" spans="1:1" ht="16.8">
      <c r="A89" s="2"/>
    </row>
    <row r="90" spans="1:1" ht="16.8">
      <c r="A90" s="2"/>
    </row>
    <row r="91" spans="1:1" ht="16.8">
      <c r="A91" s="2"/>
    </row>
    <row r="92" spans="1:1" ht="16.8">
      <c r="A92" s="2"/>
    </row>
    <row r="93" spans="1:1" ht="16.8">
      <c r="A93" s="2"/>
    </row>
    <row r="94" spans="1:1" ht="16.8">
      <c r="A94" s="2"/>
    </row>
    <row r="95" spans="1:1" ht="16.8">
      <c r="A95" s="2"/>
    </row>
    <row r="96" spans="1:1" ht="16.8">
      <c r="A96" s="2"/>
    </row>
    <row r="97" spans="1:1" ht="16.8">
      <c r="A97" s="2"/>
    </row>
    <row r="98" spans="1:1" ht="16.8">
      <c r="A98" s="2"/>
    </row>
    <row r="99" spans="1:1" ht="16.8">
      <c r="A99" s="2"/>
    </row>
    <row r="100" spans="1:1" ht="16.8">
      <c r="A100" s="2"/>
    </row>
    <row r="101" spans="1:1" ht="16.8">
      <c r="A101" s="2"/>
    </row>
    <row r="102" spans="1:1" ht="16.8">
      <c r="A102" s="2"/>
    </row>
    <row r="103" spans="1:1" ht="16.8">
      <c r="A103" s="2"/>
    </row>
    <row r="104" spans="1:1" ht="16.8">
      <c r="A104" s="2"/>
    </row>
    <row r="105" spans="1:1" ht="16.8">
      <c r="A105" s="2"/>
    </row>
    <row r="106" spans="1:1" ht="16.8">
      <c r="A106" s="2"/>
    </row>
    <row r="107" spans="1:1" ht="16.8">
      <c r="A107" s="2"/>
    </row>
    <row r="108" spans="1:1" ht="16.8">
      <c r="A108" s="2"/>
    </row>
    <row r="109" spans="1:1" ht="16.8">
      <c r="A109" s="2"/>
    </row>
    <row r="110" spans="1:1" ht="16.8">
      <c r="A110" s="2"/>
    </row>
    <row r="111" spans="1:1" ht="16.8">
      <c r="A111" s="2"/>
    </row>
    <row r="112" spans="1:1" ht="16.8">
      <c r="A112" s="2"/>
    </row>
    <row r="113" spans="1:1" ht="16.8">
      <c r="A113" s="2"/>
    </row>
    <row r="114" spans="1:1" ht="16.8">
      <c r="A114" s="2"/>
    </row>
    <row r="115" spans="1:1" ht="16.8">
      <c r="A115" s="2"/>
    </row>
    <row r="116" spans="1:1" ht="16.8">
      <c r="A116" s="2"/>
    </row>
    <row r="117" spans="1:1" ht="16.8">
      <c r="A117" s="2"/>
    </row>
    <row r="118" spans="1:1" ht="16.8">
      <c r="A118" s="2"/>
    </row>
    <row r="119" spans="1:1" ht="16.8">
      <c r="A119" s="2"/>
    </row>
    <row r="120" spans="1:1" ht="16.8">
      <c r="A120" s="2"/>
    </row>
    <row r="121" spans="1:1" ht="16.8">
      <c r="A121" s="2"/>
    </row>
    <row r="122" spans="1:1" ht="16.8">
      <c r="A122" s="2"/>
    </row>
    <row r="123" spans="1:1" ht="16.8">
      <c r="A123" s="2"/>
    </row>
    <row r="124" spans="1:1" ht="16.8">
      <c r="A124" s="2"/>
    </row>
    <row r="125" spans="1:1" ht="16.8">
      <c r="A125" s="2"/>
    </row>
    <row r="126" spans="1:1" ht="16.8">
      <c r="A126" s="2"/>
    </row>
    <row r="127" spans="1:1" ht="16.8">
      <c r="A127" s="2"/>
    </row>
    <row r="128" spans="1:1" ht="16.8">
      <c r="A128" s="2"/>
    </row>
    <row r="129" spans="1:1" ht="16.8">
      <c r="A129" s="2"/>
    </row>
    <row r="130" spans="1:1" ht="16.8">
      <c r="A130" s="2"/>
    </row>
    <row r="131" spans="1:1" ht="16.8">
      <c r="A131" s="2"/>
    </row>
    <row r="132" spans="1:1" ht="16.8">
      <c r="A132" s="2"/>
    </row>
    <row r="133" spans="1:1" ht="16.8">
      <c r="A133" s="2"/>
    </row>
    <row r="134" spans="1:1" ht="16.8">
      <c r="A134" s="2"/>
    </row>
    <row r="135" spans="1:1" ht="16.8">
      <c r="A135" s="2"/>
    </row>
    <row r="136" spans="1:1" ht="16.8">
      <c r="A136" s="2"/>
    </row>
    <row r="137" spans="1:1" ht="16.8">
      <c r="A137" s="2"/>
    </row>
    <row r="138" spans="1:1" ht="16.8">
      <c r="A138" s="2"/>
    </row>
    <row r="139" spans="1:1" ht="16.8">
      <c r="A139" s="2"/>
    </row>
    <row r="140" spans="1:1" ht="16.8">
      <c r="A140" s="2"/>
    </row>
    <row r="141" spans="1:1" ht="16.8">
      <c r="A141" s="2"/>
    </row>
    <row r="142" spans="1:1" ht="16.8">
      <c r="A142" s="2"/>
    </row>
    <row r="143" spans="1:1" ht="16.8">
      <c r="A143" s="2"/>
    </row>
    <row r="144" spans="1:1" ht="16.8">
      <c r="A144" s="2"/>
    </row>
    <row r="145" spans="1:1" ht="16.8">
      <c r="A145" s="2"/>
    </row>
    <row r="146" spans="1:1" ht="16.8">
      <c r="A146" s="2"/>
    </row>
    <row r="147" spans="1:1" ht="16.8">
      <c r="A147" s="2"/>
    </row>
    <row r="148" spans="1:1" ht="16.8">
      <c r="A148" s="2"/>
    </row>
    <row r="149" spans="1:1" ht="16.8">
      <c r="A149" s="2"/>
    </row>
    <row r="150" spans="1:1" ht="16.8">
      <c r="A150" s="2"/>
    </row>
    <row r="151" spans="1:1" ht="16.8">
      <c r="A151" s="2"/>
    </row>
    <row r="152" spans="1:1" ht="16.8">
      <c r="A152" s="2"/>
    </row>
    <row r="153" spans="1:1" ht="16.8">
      <c r="A153" s="2"/>
    </row>
    <row r="154" spans="1:1" ht="16.8">
      <c r="A154" s="2"/>
    </row>
    <row r="155" spans="1:1" ht="16.8">
      <c r="A155" s="2"/>
    </row>
    <row r="156" spans="1:1" ht="16.8">
      <c r="A156" s="2"/>
    </row>
    <row r="157" spans="1:1" ht="16.8">
      <c r="A157" s="2"/>
    </row>
    <row r="158" spans="1:1" ht="16.8">
      <c r="A158" s="2"/>
    </row>
    <row r="159" spans="1:1" ht="16.8">
      <c r="A159" s="2"/>
    </row>
    <row r="160" spans="1:1" ht="16.8">
      <c r="A160" s="2"/>
    </row>
    <row r="161" spans="1:1" ht="16.8">
      <c r="A161" s="2"/>
    </row>
    <row r="162" spans="1:1" ht="16.8">
      <c r="A162" s="2"/>
    </row>
    <row r="163" spans="1:1" ht="16.8">
      <c r="A163" s="2"/>
    </row>
    <row r="164" spans="1:1" ht="16.8">
      <c r="A164" s="2"/>
    </row>
    <row r="165" spans="1:1" ht="16.8">
      <c r="A165" s="2"/>
    </row>
    <row r="166" spans="1:1" ht="16.8">
      <c r="A166" s="2"/>
    </row>
    <row r="167" spans="1:1" ht="16.8">
      <c r="A167" s="2"/>
    </row>
    <row r="168" spans="1:1" ht="16.8">
      <c r="A168" s="2"/>
    </row>
    <row r="169" spans="1:1" ht="16.8">
      <c r="A169" s="2"/>
    </row>
    <row r="170" spans="1:1" ht="16.8">
      <c r="A170" s="2"/>
    </row>
    <row r="171" spans="1:1" ht="16.8">
      <c r="A171" s="2"/>
    </row>
    <row r="172" spans="1:1" ht="16.8">
      <c r="A172" s="2"/>
    </row>
    <row r="173" spans="1:1" ht="16.8">
      <c r="A173" s="2"/>
    </row>
    <row r="174" spans="1:1" ht="16.8">
      <c r="A174" s="2"/>
    </row>
    <row r="175" spans="1:1" ht="16.8">
      <c r="A175" s="2"/>
    </row>
    <row r="176" spans="1:1" ht="16.8">
      <c r="A176" s="2"/>
    </row>
    <row r="177" spans="1:1" ht="16.8">
      <c r="A177" s="2"/>
    </row>
    <row r="178" spans="1:1" ht="16.8">
      <c r="A178" s="2"/>
    </row>
    <row r="179" spans="1:1" ht="16.8">
      <c r="A179" s="2"/>
    </row>
    <row r="180" spans="1:1" ht="16.8">
      <c r="A180" s="2"/>
    </row>
    <row r="181" spans="1:1" ht="16.8">
      <c r="A181" s="2"/>
    </row>
    <row r="182" spans="1:1" ht="16.8">
      <c r="A182" s="2"/>
    </row>
    <row r="183" spans="1:1" ht="16.8">
      <c r="A183" s="2"/>
    </row>
    <row r="184" spans="1:1" ht="16.8">
      <c r="A184" s="2"/>
    </row>
    <row r="185" spans="1:1" ht="16.8">
      <c r="A185" s="2"/>
    </row>
    <row r="186" spans="1:1" ht="16.8">
      <c r="A186" s="2"/>
    </row>
    <row r="187" spans="1:1" ht="16.8">
      <c r="A187" s="2"/>
    </row>
    <row r="188" spans="1:1" ht="16.8">
      <c r="A188" s="2"/>
    </row>
    <row r="189" spans="1:1" ht="16.8">
      <c r="A189" s="2"/>
    </row>
    <row r="190" spans="1:1" ht="16.8">
      <c r="A190" s="2"/>
    </row>
    <row r="191" spans="1:1" ht="16.8">
      <c r="A191" s="2"/>
    </row>
    <row r="192" spans="1:1" ht="16.8">
      <c r="A192" s="2"/>
    </row>
    <row r="193" spans="1:1" ht="16.8">
      <c r="A193" s="2"/>
    </row>
    <row r="194" spans="1:1" ht="16.8">
      <c r="A194" s="2"/>
    </row>
    <row r="195" spans="1:1" ht="16.8">
      <c r="A195" s="2"/>
    </row>
    <row r="196" spans="1:1" ht="16.8">
      <c r="A196" s="2"/>
    </row>
    <row r="197" spans="1:1" ht="16.8">
      <c r="A197" s="2"/>
    </row>
    <row r="198" spans="1:1" ht="16.8">
      <c r="A198" s="2"/>
    </row>
    <row r="199" spans="1:1" ht="16.8">
      <c r="A199" s="2"/>
    </row>
    <row r="200" spans="1:1" ht="16.8">
      <c r="A200" s="2"/>
    </row>
    <row r="201" spans="1:1" ht="16.8">
      <c r="A201" s="2"/>
    </row>
    <row r="202" spans="1:1" ht="16.8">
      <c r="A202" s="2"/>
    </row>
    <row r="203" spans="1:1" ht="16.8">
      <c r="A203" s="2"/>
    </row>
    <row r="204" spans="1:1" ht="16.8">
      <c r="A204" s="2"/>
    </row>
    <row r="205" spans="1:1" ht="16.8">
      <c r="A205" s="2"/>
    </row>
    <row r="206" spans="1:1" ht="16.8">
      <c r="A206" s="2"/>
    </row>
    <row r="207" spans="1:1" ht="16.8">
      <c r="A207" s="2"/>
    </row>
    <row r="208" spans="1:1" ht="16.8">
      <c r="A208" s="2"/>
    </row>
    <row r="209" spans="1:1" ht="16.8">
      <c r="A209" s="2"/>
    </row>
    <row r="210" spans="1:1" ht="16.8">
      <c r="A210" s="2"/>
    </row>
    <row r="211" spans="1:1" ht="16.8">
      <c r="A211" s="2"/>
    </row>
    <row r="212" spans="1:1" ht="16.8">
      <c r="A212" s="2"/>
    </row>
    <row r="213" spans="1:1" ht="16.8">
      <c r="A213" s="2"/>
    </row>
    <row r="214" spans="1:1" ht="16.8">
      <c r="A214" s="2"/>
    </row>
    <row r="215" spans="1:1" ht="16.8">
      <c r="A215" s="2"/>
    </row>
    <row r="216" spans="1:1" ht="16.8">
      <c r="A216" s="2"/>
    </row>
    <row r="217" spans="1:1" ht="16.8">
      <c r="A217" s="2"/>
    </row>
    <row r="218" spans="1:1" ht="16.8">
      <c r="A218" s="2"/>
    </row>
    <row r="219" spans="1:1" ht="16.8">
      <c r="A219" s="2"/>
    </row>
    <row r="220" spans="1:1" ht="16.8">
      <c r="A220" s="2"/>
    </row>
    <row r="221" spans="1:1" ht="16.8">
      <c r="A221" s="2"/>
    </row>
    <row r="222" spans="1:1" ht="16.8">
      <c r="A222" s="2"/>
    </row>
    <row r="223" spans="1:1" ht="16.8">
      <c r="A223" s="2"/>
    </row>
    <row r="224" spans="1:1" ht="16.8">
      <c r="A224" s="2"/>
    </row>
    <row r="225" spans="1:1" ht="16.8">
      <c r="A225" s="2"/>
    </row>
    <row r="226" spans="1:1" ht="16.8">
      <c r="A226" s="2"/>
    </row>
    <row r="227" spans="1:1" ht="16.8">
      <c r="A227" s="2"/>
    </row>
    <row r="228" spans="1:1" ht="16.8">
      <c r="A228" s="2"/>
    </row>
    <row r="229" spans="1:1" ht="16.8">
      <c r="A229" s="2"/>
    </row>
    <row r="230" spans="1:1" ht="16.8">
      <c r="A230" s="2"/>
    </row>
    <row r="231" spans="1:1" ht="16.8">
      <c r="A231" s="2"/>
    </row>
    <row r="232" spans="1:1" ht="16.8">
      <c r="A232" s="2"/>
    </row>
    <row r="233" spans="1:1" ht="16.8">
      <c r="A233" s="2"/>
    </row>
    <row r="234" spans="1:1" ht="16.8">
      <c r="A234" s="2"/>
    </row>
    <row r="235" spans="1:1" ht="16.8">
      <c r="A235" s="2"/>
    </row>
    <row r="236" spans="1:1" ht="16.8">
      <c r="A236" s="2"/>
    </row>
    <row r="237" spans="1:1" ht="16.8">
      <c r="A237" s="2"/>
    </row>
    <row r="238" spans="1:1" ht="16.8">
      <c r="A238" s="2"/>
    </row>
    <row r="239" spans="1:1" ht="16.8">
      <c r="A239" s="2"/>
    </row>
    <row r="240" spans="1:1" ht="16.8">
      <c r="A240" s="2"/>
    </row>
    <row r="241" spans="1:1" ht="16.8">
      <c r="A241" s="2"/>
    </row>
    <row r="242" spans="1:1" ht="16.8">
      <c r="A242" s="2"/>
    </row>
    <row r="243" spans="1:1" ht="16.8">
      <c r="A243" s="2"/>
    </row>
    <row r="244" spans="1:1" ht="16.8">
      <c r="A244" s="2"/>
    </row>
    <row r="245" spans="1:1" ht="16.8">
      <c r="A245" s="2"/>
    </row>
    <row r="246" spans="1:1" ht="16.8">
      <c r="A246" s="2"/>
    </row>
    <row r="247" spans="1:1" ht="16.8">
      <c r="A247" s="2"/>
    </row>
    <row r="248" spans="1:1" ht="16.8">
      <c r="A248" s="2"/>
    </row>
    <row r="249" spans="1:1" ht="16.8">
      <c r="A249" s="2"/>
    </row>
    <row r="250" spans="1:1" ht="16.8">
      <c r="A250" s="2"/>
    </row>
    <row r="251" spans="1:1" ht="16.8">
      <c r="A251" s="2"/>
    </row>
    <row r="252" spans="1:1" ht="16.8">
      <c r="A252" s="2"/>
    </row>
    <row r="253" spans="1:1" ht="16.8">
      <c r="A253" s="2"/>
    </row>
    <row r="254" spans="1:1" ht="16.8">
      <c r="A254" s="2"/>
    </row>
    <row r="255" spans="1:1" ht="16.8">
      <c r="A255" s="2"/>
    </row>
    <row r="256" spans="1:1" ht="16.8">
      <c r="A256" s="2"/>
    </row>
    <row r="257" spans="1:1" ht="16.8">
      <c r="A257" s="2"/>
    </row>
    <row r="258" spans="1:1" ht="16.8">
      <c r="A258" s="2"/>
    </row>
    <row r="259" spans="1:1" ht="16.8">
      <c r="A259" s="2"/>
    </row>
    <row r="260" spans="1:1" ht="16.8">
      <c r="A260" s="2"/>
    </row>
    <row r="261" spans="1:1" ht="16.8">
      <c r="A261" s="2"/>
    </row>
    <row r="262" spans="1:1" ht="16.8">
      <c r="A262" s="2"/>
    </row>
    <row r="263" spans="1:1" ht="16.8">
      <c r="A263" s="2"/>
    </row>
    <row r="264" spans="1:1" ht="16.8">
      <c r="A264" s="2"/>
    </row>
    <row r="265" spans="1:1" ht="16.8">
      <c r="A265" s="2"/>
    </row>
    <row r="266" spans="1:1" ht="16.8">
      <c r="A266" s="2"/>
    </row>
    <row r="267" spans="1:1" ht="16.8">
      <c r="A267" s="2"/>
    </row>
    <row r="268" spans="1:1" ht="16.8">
      <c r="A268" s="2"/>
    </row>
    <row r="269" spans="1:1" ht="16.8">
      <c r="A269" s="2"/>
    </row>
    <row r="270" spans="1:1" ht="16.8">
      <c r="A270" s="2"/>
    </row>
    <row r="271" spans="1:1" ht="16.8">
      <c r="A271" s="2"/>
    </row>
    <row r="272" spans="1:1" ht="16.8">
      <c r="A272" s="2"/>
    </row>
    <row r="273" spans="1:1" ht="16.8">
      <c r="A273" s="2"/>
    </row>
    <row r="274" spans="1:1" ht="16.8">
      <c r="A274" s="2"/>
    </row>
    <row r="275" spans="1:1" ht="16.8">
      <c r="A275" s="2"/>
    </row>
    <row r="276" spans="1:1" ht="16.8">
      <c r="A276" s="2"/>
    </row>
    <row r="277" spans="1:1" ht="16.8">
      <c r="A277" s="2"/>
    </row>
    <row r="278" spans="1:1" ht="16.8">
      <c r="A278" s="2"/>
    </row>
    <row r="279" spans="1:1" ht="16.8">
      <c r="A279" s="2"/>
    </row>
    <row r="280" spans="1:1" ht="16.8">
      <c r="A280" s="2"/>
    </row>
    <row r="281" spans="1:1" ht="16.8">
      <c r="A281" s="2"/>
    </row>
    <row r="282" spans="1:1" ht="16.8">
      <c r="A282" s="2"/>
    </row>
    <row r="283" spans="1:1" ht="16.8">
      <c r="A283" s="2"/>
    </row>
    <row r="284" spans="1:1" ht="16.8">
      <c r="A284" s="2"/>
    </row>
    <row r="285" spans="1:1" ht="16.8">
      <c r="A285" s="2"/>
    </row>
    <row r="286" spans="1:1" ht="16.8">
      <c r="A286" s="2"/>
    </row>
    <row r="287" spans="1:1" ht="16.8">
      <c r="A287" s="2"/>
    </row>
    <row r="288" spans="1:1" ht="16.8">
      <c r="A288" s="2"/>
    </row>
    <row r="289" spans="1:1" ht="16.8">
      <c r="A289" s="2"/>
    </row>
    <row r="290" spans="1:1" ht="16.8">
      <c r="A290" s="2"/>
    </row>
    <row r="291" spans="1:1" ht="16.8">
      <c r="A291" s="2"/>
    </row>
    <row r="292" spans="1:1" ht="16.8">
      <c r="A292" s="2"/>
    </row>
    <row r="293" spans="1:1" ht="16.8">
      <c r="A293" s="2"/>
    </row>
    <row r="294" spans="1:1" ht="16.8">
      <c r="A294" s="2"/>
    </row>
    <row r="295" spans="1:1" ht="16.8">
      <c r="A295" s="2"/>
    </row>
    <row r="296" spans="1:1" ht="16.8">
      <c r="A296" s="2"/>
    </row>
    <row r="297" spans="1:1" ht="16.8">
      <c r="A297" s="2"/>
    </row>
    <row r="298" spans="1:1" ht="16.8">
      <c r="A298" s="2"/>
    </row>
    <row r="299" spans="1:1" ht="16.8">
      <c r="A299" s="2"/>
    </row>
    <row r="300" spans="1:1" ht="16.8">
      <c r="A300" s="2"/>
    </row>
    <row r="301" spans="1:1" ht="16.8">
      <c r="A301" s="2"/>
    </row>
    <row r="302" spans="1:1" ht="16.8">
      <c r="A302" s="2"/>
    </row>
    <row r="303" spans="1:1" ht="16.8">
      <c r="A303" s="2"/>
    </row>
    <row r="304" spans="1:1" ht="16.8">
      <c r="A304" s="2"/>
    </row>
    <row r="305" spans="1:1" ht="16.8">
      <c r="A305" s="2"/>
    </row>
    <row r="306" spans="1:1" ht="16.8">
      <c r="A306" s="2"/>
    </row>
    <row r="307" spans="1:1" ht="16.8">
      <c r="A307" s="2"/>
    </row>
    <row r="308" spans="1:1" ht="16.8">
      <c r="A308" s="2"/>
    </row>
    <row r="309" spans="1:1" ht="16.8">
      <c r="A309" s="2"/>
    </row>
    <row r="310" spans="1:1" ht="16.8">
      <c r="A310" s="2"/>
    </row>
    <row r="311" spans="1:1" ht="16.8">
      <c r="A311" s="2"/>
    </row>
    <row r="312" spans="1:1" ht="16.8">
      <c r="A312" s="2"/>
    </row>
    <row r="313" spans="1:1" ht="16.8">
      <c r="A313" s="2"/>
    </row>
    <row r="314" spans="1:1" ht="16.8">
      <c r="A314" s="2"/>
    </row>
    <row r="315" spans="1:1" ht="16.8">
      <c r="A315" s="2"/>
    </row>
    <row r="316" spans="1:1" ht="16.8">
      <c r="A316" s="2"/>
    </row>
    <row r="317" spans="1:1" ht="16.8">
      <c r="A317" s="2"/>
    </row>
    <row r="318" spans="1:1" ht="16.8">
      <c r="A318" s="2"/>
    </row>
    <row r="319" spans="1:1" ht="16.8">
      <c r="A319" s="2"/>
    </row>
    <row r="320" spans="1:1" ht="16.8">
      <c r="A320" s="2"/>
    </row>
    <row r="321" spans="1:1" ht="16.8">
      <c r="A321" s="2"/>
    </row>
    <row r="322" spans="1:1" ht="16.8">
      <c r="A322" s="2"/>
    </row>
    <row r="323" spans="1:1" ht="16.8">
      <c r="A323" s="2"/>
    </row>
    <row r="324" spans="1:1" ht="16.8">
      <c r="A324" s="2"/>
    </row>
    <row r="325" spans="1:1" ht="16.8">
      <c r="A325" s="2"/>
    </row>
    <row r="326" spans="1:1" ht="16.8">
      <c r="A326" s="2"/>
    </row>
    <row r="327" spans="1:1" ht="16.8">
      <c r="A327" s="2"/>
    </row>
    <row r="328" spans="1:1" ht="16.8">
      <c r="A328" s="2"/>
    </row>
    <row r="329" spans="1:1" ht="16.8">
      <c r="A329" s="2"/>
    </row>
    <row r="330" spans="1:1" ht="16.8">
      <c r="A330" s="2"/>
    </row>
    <row r="331" spans="1:1" ht="16.8">
      <c r="A331" s="2"/>
    </row>
    <row r="332" spans="1:1" ht="16.8">
      <c r="A332" s="2"/>
    </row>
    <row r="333" spans="1:1" ht="16.8">
      <c r="A333" s="2"/>
    </row>
    <row r="334" spans="1:1" ht="16.8">
      <c r="A334" s="2"/>
    </row>
    <row r="335" spans="1:1" ht="16.8">
      <c r="A335" s="2"/>
    </row>
    <row r="336" spans="1:1" ht="16.8">
      <c r="A336" s="2"/>
    </row>
    <row r="337" spans="1:1" ht="16.8">
      <c r="A337" s="2"/>
    </row>
    <row r="338" spans="1:1" ht="16.8">
      <c r="A338" s="2"/>
    </row>
    <row r="339" spans="1:1" ht="16.8">
      <c r="A339" s="2"/>
    </row>
    <row r="340" spans="1:1" ht="16.8">
      <c r="A340" s="2"/>
    </row>
    <row r="341" spans="1:1" ht="16.8">
      <c r="A341" s="2"/>
    </row>
    <row r="342" spans="1:1" ht="16.8">
      <c r="A342" s="2"/>
    </row>
    <row r="343" spans="1:1" ht="16.8">
      <c r="A343" s="2"/>
    </row>
    <row r="344" spans="1:1" ht="16.8">
      <c r="A344" s="2"/>
    </row>
    <row r="345" spans="1:1" ht="16.8">
      <c r="A345" s="2"/>
    </row>
    <row r="346" spans="1:1" ht="16.8">
      <c r="A346" s="2"/>
    </row>
    <row r="347" spans="1:1" ht="16.8">
      <c r="A347" s="2"/>
    </row>
    <row r="348" spans="1:1" ht="16.8">
      <c r="A348" s="2"/>
    </row>
    <row r="349" spans="1:1" ht="16.8">
      <c r="A349" s="2"/>
    </row>
    <row r="350" spans="1:1" ht="16.8">
      <c r="A350" s="2"/>
    </row>
    <row r="351" spans="1:1" ht="16.8">
      <c r="A351" s="2"/>
    </row>
    <row r="352" spans="1:1" ht="16.8">
      <c r="A352" s="2"/>
    </row>
    <row r="353" spans="1:1" ht="16.8">
      <c r="A353" s="2"/>
    </row>
    <row r="354" spans="1:1" ht="16.8">
      <c r="A354" s="2"/>
    </row>
    <row r="355" spans="1:1" ht="16.8">
      <c r="A355" s="2"/>
    </row>
    <row r="356" spans="1:1" ht="16.8">
      <c r="A356" s="2"/>
    </row>
    <row r="357" spans="1:1" ht="16.8">
      <c r="A357" s="2"/>
    </row>
    <row r="358" spans="1:1" ht="16.8">
      <c r="A358" s="2"/>
    </row>
    <row r="359" spans="1:1" ht="16.8">
      <c r="A359" s="2"/>
    </row>
    <row r="360" spans="1:1" ht="16.8">
      <c r="A360" s="2"/>
    </row>
    <row r="361" spans="1:1" ht="16.8">
      <c r="A361" s="2"/>
    </row>
    <row r="362" spans="1:1" ht="16.8">
      <c r="A362" s="2"/>
    </row>
    <row r="363" spans="1:1" ht="16.8">
      <c r="A363" s="2"/>
    </row>
    <row r="364" spans="1:1" ht="16.8">
      <c r="A364" s="2"/>
    </row>
    <row r="365" spans="1:1" ht="16.8">
      <c r="A365" s="2"/>
    </row>
    <row r="366" spans="1:1" ht="16.8">
      <c r="A366" s="2"/>
    </row>
    <row r="367" spans="1:1" ht="16.8">
      <c r="A367" s="2"/>
    </row>
    <row r="368" spans="1:1" ht="16.8">
      <c r="A368" s="2"/>
    </row>
    <row r="369" spans="1:1" ht="16.8">
      <c r="A369" s="2"/>
    </row>
    <row r="370" spans="1:1" ht="16.8">
      <c r="A370" s="2"/>
    </row>
    <row r="371" spans="1:1" ht="16.8">
      <c r="A371" s="2"/>
    </row>
    <row r="372" spans="1:1" ht="16.8">
      <c r="A372" s="2"/>
    </row>
    <row r="373" spans="1:1" ht="16.8">
      <c r="A373" s="2"/>
    </row>
    <row r="374" spans="1:1" ht="16.8">
      <c r="A374" s="2"/>
    </row>
    <row r="375" spans="1:1" ht="16.8">
      <c r="A375" s="2"/>
    </row>
    <row r="376" spans="1:1" ht="16.8">
      <c r="A376" s="2"/>
    </row>
    <row r="377" spans="1:1" ht="16.8">
      <c r="A377" s="2"/>
    </row>
    <row r="378" spans="1:1" ht="16.8">
      <c r="A378" s="2"/>
    </row>
    <row r="379" spans="1:1" ht="16.8">
      <c r="A379" s="2"/>
    </row>
    <row r="380" spans="1:1" ht="16.8">
      <c r="A380" s="2"/>
    </row>
    <row r="381" spans="1:1" ht="16.8">
      <c r="A381" s="2"/>
    </row>
    <row r="382" spans="1:1" ht="16.8">
      <c r="A382" s="2"/>
    </row>
    <row r="383" spans="1:1" ht="16.8">
      <c r="A383" s="2"/>
    </row>
    <row r="384" spans="1:1" ht="16.8">
      <c r="A384" s="2"/>
    </row>
    <row r="385" spans="1:1" ht="16.8">
      <c r="A385" s="2"/>
    </row>
    <row r="386" spans="1:1" ht="16.8">
      <c r="A386" s="2"/>
    </row>
    <row r="387" spans="1:1" ht="16.8">
      <c r="A387" s="2"/>
    </row>
    <row r="388" spans="1:1" ht="16.8">
      <c r="A388" s="2"/>
    </row>
    <row r="389" spans="1:1" ht="16.8">
      <c r="A389" s="2"/>
    </row>
    <row r="390" spans="1:1" ht="16.8">
      <c r="A390" s="2"/>
    </row>
    <row r="391" spans="1:1" ht="16.8">
      <c r="A391" s="2"/>
    </row>
    <row r="392" spans="1:1" ht="16.8">
      <c r="A392" s="2"/>
    </row>
    <row r="393" spans="1:1" ht="16.8">
      <c r="A393" s="2"/>
    </row>
    <row r="394" spans="1:1" ht="16.8">
      <c r="A394" s="2"/>
    </row>
    <row r="395" spans="1:1" ht="16.8">
      <c r="A395" s="2"/>
    </row>
    <row r="396" spans="1:1" ht="16.8">
      <c r="A396" s="2"/>
    </row>
    <row r="397" spans="1:1" ht="16.8">
      <c r="A397" s="2"/>
    </row>
    <row r="398" spans="1:1" ht="16.8">
      <c r="A398" s="2"/>
    </row>
    <row r="399" spans="1:1" ht="16.8">
      <c r="A399" s="2"/>
    </row>
    <row r="400" spans="1:1" ht="16.8">
      <c r="A400" s="2"/>
    </row>
    <row r="401" spans="1:1" ht="16.8">
      <c r="A401" s="2"/>
    </row>
    <row r="402" spans="1:1" ht="16.8">
      <c r="A402" s="2"/>
    </row>
    <row r="403" spans="1:1" ht="16.8">
      <c r="A403" s="2"/>
    </row>
    <row r="404" spans="1:1" ht="16.8">
      <c r="A404" s="2"/>
    </row>
    <row r="405" spans="1:1" ht="16.8">
      <c r="A405" s="2"/>
    </row>
    <row r="406" spans="1:1" ht="16.8">
      <c r="A406" s="2"/>
    </row>
    <row r="407" spans="1:1" ht="16.8">
      <c r="A407" s="2"/>
    </row>
    <row r="408" spans="1:1" ht="16.8">
      <c r="A408" s="2"/>
    </row>
    <row r="409" spans="1:1" ht="16.8">
      <c r="A409" s="2"/>
    </row>
    <row r="410" spans="1:1" ht="16.8">
      <c r="A410" s="2"/>
    </row>
    <row r="411" spans="1:1" ht="16.8">
      <c r="A411" s="2"/>
    </row>
    <row r="412" spans="1:1" ht="16.8">
      <c r="A412" s="2"/>
    </row>
    <row r="413" spans="1:1" ht="16.8">
      <c r="A413" s="2"/>
    </row>
    <row r="414" spans="1:1" ht="16.8">
      <c r="A414" s="2"/>
    </row>
    <row r="415" spans="1:1" ht="16.8">
      <c r="A415" s="2"/>
    </row>
    <row r="416" spans="1:1" ht="16.8">
      <c r="A416" s="2"/>
    </row>
    <row r="417" spans="1:1" ht="16.8">
      <c r="A417" s="2"/>
    </row>
    <row r="418" spans="1:1" ht="16.8">
      <c r="A418" s="2"/>
    </row>
    <row r="419" spans="1:1" ht="16.8">
      <c r="A419" s="2"/>
    </row>
    <row r="420" spans="1:1" ht="16.8">
      <c r="A420" s="2"/>
    </row>
    <row r="421" spans="1:1" ht="16.8">
      <c r="A421" s="2"/>
    </row>
    <row r="422" spans="1:1" ht="16.8">
      <c r="A422" s="2"/>
    </row>
    <row r="423" spans="1:1" ht="16.8">
      <c r="A423" s="2"/>
    </row>
    <row r="424" spans="1:1" ht="16.8">
      <c r="A424" s="2"/>
    </row>
    <row r="425" spans="1:1" ht="16.8">
      <c r="A425" s="2"/>
    </row>
    <row r="426" spans="1:1" ht="16.8">
      <c r="A426" s="2"/>
    </row>
    <row r="427" spans="1:1" ht="16.8">
      <c r="A427" s="2"/>
    </row>
    <row r="428" spans="1:1" ht="16.8">
      <c r="A428" s="2"/>
    </row>
    <row r="429" spans="1:1" ht="16.8">
      <c r="A429" s="2"/>
    </row>
    <row r="430" spans="1:1" ht="16.8">
      <c r="A430" s="2"/>
    </row>
    <row r="431" spans="1:1" ht="16.8">
      <c r="A431" s="2"/>
    </row>
    <row r="432" spans="1:1" ht="16.8">
      <c r="A432" s="2"/>
    </row>
    <row r="433" spans="1:1" ht="16.8">
      <c r="A433" s="2"/>
    </row>
    <row r="434" spans="1:1" ht="16.8">
      <c r="A434" s="2"/>
    </row>
    <row r="435" spans="1:1" ht="16.8">
      <c r="A435" s="2"/>
    </row>
    <row r="436" spans="1:1" ht="16.8">
      <c r="A436" s="2"/>
    </row>
    <row r="437" spans="1:1" ht="16.8">
      <c r="A437" s="2"/>
    </row>
    <row r="438" spans="1:1" ht="16.8">
      <c r="A438" s="2"/>
    </row>
    <row r="439" spans="1:1" ht="16.8">
      <c r="A439" s="2"/>
    </row>
    <row r="440" spans="1:1" ht="16.8">
      <c r="A440" s="2"/>
    </row>
    <row r="441" spans="1:1" ht="16.8">
      <c r="A441" s="2"/>
    </row>
    <row r="442" spans="1:1" ht="16.8">
      <c r="A442" s="2"/>
    </row>
    <row r="443" spans="1:1" ht="16.8">
      <c r="A443" s="2"/>
    </row>
    <row r="444" spans="1:1" ht="16.8">
      <c r="A444" s="2"/>
    </row>
    <row r="445" spans="1:1" ht="16.8">
      <c r="A445" s="2"/>
    </row>
    <row r="446" spans="1:1" ht="16.8">
      <c r="A446" s="2"/>
    </row>
    <row r="447" spans="1:1" ht="16.8">
      <c r="A447" s="2"/>
    </row>
    <row r="448" spans="1:1" ht="16.8">
      <c r="A448" s="2"/>
    </row>
    <row r="449" spans="1:1" ht="16.8">
      <c r="A449" s="2"/>
    </row>
    <row r="450" spans="1:1" ht="16.8">
      <c r="A450" s="2"/>
    </row>
    <row r="451" spans="1:1" ht="16.8">
      <c r="A451" s="2"/>
    </row>
    <row r="452" spans="1:1" ht="16.8">
      <c r="A452" s="2"/>
    </row>
    <row r="453" spans="1:1" ht="16.8">
      <c r="A453" s="2"/>
    </row>
    <row r="454" spans="1:1" ht="16.8">
      <c r="A454" s="2"/>
    </row>
    <row r="455" spans="1:1" ht="16.8">
      <c r="A455" s="2"/>
    </row>
    <row r="456" spans="1:1" ht="16.8">
      <c r="A456" s="2"/>
    </row>
    <row r="457" spans="1:1" ht="16.8">
      <c r="A457" s="2"/>
    </row>
    <row r="458" spans="1:1" ht="16.8">
      <c r="A458" s="2"/>
    </row>
    <row r="459" spans="1:1" ht="16.8">
      <c r="A459" s="2"/>
    </row>
    <row r="460" spans="1:1" ht="16.8">
      <c r="A460" s="2"/>
    </row>
    <row r="461" spans="1:1" ht="16.8">
      <c r="A461" s="2"/>
    </row>
    <row r="462" spans="1:1" ht="16.8">
      <c r="A462" s="2"/>
    </row>
    <row r="463" spans="1:1" ht="16.8">
      <c r="A463" s="2"/>
    </row>
    <row r="464" spans="1:1" ht="16.8">
      <c r="A464" s="2"/>
    </row>
    <row r="465" spans="1:1" ht="16.8">
      <c r="A465" s="2"/>
    </row>
    <row r="466" spans="1:1" ht="16.8">
      <c r="A466" s="2"/>
    </row>
    <row r="467" spans="1:1" ht="16.8">
      <c r="A467" s="2"/>
    </row>
    <row r="468" spans="1:1" ht="16.8">
      <c r="A468" s="2"/>
    </row>
    <row r="469" spans="1:1" ht="16.8">
      <c r="A469" s="2"/>
    </row>
    <row r="470" spans="1:1" ht="16.8">
      <c r="A470" s="2"/>
    </row>
    <row r="471" spans="1:1" ht="16.8">
      <c r="A471" s="2"/>
    </row>
    <row r="472" spans="1:1" ht="16.8">
      <c r="A472" s="2"/>
    </row>
    <row r="473" spans="1:1" ht="16.8">
      <c r="A473" s="2"/>
    </row>
    <row r="474" spans="1:1" ht="16.8">
      <c r="A474" s="2"/>
    </row>
    <row r="475" spans="1:1" ht="16.8">
      <c r="A475" s="2"/>
    </row>
    <row r="476" spans="1:1" ht="16.8">
      <c r="A476" s="2"/>
    </row>
    <row r="477" spans="1:1" ht="16.8">
      <c r="A477" s="2"/>
    </row>
    <row r="478" spans="1:1" ht="16.8">
      <c r="A478" s="2"/>
    </row>
    <row r="479" spans="1:1" ht="16.8">
      <c r="A479" s="2"/>
    </row>
    <row r="480" spans="1:1" ht="16.8">
      <c r="A480" s="2"/>
    </row>
    <row r="481" spans="1:1" ht="16.8">
      <c r="A481" s="2"/>
    </row>
    <row r="482" spans="1:1" ht="16.8">
      <c r="A482" s="2"/>
    </row>
    <row r="483" spans="1:1" ht="16.8">
      <c r="A483" s="2"/>
    </row>
    <row r="484" spans="1:1" ht="16.8">
      <c r="A484" s="2"/>
    </row>
    <row r="485" spans="1:1" ht="16.8">
      <c r="A485" s="2"/>
    </row>
    <row r="486" spans="1:1" ht="16.8">
      <c r="A486" s="2"/>
    </row>
    <row r="487" spans="1:1" ht="16.8">
      <c r="A487" s="2"/>
    </row>
    <row r="488" spans="1:1" ht="16.8">
      <c r="A488" s="2"/>
    </row>
    <row r="489" spans="1:1" ht="16.8">
      <c r="A489" s="2"/>
    </row>
    <row r="490" spans="1:1" ht="16.8">
      <c r="A490" s="2"/>
    </row>
    <row r="491" spans="1:1" ht="16.8">
      <c r="A491" s="2"/>
    </row>
    <row r="492" spans="1:1" ht="16.8">
      <c r="A492" s="2"/>
    </row>
    <row r="493" spans="1:1" ht="16.8">
      <c r="A493" s="2"/>
    </row>
    <row r="494" spans="1:1" ht="16.8">
      <c r="A494" s="2"/>
    </row>
    <row r="495" spans="1:1" ht="16.8">
      <c r="A495" s="2"/>
    </row>
    <row r="496" spans="1:1" ht="16.8">
      <c r="A496" s="2"/>
    </row>
    <row r="497" spans="1:1" ht="16.8">
      <c r="A497" s="2"/>
    </row>
    <row r="498" spans="1:1" ht="16.8">
      <c r="A498" s="2"/>
    </row>
    <row r="499" spans="1:1" ht="16.8">
      <c r="A499" s="2"/>
    </row>
    <row r="500" spans="1:1" ht="16.8">
      <c r="A500" s="2"/>
    </row>
    <row r="501" spans="1:1" ht="16.8">
      <c r="A501" s="2"/>
    </row>
    <row r="502" spans="1:1" ht="16.8">
      <c r="A502" s="2"/>
    </row>
    <row r="503" spans="1:1" ht="16.8">
      <c r="A503" s="2"/>
    </row>
    <row r="504" spans="1:1" ht="16.8">
      <c r="A504" s="2"/>
    </row>
    <row r="505" spans="1:1" ht="16.8">
      <c r="A505" s="2"/>
    </row>
    <row r="506" spans="1:1" ht="16.8">
      <c r="A506" s="2"/>
    </row>
    <row r="507" spans="1:1" ht="16.8">
      <c r="A507" s="2"/>
    </row>
    <row r="508" spans="1:1" ht="16.8">
      <c r="A508" s="2"/>
    </row>
    <row r="509" spans="1:1" ht="16.8">
      <c r="A509" s="2"/>
    </row>
    <row r="510" spans="1:1" ht="16.8">
      <c r="A510" s="2"/>
    </row>
    <row r="511" spans="1:1" ht="16.8">
      <c r="A511" s="2"/>
    </row>
    <row r="512" spans="1:1" ht="16.8">
      <c r="A512" s="2"/>
    </row>
    <row r="513" spans="1:1" ht="16.8">
      <c r="A513" s="2"/>
    </row>
    <row r="514" spans="1:1" ht="16.8">
      <c r="A514" s="2"/>
    </row>
    <row r="515" spans="1:1" ht="16.8">
      <c r="A515" s="2"/>
    </row>
    <row r="516" spans="1:1" ht="16.8">
      <c r="A516" s="2"/>
    </row>
    <row r="517" spans="1:1" ht="16.8">
      <c r="A517" s="2"/>
    </row>
    <row r="518" spans="1:1" ht="16.8">
      <c r="A518" s="2"/>
    </row>
    <row r="519" spans="1:1" ht="16.8">
      <c r="A519" s="2"/>
    </row>
    <row r="520" spans="1:1" ht="16.8">
      <c r="A520" s="2"/>
    </row>
    <row r="521" spans="1:1" ht="16.8">
      <c r="A521" s="2"/>
    </row>
    <row r="522" spans="1:1" ht="16.8">
      <c r="A522" s="2"/>
    </row>
    <row r="523" spans="1:1" ht="16.8">
      <c r="A523" s="2"/>
    </row>
    <row r="524" spans="1:1" ht="16.8">
      <c r="A524" s="2"/>
    </row>
    <row r="525" spans="1:1" ht="16.8">
      <c r="A525" s="2"/>
    </row>
    <row r="526" spans="1:1" ht="16.8">
      <c r="A526" s="2"/>
    </row>
    <row r="527" spans="1:1" ht="16.8">
      <c r="A527" s="2"/>
    </row>
    <row r="528" spans="1:1" ht="16.8">
      <c r="A528" s="2"/>
    </row>
    <row r="529" spans="1:1" ht="16.8">
      <c r="A529" s="2"/>
    </row>
    <row r="530" spans="1:1" ht="16.8">
      <c r="A530" s="2"/>
    </row>
    <row r="531" spans="1:1" ht="16.8">
      <c r="A531" s="2"/>
    </row>
    <row r="532" spans="1:1" ht="16.8">
      <c r="A532" s="2"/>
    </row>
    <row r="533" spans="1:1" ht="16.8">
      <c r="A533" s="2"/>
    </row>
    <row r="534" spans="1:1" ht="16.8">
      <c r="A534" s="2"/>
    </row>
    <row r="535" spans="1:1" ht="16.8">
      <c r="A535" s="2"/>
    </row>
    <row r="536" spans="1:1" ht="16.8">
      <c r="A536" s="2"/>
    </row>
    <row r="537" spans="1:1" ht="16.8">
      <c r="A537" s="2"/>
    </row>
    <row r="538" spans="1:1" ht="16.8">
      <c r="A538" s="2"/>
    </row>
    <row r="539" spans="1:1" ht="16.8">
      <c r="A539" s="2"/>
    </row>
    <row r="540" spans="1:1" ht="16.8">
      <c r="A540" s="2"/>
    </row>
    <row r="541" spans="1:1" ht="16.8">
      <c r="A541" s="2"/>
    </row>
    <row r="542" spans="1:1" ht="16.8">
      <c r="A542" s="2"/>
    </row>
    <row r="543" spans="1:1" ht="16.8">
      <c r="A543" s="2"/>
    </row>
    <row r="544" spans="1:1" ht="16.8">
      <c r="A544" s="2"/>
    </row>
    <row r="545" spans="1:1" ht="16.8">
      <c r="A545" s="2"/>
    </row>
    <row r="546" spans="1:1" ht="16.8">
      <c r="A546" s="2"/>
    </row>
    <row r="547" spans="1:1" ht="16.8">
      <c r="A547" s="2"/>
    </row>
    <row r="548" spans="1:1" ht="16.8">
      <c r="A548" s="2"/>
    </row>
    <row r="549" spans="1:1" ht="16.8">
      <c r="A549" s="2"/>
    </row>
    <row r="550" spans="1:1" ht="16.8">
      <c r="A550" s="2"/>
    </row>
    <row r="551" spans="1:1" ht="16.8">
      <c r="A551" s="2"/>
    </row>
    <row r="552" spans="1:1" ht="16.8">
      <c r="A552" s="2"/>
    </row>
    <row r="553" spans="1:1" ht="16.8">
      <c r="A553" s="2"/>
    </row>
    <row r="554" spans="1:1" ht="16.8">
      <c r="A554" s="2"/>
    </row>
    <row r="555" spans="1:1" ht="16.8">
      <c r="A555" s="2"/>
    </row>
    <row r="556" spans="1:1" ht="16.8">
      <c r="A556" s="2"/>
    </row>
    <row r="557" spans="1:1" ht="16.8">
      <c r="A557" s="2"/>
    </row>
    <row r="558" spans="1:1" ht="16.8">
      <c r="A558" s="2"/>
    </row>
    <row r="559" spans="1:1" ht="16.8">
      <c r="A559" s="2"/>
    </row>
    <row r="560" spans="1:1" ht="16.8">
      <c r="A560" s="2"/>
    </row>
    <row r="561" spans="1:1" ht="16.8">
      <c r="A561" s="2"/>
    </row>
    <row r="562" spans="1:1" ht="16.8">
      <c r="A562" s="2"/>
    </row>
    <row r="563" spans="1:1" ht="16.8">
      <c r="A563" s="2"/>
    </row>
    <row r="564" spans="1:1" ht="16.8">
      <c r="A564" s="2"/>
    </row>
    <row r="565" spans="1:1" ht="16.8">
      <c r="A565" s="2"/>
    </row>
    <row r="566" spans="1:1" ht="16.8">
      <c r="A566" s="2"/>
    </row>
    <row r="567" spans="1:1" ht="16.8">
      <c r="A567" s="2"/>
    </row>
    <row r="568" spans="1:1" ht="16.8">
      <c r="A568" s="2"/>
    </row>
    <row r="569" spans="1:1" ht="16.8">
      <c r="A569" s="2"/>
    </row>
    <row r="570" spans="1:1" ht="16.8">
      <c r="A570" s="2"/>
    </row>
    <row r="571" spans="1:1" ht="16.8">
      <c r="A571" s="2"/>
    </row>
    <row r="572" spans="1:1" ht="16.8">
      <c r="A572" s="2"/>
    </row>
    <row r="573" spans="1:1" ht="16.8">
      <c r="A573" s="2"/>
    </row>
    <row r="574" spans="1:1" ht="16.8">
      <c r="A574" s="2"/>
    </row>
    <row r="575" spans="1:1" ht="16.8">
      <c r="A575" s="2"/>
    </row>
    <row r="576" spans="1:1" ht="16.8">
      <c r="A576" s="2"/>
    </row>
    <row r="577" spans="1:1" ht="16.8">
      <c r="A577" s="2"/>
    </row>
    <row r="578" spans="1:1" ht="16.8">
      <c r="A578" s="2"/>
    </row>
    <row r="579" spans="1:1" ht="16.8">
      <c r="A579" s="2"/>
    </row>
    <row r="580" spans="1:1" ht="16.8">
      <c r="A580" s="2"/>
    </row>
    <row r="581" spans="1:1" ht="16.8">
      <c r="A581" s="2"/>
    </row>
    <row r="582" spans="1:1" ht="16.8">
      <c r="A582" s="2"/>
    </row>
    <row r="583" spans="1:1" ht="16.8">
      <c r="A583" s="2"/>
    </row>
    <row r="584" spans="1:1" ht="16.8">
      <c r="A584" s="2"/>
    </row>
    <row r="585" spans="1:1" ht="16.8">
      <c r="A585" s="2"/>
    </row>
    <row r="586" spans="1:1" ht="16.8">
      <c r="A586" s="2"/>
    </row>
    <row r="587" spans="1:1" ht="16.8">
      <c r="A587" s="2"/>
    </row>
    <row r="588" spans="1:1" ht="16.8">
      <c r="A588" s="2"/>
    </row>
    <row r="589" spans="1:1" ht="16.8">
      <c r="A589" s="2"/>
    </row>
    <row r="590" spans="1:1" ht="16.8">
      <c r="A590" s="2"/>
    </row>
    <row r="591" spans="1:1" ht="16.8">
      <c r="A591" s="2"/>
    </row>
    <row r="592" spans="1:1" ht="16.8">
      <c r="A592" s="2"/>
    </row>
    <row r="593" spans="1:1" ht="16.8">
      <c r="A593" s="2"/>
    </row>
    <row r="594" spans="1:1" ht="16.8">
      <c r="A594" s="2"/>
    </row>
    <row r="595" spans="1:1" ht="16.8">
      <c r="A595" s="2"/>
    </row>
    <row r="596" spans="1:1" ht="16.8">
      <c r="A596" s="2"/>
    </row>
    <row r="597" spans="1:1" ht="16.8">
      <c r="A597" s="2"/>
    </row>
    <row r="598" spans="1:1" ht="16.8">
      <c r="A598" s="2"/>
    </row>
    <row r="599" spans="1:1" ht="16.8">
      <c r="A599" s="2"/>
    </row>
    <row r="600" spans="1:1" ht="16.8">
      <c r="A600" s="2"/>
    </row>
    <row r="601" spans="1:1" ht="16.8">
      <c r="A601" s="2"/>
    </row>
    <row r="602" spans="1:1" ht="16.8">
      <c r="A602" s="2"/>
    </row>
    <row r="603" spans="1:1" ht="16.8">
      <c r="A603" s="2"/>
    </row>
    <row r="604" spans="1:1" ht="16.8">
      <c r="A604" s="2"/>
    </row>
    <row r="605" spans="1:1" ht="16.8">
      <c r="A605" s="2"/>
    </row>
    <row r="606" spans="1:1" ht="16.8">
      <c r="A606" s="2"/>
    </row>
    <row r="607" spans="1:1" ht="16.8">
      <c r="A607" s="2"/>
    </row>
    <row r="608" spans="1:1" ht="16.8">
      <c r="A608" s="2"/>
    </row>
    <row r="609" spans="1:1" ht="16.8">
      <c r="A609" s="2"/>
    </row>
    <row r="610" spans="1:1" ht="16.8">
      <c r="A610" s="2"/>
    </row>
    <row r="611" spans="1:1" ht="16.8">
      <c r="A611" s="2"/>
    </row>
    <row r="612" spans="1:1" ht="16.8">
      <c r="A612" s="2"/>
    </row>
    <row r="613" spans="1:1" ht="16.8">
      <c r="A613" s="2"/>
    </row>
    <row r="614" spans="1:1" ht="16.8">
      <c r="A614" s="2"/>
    </row>
    <row r="615" spans="1:1" ht="16.8">
      <c r="A615" s="2"/>
    </row>
    <row r="616" spans="1:1" ht="16.8">
      <c r="A616" s="2"/>
    </row>
    <row r="617" spans="1:1" ht="16.8">
      <c r="A617" s="2"/>
    </row>
    <row r="618" spans="1:1" ht="16.8">
      <c r="A618" s="2"/>
    </row>
    <row r="619" spans="1:1" ht="16.8">
      <c r="A619" s="2"/>
    </row>
    <row r="620" spans="1:1" ht="16.8">
      <c r="A620" s="2"/>
    </row>
    <row r="621" spans="1:1" ht="16.8">
      <c r="A621" s="2"/>
    </row>
    <row r="622" spans="1:1" ht="16.8">
      <c r="A622" s="2"/>
    </row>
    <row r="623" spans="1:1" ht="16.8">
      <c r="A623" s="2"/>
    </row>
    <row r="624" spans="1:1" ht="16.8">
      <c r="A624" s="2"/>
    </row>
    <row r="625" spans="1:1" ht="16.8">
      <c r="A625" s="2"/>
    </row>
    <row r="626" spans="1:1" ht="16.8">
      <c r="A626" s="2"/>
    </row>
    <row r="627" spans="1:1" ht="16.8">
      <c r="A627" s="2"/>
    </row>
    <row r="628" spans="1:1" ht="16.8">
      <c r="A628" s="2"/>
    </row>
    <row r="629" spans="1:1" ht="16.8">
      <c r="A629" s="2"/>
    </row>
    <row r="630" spans="1:1" ht="16.8">
      <c r="A630" s="2"/>
    </row>
    <row r="631" spans="1:1" ht="16.8">
      <c r="A631" s="2"/>
    </row>
    <row r="632" spans="1:1" ht="16.8">
      <c r="A632" s="2"/>
    </row>
    <row r="633" spans="1:1" ht="16.8">
      <c r="A633" s="2"/>
    </row>
    <row r="634" spans="1:1" ht="16.8">
      <c r="A634" s="2"/>
    </row>
    <row r="635" spans="1:1" ht="16.8">
      <c r="A635" s="2"/>
    </row>
    <row r="636" spans="1:1" ht="16.8">
      <c r="A636" s="2"/>
    </row>
    <row r="637" spans="1:1" ht="16.8">
      <c r="A637" s="2"/>
    </row>
    <row r="638" spans="1:1" ht="16.8">
      <c r="A638" s="2"/>
    </row>
    <row r="639" spans="1:1" ht="16.8">
      <c r="A639" s="2"/>
    </row>
    <row r="640" spans="1:1" ht="16.8">
      <c r="A640" s="2"/>
    </row>
    <row r="641" spans="1:1" ht="16.8">
      <c r="A641" s="2"/>
    </row>
    <row r="642" spans="1:1" ht="16.8">
      <c r="A642" s="2"/>
    </row>
    <row r="643" spans="1:1" ht="16.8">
      <c r="A643" s="2"/>
    </row>
    <row r="644" spans="1:1" ht="16.8">
      <c r="A644" s="2"/>
    </row>
    <row r="645" spans="1:1" ht="16.8">
      <c r="A645" s="2"/>
    </row>
    <row r="646" spans="1:1" ht="16.8">
      <c r="A646" s="2"/>
    </row>
    <row r="647" spans="1:1" ht="16.8">
      <c r="A647" s="2"/>
    </row>
    <row r="648" spans="1:1" ht="16.8">
      <c r="A648" s="2"/>
    </row>
    <row r="649" spans="1:1" ht="16.8">
      <c r="A649" s="2"/>
    </row>
    <row r="650" spans="1:1" ht="16.8">
      <c r="A650" s="2"/>
    </row>
    <row r="651" spans="1:1" ht="16.8">
      <c r="A651" s="2"/>
    </row>
    <row r="652" spans="1:1" ht="16.8">
      <c r="A652" s="2"/>
    </row>
    <row r="653" spans="1:1" ht="16.8">
      <c r="A653" s="2"/>
    </row>
    <row r="654" spans="1:1" ht="16.8">
      <c r="A654" s="2"/>
    </row>
    <row r="655" spans="1:1" ht="16.8">
      <c r="A655" s="2"/>
    </row>
    <row r="656" spans="1:1" ht="16.8">
      <c r="A656" s="2"/>
    </row>
    <row r="657" spans="1:1" ht="16.8">
      <c r="A657" s="2"/>
    </row>
    <row r="658" spans="1:1" ht="16.8">
      <c r="A658" s="2"/>
    </row>
    <row r="659" spans="1:1" ht="16.8">
      <c r="A659" s="2"/>
    </row>
    <row r="660" spans="1:1" ht="16.8">
      <c r="A660" s="2"/>
    </row>
    <row r="661" spans="1:1" ht="16.8">
      <c r="A661" s="2"/>
    </row>
    <row r="662" spans="1:1" ht="16.8">
      <c r="A662" s="2"/>
    </row>
    <row r="663" spans="1:1" ht="16.8">
      <c r="A663" s="2"/>
    </row>
    <row r="664" spans="1:1" ht="16.8">
      <c r="A664" s="2"/>
    </row>
    <row r="665" spans="1:1" ht="16.8">
      <c r="A665" s="2"/>
    </row>
    <row r="666" spans="1:1" ht="16.8">
      <c r="A666" s="2"/>
    </row>
    <row r="667" spans="1:1" ht="16.8">
      <c r="A667" s="2"/>
    </row>
    <row r="668" spans="1:1" ht="16.8">
      <c r="A668" s="2"/>
    </row>
    <row r="669" spans="1:1" ht="16.8">
      <c r="A669" s="2"/>
    </row>
    <row r="670" spans="1:1" ht="16.8">
      <c r="A670" s="2"/>
    </row>
    <row r="671" spans="1:1" ht="16.8">
      <c r="A671" s="2"/>
    </row>
    <row r="672" spans="1:1" ht="16.8">
      <c r="A672" s="2"/>
    </row>
    <row r="673" spans="1:1" ht="16.8">
      <c r="A673" s="2"/>
    </row>
    <row r="674" spans="1:1" ht="16.8">
      <c r="A674" s="2"/>
    </row>
    <row r="675" spans="1:1" ht="16.8">
      <c r="A675" s="2"/>
    </row>
    <row r="676" spans="1:1" ht="16.8">
      <c r="A676" s="2"/>
    </row>
    <row r="677" spans="1:1" ht="16.8">
      <c r="A677" s="2"/>
    </row>
    <row r="678" spans="1:1" ht="16.8">
      <c r="A678" s="2"/>
    </row>
    <row r="679" spans="1:1" ht="16.8">
      <c r="A679" s="2"/>
    </row>
    <row r="680" spans="1:1" ht="16.8">
      <c r="A680" s="2"/>
    </row>
    <row r="681" spans="1:1" ht="16.8">
      <c r="A681" s="2"/>
    </row>
    <row r="682" spans="1:1" ht="16.8">
      <c r="A682" s="2"/>
    </row>
    <row r="683" spans="1:1" ht="16.8">
      <c r="A683" s="2"/>
    </row>
    <row r="684" spans="1:1" ht="16.8">
      <c r="A684" s="2"/>
    </row>
    <row r="685" spans="1:1" ht="16.8">
      <c r="A685" s="2"/>
    </row>
    <row r="686" spans="1:1" ht="16.8">
      <c r="A686" s="2"/>
    </row>
    <row r="687" spans="1:1" ht="16.8">
      <c r="A687" s="2"/>
    </row>
    <row r="688" spans="1:1" ht="16.8">
      <c r="A688" s="2"/>
    </row>
    <row r="689" spans="1:1" ht="16.8">
      <c r="A689" s="2"/>
    </row>
    <row r="690" spans="1:1" ht="16.8">
      <c r="A690" s="2"/>
    </row>
    <row r="691" spans="1:1" ht="16.8">
      <c r="A691" s="2"/>
    </row>
    <row r="692" spans="1:1" ht="16.8">
      <c r="A692" s="2"/>
    </row>
    <row r="693" spans="1:1" ht="16.8">
      <c r="A693" s="2"/>
    </row>
    <row r="694" spans="1:1" ht="16.8">
      <c r="A694" s="2"/>
    </row>
    <row r="695" spans="1:1" ht="16.8">
      <c r="A695" s="2"/>
    </row>
    <row r="696" spans="1:1" ht="16.8">
      <c r="A696" s="2"/>
    </row>
    <row r="697" spans="1:1" ht="16.8">
      <c r="A697" s="2"/>
    </row>
    <row r="698" spans="1:1" ht="16.8">
      <c r="A698" s="2"/>
    </row>
    <row r="699" spans="1:1" ht="16.8">
      <c r="A699" s="2"/>
    </row>
    <row r="700" spans="1:1" ht="16.8">
      <c r="A700" s="2"/>
    </row>
    <row r="701" spans="1:1" ht="16.8">
      <c r="A701" s="2"/>
    </row>
    <row r="702" spans="1:1" ht="16.8">
      <c r="A702" s="2"/>
    </row>
    <row r="703" spans="1:1" ht="16.8">
      <c r="A703" s="2"/>
    </row>
    <row r="704" spans="1:1" ht="16.8">
      <c r="A704" s="2"/>
    </row>
    <row r="705" spans="1:1" ht="16.8">
      <c r="A705" s="2"/>
    </row>
    <row r="706" spans="1:1" ht="16.8">
      <c r="A706" s="2"/>
    </row>
    <row r="707" spans="1:1" ht="16.8">
      <c r="A707" s="2"/>
    </row>
    <row r="708" spans="1:1" ht="16.8">
      <c r="A708" s="2"/>
    </row>
    <row r="709" spans="1:1" ht="16.8">
      <c r="A709" s="2"/>
    </row>
    <row r="710" spans="1:1" ht="16.8">
      <c r="A710" s="2"/>
    </row>
    <row r="711" spans="1:1" ht="16.8">
      <c r="A711" s="2"/>
    </row>
    <row r="712" spans="1:1" ht="16.8">
      <c r="A712" s="2"/>
    </row>
    <row r="713" spans="1:1" ht="16.8">
      <c r="A713" s="2"/>
    </row>
    <row r="714" spans="1:1" ht="16.8">
      <c r="A714" s="2"/>
    </row>
    <row r="715" spans="1:1" ht="16.8">
      <c r="A715" s="2"/>
    </row>
    <row r="716" spans="1:1" ht="16.8">
      <c r="A716" s="2"/>
    </row>
    <row r="717" spans="1:1" ht="16.8">
      <c r="A717" s="2"/>
    </row>
    <row r="718" spans="1:1" ht="16.8">
      <c r="A718" s="2"/>
    </row>
    <row r="719" spans="1:1" ht="16.8">
      <c r="A719" s="2"/>
    </row>
    <row r="720" spans="1:1" ht="16.8">
      <c r="A720" s="2"/>
    </row>
    <row r="721" spans="1:1" ht="16.8">
      <c r="A721" s="2"/>
    </row>
    <row r="722" spans="1:1" ht="16.8">
      <c r="A722" s="2"/>
    </row>
    <row r="723" spans="1:1" ht="16.8">
      <c r="A723" s="2"/>
    </row>
    <row r="724" spans="1:1" ht="16.8">
      <c r="A724" s="2"/>
    </row>
    <row r="725" spans="1:1" ht="16.8">
      <c r="A725" s="2"/>
    </row>
    <row r="726" spans="1:1" ht="16.8">
      <c r="A726" s="2"/>
    </row>
    <row r="727" spans="1:1" ht="16.8">
      <c r="A727" s="2"/>
    </row>
    <row r="728" spans="1:1" ht="16.8">
      <c r="A728" s="2"/>
    </row>
    <row r="729" spans="1:1" ht="16.8">
      <c r="A729" s="2"/>
    </row>
    <row r="730" spans="1:1" ht="16.8">
      <c r="A730" s="2"/>
    </row>
    <row r="731" spans="1:1" ht="16.8">
      <c r="A731" s="2"/>
    </row>
    <row r="732" spans="1:1" ht="16.8">
      <c r="A732" s="2"/>
    </row>
    <row r="733" spans="1:1" ht="16.8">
      <c r="A733" s="2"/>
    </row>
    <row r="734" spans="1:1" ht="16.8">
      <c r="A734" s="2"/>
    </row>
    <row r="735" spans="1:1" ht="16.8">
      <c r="A735" s="2"/>
    </row>
    <row r="736" spans="1:1" ht="16.8">
      <c r="A736" s="2"/>
    </row>
    <row r="737" spans="1:1" ht="16.8">
      <c r="A737" s="2"/>
    </row>
    <row r="738" spans="1:1" ht="16.8">
      <c r="A738" s="2"/>
    </row>
    <row r="739" spans="1:1" ht="16.8">
      <c r="A739" s="2"/>
    </row>
    <row r="740" spans="1:1" ht="16.8">
      <c r="A740" s="2"/>
    </row>
    <row r="741" spans="1:1" ht="16.8">
      <c r="A741" s="2"/>
    </row>
    <row r="742" spans="1:1" ht="16.8">
      <c r="A742" s="2"/>
    </row>
    <row r="743" spans="1:1" ht="16.8">
      <c r="A743" s="2"/>
    </row>
    <row r="744" spans="1:1" ht="16.8">
      <c r="A744" s="2"/>
    </row>
    <row r="745" spans="1:1" ht="16.8">
      <c r="A745" s="2"/>
    </row>
    <row r="746" spans="1:1" ht="16.8">
      <c r="A746" s="2"/>
    </row>
    <row r="747" spans="1:1" ht="16.8">
      <c r="A747" s="2"/>
    </row>
    <row r="748" spans="1:1" ht="16.8">
      <c r="A748" s="2"/>
    </row>
    <row r="749" spans="1:1" ht="16.8">
      <c r="A749" s="2"/>
    </row>
    <row r="750" spans="1:1" ht="16.8">
      <c r="A750" s="2"/>
    </row>
    <row r="751" spans="1:1" ht="16.8">
      <c r="A751" s="2"/>
    </row>
    <row r="752" spans="1:1" ht="16.8">
      <c r="A752" s="2"/>
    </row>
    <row r="753" spans="1:1" ht="16.8">
      <c r="A753" s="2"/>
    </row>
    <row r="754" spans="1:1" ht="16.8">
      <c r="A754" s="2"/>
    </row>
    <row r="755" spans="1:1" ht="16.8">
      <c r="A755" s="2"/>
    </row>
    <row r="756" spans="1:1" ht="16.8">
      <c r="A756" s="2"/>
    </row>
    <row r="757" spans="1:1" ht="16.8">
      <c r="A757" s="2"/>
    </row>
    <row r="758" spans="1:1" ht="16.8">
      <c r="A758" s="2"/>
    </row>
    <row r="759" spans="1:1" ht="16.8">
      <c r="A759" s="2"/>
    </row>
    <row r="760" spans="1:1" ht="16.8">
      <c r="A760" s="2"/>
    </row>
    <row r="761" spans="1:1" ht="16.8">
      <c r="A761" s="2"/>
    </row>
    <row r="762" spans="1:1" ht="16.8">
      <c r="A762" s="2"/>
    </row>
    <row r="763" spans="1:1" ht="16.8">
      <c r="A763" s="2"/>
    </row>
    <row r="764" spans="1:1" ht="16.8">
      <c r="A764" s="2"/>
    </row>
    <row r="765" spans="1:1" ht="16.8">
      <c r="A765" s="2"/>
    </row>
    <row r="766" spans="1:1" ht="16.8">
      <c r="A766" s="2"/>
    </row>
    <row r="767" spans="1:1" ht="16.8">
      <c r="A767" s="2"/>
    </row>
    <row r="768" spans="1:1" ht="16.8">
      <c r="A768" s="2"/>
    </row>
    <row r="769" spans="1:1" ht="16.8">
      <c r="A769" s="2"/>
    </row>
    <row r="770" spans="1:1" ht="16.8">
      <c r="A770" s="2"/>
    </row>
    <row r="771" spans="1:1" ht="16.8">
      <c r="A771" s="2"/>
    </row>
    <row r="772" spans="1:1" ht="16.8">
      <c r="A772" s="2"/>
    </row>
    <row r="773" spans="1:1" ht="16.8">
      <c r="A773" s="2"/>
    </row>
    <row r="774" spans="1:1" ht="16.8">
      <c r="A774" s="2"/>
    </row>
    <row r="775" spans="1:1" ht="16.8">
      <c r="A775" s="2"/>
    </row>
    <row r="776" spans="1:1" ht="16.8">
      <c r="A776" s="2"/>
    </row>
    <row r="777" spans="1:1" ht="16.8">
      <c r="A777" s="2"/>
    </row>
    <row r="778" spans="1:1" ht="16.8">
      <c r="A778" s="2"/>
    </row>
    <row r="779" spans="1:1" ht="16.8">
      <c r="A779" s="2"/>
    </row>
    <row r="780" spans="1:1" ht="16.8">
      <c r="A780" s="2"/>
    </row>
    <row r="781" spans="1:1" ht="16.8">
      <c r="A781" s="2"/>
    </row>
    <row r="782" spans="1:1" ht="16.8">
      <c r="A782" s="2"/>
    </row>
    <row r="783" spans="1:1" ht="16.8">
      <c r="A783" s="2"/>
    </row>
    <row r="784" spans="1:1" ht="16.8">
      <c r="A784" s="2"/>
    </row>
    <row r="785" spans="1:1" ht="16.8">
      <c r="A785" s="2"/>
    </row>
    <row r="786" spans="1:1" ht="16.8">
      <c r="A786" s="2"/>
    </row>
    <row r="787" spans="1:1" ht="16.8">
      <c r="A787" s="2"/>
    </row>
    <row r="788" spans="1:1" ht="16.8">
      <c r="A788" s="2"/>
    </row>
    <row r="789" spans="1:1" ht="16.8">
      <c r="A789" s="2"/>
    </row>
    <row r="790" spans="1:1" ht="16.8">
      <c r="A790" s="2"/>
    </row>
    <row r="791" spans="1:1" ht="16.8">
      <c r="A791" s="2"/>
    </row>
    <row r="792" spans="1:1" ht="16.8">
      <c r="A792" s="2"/>
    </row>
    <row r="793" spans="1:1" ht="16.8">
      <c r="A793" s="2"/>
    </row>
    <row r="794" spans="1:1" ht="16.8">
      <c r="A794" s="2"/>
    </row>
    <row r="795" spans="1:1" ht="16.8">
      <c r="A795" s="2"/>
    </row>
    <row r="796" spans="1:1" ht="16.8">
      <c r="A796" s="2"/>
    </row>
    <row r="797" spans="1:1" ht="16.8">
      <c r="A797" s="2"/>
    </row>
    <row r="798" spans="1:1" ht="16.8">
      <c r="A798" s="2"/>
    </row>
    <row r="799" spans="1:1" ht="16.8">
      <c r="A799" s="2"/>
    </row>
    <row r="800" spans="1:1" ht="16.8">
      <c r="A800" s="2"/>
    </row>
    <row r="801" spans="1:1" ht="16.8">
      <c r="A801" s="2"/>
    </row>
    <row r="802" spans="1:1" ht="16.8">
      <c r="A802" s="2"/>
    </row>
    <row r="803" spans="1:1" ht="16.8">
      <c r="A803" s="2"/>
    </row>
    <row r="804" spans="1:1" ht="16.8">
      <c r="A804" s="2"/>
    </row>
    <row r="805" spans="1:1" ht="16.8">
      <c r="A805" s="2"/>
    </row>
    <row r="806" spans="1:1" ht="16.8">
      <c r="A806" s="2"/>
    </row>
    <row r="807" spans="1:1" ht="16.8">
      <c r="A807" s="2"/>
    </row>
    <row r="808" spans="1:1" ht="16.8">
      <c r="A808" s="2"/>
    </row>
    <row r="809" spans="1:1" ht="16.8">
      <c r="A809" s="2"/>
    </row>
    <row r="810" spans="1:1" ht="16.8">
      <c r="A810" s="2"/>
    </row>
    <row r="811" spans="1:1" ht="16.8">
      <c r="A811" s="2"/>
    </row>
    <row r="812" spans="1:1" ht="16.8">
      <c r="A812" s="2"/>
    </row>
    <row r="813" spans="1:1" ht="16.8">
      <c r="A813" s="2"/>
    </row>
    <row r="814" spans="1:1" ht="16.8">
      <c r="A814" s="2"/>
    </row>
    <row r="815" spans="1:1" ht="16.8">
      <c r="A815" s="2"/>
    </row>
    <row r="816" spans="1:1" ht="16.8">
      <c r="A816" s="2"/>
    </row>
    <row r="817" spans="1:1" ht="16.8">
      <c r="A817" s="2"/>
    </row>
    <row r="818" spans="1:1" ht="16.8">
      <c r="A818" s="2"/>
    </row>
    <row r="819" spans="1:1" ht="16.8">
      <c r="A819" s="2"/>
    </row>
    <row r="820" spans="1:1" ht="16.8">
      <c r="A820" s="2"/>
    </row>
    <row r="821" spans="1:1" ht="16.8">
      <c r="A821" s="2"/>
    </row>
    <row r="822" spans="1:1" ht="16.8">
      <c r="A822" s="2"/>
    </row>
    <row r="823" spans="1:1" ht="16.8">
      <c r="A823" s="2"/>
    </row>
    <row r="824" spans="1:1" ht="16.8">
      <c r="A824" s="2"/>
    </row>
    <row r="825" spans="1:1" ht="16.8">
      <c r="A825" s="2"/>
    </row>
    <row r="826" spans="1:1" ht="16.8">
      <c r="A826" s="2"/>
    </row>
    <row r="827" spans="1:1" ht="16.8">
      <c r="A827" s="2"/>
    </row>
    <row r="828" spans="1:1" ht="16.8">
      <c r="A828" s="2"/>
    </row>
    <row r="829" spans="1:1" ht="16.8">
      <c r="A829" s="2"/>
    </row>
    <row r="830" spans="1:1" ht="16.8">
      <c r="A830" s="2"/>
    </row>
    <row r="831" spans="1:1" ht="16.8">
      <c r="A831" s="2"/>
    </row>
    <row r="832" spans="1:1" ht="16.8">
      <c r="A832" s="2"/>
    </row>
    <row r="833" spans="1:1" ht="16.8">
      <c r="A833" s="2"/>
    </row>
    <row r="834" spans="1:1" ht="16.8">
      <c r="A834" s="2"/>
    </row>
    <row r="835" spans="1:1" ht="16.8">
      <c r="A835" s="2"/>
    </row>
    <row r="836" spans="1:1" ht="16.8">
      <c r="A836" s="2"/>
    </row>
    <row r="837" spans="1:1" ht="16.8">
      <c r="A837" s="2"/>
    </row>
    <row r="838" spans="1:1" ht="16.8">
      <c r="A838" s="2"/>
    </row>
    <row r="839" spans="1:1" ht="16.8">
      <c r="A839" s="2"/>
    </row>
    <row r="840" spans="1:1" ht="16.8">
      <c r="A840" s="2"/>
    </row>
    <row r="841" spans="1:1" ht="16.8">
      <c r="A841" s="2"/>
    </row>
    <row r="842" spans="1:1" ht="16.8">
      <c r="A842" s="2"/>
    </row>
    <row r="843" spans="1:1" ht="16.8">
      <c r="A843" s="2"/>
    </row>
    <row r="844" spans="1:1" ht="16.8">
      <c r="A844" s="2"/>
    </row>
    <row r="845" spans="1:1" ht="16.8">
      <c r="A845" s="2"/>
    </row>
    <row r="846" spans="1:1" ht="16.8">
      <c r="A846" s="2"/>
    </row>
    <row r="847" spans="1:1" ht="16.8">
      <c r="A847" s="2"/>
    </row>
    <row r="848" spans="1:1" ht="16.8">
      <c r="A848" s="2"/>
    </row>
    <row r="849" spans="1:1" ht="16.8">
      <c r="A849" s="2"/>
    </row>
    <row r="850" spans="1:1" ht="16.8">
      <c r="A850" s="2"/>
    </row>
    <row r="851" spans="1:1" ht="16.8">
      <c r="A851" s="2"/>
    </row>
    <row r="852" spans="1:1" ht="16.8">
      <c r="A852" s="2"/>
    </row>
    <row r="853" spans="1:1" ht="16.8">
      <c r="A853" s="2"/>
    </row>
    <row r="854" spans="1:1" ht="16.8">
      <c r="A854" s="2"/>
    </row>
    <row r="855" spans="1:1" ht="16.8">
      <c r="A855" s="2"/>
    </row>
    <row r="856" spans="1:1" ht="16.8">
      <c r="A856" s="2"/>
    </row>
    <row r="857" spans="1:1" ht="16.8">
      <c r="A857" s="2"/>
    </row>
    <row r="858" spans="1:1" ht="16.8">
      <c r="A858" s="2"/>
    </row>
    <row r="859" spans="1:1" ht="16.8">
      <c r="A859" s="2"/>
    </row>
    <row r="860" spans="1:1" ht="16.8">
      <c r="A860" s="2"/>
    </row>
    <row r="861" spans="1:1" ht="16.8">
      <c r="A861" s="2"/>
    </row>
    <row r="862" spans="1:1" ht="16.8">
      <c r="A862" s="2"/>
    </row>
    <row r="863" spans="1:1" ht="16.8">
      <c r="A863" s="2"/>
    </row>
    <row r="864" spans="1:1" ht="16.8">
      <c r="A864" s="2"/>
    </row>
    <row r="865" spans="1:1" ht="16.8">
      <c r="A865" s="2"/>
    </row>
    <row r="866" spans="1:1" ht="16.8">
      <c r="A866" s="2"/>
    </row>
    <row r="867" spans="1:1" ht="16.8">
      <c r="A867" s="2"/>
    </row>
    <row r="868" spans="1:1" ht="16.8">
      <c r="A868" s="2"/>
    </row>
    <row r="869" spans="1:1" ht="16.8">
      <c r="A869" s="2"/>
    </row>
    <row r="870" spans="1:1" ht="16.8">
      <c r="A870" s="2"/>
    </row>
    <row r="871" spans="1:1" ht="16.8">
      <c r="A871" s="2"/>
    </row>
    <row r="872" spans="1:1" ht="16.8">
      <c r="A872" s="2"/>
    </row>
    <row r="873" spans="1:1" ht="16.8">
      <c r="A873" s="2"/>
    </row>
    <row r="874" spans="1:1" ht="16.8">
      <c r="A874" s="2"/>
    </row>
    <row r="875" spans="1:1" ht="16.8">
      <c r="A875" s="2"/>
    </row>
    <row r="876" spans="1:1" ht="16.8">
      <c r="A876" s="2"/>
    </row>
    <row r="877" spans="1:1" ht="16.8">
      <c r="A877" s="2"/>
    </row>
    <row r="878" spans="1:1" ht="16.8">
      <c r="A878" s="2"/>
    </row>
    <row r="879" spans="1:1" ht="16.8">
      <c r="A879" s="2"/>
    </row>
    <row r="880" spans="1:1" ht="16.8">
      <c r="A880" s="2"/>
    </row>
    <row r="881" spans="1:1" ht="16.8">
      <c r="A881" s="2"/>
    </row>
    <row r="882" spans="1:1" ht="16.8">
      <c r="A882" s="2"/>
    </row>
    <row r="883" spans="1:1" ht="16.8">
      <c r="A883" s="2"/>
    </row>
    <row r="884" spans="1:1" ht="16.8">
      <c r="A884" s="2"/>
    </row>
    <row r="885" spans="1:1" ht="16.8">
      <c r="A885" s="2"/>
    </row>
    <row r="886" spans="1:1" ht="16.8">
      <c r="A886" s="2"/>
    </row>
    <row r="887" spans="1:1" ht="16.8">
      <c r="A887" s="2"/>
    </row>
    <row r="888" spans="1:1" ht="16.8">
      <c r="A888" s="2"/>
    </row>
    <row r="889" spans="1:1" ht="16.8">
      <c r="A889" s="2"/>
    </row>
    <row r="890" spans="1:1" ht="16.8">
      <c r="A890" s="2"/>
    </row>
    <row r="891" spans="1:1" ht="16.8">
      <c r="A891" s="2"/>
    </row>
    <row r="892" spans="1:1" ht="16.8">
      <c r="A892" s="2"/>
    </row>
    <row r="893" spans="1:1" ht="16.8">
      <c r="A893" s="2"/>
    </row>
    <row r="894" spans="1:1" ht="16.8">
      <c r="A894" s="2"/>
    </row>
    <row r="895" spans="1:1" ht="16.8">
      <c r="A895" s="2"/>
    </row>
    <row r="896" spans="1:1" ht="16.8">
      <c r="A896" s="2"/>
    </row>
    <row r="897" spans="1:1" ht="16.8">
      <c r="A897" s="2"/>
    </row>
    <row r="898" spans="1:1" ht="16.8">
      <c r="A898" s="2"/>
    </row>
    <row r="899" spans="1:1" ht="16.8">
      <c r="A899" s="2"/>
    </row>
    <row r="900" spans="1:1" ht="16.8">
      <c r="A900" s="2"/>
    </row>
    <row r="901" spans="1:1" ht="16.8">
      <c r="A901" s="2"/>
    </row>
    <row r="902" spans="1:1" ht="16.8">
      <c r="A902" s="2"/>
    </row>
    <row r="903" spans="1:1" ht="16.8">
      <c r="A903" s="2"/>
    </row>
    <row r="904" spans="1:1" ht="16.8">
      <c r="A904" s="2"/>
    </row>
    <row r="905" spans="1:1" ht="16.8">
      <c r="A905" s="2"/>
    </row>
    <row r="906" spans="1:1" ht="16.8">
      <c r="A906" s="2"/>
    </row>
    <row r="907" spans="1:1" ht="16.8">
      <c r="A907" s="2"/>
    </row>
    <row r="908" spans="1:1" ht="16.8">
      <c r="A908" s="2"/>
    </row>
    <row r="909" spans="1:1" ht="16.8">
      <c r="A909" s="2"/>
    </row>
    <row r="910" spans="1:1" ht="16.8">
      <c r="A910" s="2"/>
    </row>
    <row r="911" spans="1:1" ht="16.8">
      <c r="A911" s="2"/>
    </row>
    <row r="912" spans="1:1" ht="16.8">
      <c r="A912" s="2"/>
    </row>
    <row r="913" spans="1:1" ht="16.8">
      <c r="A913" s="2"/>
    </row>
    <row r="914" spans="1:1" ht="16.8">
      <c r="A914" s="2"/>
    </row>
    <row r="915" spans="1:1" ht="16.8">
      <c r="A915" s="2"/>
    </row>
    <row r="916" spans="1:1" ht="16.8">
      <c r="A916" s="2"/>
    </row>
    <row r="917" spans="1:1" ht="16.8">
      <c r="A917" s="2"/>
    </row>
    <row r="918" spans="1:1" ht="16.8">
      <c r="A918" s="2"/>
    </row>
    <row r="919" spans="1:1" ht="16.8">
      <c r="A919" s="2"/>
    </row>
    <row r="920" spans="1:1" ht="16.8">
      <c r="A920" s="2"/>
    </row>
    <row r="921" spans="1:1" ht="16.8">
      <c r="A921" s="2"/>
    </row>
    <row r="922" spans="1:1" ht="16.8">
      <c r="A922" s="2"/>
    </row>
    <row r="923" spans="1:1" ht="16.8">
      <c r="A923" s="2"/>
    </row>
    <row r="924" spans="1:1" ht="16.8">
      <c r="A924" s="2"/>
    </row>
    <row r="925" spans="1:1" ht="16.8">
      <c r="A925" s="2"/>
    </row>
    <row r="926" spans="1:1" ht="16.8">
      <c r="A926" s="2"/>
    </row>
    <row r="927" spans="1:1" ht="16.8">
      <c r="A927" s="2"/>
    </row>
    <row r="928" spans="1:1" ht="16.8">
      <c r="A928" s="2"/>
    </row>
    <row r="929" spans="1:1" ht="16.8">
      <c r="A929" s="2"/>
    </row>
    <row r="930" spans="1:1" ht="16.8">
      <c r="A930" s="2"/>
    </row>
    <row r="931" spans="1:1" ht="16.8">
      <c r="A931" s="2"/>
    </row>
    <row r="932" spans="1:1" ht="16.8">
      <c r="A932" s="2"/>
    </row>
    <row r="933" spans="1:1" ht="16.8">
      <c r="A933" s="2"/>
    </row>
    <row r="934" spans="1:1" ht="16.8">
      <c r="A934" s="2"/>
    </row>
    <row r="935" spans="1:1" ht="16.8">
      <c r="A935" s="2"/>
    </row>
    <row r="936" spans="1:1" ht="16.8">
      <c r="A936" s="2"/>
    </row>
    <row r="937" spans="1:1" ht="16.8">
      <c r="A937" s="2"/>
    </row>
    <row r="938" spans="1:1" ht="16.8">
      <c r="A938" s="2"/>
    </row>
    <row r="939" spans="1:1" ht="16.8">
      <c r="A939" s="2"/>
    </row>
    <row r="940" spans="1:1" ht="16.8">
      <c r="A940" s="2"/>
    </row>
    <row r="941" spans="1:1" ht="16.8">
      <c r="A941" s="2"/>
    </row>
    <row r="942" spans="1:1" ht="16.8">
      <c r="A942" s="2"/>
    </row>
    <row r="943" spans="1:1" ht="16.8">
      <c r="A943" s="2"/>
    </row>
    <row r="944" spans="1:1" ht="16.8">
      <c r="A944" s="2"/>
    </row>
    <row r="945" spans="1:1" ht="16.8">
      <c r="A945" s="2"/>
    </row>
    <row r="946" spans="1:1" ht="16.8">
      <c r="A946" s="2"/>
    </row>
    <row r="947" spans="1:1" ht="16.8">
      <c r="A947" s="2"/>
    </row>
    <row r="948" spans="1:1" ht="16.8">
      <c r="A948" s="2"/>
    </row>
    <row r="949" spans="1:1" ht="16.8">
      <c r="A949" s="2"/>
    </row>
    <row r="950" spans="1:1" ht="16.8">
      <c r="A950" s="2"/>
    </row>
    <row r="951" spans="1:1" ht="16.8">
      <c r="A951" s="2"/>
    </row>
    <row r="952" spans="1:1" ht="16.8">
      <c r="A952" s="2"/>
    </row>
    <row r="953" spans="1:1" ht="16.8">
      <c r="A953" s="2"/>
    </row>
    <row r="954" spans="1:1" ht="16.8">
      <c r="A954" s="2"/>
    </row>
    <row r="955" spans="1:1" ht="16.8">
      <c r="A955" s="2"/>
    </row>
    <row r="956" spans="1:1" ht="16.8">
      <c r="A956" s="2"/>
    </row>
    <row r="957" spans="1:1" ht="16.8">
      <c r="A957" s="2"/>
    </row>
    <row r="958" spans="1:1" ht="16.8">
      <c r="A958" s="2"/>
    </row>
    <row r="959" spans="1:1" ht="16.8">
      <c r="A959" s="2"/>
    </row>
    <row r="960" spans="1:1" ht="16.8">
      <c r="A960" s="2"/>
    </row>
    <row r="961" spans="1:1" ht="16.8">
      <c r="A961" s="2"/>
    </row>
    <row r="962" spans="1:1" ht="16.8">
      <c r="A962" s="2"/>
    </row>
    <row r="963" spans="1:1" ht="16.8">
      <c r="A963" s="2"/>
    </row>
    <row r="964" spans="1:1" ht="16.8">
      <c r="A964" s="2"/>
    </row>
    <row r="965" spans="1:1" ht="16.8">
      <c r="A965" s="2"/>
    </row>
    <row r="966" spans="1:1" ht="16.8">
      <c r="A966" s="2"/>
    </row>
    <row r="967" spans="1:1" ht="16.8">
      <c r="A967" s="2"/>
    </row>
    <row r="968" spans="1:1" ht="16.8">
      <c r="A968" s="2"/>
    </row>
    <row r="969" spans="1:1" ht="16.8">
      <c r="A969" s="2"/>
    </row>
    <row r="970" spans="1:1" ht="16.8">
      <c r="A970" s="2"/>
    </row>
    <row r="971" spans="1:1" ht="16.8">
      <c r="A971" s="2"/>
    </row>
    <row r="972" spans="1:1" ht="16.8">
      <c r="A972" s="2"/>
    </row>
    <row r="973" spans="1:1" ht="16.8">
      <c r="A973" s="2"/>
    </row>
    <row r="974" spans="1:1" ht="16.8">
      <c r="A974" s="2"/>
    </row>
    <row r="975" spans="1:1" ht="16.8">
      <c r="A975" s="2"/>
    </row>
    <row r="976" spans="1:1" ht="16.8">
      <c r="A976" s="2"/>
    </row>
    <row r="977" spans="1:1" ht="16.8">
      <c r="A977" s="2"/>
    </row>
    <row r="978" spans="1:1" ht="16.8">
      <c r="A978" s="2"/>
    </row>
    <row r="979" spans="1:1" ht="16.8">
      <c r="A979" s="2"/>
    </row>
    <row r="980" spans="1:1" ht="16.8">
      <c r="A980" s="2"/>
    </row>
    <row r="981" spans="1:1" ht="16.8">
      <c r="A981" s="2"/>
    </row>
    <row r="982" spans="1:1" ht="16.8">
      <c r="A982" s="2"/>
    </row>
    <row r="983" spans="1:1" ht="16.8">
      <c r="A983" s="2"/>
    </row>
    <row r="984" spans="1:1" ht="16.8">
      <c r="A984" s="2"/>
    </row>
    <row r="985" spans="1:1" ht="16.8">
      <c r="A985" s="2"/>
    </row>
    <row r="986" spans="1:1" ht="16.8">
      <c r="A986" s="2"/>
    </row>
    <row r="987" spans="1:1" ht="16.8">
      <c r="A987" s="2"/>
    </row>
    <row r="988" spans="1:1" ht="16.8">
      <c r="A988" s="2"/>
    </row>
    <row r="989" spans="1:1" ht="16.8">
      <c r="A989" s="2"/>
    </row>
    <row r="990" spans="1:1" ht="16.8">
      <c r="A990" s="2"/>
    </row>
    <row r="991" spans="1:1" ht="16.8">
      <c r="A991" s="2"/>
    </row>
    <row r="992" spans="1:1" ht="16.8">
      <c r="A992" s="2"/>
    </row>
    <row r="993" spans="1:1" ht="16.8">
      <c r="A993" s="2"/>
    </row>
    <row r="994" spans="1:1" ht="16.8">
      <c r="A994" s="2"/>
    </row>
    <row r="995" spans="1:1" ht="16.8">
      <c r="A995" s="2"/>
    </row>
    <row r="996" spans="1:1" ht="16.8">
      <c r="A996" s="2"/>
    </row>
    <row r="997" spans="1:1" ht="16.8">
      <c r="A997" s="2"/>
    </row>
    <row r="998" spans="1:1" ht="16.8">
      <c r="A998" s="2"/>
    </row>
    <row r="999" spans="1:1" ht="16.8">
      <c r="A999" s="2"/>
    </row>
    <row r="1000" spans="1:1" ht="16.8">
      <c r="A100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2" max="2" width="29.6640625" customWidth="1"/>
    <col min="4" max="4" width="32.21875" customWidth="1"/>
    <col min="6" max="6" width="22.77734375" customWidth="1"/>
    <col min="8" max="8" width="22.33203125" customWidth="1"/>
    <col min="10" max="10" width="16.77734375" customWidth="1"/>
    <col min="12" max="12" width="21.109375" customWidth="1"/>
  </cols>
  <sheetData>
    <row r="1" spans="1:26">
      <c r="A1" s="4"/>
      <c r="B1" s="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>
      <c r="A2" s="6"/>
      <c r="B2" s="7" t="s">
        <v>4</v>
      </c>
      <c r="C2" s="6"/>
      <c r="D2" s="7" t="s">
        <v>5</v>
      </c>
      <c r="E2" s="6"/>
      <c r="F2" s="7" t="s">
        <v>6</v>
      </c>
      <c r="G2" s="6"/>
      <c r="H2" s="7" t="s">
        <v>7</v>
      </c>
      <c r="I2" s="8"/>
      <c r="J2" s="7" t="s">
        <v>8</v>
      </c>
      <c r="K2" s="8"/>
      <c r="L2" s="7" t="s">
        <v>9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>
      <c r="A3" s="4"/>
      <c r="B3" s="9" t="str">
        <f ca="1"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4"/>
      <c r="D3" s="9" t="str">
        <f ca="1">IFERROR(__xludf.DUMMYFUNCTION("IMPORTRANGE(""1P3gxfeSdK2Qp8EQ6W-aO7-cXMeM3QxVb_y08TZ8XdHw"",""Всплывающий список!D3:D50"")"),"Не требуется")</f>
        <v>Не требуется</v>
      </c>
      <c r="E3" s="4"/>
      <c r="F3" s="9" t="str">
        <f ca="1">IFERROR(__xludf.DUMMYFUNCTION("IMPORTRANGE(""1P3gxfeSdK2Qp8EQ6W-aO7-cXMeM3QxVb_y08TZ8XdHw"",""Всплывающий список!F3:F50"")"),"Не требуется")</f>
        <v>Не требуется</v>
      </c>
      <c r="G3" s="4"/>
      <c r="H3" s="9" t="str">
        <f ca="1">IFERROR(__xludf.DUMMYFUNCTION("IMPORTRANGE(""1P3gxfeSdK2Qp8EQ6W-aO7-cXMeM3QxVb_y08TZ8XdHw"",""Всплывающий список!H3:H50"")"),"Не требуется")</f>
        <v>Не требуется</v>
      </c>
      <c r="I3" s="4"/>
      <c r="J3" s="10" t="str">
        <f ca="1">IFERROR(__xludf.DUMMYFUNCTION("IMPORTRANGE(""1P3gxfeSdK2Qp8EQ6W-aO7-cXMeM3QxVb_y08TZ8XdHw"",""Всплывающий список!J3:J50"")"),"Да")</f>
        <v>Да</v>
      </c>
      <c r="K3" s="4"/>
      <c r="L3" s="10" t="str">
        <f ca="1"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>
      <c r="A4" s="4"/>
      <c r="B4" s="11" t="str">
        <f ca="1">IFERROR(__xludf.DUMMYFUNCTION("""COMPUTED_VALUE"""),"Объекты коммунальной инфраструктуры")</f>
        <v>Объекты коммунальной инфраструктуры</v>
      </c>
      <c r="C4" s="4"/>
      <c r="D4" s="12" t="str">
        <f ca="1">IFERROR(__xludf.DUMMYFUNCTION("""COMPUTED_VALUE"""),"Подготовка документов")</f>
        <v>Подготовка документов</v>
      </c>
      <c r="E4" s="4"/>
      <c r="F4" s="12" t="str">
        <f ca="1">IFERROR(__xludf.DUMMYFUNCTION("""COMPUTED_VALUE"""),"Подготовка документов")</f>
        <v>Подготовка документов</v>
      </c>
      <c r="G4" s="4"/>
      <c r="H4" s="12" t="str">
        <f ca="1">IFERROR(__xludf.DUMMYFUNCTION("""COMPUTED_VALUE"""),"Подготовка документов")</f>
        <v>Подготовка документов</v>
      </c>
      <c r="I4" s="4"/>
      <c r="J4" s="13" t="str">
        <f ca="1">IFERROR(__xludf.DUMMYFUNCTION("""COMPUTED_VALUE"""),"Нет")</f>
        <v>Нет</v>
      </c>
      <c r="K4" s="4"/>
      <c r="L4" s="13" t="str">
        <f ca="1"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>
      <c r="A5" s="4"/>
      <c r="B5" s="11" t="str">
        <f ca="1">IFERROR(__xludf.DUMMYFUNCTION("""COMPUTED_VALUE"""),"Мероприятие ЮЛ/ИП")</f>
        <v>Мероприятие ЮЛ/ИП</v>
      </c>
      <c r="C5" s="4"/>
      <c r="D5" s="12" t="str">
        <f ca="1">IFERROR(__xludf.DUMMYFUNCTION("""COMPUTED_VALUE"""),"Получено положительное заключение")</f>
        <v>Получено положительное заключение</v>
      </c>
      <c r="E5" s="4"/>
      <c r="F5" s="12" t="str">
        <f ca="1">IFERROR(__xludf.DUMMYFUNCTION("""COMPUTED_VALUE"""),"Получено")</f>
        <v>Получено</v>
      </c>
      <c r="G5" s="4"/>
      <c r="H5" s="12" t="str">
        <f ca="1">IFERROR(__xludf.DUMMYFUNCTION("""COMPUTED_VALUE"""),"Получено")</f>
        <v>Получено</v>
      </c>
      <c r="I5" s="4"/>
      <c r="J5" s="12"/>
      <c r="K5" s="4"/>
      <c r="L5" s="11" t="str">
        <f ca="1">IFERROR(__xludf.DUMMYFUNCTION("""COMPUTED_VALUE"""),"Работы ведутся с отставанием от плана")</f>
        <v>Работы ведутся с отставанием от плана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>
      <c r="A6" s="4"/>
      <c r="B6" s="11" t="str">
        <f ca="1">IFERROR(__xludf.DUMMYFUNCTION("""COMPUTED_VALUE"""),"Прочее")</f>
        <v>Прочее</v>
      </c>
      <c r="C6" s="4"/>
      <c r="D6" s="12" t="str">
        <f ca="1">IFERROR(__xludf.DUMMYFUNCTION("""COMPUTED_VALUE"""),"Получено отрицательное заключение")</f>
        <v>Получено отрицательное заключение</v>
      </c>
      <c r="E6" s="4"/>
      <c r="F6" s="12"/>
      <c r="G6" s="4"/>
      <c r="H6" s="12"/>
      <c r="I6" s="4"/>
      <c r="J6" s="12"/>
      <c r="K6" s="4"/>
      <c r="L6" s="11" t="str">
        <f ca="1">IFERROR(__xludf.DUMMYFUNCTION("""COMPUTED_VALUE"""),"Работы ведутся с опережением плана")</f>
        <v>Работы ведутся с опережением плана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>
      <c r="A7" s="4"/>
      <c r="B7" s="11"/>
      <c r="C7" s="4"/>
      <c r="D7" s="12"/>
      <c r="E7" s="4"/>
      <c r="F7" s="12"/>
      <c r="G7" s="4"/>
      <c r="H7" s="12"/>
      <c r="I7" s="4"/>
      <c r="J7" s="12"/>
      <c r="K7" s="4"/>
      <c r="L7" s="11" t="str">
        <f ca="1">IFERROR(__xludf.DUMMYFUNCTION("""COMPUTED_VALUE"""),"Работы ведутся в соответствии с планом")</f>
        <v>Работы ведутся в соответствии с планом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>
      <c r="A8" s="4"/>
      <c r="B8" s="11"/>
      <c r="C8" s="4"/>
      <c r="D8" s="12"/>
      <c r="E8" s="4"/>
      <c r="F8" s="12"/>
      <c r="G8" s="4"/>
      <c r="H8" s="12"/>
      <c r="I8" s="4"/>
      <c r="J8" s="12"/>
      <c r="K8" s="4"/>
      <c r="L8" s="11" t="str">
        <f ca="1">IFERROR(__xludf.DUMMYFUNCTION("""COMPUTED_VALUE"""),"Работы завершены")</f>
        <v>Работы завершены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>
      <c r="A9" s="4"/>
      <c r="B9" s="11"/>
      <c r="C9" s="4"/>
      <c r="D9" s="12"/>
      <c r="E9" s="4"/>
      <c r="F9" s="12"/>
      <c r="G9" s="4"/>
      <c r="H9" s="12"/>
      <c r="I9" s="4"/>
      <c r="J9" s="12"/>
      <c r="K9" s="4"/>
      <c r="L9" s="1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11"/>
      <c r="C10" s="4"/>
      <c r="D10" s="12"/>
      <c r="E10" s="4"/>
      <c r="F10" s="12"/>
      <c r="G10" s="4"/>
      <c r="H10" s="12"/>
      <c r="I10" s="4"/>
      <c r="J10" s="12"/>
      <c r="K10" s="4"/>
      <c r="L10" s="1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11"/>
      <c r="C11" s="4"/>
      <c r="D11" s="12"/>
      <c r="E11" s="4"/>
      <c r="F11" s="12"/>
      <c r="G11" s="4"/>
      <c r="H11" s="12"/>
      <c r="I11" s="4"/>
      <c r="J11" s="12"/>
      <c r="K11" s="4"/>
      <c r="L11" s="1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11"/>
      <c r="C12" s="4"/>
      <c r="D12" s="12"/>
      <c r="E12" s="4"/>
      <c r="F12" s="12"/>
      <c r="G12" s="4"/>
      <c r="H12" s="12"/>
      <c r="I12" s="4"/>
      <c r="J12" s="12"/>
      <c r="K12" s="4"/>
      <c r="L12" s="11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>
      <c r="A13" s="4"/>
      <c r="B13" s="11"/>
      <c r="C13" s="4"/>
      <c r="D13" s="12"/>
      <c r="E13" s="4"/>
      <c r="F13" s="12"/>
      <c r="G13" s="4"/>
      <c r="H13" s="12"/>
      <c r="I13" s="4"/>
      <c r="J13" s="12"/>
      <c r="K13" s="4"/>
      <c r="L13" s="11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>
      <c r="A14" s="4"/>
      <c r="B14" s="11"/>
      <c r="C14" s="4"/>
      <c r="D14" s="12"/>
      <c r="E14" s="4"/>
      <c r="F14" s="12"/>
      <c r="G14" s="4"/>
      <c r="H14" s="12"/>
      <c r="I14" s="4"/>
      <c r="J14" s="12"/>
      <c r="K14" s="4"/>
      <c r="L14" s="1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>
      <c r="A15" s="4"/>
      <c r="B15" s="11"/>
      <c r="C15" s="4"/>
      <c r="D15" s="12"/>
      <c r="E15" s="4"/>
      <c r="F15" s="12"/>
      <c r="G15" s="4"/>
      <c r="H15" s="12"/>
      <c r="I15" s="4"/>
      <c r="J15" s="12"/>
      <c r="K15" s="4"/>
      <c r="L15" s="1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4"/>
      <c r="B16" s="11"/>
      <c r="C16" s="4"/>
      <c r="D16" s="12"/>
      <c r="E16" s="4"/>
      <c r="F16" s="12"/>
      <c r="G16" s="4"/>
      <c r="H16" s="12"/>
      <c r="I16" s="4"/>
      <c r="J16" s="12"/>
      <c r="K16" s="4"/>
      <c r="L16" s="1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4"/>
      <c r="B17" s="11"/>
      <c r="C17" s="4"/>
      <c r="D17" s="12"/>
      <c r="E17" s="4"/>
      <c r="F17" s="12"/>
      <c r="G17" s="4"/>
      <c r="H17" s="12"/>
      <c r="I17" s="4"/>
      <c r="J17" s="12"/>
      <c r="K17" s="4"/>
      <c r="L17" s="1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4"/>
      <c r="B18" s="11"/>
      <c r="C18" s="4"/>
      <c r="D18" s="12"/>
      <c r="E18" s="4"/>
      <c r="F18" s="12"/>
      <c r="G18" s="4"/>
      <c r="H18" s="12"/>
      <c r="I18" s="4"/>
      <c r="J18" s="12"/>
      <c r="K18" s="4"/>
      <c r="L18" s="1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4"/>
      <c r="B19" s="11"/>
      <c r="C19" s="4"/>
      <c r="D19" s="12"/>
      <c r="E19" s="4"/>
      <c r="F19" s="12"/>
      <c r="G19" s="4"/>
      <c r="H19" s="12"/>
      <c r="I19" s="4"/>
      <c r="J19" s="12"/>
      <c r="K19" s="4"/>
      <c r="L19" s="1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4"/>
      <c r="B20" s="11"/>
      <c r="C20" s="4"/>
      <c r="D20" s="12"/>
      <c r="E20" s="4"/>
      <c r="F20" s="12"/>
      <c r="G20" s="4"/>
      <c r="H20" s="12"/>
      <c r="I20" s="4"/>
      <c r="J20" s="12"/>
      <c r="K20" s="4"/>
      <c r="L20" s="1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>
      <c r="A21" s="4"/>
      <c r="B21" s="11"/>
      <c r="C21" s="4"/>
      <c r="D21" s="12"/>
      <c r="E21" s="4"/>
      <c r="F21" s="12"/>
      <c r="G21" s="4"/>
      <c r="H21" s="12"/>
      <c r="I21" s="4"/>
      <c r="J21" s="12"/>
      <c r="K21" s="4"/>
      <c r="L21" s="1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>
      <c r="A22" s="4"/>
      <c r="B22" s="11"/>
      <c r="C22" s="4"/>
      <c r="D22" s="12"/>
      <c r="E22" s="4"/>
      <c r="F22" s="12"/>
      <c r="G22" s="4"/>
      <c r="H22" s="12"/>
      <c r="I22" s="4"/>
      <c r="J22" s="12"/>
      <c r="K22" s="4"/>
      <c r="L22" s="1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11"/>
      <c r="C23" s="4"/>
      <c r="D23" s="12"/>
      <c r="E23" s="4"/>
      <c r="F23" s="12"/>
      <c r="G23" s="4"/>
      <c r="H23" s="12"/>
      <c r="I23" s="4"/>
      <c r="J23" s="12"/>
      <c r="K23" s="4"/>
      <c r="L23" s="1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11"/>
      <c r="C24" s="4"/>
      <c r="D24" s="12"/>
      <c r="E24" s="4"/>
      <c r="F24" s="12"/>
      <c r="G24" s="4"/>
      <c r="H24" s="12"/>
      <c r="I24" s="4"/>
      <c r="J24" s="12"/>
      <c r="K24" s="4"/>
      <c r="L24" s="11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11"/>
      <c r="C25" s="4"/>
      <c r="D25" s="12"/>
      <c r="E25" s="4"/>
      <c r="F25" s="12"/>
      <c r="G25" s="4"/>
      <c r="H25" s="12"/>
      <c r="I25" s="4"/>
      <c r="J25" s="12"/>
      <c r="K25" s="4"/>
      <c r="L25" s="11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11"/>
      <c r="C26" s="4"/>
      <c r="D26" s="12"/>
      <c r="E26" s="4"/>
      <c r="F26" s="12"/>
      <c r="G26" s="4"/>
      <c r="H26" s="12"/>
      <c r="I26" s="4"/>
      <c r="J26" s="12"/>
      <c r="K26" s="4"/>
      <c r="L26" s="11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11"/>
      <c r="C27" s="4"/>
      <c r="D27" s="12"/>
      <c r="E27" s="4"/>
      <c r="F27" s="12"/>
      <c r="G27" s="4"/>
      <c r="H27" s="12"/>
      <c r="I27" s="4"/>
      <c r="J27" s="12"/>
      <c r="K27" s="4"/>
      <c r="L27" s="11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11"/>
      <c r="C28" s="4"/>
      <c r="D28" s="12"/>
      <c r="E28" s="4"/>
      <c r="F28" s="12"/>
      <c r="G28" s="4"/>
      <c r="H28" s="12"/>
      <c r="I28" s="4"/>
      <c r="J28" s="12"/>
      <c r="K28" s="4"/>
      <c r="L28" s="11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11"/>
      <c r="C29" s="4"/>
      <c r="D29" s="12"/>
      <c r="E29" s="4"/>
      <c r="F29" s="12"/>
      <c r="G29" s="4"/>
      <c r="H29" s="12"/>
      <c r="I29" s="4"/>
      <c r="J29" s="12"/>
      <c r="K29" s="4"/>
      <c r="L29" s="11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11"/>
      <c r="C30" s="4"/>
      <c r="D30" s="12"/>
      <c r="E30" s="4"/>
      <c r="F30" s="12"/>
      <c r="G30" s="4"/>
      <c r="H30" s="12"/>
      <c r="I30" s="4"/>
      <c r="J30" s="12"/>
      <c r="K30" s="4"/>
      <c r="L30" s="11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11"/>
      <c r="C31" s="4"/>
      <c r="D31" s="12"/>
      <c r="E31" s="4"/>
      <c r="F31" s="12"/>
      <c r="G31" s="4"/>
      <c r="H31" s="12"/>
      <c r="I31" s="4"/>
      <c r="J31" s="12"/>
      <c r="K31" s="4"/>
      <c r="L31" s="11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11"/>
      <c r="C32" s="4"/>
      <c r="D32" s="12"/>
      <c r="E32" s="4"/>
      <c r="F32" s="12"/>
      <c r="G32" s="4"/>
      <c r="H32" s="12"/>
      <c r="I32" s="4"/>
      <c r="J32" s="12"/>
      <c r="K32" s="4"/>
      <c r="L32" s="1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11"/>
      <c r="C33" s="4"/>
      <c r="D33" s="12"/>
      <c r="E33" s="4"/>
      <c r="F33" s="12"/>
      <c r="G33" s="4"/>
      <c r="H33" s="12"/>
      <c r="I33" s="4"/>
      <c r="J33" s="12"/>
      <c r="K33" s="4"/>
      <c r="L33" s="1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11"/>
      <c r="C34" s="4"/>
      <c r="D34" s="12"/>
      <c r="E34" s="4"/>
      <c r="F34" s="12"/>
      <c r="G34" s="4"/>
      <c r="H34" s="12"/>
      <c r="I34" s="4"/>
      <c r="J34" s="12"/>
      <c r="K34" s="4"/>
      <c r="L34" s="11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11"/>
      <c r="C35" s="4"/>
      <c r="D35" s="12"/>
      <c r="E35" s="4"/>
      <c r="F35" s="12"/>
      <c r="G35" s="4"/>
      <c r="H35" s="12"/>
      <c r="I35" s="4"/>
      <c r="J35" s="12"/>
      <c r="K35" s="4"/>
      <c r="L35" s="11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11"/>
      <c r="C36" s="4"/>
      <c r="D36" s="12"/>
      <c r="E36" s="4"/>
      <c r="F36" s="12"/>
      <c r="G36" s="4"/>
      <c r="H36" s="12"/>
      <c r="I36" s="4"/>
      <c r="J36" s="12"/>
      <c r="K36" s="4"/>
      <c r="L36" s="11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11"/>
      <c r="C37" s="4"/>
      <c r="D37" s="12"/>
      <c r="E37" s="4"/>
      <c r="F37" s="12"/>
      <c r="G37" s="4"/>
      <c r="H37" s="12"/>
      <c r="I37" s="4"/>
      <c r="J37" s="12"/>
      <c r="K37" s="4"/>
      <c r="L37" s="11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11"/>
      <c r="C38" s="4"/>
      <c r="D38" s="12"/>
      <c r="E38" s="4"/>
      <c r="F38" s="12"/>
      <c r="G38" s="4"/>
      <c r="H38" s="12"/>
      <c r="I38" s="4"/>
      <c r="J38" s="12"/>
      <c r="K38" s="4"/>
      <c r="L38" s="11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11"/>
      <c r="C39" s="4"/>
      <c r="D39" s="12"/>
      <c r="E39" s="4"/>
      <c r="F39" s="12"/>
      <c r="G39" s="4"/>
      <c r="H39" s="12"/>
      <c r="I39" s="4"/>
      <c r="J39" s="12"/>
      <c r="K39" s="4"/>
      <c r="L39" s="11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11"/>
      <c r="C40" s="4"/>
      <c r="D40" s="12"/>
      <c r="E40" s="4"/>
      <c r="F40" s="12"/>
      <c r="G40" s="4"/>
      <c r="H40" s="12"/>
      <c r="I40" s="4"/>
      <c r="J40" s="12"/>
      <c r="K40" s="4"/>
      <c r="L40" s="11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11"/>
      <c r="C41" s="4"/>
      <c r="D41" s="12"/>
      <c r="E41" s="4"/>
      <c r="F41" s="12"/>
      <c r="G41" s="4"/>
      <c r="H41" s="12"/>
      <c r="I41" s="4"/>
      <c r="J41" s="12"/>
      <c r="K41" s="4"/>
      <c r="L41" s="11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11"/>
      <c r="C42" s="4"/>
      <c r="D42" s="12"/>
      <c r="E42" s="4"/>
      <c r="F42" s="12"/>
      <c r="G42" s="4"/>
      <c r="H42" s="12"/>
      <c r="I42" s="4"/>
      <c r="J42" s="12"/>
      <c r="K42" s="4"/>
      <c r="L42" s="11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11"/>
      <c r="C43" s="4"/>
      <c r="D43" s="12"/>
      <c r="E43" s="4"/>
      <c r="F43" s="12"/>
      <c r="G43" s="4"/>
      <c r="H43" s="12"/>
      <c r="I43" s="4"/>
      <c r="J43" s="12"/>
      <c r="K43" s="4"/>
      <c r="L43" s="11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11"/>
      <c r="C44" s="4"/>
      <c r="D44" s="12"/>
      <c r="E44" s="4"/>
      <c r="F44" s="12"/>
      <c r="G44" s="4"/>
      <c r="H44" s="12"/>
      <c r="I44" s="4"/>
      <c r="J44" s="12"/>
      <c r="K44" s="4"/>
      <c r="L44" s="11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11"/>
      <c r="C45" s="4"/>
      <c r="D45" s="12"/>
      <c r="E45" s="4"/>
      <c r="F45" s="12"/>
      <c r="G45" s="4"/>
      <c r="H45" s="12"/>
      <c r="I45" s="4"/>
      <c r="J45" s="12"/>
      <c r="K45" s="4"/>
      <c r="L45" s="11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11"/>
      <c r="C46" s="4"/>
      <c r="D46" s="12"/>
      <c r="E46" s="4"/>
      <c r="F46" s="12"/>
      <c r="G46" s="4"/>
      <c r="H46" s="12"/>
      <c r="I46" s="4"/>
      <c r="J46" s="12"/>
      <c r="K46" s="4"/>
      <c r="L46" s="11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11"/>
      <c r="C47" s="4"/>
      <c r="D47" s="12"/>
      <c r="E47" s="4"/>
      <c r="F47" s="12"/>
      <c r="G47" s="4"/>
      <c r="H47" s="12"/>
      <c r="I47" s="4"/>
      <c r="J47" s="12"/>
      <c r="K47" s="4"/>
      <c r="L47" s="11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11"/>
      <c r="C48" s="4"/>
      <c r="D48" s="12"/>
      <c r="E48" s="4"/>
      <c r="F48" s="12"/>
      <c r="G48" s="4"/>
      <c r="H48" s="12"/>
      <c r="I48" s="4"/>
      <c r="J48" s="12"/>
      <c r="K48" s="4"/>
      <c r="L48" s="11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11"/>
      <c r="C49" s="4"/>
      <c r="D49" s="12"/>
      <c r="E49" s="4"/>
      <c r="F49" s="12"/>
      <c r="G49" s="4"/>
      <c r="H49" s="12"/>
      <c r="I49" s="4"/>
      <c r="J49" s="12"/>
      <c r="K49" s="4"/>
      <c r="L49" s="11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11"/>
      <c r="C50" s="4"/>
      <c r="D50" s="12"/>
      <c r="E50" s="4"/>
      <c r="F50" s="12"/>
      <c r="G50" s="4"/>
      <c r="H50" s="12"/>
      <c r="I50" s="4"/>
      <c r="J50" s="12"/>
      <c r="K50" s="4"/>
      <c r="L50" s="11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5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5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5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5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5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5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5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5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5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5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5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5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5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5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5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5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5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5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5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5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5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5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5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5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5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5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5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5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5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5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5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5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5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5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5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5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5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5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5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5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5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5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5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5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5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5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5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5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5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5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5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5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5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5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5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5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5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5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5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5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5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5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5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5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5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5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5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5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5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5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5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5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5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5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5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5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5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5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5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5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5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5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5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5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5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5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5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5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5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5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5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5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5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5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5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5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5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5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5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5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5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5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5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5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5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5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5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5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5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5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5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5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5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5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5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5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5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5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5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5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5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5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5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5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5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5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5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5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5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5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5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5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5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5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5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5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5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5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5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5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5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5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5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5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5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5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5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5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5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5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5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5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5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5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5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5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5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5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5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5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5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5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5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5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5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5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5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5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5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5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5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5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5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5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5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5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5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5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5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5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5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5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5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5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5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5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5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5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5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5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5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5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5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5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5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5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5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5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5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5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5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5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5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5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5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5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5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5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5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5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5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872"/>
  <sheetViews>
    <sheetView workbookViewId="0">
      <pane ySplit="4" topLeftCell="A5" activePane="bottomLeft" state="frozen"/>
      <selection pane="bottomLeft" activeCell="B6" sqref="B6"/>
    </sheetView>
  </sheetViews>
  <sheetFormatPr defaultColWidth="12.6640625" defaultRowHeight="15.75" customHeight="1"/>
  <cols>
    <col min="1" max="1" width="6.44140625" customWidth="1"/>
    <col min="2" max="2" width="39.21875" customWidth="1"/>
  </cols>
  <sheetData>
    <row r="1" spans="1:12">
      <c r="A1" s="14" t="s">
        <v>10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6"/>
      <c r="B2" s="16"/>
      <c r="C2" s="16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D3" s="15"/>
      <c r="E3" s="15"/>
      <c r="F3" s="15"/>
      <c r="G3" s="15"/>
      <c r="H3" s="15"/>
      <c r="I3" s="15"/>
      <c r="J3" s="15"/>
      <c r="K3" s="15"/>
      <c r="L3" s="15"/>
    </row>
    <row r="4" spans="1:12">
      <c r="A4" s="17" t="str">
        <f ca="1">IFERROR(__xludf.DUMMYFUNCTION("IMPORTRANGE(""1P3gxfeSdK2Qp8EQ6W-aO7-cXMeM3QxVb_y08TZ8XdHw"",""Перечень ОЗВ!M3:O200"")"),"№ п/п")</f>
        <v>№ п/п</v>
      </c>
      <c r="B4" s="17" t="str">
        <f ca="1">IFERROR(__xludf.DUMMYFUNCTION("""COMPUTED_VALUE"""),"Наименование опасных загрязняющих веществ по данным Роспотребнадзора (письмо №02/26092-2020-23 от 21.12.2020)   ")</f>
        <v xml:space="preserve">Наименование опасных загрязняющих веществ по данным Роспотребнадзора (письмо №02/26092-2020-23 от 21.12.2020)   </v>
      </c>
      <c r="C4" s="17" t="str">
        <f ca="1">IFERROR(__xludf.DUMMYFUNCTION("""COMPUTED_VALUE"""),"Класс опасности")</f>
        <v>Класс опасности</v>
      </c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8">
        <f ca="1">IFERROR(__xludf.DUMMYFUNCTION("""COMPUTED_VALUE"""),1)</f>
        <v>1</v>
      </c>
      <c r="B5" s="19" t="str">
        <f ca="1">IFERROR(__xludf.DUMMYFUNCTION("""COMPUTED_VALUE"""),"Азота диоксид")</f>
        <v>Азота диоксид</v>
      </c>
      <c r="C5" s="20">
        <f ca="1">IFERROR(__xludf.DUMMYFUNCTION("""COMPUTED_VALUE"""),3)</f>
        <v>3</v>
      </c>
      <c r="D5" s="15"/>
      <c r="E5" s="15"/>
      <c r="F5" s="15"/>
      <c r="G5" s="15"/>
      <c r="H5" s="15"/>
      <c r="I5" s="15"/>
      <c r="J5" s="15"/>
      <c r="K5" s="15"/>
      <c r="L5" s="15"/>
    </row>
    <row r="6" spans="1:12">
      <c r="A6" s="18">
        <f ca="1">IFERROR(__xludf.DUMMYFUNCTION("""COMPUTED_VALUE"""),2)</f>
        <v>2</v>
      </c>
      <c r="B6" s="19" t="str">
        <f ca="1">IFERROR(__xludf.DUMMYFUNCTION("""COMPUTED_VALUE"""),"Азот (II) оксид")</f>
        <v>Азот (II) оксид</v>
      </c>
      <c r="C6" s="20">
        <f ca="1">IFERROR(__xludf.DUMMYFUNCTION("""COMPUTED_VALUE"""),3)</f>
        <v>3</v>
      </c>
      <c r="D6" s="15"/>
      <c r="E6" s="15"/>
      <c r="F6" s="15"/>
      <c r="G6" s="15"/>
      <c r="H6" s="15"/>
      <c r="I6" s="15"/>
      <c r="J6" s="15"/>
      <c r="K6" s="15"/>
      <c r="L6" s="15"/>
    </row>
    <row r="7" spans="1:12">
      <c r="A7" s="18">
        <f ca="1">IFERROR(__xludf.DUMMYFUNCTION("""COMPUTED_VALUE"""),3)</f>
        <v>3</v>
      </c>
      <c r="B7" s="19" t="str">
        <f ca="1">IFERROR(__xludf.DUMMYFUNCTION("""COMPUTED_VALUE"""),"Бенз/а/пирен")</f>
        <v>Бенз/а/пирен</v>
      </c>
      <c r="C7" s="20">
        <f ca="1">IFERROR(__xludf.DUMMYFUNCTION("""COMPUTED_VALUE"""),1)</f>
        <v>1</v>
      </c>
      <c r="D7" s="15"/>
      <c r="E7" s="15"/>
      <c r="F7" s="15"/>
      <c r="G7" s="15"/>
      <c r="H7" s="15"/>
      <c r="I7" s="15"/>
      <c r="J7" s="15"/>
      <c r="K7" s="15"/>
      <c r="L7" s="15"/>
    </row>
    <row r="8" spans="1:12">
      <c r="A8" s="18">
        <f ca="1">IFERROR(__xludf.DUMMYFUNCTION("""COMPUTED_VALUE"""),4)</f>
        <v>4</v>
      </c>
      <c r="B8" s="19" t="str">
        <f ca="1">IFERROR(__xludf.DUMMYFUNCTION("""COMPUTED_VALUE"""),"Взвешенные вещества")</f>
        <v>Взвешенные вещества</v>
      </c>
      <c r="C8" s="20">
        <f ca="1">IFERROR(__xludf.DUMMYFUNCTION("""COMPUTED_VALUE"""),3)</f>
        <v>3</v>
      </c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8">
        <f ca="1">IFERROR(__xludf.DUMMYFUNCTION("""COMPUTED_VALUE"""),5)</f>
        <v>5</v>
      </c>
      <c r="B9" s="19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20" t="str">
        <f ca="1">IFERROR(__xludf.DUMMYFUNCTION("""COMPUTED_VALUE"""),"нет")</f>
        <v>нет</v>
      </c>
      <c r="D9" s="15"/>
      <c r="E9" s="15"/>
      <c r="F9" s="15"/>
      <c r="G9" s="15"/>
      <c r="H9" s="15"/>
      <c r="I9" s="15"/>
      <c r="J9" s="15"/>
      <c r="K9" s="15"/>
      <c r="L9" s="15"/>
    </row>
    <row r="10" spans="1:12">
      <c r="A10" s="18">
        <f ca="1">IFERROR(__xludf.DUMMYFUNCTION("""COMPUTED_VALUE"""),6)</f>
        <v>6</v>
      </c>
      <c r="B10" s="19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C10" s="21">
        <f ca="1">IFERROR(__xludf.DUMMYFUNCTION("""COMPUTED_VALUE"""),3)</f>
        <v>3</v>
      </c>
      <c r="D10" s="15"/>
      <c r="E10" s="15"/>
      <c r="F10" s="15"/>
      <c r="G10" s="15"/>
      <c r="H10" s="15"/>
      <c r="I10" s="15"/>
      <c r="J10" s="15"/>
      <c r="K10" s="15"/>
      <c r="L10" s="15"/>
    </row>
    <row r="11" spans="1:12">
      <c r="A11" s="18">
        <f ca="1">IFERROR(__xludf.DUMMYFUNCTION("""COMPUTED_VALUE"""),7)</f>
        <v>7</v>
      </c>
      <c r="B11" s="19" t="str">
        <f ca="1">IFERROR(__xludf.DUMMYFUNCTION("""COMPUTED_VALUE"""),"Сера диоксид")</f>
        <v>Сера диоксид</v>
      </c>
      <c r="C11" s="20">
        <f ca="1">IFERROR(__xludf.DUMMYFUNCTION("""COMPUTED_VALUE"""),3)</f>
        <v>3</v>
      </c>
      <c r="D11" s="15"/>
      <c r="E11" s="15"/>
      <c r="F11" s="15"/>
      <c r="G11" s="15"/>
      <c r="H11" s="15"/>
      <c r="I11" s="15"/>
      <c r="J11" s="15"/>
      <c r="K11" s="15"/>
      <c r="L11" s="15"/>
    </row>
    <row r="12" spans="1:12">
      <c r="A12" s="18">
        <f ca="1">IFERROR(__xludf.DUMMYFUNCTION("""COMPUTED_VALUE"""),8)</f>
        <v>8</v>
      </c>
      <c r="B12" s="19" t="str">
        <f ca="1">IFERROR(__xludf.DUMMYFUNCTION("""COMPUTED_VALUE"""),"Дигидросудьфид")</f>
        <v>Дигидросудьфид</v>
      </c>
      <c r="C12" s="21">
        <f ca="1">IFERROR(__xludf.DUMMYFUNCTION("""COMPUTED_VALUE"""),2)</f>
        <v>2</v>
      </c>
      <c r="D12" s="15"/>
      <c r="E12" s="15"/>
      <c r="F12" s="15"/>
      <c r="G12" s="15"/>
      <c r="H12" s="15"/>
      <c r="I12" s="15"/>
      <c r="J12" s="15"/>
      <c r="K12" s="15"/>
      <c r="L12" s="15"/>
    </row>
    <row r="13" spans="1:12">
      <c r="A13" s="18">
        <f ca="1">IFERROR(__xludf.DUMMYFUNCTION("""COMPUTED_VALUE"""),9)</f>
        <v>9</v>
      </c>
      <c r="B13" s="19" t="str">
        <f ca="1">IFERROR(__xludf.DUMMYFUNCTION("""COMPUTED_VALUE"""),"Углерода оксид")</f>
        <v>Углерода оксид</v>
      </c>
      <c r="C13" s="20">
        <f ca="1">IFERROR(__xludf.DUMMYFUNCTION("""COMPUTED_VALUE"""),4)</f>
        <v>4</v>
      </c>
      <c r="D13" s="15"/>
      <c r="E13" s="15"/>
      <c r="F13" s="15"/>
      <c r="G13" s="15"/>
      <c r="H13" s="15"/>
      <c r="I13" s="15"/>
      <c r="J13" s="15"/>
      <c r="K13" s="15"/>
      <c r="L13" s="15"/>
    </row>
    <row r="14" spans="1:12">
      <c r="A14" s="18">
        <f ca="1">IFERROR(__xludf.DUMMYFUNCTION("""COMPUTED_VALUE"""),10)</f>
        <v>10</v>
      </c>
      <c r="B14" s="22" t="str">
        <f ca="1">IFERROR(__xludf.DUMMYFUNCTION("""COMPUTED_VALUE"""),"Бензол")</f>
        <v>Бензол</v>
      </c>
      <c r="C14" s="21">
        <f ca="1">IFERROR(__xludf.DUMMYFUNCTION("""COMPUTED_VALUE"""),2)</f>
        <v>2</v>
      </c>
      <c r="D14" s="15"/>
      <c r="E14" s="15"/>
      <c r="F14" s="15"/>
      <c r="G14" s="15"/>
      <c r="H14" s="15"/>
      <c r="I14" s="15"/>
      <c r="J14" s="15"/>
      <c r="K14" s="15"/>
      <c r="L14" s="15"/>
    </row>
    <row r="15" spans="1:12">
      <c r="A15" s="18">
        <f ca="1">IFERROR(__xludf.DUMMYFUNCTION("""COMPUTED_VALUE"""),11)</f>
        <v>11</v>
      </c>
      <c r="B15" s="19" t="str">
        <f ca="1">IFERROR(__xludf.DUMMYFUNCTION("""COMPUTED_VALUE"""),"Проп-2-ен-1-аль")</f>
        <v>Проп-2-ен-1-аль</v>
      </c>
      <c r="C15" s="21">
        <f ca="1">IFERROR(__xludf.DUMMYFUNCTION("""COMPUTED_VALUE"""),2)</f>
        <v>2</v>
      </c>
      <c r="D15" s="15"/>
      <c r="E15" s="15"/>
      <c r="F15" s="15"/>
      <c r="G15" s="15"/>
      <c r="H15" s="15"/>
      <c r="I15" s="15"/>
      <c r="J15" s="15"/>
      <c r="K15" s="15"/>
      <c r="L15" s="15"/>
    </row>
    <row r="16" spans="1:12">
      <c r="A16" s="18">
        <f ca="1">IFERROR(__xludf.DUMMYFUNCTION("""COMPUTED_VALUE"""),12)</f>
        <v>12</v>
      </c>
      <c r="B16" s="19" t="str">
        <f ca="1">IFERROR(__xludf.DUMMYFUNCTION("""COMPUTED_VALUE"""),"Формальдегид")</f>
        <v>Формальдегид</v>
      </c>
      <c r="C16" s="20">
        <f ca="1">IFERROR(__xludf.DUMMYFUNCTION("""COMPUTED_VALUE"""),2)</f>
        <v>2</v>
      </c>
      <c r="D16" s="15"/>
      <c r="E16" s="15"/>
      <c r="F16" s="15"/>
      <c r="G16" s="15"/>
      <c r="H16" s="15"/>
      <c r="I16" s="15"/>
      <c r="J16" s="15"/>
      <c r="K16" s="15"/>
      <c r="L16" s="15"/>
    </row>
    <row r="17" spans="1:12">
      <c r="A17" s="18">
        <f ca="1">IFERROR(__xludf.DUMMYFUNCTION("""COMPUTED_VALUE"""),13)</f>
        <v>13</v>
      </c>
      <c r="B17" s="19" t="str">
        <f ca="1">IFERROR(__xludf.DUMMYFUNCTION("""COMPUTED_VALUE"""),"Тетрахлорэтилен")</f>
        <v>Тетрахлорэтилен</v>
      </c>
      <c r="C17" s="20">
        <f ca="1">IFERROR(__xludf.DUMMYFUNCTION("""COMPUTED_VALUE"""),2)</f>
        <v>2</v>
      </c>
      <c r="D17" s="15"/>
      <c r="E17" s="15"/>
      <c r="F17" s="15"/>
      <c r="G17" s="15"/>
      <c r="H17" s="15"/>
      <c r="I17" s="15"/>
      <c r="J17" s="15"/>
      <c r="K17" s="15"/>
      <c r="L17" s="15"/>
    </row>
    <row r="18" spans="1:12">
      <c r="A18" s="18">
        <f ca="1">IFERROR(__xludf.DUMMYFUNCTION("""COMPUTED_VALUE"""),14)</f>
        <v>14</v>
      </c>
      <c r="B18" s="19" t="str">
        <f ca="1">IFERROR(__xludf.DUMMYFUNCTION("""COMPUTED_VALUE"""),"Пыль древесная")</f>
        <v>Пыль древесная</v>
      </c>
      <c r="C18" s="20" t="str">
        <f ca="1">IFERROR(__xludf.DUMMYFUNCTION("""COMPUTED_VALUE"""),"нет")</f>
        <v>нет</v>
      </c>
      <c r="D18" s="15"/>
      <c r="E18" s="15"/>
      <c r="F18" s="15"/>
      <c r="G18" s="15"/>
      <c r="H18" s="15"/>
      <c r="I18" s="15"/>
      <c r="J18" s="15"/>
      <c r="K18" s="15"/>
      <c r="L18" s="15"/>
    </row>
    <row r="19" spans="1:12">
      <c r="A19" s="18">
        <f ca="1">IFERROR(__xludf.DUMMYFUNCTION("""COMPUTED_VALUE"""),15)</f>
        <v>15</v>
      </c>
      <c r="B19" s="19" t="str">
        <f ca="1">IFERROR(__xludf.DUMMYFUNCTION("""COMPUTED_VALUE"""),"Пыль зерновая")</f>
        <v>Пыль зерновая</v>
      </c>
      <c r="C19" s="20">
        <f ca="1">IFERROR(__xludf.DUMMYFUNCTION("""COMPUTED_VALUE"""),3)</f>
        <v>3</v>
      </c>
      <c r="D19" s="15"/>
      <c r="E19" s="15"/>
      <c r="F19" s="15"/>
      <c r="G19" s="15"/>
      <c r="H19" s="15"/>
      <c r="I19" s="15"/>
      <c r="J19" s="15"/>
      <c r="K19" s="15"/>
      <c r="L19" s="15"/>
    </row>
    <row r="20" spans="1:12">
      <c r="A20" s="18">
        <f ca="1">IFERROR(__xludf.DUMMYFUNCTION("""COMPUTED_VALUE"""),16)</f>
        <v>16</v>
      </c>
      <c r="B20" s="19" t="str">
        <f ca="1">IFERROR(__xludf.DUMMYFUNCTION("""COMPUTED_VALUE"""),"Углерод")</f>
        <v>Углерод</v>
      </c>
      <c r="C20" s="20">
        <f ca="1">IFERROR(__xludf.DUMMYFUNCTION("""COMPUTED_VALUE"""),3)</f>
        <v>3</v>
      </c>
      <c r="D20" s="15"/>
      <c r="E20" s="15"/>
      <c r="F20" s="15"/>
      <c r="G20" s="15"/>
      <c r="H20" s="15"/>
      <c r="I20" s="15"/>
      <c r="J20" s="15"/>
      <c r="K20" s="15"/>
      <c r="L20" s="15"/>
    </row>
    <row r="21" spans="1:12">
      <c r="A21" s="18">
        <f ca="1">IFERROR(__xludf.DUMMYFUNCTION("""COMPUTED_VALUE"""),17)</f>
        <v>17</v>
      </c>
      <c r="B21" s="19" t="str">
        <f ca="1">IFERROR(__xludf.DUMMYFUNCTION("""COMPUTED_VALUE"""),"Натрий гидроксид")</f>
        <v>Натрий гидроксид</v>
      </c>
      <c r="C21" s="20" t="str">
        <f ca="1">IFERROR(__xludf.DUMMYFUNCTION("""COMPUTED_VALUE"""),"нет")</f>
        <v>нет</v>
      </c>
      <c r="D21" s="15"/>
      <c r="E21" s="15"/>
      <c r="F21" s="15"/>
      <c r="G21" s="15"/>
      <c r="H21" s="15"/>
      <c r="I21" s="15"/>
      <c r="J21" s="15"/>
      <c r="K21" s="15"/>
      <c r="L21" s="15"/>
    </row>
    <row r="22" spans="1:12">
      <c r="A22" s="23"/>
      <c r="B22" s="24"/>
      <c r="C22" s="25"/>
      <c r="D22" s="15"/>
      <c r="E22" s="15"/>
      <c r="F22" s="15"/>
      <c r="G22" s="15"/>
      <c r="H22" s="15"/>
      <c r="I22" s="15"/>
      <c r="J22" s="15"/>
      <c r="K22" s="15"/>
      <c r="L22" s="15"/>
    </row>
    <row r="23" spans="1:12">
      <c r="A23" s="23"/>
      <c r="B23" s="24"/>
      <c r="C23" s="25"/>
      <c r="D23" s="15"/>
      <c r="E23" s="15"/>
      <c r="F23" s="15"/>
      <c r="G23" s="15"/>
      <c r="H23" s="15"/>
      <c r="I23" s="15"/>
      <c r="J23" s="15"/>
      <c r="K23" s="15"/>
      <c r="L23" s="15"/>
    </row>
    <row r="24" spans="1:12">
      <c r="A24" s="23"/>
      <c r="B24" s="24"/>
      <c r="C24" s="25"/>
      <c r="D24" s="15"/>
      <c r="E24" s="15"/>
      <c r="F24" s="15"/>
      <c r="G24" s="15"/>
      <c r="H24" s="15"/>
      <c r="I24" s="15"/>
      <c r="J24" s="15"/>
      <c r="K24" s="15"/>
      <c r="L24" s="15"/>
    </row>
    <row r="25" spans="1:12">
      <c r="A25" s="23"/>
      <c r="B25" s="24"/>
      <c r="C25" s="25"/>
      <c r="D25" s="15"/>
      <c r="E25" s="15"/>
      <c r="F25" s="15"/>
      <c r="G25" s="15"/>
      <c r="H25" s="15"/>
      <c r="I25" s="15"/>
      <c r="J25" s="15"/>
      <c r="K25" s="15"/>
      <c r="L25" s="15"/>
    </row>
    <row r="26" spans="1:12">
      <c r="A26" s="23"/>
      <c r="B26" s="24"/>
      <c r="C26" s="25"/>
      <c r="D26" s="15"/>
      <c r="E26" s="15"/>
      <c r="F26" s="15"/>
      <c r="G26" s="15"/>
      <c r="H26" s="15"/>
      <c r="I26" s="15"/>
      <c r="J26" s="15"/>
      <c r="K26" s="15"/>
      <c r="L26" s="15"/>
    </row>
    <row r="27" spans="1:12">
      <c r="A27" s="23"/>
      <c r="B27" s="24"/>
      <c r="C27" s="25"/>
      <c r="D27" s="15"/>
      <c r="E27" s="15"/>
      <c r="F27" s="15"/>
      <c r="G27" s="15"/>
      <c r="H27" s="15"/>
      <c r="I27" s="15"/>
      <c r="J27" s="15"/>
      <c r="K27" s="15"/>
      <c r="L27" s="15"/>
    </row>
    <row r="28" spans="1:12">
      <c r="A28" s="23"/>
      <c r="B28" s="24"/>
      <c r="C28" s="25"/>
      <c r="D28" s="15"/>
      <c r="E28" s="15"/>
      <c r="F28" s="15"/>
      <c r="G28" s="15"/>
      <c r="H28" s="15"/>
      <c r="I28" s="15"/>
      <c r="J28" s="15"/>
      <c r="K28" s="15"/>
      <c r="L28" s="15"/>
    </row>
    <row r="29" spans="1:12">
      <c r="A29" s="23"/>
      <c r="B29" s="24"/>
      <c r="C29" s="25"/>
      <c r="D29" s="15"/>
      <c r="E29" s="15"/>
      <c r="F29" s="15"/>
      <c r="G29" s="15"/>
      <c r="H29" s="15"/>
      <c r="I29" s="15"/>
      <c r="J29" s="15"/>
      <c r="K29" s="15"/>
      <c r="L29" s="15"/>
    </row>
    <row r="30" spans="1:12">
      <c r="A30" s="23"/>
      <c r="B30" s="24"/>
      <c r="C30" s="25"/>
      <c r="D30" s="15"/>
      <c r="E30" s="15"/>
      <c r="F30" s="15"/>
      <c r="G30" s="15"/>
      <c r="H30" s="15"/>
      <c r="I30" s="15"/>
      <c r="J30" s="15"/>
      <c r="K30" s="15"/>
      <c r="L30" s="15"/>
    </row>
    <row r="31" spans="1:12">
      <c r="A31" s="23"/>
      <c r="B31" s="24"/>
      <c r="C31" s="25"/>
      <c r="D31" s="15"/>
      <c r="E31" s="15"/>
      <c r="F31" s="15"/>
      <c r="G31" s="15"/>
      <c r="H31" s="15"/>
      <c r="I31" s="15"/>
      <c r="J31" s="15"/>
      <c r="K31" s="15"/>
      <c r="L31" s="15"/>
    </row>
    <row r="32" spans="1:12">
      <c r="A32" s="23"/>
      <c r="B32" s="24"/>
      <c r="C32" s="25"/>
      <c r="D32" s="15"/>
      <c r="E32" s="15"/>
      <c r="F32" s="15"/>
      <c r="G32" s="15"/>
      <c r="H32" s="15"/>
      <c r="I32" s="15"/>
      <c r="J32" s="15"/>
      <c r="K32" s="15"/>
      <c r="L32" s="15"/>
    </row>
    <row r="33" spans="1:12">
      <c r="A33" s="23"/>
      <c r="B33" s="24"/>
      <c r="C33" s="25"/>
      <c r="D33" s="15"/>
      <c r="E33" s="15"/>
      <c r="F33" s="15"/>
      <c r="G33" s="15"/>
      <c r="H33" s="15"/>
      <c r="I33" s="15"/>
      <c r="J33" s="15"/>
      <c r="K33" s="15"/>
      <c r="L33" s="15"/>
    </row>
    <row r="34" spans="1:12">
      <c r="A34" s="23"/>
      <c r="B34" s="24"/>
      <c r="C34" s="25"/>
      <c r="D34" s="15"/>
      <c r="E34" s="15"/>
      <c r="F34" s="15"/>
      <c r="G34" s="15"/>
      <c r="H34" s="15"/>
      <c r="I34" s="15"/>
      <c r="J34" s="15"/>
      <c r="K34" s="15"/>
      <c r="L34" s="15"/>
    </row>
    <row r="35" spans="1:12">
      <c r="A35" s="23"/>
      <c r="B35" s="24"/>
      <c r="C35" s="25"/>
      <c r="D35" s="15"/>
      <c r="E35" s="15"/>
      <c r="F35" s="15"/>
      <c r="G35" s="15"/>
      <c r="H35" s="15"/>
      <c r="I35" s="15"/>
      <c r="J35" s="15"/>
      <c r="K35" s="15"/>
      <c r="L35" s="15"/>
    </row>
    <row r="36" spans="1:12">
      <c r="A36" s="23"/>
      <c r="B36" s="24"/>
      <c r="C36" s="25"/>
      <c r="D36" s="15"/>
      <c r="E36" s="15"/>
      <c r="F36" s="15"/>
      <c r="G36" s="15"/>
      <c r="H36" s="15"/>
      <c r="I36" s="15"/>
      <c r="J36" s="15"/>
      <c r="K36" s="15"/>
      <c r="L36" s="15"/>
    </row>
    <row r="37" spans="1:12">
      <c r="A37" s="23"/>
      <c r="B37" s="24"/>
      <c r="C37" s="25"/>
      <c r="D37" s="15"/>
      <c r="E37" s="15"/>
      <c r="F37" s="15"/>
      <c r="G37" s="15"/>
      <c r="H37" s="15"/>
      <c r="I37" s="15"/>
      <c r="J37" s="15"/>
      <c r="K37" s="15"/>
      <c r="L37" s="15"/>
    </row>
    <row r="38" spans="1:12">
      <c r="A38" s="23"/>
      <c r="B38" s="24"/>
      <c r="C38" s="25"/>
      <c r="D38" s="15"/>
      <c r="E38" s="15"/>
      <c r="F38" s="15"/>
      <c r="G38" s="15"/>
      <c r="H38" s="15"/>
      <c r="I38" s="15"/>
      <c r="J38" s="15"/>
      <c r="K38" s="15"/>
      <c r="L38" s="15"/>
    </row>
    <row r="39" spans="1:12">
      <c r="A39" s="23"/>
      <c r="B39" s="24"/>
      <c r="C39" s="25"/>
      <c r="D39" s="15"/>
      <c r="E39" s="15"/>
      <c r="F39" s="15"/>
      <c r="G39" s="15"/>
      <c r="H39" s="15"/>
      <c r="I39" s="15"/>
      <c r="J39" s="15"/>
      <c r="K39" s="15"/>
      <c r="L39" s="15"/>
    </row>
    <row r="40" spans="1:12">
      <c r="A40" s="23"/>
      <c r="B40" s="24"/>
      <c r="C40" s="25"/>
      <c r="D40" s="15"/>
      <c r="E40" s="15"/>
      <c r="F40" s="15"/>
      <c r="G40" s="15"/>
      <c r="H40" s="15"/>
      <c r="I40" s="15"/>
      <c r="J40" s="15"/>
      <c r="K40" s="15"/>
      <c r="L40" s="15"/>
    </row>
    <row r="41" spans="1:12">
      <c r="A41" s="23"/>
      <c r="B41" s="24"/>
      <c r="C41" s="25"/>
      <c r="D41" s="15"/>
      <c r="E41" s="15"/>
      <c r="F41" s="15"/>
      <c r="G41" s="15"/>
      <c r="H41" s="15"/>
      <c r="I41" s="15"/>
      <c r="J41" s="15"/>
      <c r="K41" s="15"/>
      <c r="L41" s="15"/>
    </row>
    <row r="42" spans="1:12">
      <c r="A42" s="23"/>
      <c r="B42" s="24"/>
      <c r="C42" s="25"/>
      <c r="D42" s="15"/>
      <c r="E42" s="15"/>
      <c r="F42" s="15"/>
      <c r="G42" s="15"/>
      <c r="H42" s="15"/>
      <c r="I42" s="15"/>
      <c r="J42" s="15"/>
      <c r="K42" s="15"/>
      <c r="L42" s="15"/>
    </row>
    <row r="43" spans="1:12">
      <c r="A43" s="23"/>
      <c r="B43" s="24"/>
      <c r="C43" s="25"/>
      <c r="D43" s="15"/>
      <c r="E43" s="15"/>
      <c r="F43" s="15"/>
      <c r="G43" s="15"/>
      <c r="H43" s="15"/>
      <c r="I43" s="15"/>
      <c r="J43" s="15"/>
      <c r="K43" s="15"/>
      <c r="L43" s="15"/>
    </row>
    <row r="44" spans="1:12">
      <c r="A44" s="23"/>
      <c r="B44" s="24"/>
      <c r="C44" s="25"/>
      <c r="D44" s="15"/>
      <c r="E44" s="15"/>
      <c r="F44" s="15"/>
      <c r="G44" s="15"/>
      <c r="H44" s="15"/>
      <c r="I44" s="15"/>
      <c r="J44" s="15"/>
      <c r="K44" s="15"/>
      <c r="L44" s="15"/>
    </row>
    <row r="45" spans="1:12">
      <c r="A45" s="23"/>
      <c r="B45" s="24"/>
      <c r="C45" s="25"/>
      <c r="D45" s="15"/>
      <c r="E45" s="15"/>
      <c r="F45" s="15"/>
      <c r="G45" s="15"/>
      <c r="H45" s="15"/>
      <c r="I45" s="15"/>
      <c r="J45" s="15"/>
      <c r="K45" s="15"/>
      <c r="L45" s="15"/>
    </row>
    <row r="46" spans="1:1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</row>
    <row r="47" spans="1:1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8" spans="1:1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</row>
    <row r="49" spans="1:1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</row>
    <row r="50" spans="1:1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</row>
    <row r="51" spans="1:1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</row>
    <row r="52" spans="1:1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</row>
    <row r="53" spans="1:1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</row>
    <row r="54" spans="1:1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</row>
    <row r="55" spans="1:1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</row>
    <row r="56" spans="1:1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</row>
    <row r="57" spans="1:1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</row>
    <row r="58" spans="1:1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</row>
    <row r="59" spans="1:1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</row>
    <row r="60" spans="1:1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  <row r="61" spans="1:1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</row>
    <row r="62" spans="1:1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</row>
    <row r="63" spans="1:1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</row>
    <row r="64" spans="1:1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</row>
    <row r="65" spans="1:1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</row>
    <row r="66" spans="1:1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</row>
    <row r="70" spans="1:1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</row>
    <row r="80" spans="1:1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</row>
    <row r="81" spans="1:1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</row>
    <row r="82" spans="1:1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</row>
    <row r="83" spans="1:1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</row>
    <row r="89" spans="1:1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</row>
    <row r="102" spans="1:1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</row>
    <row r="105" spans="1:1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</row>
    <row r="109" spans="1:1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1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</row>
    <row r="114" spans="1:1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1:1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</row>
    <row r="116" spans="1:1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</row>
    <row r="117" spans="1:1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</row>
    <row r="118" spans="1:1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1:1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</row>
    <row r="120" spans="1:1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1:1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</row>
    <row r="122" spans="1:1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1:1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</row>
    <row r="124" spans="1:1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1:1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</row>
    <row r="126" spans="1:1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</row>
    <row r="127" spans="1:1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</row>
    <row r="128" spans="1:1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</row>
    <row r="129" spans="1:1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</row>
    <row r="130" spans="1:1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</row>
    <row r="131" spans="1:1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</row>
    <row r="132" spans="1:1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</row>
    <row r="133" spans="1:1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</row>
    <row r="134" spans="1:1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</row>
    <row r="135" spans="1:1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</row>
    <row r="136" spans="1:1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</row>
    <row r="137" spans="1:1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</row>
    <row r="138" spans="1:1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</row>
    <row r="139" spans="1:1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</row>
    <row r="140" spans="1:1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</row>
    <row r="141" spans="1:1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</row>
    <row r="142" spans="1:1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</row>
    <row r="143" spans="1:1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</row>
    <row r="144" spans="1:1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</row>
    <row r="145" spans="1:1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</row>
    <row r="146" spans="1:1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</row>
    <row r="147" spans="1:1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</row>
    <row r="148" spans="1:1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</row>
    <row r="153" spans="1:1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</row>
    <row r="154" spans="1:1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</row>
    <row r="155" spans="1:1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</row>
    <row r="156" spans="1:1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</row>
    <row r="157" spans="1:1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</row>
    <row r="158" spans="1:1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</row>
    <row r="159" spans="1:1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</row>
    <row r="160" spans="1:1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</row>
    <row r="161" spans="1:1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</row>
    <row r="162" spans="1:1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</row>
    <row r="163" spans="1:1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</row>
    <row r="164" spans="1:1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</row>
    <row r="165" spans="1:1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</row>
    <row r="166" spans="1:1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</row>
    <row r="167" spans="1:1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</row>
    <row r="168" spans="1:1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</row>
    <row r="169" spans="1:12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</row>
    <row r="170" spans="1:12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</row>
    <row r="171" spans="1:12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</row>
    <row r="172" spans="1:12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</row>
    <row r="173" spans="1:12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</row>
    <row r="174" spans="1:1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</row>
    <row r="175" spans="1:1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</row>
    <row r="176" spans="1:12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</row>
    <row r="177" spans="1:1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</row>
    <row r="178" spans="1:12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</row>
    <row r="179" spans="1:12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</row>
    <row r="180" spans="1:12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</row>
    <row r="181" spans="1:12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</row>
    <row r="182" spans="1:12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</row>
    <row r="183" spans="1:12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</row>
    <row r="184" spans="1:12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</row>
    <row r="185" spans="1:1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</row>
    <row r="186" spans="1:1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</row>
    <row r="187" spans="1:12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</row>
    <row r="188" spans="1:1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</row>
    <row r="189" spans="1:1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</row>
    <row r="190" spans="1:12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</row>
    <row r="191" spans="1:12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</row>
    <row r="192" spans="1:12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</row>
    <row r="193" spans="1:12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</row>
    <row r="194" spans="1:12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</row>
    <row r="195" spans="1:12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</row>
    <row r="196" spans="1:12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</row>
    <row r="197" spans="1:12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</row>
    <row r="198" spans="1:12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</row>
    <row r="199" spans="1:12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</row>
    <row r="200" spans="1:12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</row>
    <row r="201" spans="1:12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</row>
    <row r="202" spans="1:12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</row>
    <row r="203" spans="1:12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</row>
    <row r="204" spans="1:12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</row>
    <row r="205" spans="1:12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</row>
    <row r="206" spans="1:12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</row>
    <row r="207" spans="1:12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</row>
    <row r="208" spans="1:12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</row>
    <row r="209" spans="1:12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</row>
    <row r="210" spans="1:12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</row>
    <row r="211" spans="1:12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</row>
    <row r="212" spans="1:12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</row>
    <row r="213" spans="1:12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</row>
    <row r="214" spans="1:12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</row>
    <row r="215" spans="1:12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</row>
    <row r="216" spans="1:1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</row>
    <row r="217" spans="1:1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</row>
    <row r="218" spans="1:1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</row>
    <row r="219" spans="1:1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</row>
    <row r="220" spans="1:1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</row>
    <row r="221" spans="1:1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</row>
    <row r="222" spans="1:12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</row>
    <row r="223" spans="1:12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</row>
    <row r="224" spans="1:12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</row>
    <row r="225" spans="1:12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</row>
    <row r="226" spans="1:12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</row>
    <row r="227" spans="1:12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</row>
    <row r="228" spans="1:12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</row>
    <row r="229" spans="1:12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</row>
    <row r="230" spans="1:1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</row>
    <row r="231" spans="1:1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</row>
    <row r="232" spans="1:12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</row>
    <row r="233" spans="1:1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</row>
    <row r="234" spans="1:1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</row>
    <row r="235" spans="1:12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</row>
    <row r="236" spans="1:12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</row>
    <row r="237" spans="1:12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</row>
    <row r="238" spans="1:12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</row>
    <row r="239" spans="1:12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</row>
    <row r="240" spans="1:12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</row>
    <row r="241" spans="1:12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</row>
    <row r="242" spans="1:1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</row>
    <row r="243" spans="1:1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</row>
    <row r="244" spans="1:12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</row>
    <row r="245" spans="1:12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</row>
    <row r="246" spans="1:12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</row>
    <row r="247" spans="1:12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</row>
    <row r="248" spans="1:12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</row>
    <row r="249" spans="1:12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</row>
    <row r="250" spans="1:12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</row>
    <row r="251" spans="1:12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</row>
    <row r="252" spans="1:12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</row>
    <row r="253" spans="1:12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</row>
    <row r="254" spans="1:12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</row>
    <row r="255" spans="1:12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</row>
    <row r="256" spans="1:12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</row>
    <row r="257" spans="1:1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</row>
    <row r="258" spans="1:12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</row>
    <row r="259" spans="1:1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</row>
    <row r="260" spans="1:1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</row>
    <row r="261" spans="1:1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</row>
    <row r="262" spans="1:1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</row>
    <row r="263" spans="1:1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</row>
    <row r="264" spans="1:1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</row>
    <row r="265" spans="1:12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</row>
    <row r="266" spans="1:12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</row>
    <row r="267" spans="1:12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</row>
    <row r="268" spans="1:12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</row>
    <row r="269" spans="1:12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</row>
    <row r="270" spans="1:12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</row>
    <row r="271" spans="1:12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</row>
    <row r="272" spans="1:12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</row>
    <row r="273" spans="1:12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</row>
    <row r="274" spans="1:1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</row>
    <row r="275" spans="1:1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</row>
    <row r="276" spans="1:1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</row>
    <row r="277" spans="1:1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</row>
    <row r="278" spans="1:1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</row>
    <row r="279" spans="1:1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</row>
    <row r="280" spans="1:12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</row>
    <row r="281" spans="1:1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</row>
    <row r="282" spans="1:12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</row>
    <row r="283" spans="1:1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</row>
    <row r="284" spans="1:1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</row>
    <row r="285" spans="1:1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</row>
    <row r="286" spans="1:1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</row>
    <row r="287" spans="1:1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</row>
    <row r="288" spans="1:1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</row>
    <row r="289" spans="1:1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</row>
    <row r="290" spans="1:1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</row>
    <row r="291" spans="1:1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</row>
    <row r="292" spans="1:1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</row>
    <row r="293" spans="1:1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</row>
    <row r="294" spans="1:1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</row>
    <row r="295" spans="1:1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</row>
    <row r="296" spans="1:1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</row>
    <row r="297" spans="1:1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</row>
    <row r="298" spans="1:1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</row>
    <row r="299" spans="1:1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</row>
    <row r="300" spans="1:1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</row>
    <row r="301" spans="1:1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</row>
    <row r="302" spans="1:1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</row>
    <row r="303" spans="1:1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</row>
    <row r="304" spans="1:1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</row>
    <row r="305" spans="1:1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</row>
    <row r="306" spans="1:1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</row>
    <row r="307" spans="1:1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</row>
    <row r="308" spans="1:1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</row>
    <row r="309" spans="1:1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</row>
    <row r="310" spans="1:1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</row>
    <row r="311" spans="1:1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</row>
    <row r="312" spans="1:1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</row>
    <row r="313" spans="1:1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</row>
    <row r="314" spans="1:1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</row>
    <row r="315" spans="1:1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</row>
    <row r="316" spans="1:1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</row>
    <row r="317" spans="1:1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</row>
    <row r="318" spans="1:1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</row>
    <row r="319" spans="1:1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</row>
    <row r="320" spans="1:1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</row>
    <row r="321" spans="1:1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</row>
    <row r="322" spans="1:1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</row>
    <row r="323" spans="1:1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</row>
    <row r="324" spans="1:1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</row>
    <row r="325" spans="1:1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</row>
    <row r="326" spans="1:1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</row>
    <row r="327" spans="1:1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</row>
    <row r="328" spans="1:1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</row>
    <row r="329" spans="1:1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</row>
    <row r="330" spans="1:1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</row>
    <row r="331" spans="1:1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</row>
    <row r="332" spans="1:1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</row>
    <row r="333" spans="1:1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</row>
    <row r="334" spans="1:1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</row>
    <row r="335" spans="1:1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</row>
    <row r="336" spans="1:1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</row>
    <row r="337" spans="1:1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</row>
    <row r="338" spans="1:1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</row>
    <row r="339" spans="1:1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</row>
    <row r="340" spans="1:1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</row>
    <row r="341" spans="1:1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</row>
    <row r="342" spans="1:1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</row>
    <row r="343" spans="1:1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</row>
    <row r="344" spans="1:1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</row>
    <row r="345" spans="1:1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</row>
    <row r="346" spans="1:1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</row>
    <row r="347" spans="1:1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</row>
    <row r="348" spans="1:1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</row>
    <row r="349" spans="1:1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</row>
    <row r="350" spans="1:1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</row>
    <row r="351" spans="1:1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</row>
    <row r="352" spans="1:1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</row>
    <row r="353" spans="1:1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</row>
    <row r="354" spans="1:1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</row>
    <row r="355" spans="1:1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</row>
    <row r="356" spans="1:1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</row>
    <row r="357" spans="1:1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</row>
    <row r="358" spans="1:1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</row>
    <row r="359" spans="1:1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</row>
    <row r="360" spans="1:1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</row>
    <row r="361" spans="1:1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</row>
    <row r="362" spans="1:1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</row>
    <row r="363" spans="1:1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</row>
    <row r="364" spans="1:1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</row>
    <row r="365" spans="1:1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</row>
    <row r="366" spans="1:1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</row>
    <row r="367" spans="1:1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</row>
    <row r="368" spans="1:1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</row>
    <row r="369" spans="1:1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</row>
    <row r="370" spans="1:1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</row>
    <row r="371" spans="1:1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</row>
    <row r="372" spans="1:1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</row>
    <row r="373" spans="1:1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</row>
    <row r="374" spans="1:1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</row>
    <row r="375" spans="1:1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</row>
    <row r="376" spans="1:1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</row>
    <row r="377" spans="1:1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</row>
    <row r="378" spans="1:1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</row>
    <row r="379" spans="1:1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</row>
    <row r="380" spans="1:1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</row>
    <row r="381" spans="1:1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</row>
    <row r="382" spans="1:1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</row>
    <row r="383" spans="1:1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</row>
    <row r="384" spans="1:1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</row>
    <row r="385" spans="1:1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</row>
    <row r="386" spans="1:1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</row>
    <row r="387" spans="1:1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</row>
    <row r="388" spans="1:1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</row>
    <row r="389" spans="1:1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</row>
    <row r="390" spans="1:1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</row>
    <row r="391" spans="1:1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</row>
    <row r="392" spans="1:1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</row>
    <row r="393" spans="1:1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</row>
    <row r="394" spans="1:1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</row>
    <row r="395" spans="1:1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</row>
    <row r="396" spans="1:1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</row>
    <row r="397" spans="1:1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</row>
    <row r="398" spans="1:1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</row>
    <row r="399" spans="1:1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</row>
    <row r="400" spans="1:1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</row>
    <row r="401" spans="1:1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</row>
    <row r="402" spans="1:1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</row>
    <row r="403" spans="1:1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</row>
    <row r="404" spans="1:1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</row>
    <row r="405" spans="1:1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</row>
    <row r="406" spans="1:1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</row>
    <row r="407" spans="1:1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</row>
    <row r="408" spans="1:1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</row>
    <row r="409" spans="1:1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</row>
    <row r="410" spans="1:1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</row>
    <row r="411" spans="1:1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</row>
    <row r="412" spans="1:1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</row>
    <row r="413" spans="1:1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</row>
    <row r="414" spans="1:1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</row>
    <row r="415" spans="1:1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</row>
    <row r="416" spans="1:1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</row>
    <row r="417" spans="1:1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</row>
    <row r="418" spans="1:1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</row>
    <row r="419" spans="1:1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</row>
    <row r="420" spans="1:1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</row>
    <row r="421" spans="1:1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</row>
    <row r="422" spans="1:1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</row>
    <row r="423" spans="1:1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</row>
    <row r="424" spans="1:1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</row>
    <row r="425" spans="1:1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</row>
    <row r="426" spans="1:1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</row>
    <row r="427" spans="1:1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</row>
    <row r="428" spans="1:1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</row>
    <row r="429" spans="1:1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</row>
    <row r="430" spans="1:1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</row>
    <row r="431" spans="1:1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</row>
    <row r="432" spans="1:1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</row>
    <row r="433" spans="1:1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</row>
    <row r="434" spans="1:1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</row>
    <row r="435" spans="1:1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</row>
    <row r="436" spans="1:1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</row>
    <row r="437" spans="1:1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</row>
    <row r="438" spans="1:1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</row>
    <row r="439" spans="1:1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</row>
    <row r="440" spans="1:1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</row>
    <row r="441" spans="1:1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</row>
    <row r="442" spans="1:1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</row>
    <row r="443" spans="1:1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</row>
    <row r="444" spans="1:1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</row>
    <row r="445" spans="1:1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</row>
    <row r="446" spans="1:1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</row>
    <row r="447" spans="1:1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</row>
    <row r="448" spans="1:1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</row>
    <row r="449" spans="1:1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</row>
    <row r="450" spans="1:1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</row>
    <row r="451" spans="1:1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</row>
    <row r="452" spans="1:1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</row>
    <row r="453" spans="1:1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</row>
    <row r="454" spans="1:1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</row>
    <row r="455" spans="1:1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</row>
    <row r="456" spans="1:1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</row>
    <row r="457" spans="1:1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</row>
    <row r="458" spans="1:1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</row>
    <row r="459" spans="1:1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</row>
    <row r="460" spans="1:1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</row>
    <row r="461" spans="1:1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</row>
    <row r="462" spans="1:1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</row>
    <row r="463" spans="1:1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</row>
    <row r="464" spans="1:1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</row>
    <row r="465" spans="1:1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</row>
    <row r="466" spans="1:1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</row>
    <row r="467" spans="1:1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</row>
    <row r="468" spans="1:1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</row>
    <row r="469" spans="1:1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</row>
    <row r="470" spans="1:1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</row>
    <row r="471" spans="1:1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</row>
    <row r="472" spans="1:1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</row>
    <row r="473" spans="1:1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</row>
    <row r="474" spans="1:1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</row>
    <row r="475" spans="1:1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</row>
    <row r="476" spans="1:1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</row>
    <row r="477" spans="1:1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</row>
    <row r="478" spans="1:1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</row>
    <row r="479" spans="1:1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</row>
    <row r="480" spans="1:1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</row>
    <row r="481" spans="1:1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</row>
    <row r="482" spans="1:1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</row>
    <row r="483" spans="1:1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</row>
    <row r="484" spans="1:1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</row>
    <row r="486" spans="1:1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</row>
    <row r="487" spans="1:1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</row>
    <row r="488" spans="1:1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</row>
    <row r="489" spans="1:1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</row>
    <row r="490" spans="1:1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</row>
    <row r="492" spans="1:1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</row>
    <row r="493" spans="1:1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</row>
    <row r="494" spans="1:1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</row>
    <row r="495" spans="1:1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</row>
    <row r="496" spans="1:1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</row>
    <row r="497" spans="1:1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</row>
    <row r="498" spans="1:1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</row>
    <row r="499" spans="1:1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</row>
    <row r="500" spans="1:1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</row>
    <row r="501" spans="1:1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</row>
    <row r="502" spans="1:1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</row>
    <row r="503" spans="1:1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</row>
    <row r="504" spans="1:1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</row>
    <row r="505" spans="1:1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</row>
    <row r="506" spans="1:1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</row>
    <row r="507" spans="1:1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</row>
    <row r="508" spans="1:1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</row>
    <row r="509" spans="1:1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</row>
    <row r="510" spans="1:1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</row>
    <row r="511" spans="1:1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</row>
    <row r="512" spans="1:1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</row>
    <row r="513" spans="1:1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</row>
    <row r="514" spans="1:1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</row>
    <row r="515" spans="1:1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</row>
    <row r="516" spans="1:1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</row>
    <row r="517" spans="1:1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</row>
    <row r="518" spans="1:1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</row>
    <row r="519" spans="1:1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</row>
    <row r="520" spans="1:1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</row>
    <row r="521" spans="1:1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</row>
    <row r="522" spans="1:1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</row>
    <row r="523" spans="1:1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</row>
    <row r="524" spans="1:1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</row>
    <row r="525" spans="1:1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</row>
    <row r="526" spans="1:1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</row>
    <row r="527" spans="1:1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</row>
    <row r="528" spans="1:1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</row>
    <row r="529" spans="1:1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</row>
    <row r="530" spans="1:1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</row>
    <row r="531" spans="1:1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</row>
    <row r="532" spans="1:1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</row>
    <row r="533" spans="1:1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</row>
    <row r="534" spans="1:1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</row>
    <row r="535" spans="1:1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</row>
    <row r="536" spans="1:1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</row>
    <row r="537" spans="1:1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</row>
    <row r="538" spans="1:1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</row>
    <row r="539" spans="1:1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</row>
    <row r="540" spans="1:1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</row>
    <row r="541" spans="1:1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</row>
    <row r="542" spans="1:1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</row>
    <row r="543" spans="1:1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</row>
    <row r="544" spans="1:1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</row>
    <row r="545" spans="1:1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</row>
    <row r="546" spans="1:1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</row>
    <row r="547" spans="1:1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</row>
    <row r="548" spans="1:1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</row>
    <row r="549" spans="1:1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</row>
    <row r="550" spans="1:1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</row>
    <row r="551" spans="1:1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</row>
    <row r="552" spans="1:1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</row>
    <row r="553" spans="1:1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</row>
    <row r="554" spans="1:1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</row>
    <row r="555" spans="1:1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</row>
    <row r="556" spans="1:1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</row>
    <row r="557" spans="1:1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</row>
    <row r="558" spans="1:1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</row>
    <row r="559" spans="1:1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</row>
    <row r="560" spans="1:1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</row>
    <row r="561" spans="1:1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</row>
    <row r="562" spans="1:1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</row>
    <row r="563" spans="1:1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</row>
    <row r="564" spans="1:1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</row>
    <row r="565" spans="1:1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</row>
    <row r="566" spans="1:1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</row>
    <row r="567" spans="1:1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</row>
    <row r="568" spans="1:1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</row>
    <row r="569" spans="1:1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</row>
    <row r="570" spans="1:1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</row>
    <row r="571" spans="1:1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</row>
    <row r="572" spans="1:1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</row>
    <row r="573" spans="1:1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</row>
    <row r="574" spans="1:1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</row>
    <row r="575" spans="1:1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</row>
    <row r="576" spans="1:1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</row>
    <row r="577" spans="1:1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</row>
    <row r="578" spans="1:1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</row>
    <row r="579" spans="1:1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</row>
    <row r="580" spans="1:1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</row>
    <row r="581" spans="1:1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</row>
    <row r="582" spans="1:1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</row>
    <row r="583" spans="1:1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</row>
    <row r="584" spans="1:1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</row>
    <row r="585" spans="1:1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</row>
    <row r="586" spans="1:1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</row>
    <row r="587" spans="1:1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</row>
    <row r="588" spans="1:1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</row>
    <row r="589" spans="1:1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</row>
    <row r="590" spans="1:1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</row>
    <row r="591" spans="1:1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</row>
    <row r="592" spans="1:1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</row>
    <row r="593" spans="1:1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</row>
    <row r="594" spans="1:1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</row>
    <row r="595" spans="1:1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</row>
    <row r="596" spans="1:1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</row>
    <row r="597" spans="1:1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</row>
    <row r="598" spans="1:1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</row>
    <row r="599" spans="1:1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</row>
    <row r="600" spans="1:1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</row>
    <row r="601" spans="1:1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</row>
    <row r="602" spans="1:1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</row>
    <row r="603" spans="1:1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</row>
    <row r="604" spans="1:1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</row>
    <row r="605" spans="1:1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</row>
    <row r="606" spans="1:1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</row>
    <row r="607" spans="1:1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</row>
    <row r="608" spans="1:1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</row>
    <row r="609" spans="1:1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</row>
    <row r="610" spans="1:1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</row>
    <row r="611" spans="1:1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</row>
    <row r="612" spans="1:1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</row>
    <row r="613" spans="1:1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</row>
    <row r="614" spans="1:1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</row>
    <row r="615" spans="1:1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</row>
    <row r="616" spans="1:1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</row>
    <row r="617" spans="1:1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</row>
    <row r="618" spans="1:1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</row>
    <row r="619" spans="1:1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</row>
    <row r="620" spans="1:1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</row>
    <row r="621" spans="1:1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</row>
    <row r="622" spans="1:1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</row>
    <row r="623" spans="1:1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</row>
    <row r="624" spans="1:1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</row>
    <row r="625" spans="1:1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</row>
    <row r="626" spans="1:1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</row>
    <row r="627" spans="1:1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</row>
    <row r="628" spans="1:1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</row>
    <row r="629" spans="1:1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</row>
    <row r="630" spans="1:1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</row>
    <row r="631" spans="1:1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</row>
    <row r="632" spans="1:1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</row>
    <row r="633" spans="1:1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</row>
    <row r="634" spans="1:1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</row>
    <row r="635" spans="1:1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</row>
    <row r="636" spans="1:1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</row>
    <row r="637" spans="1:1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</row>
    <row r="638" spans="1:1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</row>
    <row r="639" spans="1:1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</row>
    <row r="640" spans="1:1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</row>
    <row r="641" spans="1:1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</row>
    <row r="642" spans="1:1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</row>
    <row r="643" spans="1:1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</row>
    <row r="644" spans="1:1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</row>
    <row r="645" spans="1:1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</row>
    <row r="646" spans="1:1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</row>
    <row r="647" spans="1:1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</row>
    <row r="648" spans="1:1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</row>
    <row r="649" spans="1:1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</row>
    <row r="650" spans="1:1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</row>
    <row r="651" spans="1:1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</row>
    <row r="652" spans="1:1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</row>
    <row r="653" spans="1:1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</row>
    <row r="654" spans="1:1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</row>
    <row r="655" spans="1:1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</row>
    <row r="656" spans="1:1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</row>
    <row r="657" spans="1:1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</row>
    <row r="658" spans="1:1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</row>
    <row r="659" spans="1:1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</row>
    <row r="660" spans="1:1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</row>
    <row r="661" spans="1:1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</row>
    <row r="662" spans="1:1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</row>
    <row r="663" spans="1:1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</row>
    <row r="664" spans="1:1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</row>
    <row r="665" spans="1:1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</row>
    <row r="666" spans="1:1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</row>
    <row r="667" spans="1:1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</row>
    <row r="668" spans="1:1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</row>
    <row r="669" spans="1:1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</row>
    <row r="670" spans="1:1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</row>
    <row r="671" spans="1:12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</row>
    <row r="672" spans="1:12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</row>
    <row r="673" spans="1:12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</row>
    <row r="674" spans="1:12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</row>
    <row r="675" spans="1:12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</row>
    <row r="676" spans="1:12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</row>
    <row r="677" spans="1:12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</row>
    <row r="678" spans="1:12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</row>
    <row r="679" spans="1:12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</row>
    <row r="680" spans="1:12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</row>
    <row r="681" spans="1:12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</row>
    <row r="682" spans="1:12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</row>
    <row r="683" spans="1:1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</row>
    <row r="684" spans="1:1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</row>
    <row r="685" spans="1:1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</row>
    <row r="686" spans="1:1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</row>
    <row r="687" spans="1:1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</row>
    <row r="688" spans="1:1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</row>
    <row r="689" spans="1:12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</row>
    <row r="690" spans="1:12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</row>
    <row r="691" spans="1:12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</row>
    <row r="692" spans="1:12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</row>
    <row r="693" spans="1:12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</row>
    <row r="694" spans="1:12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</row>
    <row r="695" spans="1:12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</row>
    <row r="696" spans="1:12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</row>
    <row r="697" spans="1:12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</row>
    <row r="698" spans="1:12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</row>
    <row r="699" spans="1:12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</row>
    <row r="700" spans="1:12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</row>
    <row r="701" spans="1:12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</row>
    <row r="702" spans="1:12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</row>
    <row r="703" spans="1:12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</row>
    <row r="704" spans="1:12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</row>
    <row r="705" spans="1:12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</row>
    <row r="706" spans="1:12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</row>
    <row r="707" spans="1:12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</row>
    <row r="708" spans="1:12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</row>
    <row r="709" spans="1:12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</row>
    <row r="710" spans="1:12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</row>
    <row r="711" spans="1:12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</row>
    <row r="712" spans="1:12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</row>
    <row r="713" spans="1:12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</row>
    <row r="714" spans="1:12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</row>
    <row r="715" spans="1:12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</row>
    <row r="716" spans="1:12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</row>
    <row r="717" spans="1:12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</row>
    <row r="718" spans="1:12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</row>
    <row r="719" spans="1:12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</row>
    <row r="720" spans="1:12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</row>
    <row r="721" spans="1:12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</row>
    <row r="722" spans="1:12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</row>
    <row r="723" spans="1:12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</row>
    <row r="724" spans="1:12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</row>
    <row r="725" spans="1:12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</row>
    <row r="726" spans="1:12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</row>
    <row r="727" spans="1:12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</row>
    <row r="728" spans="1:12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</row>
    <row r="729" spans="1:12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</row>
    <row r="730" spans="1:12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</row>
    <row r="731" spans="1:12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</row>
    <row r="732" spans="1:12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</row>
    <row r="733" spans="1:12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</row>
    <row r="734" spans="1:12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</row>
    <row r="735" spans="1:12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</row>
    <row r="736" spans="1:12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</row>
    <row r="737" spans="1:12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</row>
    <row r="738" spans="1:12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</row>
    <row r="739" spans="1:12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</row>
    <row r="740" spans="1:12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</row>
    <row r="741" spans="1:12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</row>
    <row r="742" spans="1:12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</row>
    <row r="743" spans="1:12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</row>
    <row r="744" spans="1:12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</row>
    <row r="745" spans="1:12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</row>
    <row r="746" spans="1:12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</row>
    <row r="747" spans="1:12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</row>
    <row r="748" spans="1:12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</row>
    <row r="749" spans="1:12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</row>
    <row r="750" spans="1:12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</row>
    <row r="751" spans="1:12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</row>
    <row r="752" spans="1:12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</row>
    <row r="753" spans="1:12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</row>
    <row r="754" spans="1:12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</row>
    <row r="755" spans="1:12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</row>
    <row r="756" spans="1:12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</row>
    <row r="757" spans="1:12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</row>
    <row r="758" spans="1:12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</row>
    <row r="759" spans="1:12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</row>
    <row r="760" spans="1:12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</row>
    <row r="761" spans="1:12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</row>
    <row r="762" spans="1:12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</row>
    <row r="763" spans="1:12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</row>
    <row r="764" spans="1:12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</row>
    <row r="765" spans="1:12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</row>
    <row r="766" spans="1:12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</row>
    <row r="767" spans="1:12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</row>
    <row r="768" spans="1:12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</row>
    <row r="769" spans="1:12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</row>
    <row r="770" spans="1:12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</row>
    <row r="771" spans="1:12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</row>
    <row r="772" spans="1:12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</row>
    <row r="773" spans="1:12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</row>
    <row r="774" spans="1:12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</row>
    <row r="775" spans="1:12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</row>
    <row r="776" spans="1:12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</row>
    <row r="777" spans="1:12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</row>
    <row r="778" spans="1:12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</row>
    <row r="779" spans="1:12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</row>
    <row r="780" spans="1:12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</row>
    <row r="781" spans="1:12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</row>
    <row r="782" spans="1:12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</row>
    <row r="783" spans="1:12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</row>
    <row r="784" spans="1:12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</row>
    <row r="785" spans="1:12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</row>
    <row r="786" spans="1:12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</row>
    <row r="787" spans="1:12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</row>
    <row r="788" spans="1:12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</row>
    <row r="789" spans="1:12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</row>
    <row r="790" spans="1:12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</row>
    <row r="791" spans="1:12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</row>
    <row r="792" spans="1:12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</row>
    <row r="793" spans="1:12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</row>
    <row r="794" spans="1:12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</row>
    <row r="795" spans="1:12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</row>
    <row r="796" spans="1:12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</row>
    <row r="797" spans="1:12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</row>
    <row r="798" spans="1:12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</row>
    <row r="799" spans="1:12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</row>
    <row r="800" spans="1:12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</row>
    <row r="801" spans="1:12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</row>
    <row r="802" spans="1:12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</row>
    <row r="803" spans="1:12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</row>
    <row r="804" spans="1:12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</row>
    <row r="805" spans="1:12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</row>
    <row r="806" spans="1:12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</row>
    <row r="807" spans="1:12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</row>
    <row r="808" spans="1:12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</row>
    <row r="809" spans="1:12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</row>
    <row r="810" spans="1:12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</row>
    <row r="811" spans="1:12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</row>
    <row r="812" spans="1:12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</row>
    <row r="813" spans="1:12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</row>
    <row r="814" spans="1:12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</row>
    <row r="815" spans="1:12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</row>
    <row r="816" spans="1:12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</row>
    <row r="817" spans="1:12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</row>
    <row r="818" spans="1:12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</row>
    <row r="819" spans="1:12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</row>
    <row r="820" spans="1:12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</row>
    <row r="821" spans="1:12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</row>
    <row r="822" spans="1:12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</row>
    <row r="823" spans="1:12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</row>
    <row r="824" spans="1:12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</row>
    <row r="825" spans="1:12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</row>
    <row r="826" spans="1:12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</row>
    <row r="827" spans="1:12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</row>
    <row r="828" spans="1:12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</row>
    <row r="829" spans="1:12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</row>
    <row r="830" spans="1:12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</row>
    <row r="831" spans="1:12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</row>
    <row r="832" spans="1:12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</row>
    <row r="833" spans="1:12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</row>
    <row r="834" spans="1:12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</row>
    <row r="835" spans="1:12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</row>
    <row r="836" spans="1:12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</row>
    <row r="837" spans="1:12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</row>
    <row r="838" spans="1:12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</row>
    <row r="839" spans="1:12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</row>
    <row r="840" spans="1:12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</row>
    <row r="841" spans="1:12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</row>
    <row r="842" spans="1:12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</row>
    <row r="843" spans="1:12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</row>
    <row r="844" spans="1:12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</row>
    <row r="845" spans="1:12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</row>
    <row r="846" spans="1:12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</row>
    <row r="847" spans="1:12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</row>
    <row r="848" spans="1:12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</row>
    <row r="849" spans="1:12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</row>
    <row r="850" spans="1:12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</row>
    <row r="851" spans="1:12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</row>
    <row r="852" spans="1:12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</row>
    <row r="853" spans="1:12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</row>
    <row r="854" spans="1:12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</row>
    <row r="855" spans="1:12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</row>
    <row r="856" spans="1:12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</row>
    <row r="857" spans="1:12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</row>
    <row r="858" spans="1:12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</row>
    <row r="859" spans="1:12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</row>
    <row r="860" spans="1:12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</row>
    <row r="861" spans="1:12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</row>
    <row r="862" spans="1:12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</row>
    <row r="863" spans="1:12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</row>
    <row r="864" spans="1:12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</row>
    <row r="865" spans="1:12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</row>
    <row r="866" spans="1:12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</row>
    <row r="867" spans="1:12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</row>
    <row r="868" spans="1:12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</row>
    <row r="869" spans="1:12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</row>
    <row r="870" spans="1:12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</row>
    <row r="871" spans="1:12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</row>
    <row r="872" spans="1:12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/>
  </sheetViews>
  <sheetFormatPr defaultColWidth="12.6640625" defaultRowHeight="15.75" customHeight="1"/>
  <cols>
    <col min="1" max="1" width="9.109375" customWidth="1"/>
    <col min="2" max="2" width="27.77734375" customWidth="1"/>
    <col min="3" max="3" width="92.88671875" customWidth="1"/>
  </cols>
  <sheetData>
    <row r="1" spans="1:3">
      <c r="A1" s="26" t="s">
        <v>11</v>
      </c>
      <c r="B1" s="27" t="s">
        <v>12</v>
      </c>
      <c r="C1" s="27" t="s">
        <v>13</v>
      </c>
    </row>
    <row r="2" spans="1:3">
      <c r="A2" s="28">
        <v>1</v>
      </c>
      <c r="B2" s="29" t="s">
        <v>14</v>
      </c>
      <c r="C2" s="30" t="s">
        <v>15</v>
      </c>
    </row>
    <row r="3" spans="1:3">
      <c r="A3" s="28">
        <v>2</v>
      </c>
      <c r="B3" s="29" t="s">
        <v>16</v>
      </c>
      <c r="C3" s="30" t="s">
        <v>17</v>
      </c>
    </row>
    <row r="4" spans="1:3">
      <c r="A4" s="28">
        <v>3</v>
      </c>
      <c r="B4" s="29" t="s">
        <v>18</v>
      </c>
      <c r="C4" s="30" t="s">
        <v>19</v>
      </c>
    </row>
    <row r="5" spans="1:3">
      <c r="A5" s="28">
        <v>4</v>
      </c>
      <c r="B5" s="29" t="s">
        <v>20</v>
      </c>
      <c r="C5" s="30" t="s">
        <v>21</v>
      </c>
    </row>
    <row r="6" spans="1:3">
      <c r="A6" s="28">
        <v>5</v>
      </c>
      <c r="B6" s="29" t="s">
        <v>22</v>
      </c>
      <c r="C6" s="30" t="s">
        <v>23</v>
      </c>
    </row>
    <row r="7" spans="1:3">
      <c r="A7" s="28">
        <v>6</v>
      </c>
      <c r="B7" s="29" t="s">
        <v>24</v>
      </c>
      <c r="C7" s="30" t="s">
        <v>25</v>
      </c>
    </row>
    <row r="8" spans="1:3">
      <c r="A8" s="31"/>
    </row>
    <row r="9" spans="1:3">
      <c r="A9" s="31"/>
    </row>
    <row r="10" spans="1:3">
      <c r="A10" s="31"/>
    </row>
    <row r="11" spans="1:3">
      <c r="A11" s="31"/>
    </row>
    <row r="12" spans="1:3">
      <c r="A12" s="31"/>
    </row>
    <row r="13" spans="1:3">
      <c r="A13" s="31"/>
    </row>
    <row r="14" spans="1:3">
      <c r="A14" s="31"/>
    </row>
    <row r="15" spans="1:3">
      <c r="A15" s="31"/>
    </row>
    <row r="16" spans="1:3">
      <c r="A16" s="31"/>
    </row>
    <row r="17" spans="1:1">
      <c r="A17" s="31"/>
    </row>
    <row r="18" spans="1:1">
      <c r="A18" s="31"/>
    </row>
    <row r="19" spans="1:1">
      <c r="A19" s="31"/>
    </row>
    <row r="20" spans="1:1">
      <c r="A20" s="31"/>
    </row>
    <row r="21" spans="1:1">
      <c r="A21" s="31"/>
    </row>
    <row r="22" spans="1:1">
      <c r="A22" s="31"/>
    </row>
    <row r="23" spans="1:1">
      <c r="A23" s="31"/>
    </row>
    <row r="24" spans="1:1">
      <c r="A24" s="31"/>
    </row>
    <row r="25" spans="1:1">
      <c r="A25" s="31"/>
    </row>
    <row r="26" spans="1:1">
      <c r="A26" s="31"/>
    </row>
    <row r="27" spans="1:1">
      <c r="A27" s="31"/>
    </row>
    <row r="28" spans="1:1">
      <c r="A28" s="31"/>
    </row>
    <row r="29" spans="1:1">
      <c r="A29" s="31"/>
    </row>
    <row r="30" spans="1:1">
      <c r="A30" s="31"/>
    </row>
    <row r="31" spans="1:1">
      <c r="A31" s="31"/>
    </row>
    <row r="32" spans="1:1">
      <c r="A32" s="31"/>
    </row>
    <row r="33" spans="1:1">
      <c r="A33" s="31"/>
    </row>
    <row r="34" spans="1:1">
      <c r="A34" s="31"/>
    </row>
    <row r="35" spans="1:1">
      <c r="A35" s="31"/>
    </row>
    <row r="36" spans="1:1">
      <c r="A36" s="31"/>
    </row>
    <row r="37" spans="1:1">
      <c r="A37" s="31"/>
    </row>
    <row r="38" spans="1:1">
      <c r="A38" s="31"/>
    </row>
    <row r="39" spans="1:1">
      <c r="A39" s="31"/>
    </row>
    <row r="40" spans="1:1">
      <c r="A40" s="31"/>
    </row>
    <row r="41" spans="1:1">
      <c r="A41" s="31"/>
    </row>
    <row r="42" spans="1:1">
      <c r="A42" s="31"/>
    </row>
    <row r="43" spans="1:1">
      <c r="A43" s="31"/>
    </row>
    <row r="44" spans="1:1">
      <c r="A44" s="31"/>
    </row>
    <row r="45" spans="1:1">
      <c r="A45" s="31"/>
    </row>
    <row r="46" spans="1:1">
      <c r="A46" s="31"/>
    </row>
    <row r="47" spans="1:1">
      <c r="A47" s="31"/>
    </row>
    <row r="48" spans="1:1">
      <c r="A48" s="31"/>
    </row>
    <row r="49" spans="1:1">
      <c r="A49" s="31"/>
    </row>
    <row r="50" spans="1:1">
      <c r="A50" s="31"/>
    </row>
    <row r="51" spans="1:1">
      <c r="A51" s="31"/>
    </row>
    <row r="52" spans="1:1">
      <c r="A52" s="31"/>
    </row>
    <row r="53" spans="1:1">
      <c r="A53" s="31"/>
    </row>
    <row r="54" spans="1:1">
      <c r="A54" s="31"/>
    </row>
    <row r="55" spans="1:1">
      <c r="A55" s="31"/>
    </row>
    <row r="56" spans="1:1">
      <c r="A56" s="31"/>
    </row>
    <row r="57" spans="1:1">
      <c r="A57" s="31"/>
    </row>
    <row r="58" spans="1:1">
      <c r="A58" s="31"/>
    </row>
    <row r="59" spans="1:1">
      <c r="A59" s="31"/>
    </row>
    <row r="60" spans="1:1">
      <c r="A60" s="31"/>
    </row>
    <row r="61" spans="1:1">
      <c r="A61" s="31"/>
    </row>
    <row r="62" spans="1:1">
      <c r="A62" s="31"/>
    </row>
    <row r="63" spans="1:1">
      <c r="A63" s="31"/>
    </row>
    <row r="64" spans="1:1">
      <c r="A64" s="31"/>
    </row>
    <row r="65" spans="1:1">
      <c r="A65" s="31"/>
    </row>
    <row r="66" spans="1:1">
      <c r="A66" s="31"/>
    </row>
    <row r="67" spans="1:1">
      <c r="A67" s="31"/>
    </row>
    <row r="68" spans="1:1">
      <c r="A68" s="31"/>
    </row>
    <row r="69" spans="1:1">
      <c r="A69" s="31"/>
    </row>
    <row r="70" spans="1:1">
      <c r="A70" s="31"/>
    </row>
    <row r="71" spans="1:1">
      <c r="A71" s="31"/>
    </row>
    <row r="72" spans="1:1">
      <c r="A72" s="31"/>
    </row>
    <row r="73" spans="1:1">
      <c r="A73" s="31"/>
    </row>
    <row r="74" spans="1:1">
      <c r="A74" s="31"/>
    </row>
    <row r="75" spans="1:1">
      <c r="A75" s="31"/>
    </row>
    <row r="76" spans="1:1">
      <c r="A76" s="31"/>
    </row>
    <row r="77" spans="1:1">
      <c r="A77" s="31"/>
    </row>
    <row r="78" spans="1:1">
      <c r="A78" s="31"/>
    </row>
    <row r="79" spans="1:1">
      <c r="A79" s="31"/>
    </row>
    <row r="80" spans="1:1">
      <c r="A80" s="31"/>
    </row>
    <row r="81" spans="1:1">
      <c r="A81" s="31"/>
    </row>
    <row r="82" spans="1:1">
      <c r="A82" s="31"/>
    </row>
    <row r="83" spans="1:1">
      <c r="A83" s="31"/>
    </row>
    <row r="84" spans="1:1">
      <c r="A84" s="31"/>
    </row>
    <row r="85" spans="1:1">
      <c r="A85" s="31"/>
    </row>
    <row r="86" spans="1:1">
      <c r="A86" s="31"/>
    </row>
    <row r="87" spans="1:1">
      <c r="A87" s="31"/>
    </row>
    <row r="88" spans="1:1">
      <c r="A88" s="31"/>
    </row>
    <row r="89" spans="1:1">
      <c r="A89" s="31"/>
    </row>
    <row r="90" spans="1:1">
      <c r="A90" s="31"/>
    </row>
    <row r="91" spans="1:1">
      <c r="A91" s="31"/>
    </row>
    <row r="92" spans="1:1">
      <c r="A92" s="31"/>
    </row>
    <row r="93" spans="1:1">
      <c r="A93" s="31"/>
    </row>
    <row r="94" spans="1:1">
      <c r="A94" s="31"/>
    </row>
    <row r="95" spans="1:1">
      <c r="A95" s="31"/>
    </row>
    <row r="96" spans="1:1">
      <c r="A96" s="31"/>
    </row>
    <row r="97" spans="1:1">
      <c r="A97" s="31"/>
    </row>
    <row r="98" spans="1:1">
      <c r="A98" s="31"/>
    </row>
    <row r="99" spans="1:1">
      <c r="A99" s="31"/>
    </row>
    <row r="100" spans="1:1">
      <c r="A100" s="31"/>
    </row>
    <row r="101" spans="1:1">
      <c r="A101" s="31"/>
    </row>
    <row r="102" spans="1:1">
      <c r="A102" s="31"/>
    </row>
    <row r="103" spans="1:1">
      <c r="A103" s="31"/>
    </row>
    <row r="104" spans="1:1">
      <c r="A104" s="31"/>
    </row>
    <row r="105" spans="1:1">
      <c r="A105" s="31"/>
    </row>
    <row r="106" spans="1:1">
      <c r="A106" s="31"/>
    </row>
    <row r="107" spans="1:1">
      <c r="A107" s="31"/>
    </row>
    <row r="108" spans="1:1">
      <c r="A108" s="31"/>
    </row>
    <row r="109" spans="1:1">
      <c r="A109" s="31"/>
    </row>
    <row r="110" spans="1:1">
      <c r="A110" s="31"/>
    </row>
    <row r="111" spans="1:1">
      <c r="A111" s="31"/>
    </row>
    <row r="112" spans="1:1">
      <c r="A112" s="31"/>
    </row>
    <row r="113" spans="1:1">
      <c r="A113" s="31"/>
    </row>
    <row r="114" spans="1:1">
      <c r="A114" s="31"/>
    </row>
    <row r="115" spans="1:1">
      <c r="A115" s="31"/>
    </row>
    <row r="116" spans="1:1">
      <c r="A116" s="31"/>
    </row>
    <row r="117" spans="1:1">
      <c r="A117" s="31"/>
    </row>
    <row r="118" spans="1:1">
      <c r="A118" s="31"/>
    </row>
    <row r="119" spans="1:1">
      <c r="A119" s="31"/>
    </row>
    <row r="120" spans="1:1">
      <c r="A120" s="31"/>
    </row>
    <row r="121" spans="1:1">
      <c r="A121" s="31"/>
    </row>
    <row r="122" spans="1:1">
      <c r="A122" s="31"/>
    </row>
    <row r="123" spans="1:1">
      <c r="A123" s="31"/>
    </row>
    <row r="124" spans="1:1">
      <c r="A124" s="31"/>
    </row>
    <row r="125" spans="1:1">
      <c r="A125" s="31"/>
    </row>
    <row r="126" spans="1:1">
      <c r="A126" s="31"/>
    </row>
    <row r="127" spans="1:1">
      <c r="A127" s="31"/>
    </row>
    <row r="128" spans="1:1">
      <c r="A128" s="31"/>
    </row>
    <row r="129" spans="1:1">
      <c r="A129" s="31"/>
    </row>
    <row r="130" spans="1:1">
      <c r="A130" s="31"/>
    </row>
    <row r="131" spans="1:1">
      <c r="A131" s="31"/>
    </row>
    <row r="132" spans="1:1">
      <c r="A132" s="31"/>
    </row>
    <row r="133" spans="1:1">
      <c r="A133" s="31"/>
    </row>
    <row r="134" spans="1:1">
      <c r="A134" s="31"/>
    </row>
    <row r="135" spans="1:1">
      <c r="A135" s="31"/>
    </row>
    <row r="136" spans="1:1">
      <c r="A136" s="31"/>
    </row>
    <row r="137" spans="1:1">
      <c r="A137" s="31"/>
    </row>
    <row r="138" spans="1:1">
      <c r="A138" s="31"/>
    </row>
    <row r="139" spans="1:1">
      <c r="A139" s="31"/>
    </row>
    <row r="140" spans="1:1">
      <c r="A140" s="31"/>
    </row>
    <row r="141" spans="1:1">
      <c r="A141" s="31"/>
    </row>
    <row r="142" spans="1:1">
      <c r="A142" s="31"/>
    </row>
    <row r="143" spans="1:1">
      <c r="A143" s="31"/>
    </row>
    <row r="144" spans="1:1">
      <c r="A144" s="31"/>
    </row>
    <row r="145" spans="1:1">
      <c r="A145" s="31"/>
    </row>
    <row r="146" spans="1:1">
      <c r="A146" s="31"/>
    </row>
    <row r="147" spans="1:1">
      <c r="A147" s="31"/>
    </row>
    <row r="148" spans="1:1">
      <c r="A148" s="31"/>
    </row>
    <row r="149" spans="1:1">
      <c r="A149" s="31"/>
    </row>
    <row r="150" spans="1:1">
      <c r="A150" s="31"/>
    </row>
    <row r="151" spans="1:1">
      <c r="A151" s="31"/>
    </row>
    <row r="152" spans="1:1">
      <c r="A152" s="31"/>
    </row>
    <row r="153" spans="1:1">
      <c r="A153" s="31"/>
    </row>
    <row r="154" spans="1:1">
      <c r="A154" s="31"/>
    </row>
    <row r="155" spans="1:1">
      <c r="A155" s="31"/>
    </row>
    <row r="156" spans="1:1">
      <c r="A156" s="31"/>
    </row>
    <row r="157" spans="1:1">
      <c r="A157" s="31"/>
    </row>
    <row r="158" spans="1:1">
      <c r="A158" s="31"/>
    </row>
    <row r="159" spans="1:1">
      <c r="A159" s="31"/>
    </row>
    <row r="160" spans="1:1">
      <c r="A160" s="31"/>
    </row>
    <row r="161" spans="1:1">
      <c r="A161" s="31"/>
    </row>
    <row r="162" spans="1:1">
      <c r="A162" s="31"/>
    </row>
    <row r="163" spans="1:1">
      <c r="A163" s="31"/>
    </row>
    <row r="164" spans="1:1">
      <c r="A164" s="31"/>
    </row>
    <row r="165" spans="1:1">
      <c r="A165" s="31"/>
    </row>
    <row r="166" spans="1:1">
      <c r="A166" s="31"/>
    </row>
    <row r="167" spans="1:1">
      <c r="A167" s="31"/>
    </row>
    <row r="168" spans="1:1">
      <c r="A168" s="31"/>
    </row>
    <row r="169" spans="1:1">
      <c r="A169" s="31"/>
    </row>
    <row r="170" spans="1:1">
      <c r="A170" s="31"/>
    </row>
    <row r="171" spans="1:1">
      <c r="A171" s="31"/>
    </row>
    <row r="172" spans="1:1">
      <c r="A172" s="31"/>
    </row>
    <row r="173" spans="1:1">
      <c r="A173" s="31"/>
    </row>
    <row r="174" spans="1:1">
      <c r="A174" s="31"/>
    </row>
    <row r="175" spans="1:1">
      <c r="A175" s="31"/>
    </row>
    <row r="176" spans="1:1">
      <c r="A176" s="31"/>
    </row>
    <row r="177" spans="1:1">
      <c r="A177" s="31"/>
    </row>
    <row r="178" spans="1:1">
      <c r="A178" s="31"/>
    </row>
    <row r="179" spans="1:1">
      <c r="A179" s="31"/>
    </row>
    <row r="180" spans="1:1">
      <c r="A180" s="31"/>
    </row>
    <row r="181" spans="1:1">
      <c r="A181" s="31"/>
    </row>
    <row r="182" spans="1:1">
      <c r="A182" s="31"/>
    </row>
    <row r="183" spans="1:1">
      <c r="A183" s="31"/>
    </row>
    <row r="184" spans="1:1">
      <c r="A184" s="31"/>
    </row>
    <row r="185" spans="1:1">
      <c r="A185" s="31"/>
    </row>
    <row r="186" spans="1:1">
      <c r="A186" s="31"/>
    </row>
    <row r="187" spans="1:1">
      <c r="A187" s="31"/>
    </row>
    <row r="188" spans="1:1">
      <c r="A188" s="31"/>
    </row>
    <row r="189" spans="1:1">
      <c r="A189" s="31"/>
    </row>
    <row r="190" spans="1:1">
      <c r="A190" s="31"/>
    </row>
    <row r="191" spans="1:1">
      <c r="A191" s="31"/>
    </row>
    <row r="192" spans="1:1">
      <c r="A192" s="31"/>
    </row>
    <row r="193" spans="1:1">
      <c r="A193" s="31"/>
    </row>
    <row r="194" spans="1:1">
      <c r="A194" s="31"/>
    </row>
    <row r="195" spans="1:1">
      <c r="A195" s="31"/>
    </row>
    <row r="196" spans="1:1">
      <c r="A196" s="31"/>
    </row>
    <row r="197" spans="1:1">
      <c r="A197" s="31"/>
    </row>
    <row r="198" spans="1:1">
      <c r="A198" s="31"/>
    </row>
    <row r="199" spans="1:1">
      <c r="A199" s="31"/>
    </row>
    <row r="200" spans="1:1">
      <c r="A200" s="31"/>
    </row>
    <row r="201" spans="1:1">
      <c r="A201" s="31"/>
    </row>
    <row r="202" spans="1:1">
      <c r="A202" s="31"/>
    </row>
    <row r="203" spans="1:1">
      <c r="A203" s="31"/>
    </row>
    <row r="204" spans="1:1">
      <c r="A204" s="31"/>
    </row>
    <row r="205" spans="1:1">
      <c r="A205" s="31"/>
    </row>
    <row r="206" spans="1:1">
      <c r="A206" s="31"/>
    </row>
    <row r="207" spans="1:1">
      <c r="A207" s="31"/>
    </row>
    <row r="208" spans="1:1">
      <c r="A208" s="31"/>
    </row>
    <row r="209" spans="1:1">
      <c r="A209" s="31"/>
    </row>
    <row r="210" spans="1:1">
      <c r="A210" s="31"/>
    </row>
    <row r="211" spans="1:1">
      <c r="A211" s="31"/>
    </row>
    <row r="212" spans="1:1">
      <c r="A212" s="31"/>
    </row>
    <row r="213" spans="1:1">
      <c r="A213" s="31"/>
    </row>
    <row r="214" spans="1:1">
      <c r="A214" s="31"/>
    </row>
    <row r="215" spans="1:1">
      <c r="A215" s="31"/>
    </row>
    <row r="216" spans="1:1">
      <c r="A216" s="31"/>
    </row>
    <row r="217" spans="1:1">
      <c r="A217" s="31"/>
    </row>
    <row r="218" spans="1:1">
      <c r="A218" s="31"/>
    </row>
    <row r="219" spans="1:1">
      <c r="A219" s="31"/>
    </row>
    <row r="220" spans="1:1">
      <c r="A220" s="31"/>
    </row>
    <row r="221" spans="1:1">
      <c r="A221" s="31"/>
    </row>
    <row r="222" spans="1:1">
      <c r="A222" s="31"/>
    </row>
    <row r="223" spans="1:1">
      <c r="A223" s="31"/>
    </row>
    <row r="224" spans="1:1">
      <c r="A224" s="31"/>
    </row>
    <row r="225" spans="1:1">
      <c r="A225" s="31"/>
    </row>
    <row r="226" spans="1:1">
      <c r="A226" s="31"/>
    </row>
    <row r="227" spans="1:1">
      <c r="A227" s="31"/>
    </row>
    <row r="228" spans="1:1">
      <c r="A228" s="31"/>
    </row>
    <row r="229" spans="1:1">
      <c r="A229" s="31"/>
    </row>
    <row r="230" spans="1:1">
      <c r="A230" s="31"/>
    </row>
    <row r="231" spans="1:1">
      <c r="A231" s="31"/>
    </row>
    <row r="232" spans="1:1">
      <c r="A232" s="31"/>
    </row>
    <row r="233" spans="1:1">
      <c r="A233" s="31"/>
    </row>
    <row r="234" spans="1:1">
      <c r="A234" s="31"/>
    </row>
    <row r="235" spans="1:1">
      <c r="A235" s="31"/>
    </row>
    <row r="236" spans="1:1">
      <c r="A236" s="31"/>
    </row>
    <row r="237" spans="1:1">
      <c r="A237" s="31"/>
    </row>
    <row r="238" spans="1:1">
      <c r="A238" s="31"/>
    </row>
    <row r="239" spans="1:1">
      <c r="A239" s="31"/>
    </row>
    <row r="240" spans="1:1">
      <c r="A240" s="31"/>
    </row>
    <row r="241" spans="1:1">
      <c r="A241" s="31"/>
    </row>
    <row r="242" spans="1:1">
      <c r="A242" s="31"/>
    </row>
    <row r="243" spans="1:1">
      <c r="A243" s="31"/>
    </row>
    <row r="244" spans="1:1">
      <c r="A244" s="31"/>
    </row>
    <row r="245" spans="1:1">
      <c r="A245" s="31"/>
    </row>
    <row r="246" spans="1:1">
      <c r="A246" s="31"/>
    </row>
    <row r="247" spans="1:1">
      <c r="A247" s="31"/>
    </row>
    <row r="248" spans="1:1">
      <c r="A248" s="31"/>
    </row>
    <row r="249" spans="1:1">
      <c r="A249" s="31"/>
    </row>
    <row r="250" spans="1:1">
      <c r="A250" s="31"/>
    </row>
    <row r="251" spans="1:1">
      <c r="A251" s="31"/>
    </row>
    <row r="252" spans="1:1">
      <c r="A252" s="31"/>
    </row>
    <row r="253" spans="1:1">
      <c r="A253" s="31"/>
    </row>
    <row r="254" spans="1:1">
      <c r="A254" s="31"/>
    </row>
    <row r="255" spans="1:1">
      <c r="A255" s="31"/>
    </row>
    <row r="256" spans="1:1">
      <c r="A256" s="31"/>
    </row>
    <row r="257" spans="1:1">
      <c r="A257" s="31"/>
    </row>
    <row r="258" spans="1:1">
      <c r="A258" s="31"/>
    </row>
    <row r="259" spans="1:1">
      <c r="A259" s="31"/>
    </row>
    <row r="260" spans="1:1">
      <c r="A260" s="31"/>
    </row>
    <row r="261" spans="1:1">
      <c r="A261" s="31"/>
    </row>
    <row r="262" spans="1:1">
      <c r="A262" s="31"/>
    </row>
    <row r="263" spans="1:1">
      <c r="A263" s="31"/>
    </row>
    <row r="264" spans="1:1">
      <c r="A264" s="31"/>
    </row>
    <row r="265" spans="1:1">
      <c r="A265" s="31"/>
    </row>
    <row r="266" spans="1:1">
      <c r="A266" s="31"/>
    </row>
    <row r="267" spans="1:1">
      <c r="A267" s="31"/>
    </row>
    <row r="268" spans="1:1">
      <c r="A268" s="31"/>
    </row>
    <row r="269" spans="1:1">
      <c r="A269" s="31"/>
    </row>
    <row r="270" spans="1:1">
      <c r="A270" s="31"/>
    </row>
    <row r="271" spans="1:1">
      <c r="A271" s="31"/>
    </row>
    <row r="272" spans="1:1">
      <c r="A272" s="31"/>
    </row>
    <row r="273" spans="1:1">
      <c r="A273" s="31"/>
    </row>
    <row r="274" spans="1:1">
      <c r="A274" s="31"/>
    </row>
    <row r="275" spans="1:1">
      <c r="A275" s="31"/>
    </row>
    <row r="276" spans="1:1">
      <c r="A276" s="31"/>
    </row>
    <row r="277" spans="1:1">
      <c r="A277" s="31"/>
    </row>
    <row r="278" spans="1:1">
      <c r="A278" s="31"/>
    </row>
    <row r="279" spans="1:1">
      <c r="A279" s="31"/>
    </row>
    <row r="280" spans="1:1">
      <c r="A280" s="31"/>
    </row>
    <row r="281" spans="1:1">
      <c r="A281" s="31"/>
    </row>
    <row r="282" spans="1:1">
      <c r="A282" s="31"/>
    </row>
    <row r="283" spans="1:1">
      <c r="A283" s="31"/>
    </row>
    <row r="284" spans="1:1">
      <c r="A284" s="31"/>
    </row>
    <row r="285" spans="1:1">
      <c r="A285" s="31"/>
    </row>
    <row r="286" spans="1:1">
      <c r="A286" s="31"/>
    </row>
    <row r="287" spans="1:1">
      <c r="A287" s="31"/>
    </row>
    <row r="288" spans="1:1">
      <c r="A288" s="31"/>
    </row>
    <row r="289" spans="1:1">
      <c r="A289" s="31"/>
    </row>
    <row r="290" spans="1:1">
      <c r="A290" s="31"/>
    </row>
    <row r="291" spans="1:1">
      <c r="A291" s="31"/>
    </row>
    <row r="292" spans="1:1">
      <c r="A292" s="31"/>
    </row>
    <row r="293" spans="1:1">
      <c r="A293" s="31"/>
    </row>
    <row r="294" spans="1:1">
      <c r="A294" s="31"/>
    </row>
    <row r="295" spans="1:1">
      <c r="A295" s="31"/>
    </row>
    <row r="296" spans="1:1">
      <c r="A296" s="31"/>
    </row>
    <row r="297" spans="1:1">
      <c r="A297" s="31"/>
    </row>
    <row r="298" spans="1:1">
      <c r="A298" s="31"/>
    </row>
    <row r="299" spans="1:1">
      <c r="A299" s="31"/>
    </row>
    <row r="300" spans="1:1">
      <c r="A300" s="31"/>
    </row>
    <row r="301" spans="1:1">
      <c r="A301" s="31"/>
    </row>
    <row r="302" spans="1:1">
      <c r="A302" s="31"/>
    </row>
    <row r="303" spans="1:1">
      <c r="A303" s="31"/>
    </row>
    <row r="304" spans="1:1">
      <c r="A304" s="31"/>
    </row>
    <row r="305" spans="1:1">
      <c r="A305" s="31"/>
    </row>
    <row r="306" spans="1:1">
      <c r="A306" s="31"/>
    </row>
    <row r="307" spans="1:1">
      <c r="A307" s="31"/>
    </row>
    <row r="308" spans="1:1">
      <c r="A308" s="31"/>
    </row>
    <row r="309" spans="1:1">
      <c r="A309" s="31"/>
    </row>
    <row r="310" spans="1:1">
      <c r="A310" s="31"/>
    </row>
    <row r="311" spans="1:1">
      <c r="A311" s="31"/>
    </row>
    <row r="312" spans="1:1">
      <c r="A312" s="31"/>
    </row>
    <row r="313" spans="1:1">
      <c r="A313" s="31"/>
    </row>
    <row r="314" spans="1:1">
      <c r="A314" s="31"/>
    </row>
    <row r="315" spans="1:1">
      <c r="A315" s="31"/>
    </row>
    <row r="316" spans="1:1">
      <c r="A316" s="31"/>
    </row>
    <row r="317" spans="1:1">
      <c r="A317" s="31"/>
    </row>
    <row r="318" spans="1:1">
      <c r="A318" s="31"/>
    </row>
    <row r="319" spans="1:1">
      <c r="A319" s="31"/>
    </row>
    <row r="320" spans="1:1">
      <c r="A320" s="31"/>
    </row>
    <row r="321" spans="1:1">
      <c r="A321" s="31"/>
    </row>
    <row r="322" spans="1:1">
      <c r="A322" s="31"/>
    </row>
    <row r="323" spans="1:1">
      <c r="A323" s="31"/>
    </row>
    <row r="324" spans="1:1">
      <c r="A324" s="31"/>
    </row>
    <row r="325" spans="1:1">
      <c r="A325" s="31"/>
    </row>
    <row r="326" spans="1:1">
      <c r="A326" s="31"/>
    </row>
    <row r="327" spans="1:1">
      <c r="A327" s="31"/>
    </row>
    <row r="328" spans="1:1">
      <c r="A328" s="31"/>
    </row>
    <row r="329" spans="1:1">
      <c r="A329" s="31"/>
    </row>
    <row r="330" spans="1:1">
      <c r="A330" s="31"/>
    </row>
    <row r="331" spans="1:1">
      <c r="A331" s="31"/>
    </row>
    <row r="332" spans="1:1">
      <c r="A332" s="31"/>
    </row>
    <row r="333" spans="1:1">
      <c r="A333" s="31"/>
    </row>
    <row r="334" spans="1:1">
      <c r="A334" s="31"/>
    </row>
    <row r="335" spans="1:1">
      <c r="A335" s="31"/>
    </row>
    <row r="336" spans="1:1">
      <c r="A336" s="31"/>
    </row>
    <row r="337" spans="1:1">
      <c r="A337" s="31"/>
    </row>
    <row r="338" spans="1:1">
      <c r="A338" s="31"/>
    </row>
    <row r="339" spans="1:1">
      <c r="A339" s="31"/>
    </row>
    <row r="340" spans="1:1">
      <c r="A340" s="31"/>
    </row>
    <row r="341" spans="1:1">
      <c r="A341" s="31"/>
    </row>
    <row r="342" spans="1:1">
      <c r="A342" s="31"/>
    </row>
    <row r="343" spans="1:1">
      <c r="A343" s="31"/>
    </row>
    <row r="344" spans="1:1">
      <c r="A344" s="31"/>
    </row>
    <row r="345" spans="1:1">
      <c r="A345" s="31"/>
    </row>
    <row r="346" spans="1:1">
      <c r="A346" s="31"/>
    </row>
    <row r="347" spans="1:1">
      <c r="A347" s="31"/>
    </row>
    <row r="348" spans="1:1">
      <c r="A348" s="31"/>
    </row>
    <row r="349" spans="1:1">
      <c r="A349" s="31"/>
    </row>
    <row r="350" spans="1:1">
      <c r="A350" s="31"/>
    </row>
    <row r="351" spans="1:1">
      <c r="A351" s="31"/>
    </row>
    <row r="352" spans="1:1">
      <c r="A352" s="31"/>
    </row>
    <row r="353" spans="1:1">
      <c r="A353" s="31"/>
    </row>
    <row r="354" spans="1:1">
      <c r="A354" s="31"/>
    </row>
    <row r="355" spans="1:1">
      <c r="A355" s="31"/>
    </row>
    <row r="356" spans="1:1">
      <c r="A356" s="31"/>
    </row>
    <row r="357" spans="1:1">
      <c r="A357" s="31"/>
    </row>
    <row r="358" spans="1:1">
      <c r="A358" s="31"/>
    </row>
    <row r="359" spans="1:1">
      <c r="A359" s="31"/>
    </row>
    <row r="360" spans="1:1">
      <c r="A360" s="31"/>
    </row>
    <row r="361" spans="1:1">
      <c r="A361" s="31"/>
    </row>
    <row r="362" spans="1:1">
      <c r="A362" s="31"/>
    </row>
    <row r="363" spans="1:1">
      <c r="A363" s="31"/>
    </row>
    <row r="364" spans="1:1">
      <c r="A364" s="31"/>
    </row>
    <row r="365" spans="1:1">
      <c r="A365" s="31"/>
    </row>
    <row r="366" spans="1:1">
      <c r="A366" s="31"/>
    </row>
    <row r="367" spans="1:1">
      <c r="A367" s="31"/>
    </row>
    <row r="368" spans="1:1">
      <c r="A368" s="31"/>
    </row>
    <row r="369" spans="1:1">
      <c r="A369" s="31"/>
    </row>
    <row r="370" spans="1:1">
      <c r="A370" s="31"/>
    </row>
    <row r="371" spans="1:1">
      <c r="A371" s="31"/>
    </row>
    <row r="372" spans="1:1">
      <c r="A372" s="31"/>
    </row>
    <row r="373" spans="1:1">
      <c r="A373" s="31"/>
    </row>
    <row r="374" spans="1:1">
      <c r="A374" s="31"/>
    </row>
    <row r="375" spans="1:1">
      <c r="A375" s="31"/>
    </row>
    <row r="376" spans="1:1">
      <c r="A376" s="31"/>
    </row>
    <row r="377" spans="1:1">
      <c r="A377" s="31"/>
    </row>
    <row r="378" spans="1:1">
      <c r="A378" s="31"/>
    </row>
    <row r="379" spans="1:1">
      <c r="A379" s="31"/>
    </row>
    <row r="380" spans="1:1">
      <c r="A380" s="31"/>
    </row>
    <row r="381" spans="1:1">
      <c r="A381" s="31"/>
    </row>
    <row r="382" spans="1:1">
      <c r="A382" s="31"/>
    </row>
    <row r="383" spans="1:1">
      <c r="A383" s="31"/>
    </row>
    <row r="384" spans="1:1">
      <c r="A384" s="31"/>
    </row>
    <row r="385" spans="1:1">
      <c r="A385" s="31"/>
    </row>
    <row r="386" spans="1:1">
      <c r="A386" s="31"/>
    </row>
    <row r="387" spans="1:1">
      <c r="A387" s="31"/>
    </row>
    <row r="388" spans="1:1">
      <c r="A388" s="31"/>
    </row>
    <row r="389" spans="1:1">
      <c r="A389" s="31"/>
    </row>
    <row r="390" spans="1:1">
      <c r="A390" s="31"/>
    </row>
    <row r="391" spans="1:1">
      <c r="A391" s="31"/>
    </row>
    <row r="392" spans="1:1">
      <c r="A392" s="31"/>
    </row>
    <row r="393" spans="1:1">
      <c r="A393" s="31"/>
    </row>
    <row r="394" spans="1:1">
      <c r="A394" s="31"/>
    </row>
    <row r="395" spans="1:1">
      <c r="A395" s="31"/>
    </row>
    <row r="396" spans="1:1">
      <c r="A396" s="31"/>
    </row>
    <row r="397" spans="1:1">
      <c r="A397" s="31"/>
    </row>
    <row r="398" spans="1:1">
      <c r="A398" s="31"/>
    </row>
    <row r="399" spans="1:1">
      <c r="A399" s="31"/>
    </row>
    <row r="400" spans="1:1">
      <c r="A400" s="31"/>
    </row>
    <row r="401" spans="1:1">
      <c r="A401" s="31"/>
    </row>
    <row r="402" spans="1:1">
      <c r="A402" s="31"/>
    </row>
    <row r="403" spans="1:1">
      <c r="A403" s="31"/>
    </row>
    <row r="404" spans="1:1">
      <c r="A404" s="31"/>
    </row>
    <row r="405" spans="1:1">
      <c r="A405" s="31"/>
    </row>
    <row r="406" spans="1:1">
      <c r="A406" s="31"/>
    </row>
    <row r="407" spans="1:1">
      <c r="A407" s="31"/>
    </row>
    <row r="408" spans="1:1">
      <c r="A408" s="31"/>
    </row>
    <row r="409" spans="1:1">
      <c r="A409" s="31"/>
    </row>
    <row r="410" spans="1:1">
      <c r="A410" s="31"/>
    </row>
    <row r="411" spans="1:1">
      <c r="A411" s="31"/>
    </row>
    <row r="412" spans="1:1">
      <c r="A412" s="31"/>
    </row>
    <row r="413" spans="1:1">
      <c r="A413" s="31"/>
    </row>
    <row r="414" spans="1:1">
      <c r="A414" s="31"/>
    </row>
    <row r="415" spans="1:1">
      <c r="A415" s="31"/>
    </row>
    <row r="416" spans="1:1">
      <c r="A416" s="31"/>
    </row>
    <row r="417" spans="1:1">
      <c r="A417" s="31"/>
    </row>
    <row r="418" spans="1:1">
      <c r="A418" s="31"/>
    </row>
    <row r="419" spans="1:1">
      <c r="A419" s="31"/>
    </row>
    <row r="420" spans="1:1">
      <c r="A420" s="31"/>
    </row>
    <row r="421" spans="1:1">
      <c r="A421" s="31"/>
    </row>
    <row r="422" spans="1:1">
      <c r="A422" s="31"/>
    </row>
    <row r="423" spans="1:1">
      <c r="A423" s="31"/>
    </row>
    <row r="424" spans="1:1">
      <c r="A424" s="31"/>
    </row>
    <row r="425" spans="1:1">
      <c r="A425" s="31"/>
    </row>
    <row r="426" spans="1:1">
      <c r="A426" s="31"/>
    </row>
    <row r="427" spans="1:1">
      <c r="A427" s="31"/>
    </row>
    <row r="428" spans="1:1">
      <c r="A428" s="31"/>
    </row>
    <row r="429" spans="1:1">
      <c r="A429" s="31"/>
    </row>
    <row r="430" spans="1:1">
      <c r="A430" s="31"/>
    </row>
    <row r="431" spans="1:1">
      <c r="A431" s="31"/>
    </row>
    <row r="432" spans="1:1">
      <c r="A432" s="31"/>
    </row>
    <row r="433" spans="1:1">
      <c r="A433" s="31"/>
    </row>
    <row r="434" spans="1:1">
      <c r="A434" s="31"/>
    </row>
    <row r="435" spans="1:1">
      <c r="A435" s="31"/>
    </row>
    <row r="436" spans="1:1">
      <c r="A436" s="31"/>
    </row>
    <row r="437" spans="1:1">
      <c r="A437" s="31"/>
    </row>
    <row r="438" spans="1:1">
      <c r="A438" s="31"/>
    </row>
    <row r="439" spans="1:1">
      <c r="A439" s="31"/>
    </row>
    <row r="440" spans="1:1">
      <c r="A440" s="31"/>
    </row>
    <row r="441" spans="1:1">
      <c r="A441" s="31"/>
    </row>
    <row r="442" spans="1:1">
      <c r="A442" s="31"/>
    </row>
    <row r="443" spans="1:1">
      <c r="A443" s="31"/>
    </row>
    <row r="444" spans="1:1">
      <c r="A444" s="31"/>
    </row>
    <row r="445" spans="1:1">
      <c r="A445" s="31"/>
    </row>
    <row r="446" spans="1:1">
      <c r="A446" s="31"/>
    </row>
    <row r="447" spans="1:1">
      <c r="A447" s="31"/>
    </row>
    <row r="448" spans="1:1">
      <c r="A448" s="31"/>
    </row>
    <row r="449" spans="1:1">
      <c r="A449" s="31"/>
    </row>
    <row r="450" spans="1:1">
      <c r="A450" s="31"/>
    </row>
    <row r="451" spans="1:1">
      <c r="A451" s="31"/>
    </row>
    <row r="452" spans="1:1">
      <c r="A452" s="31"/>
    </row>
    <row r="453" spans="1:1">
      <c r="A453" s="31"/>
    </row>
    <row r="454" spans="1:1">
      <c r="A454" s="31"/>
    </row>
    <row r="455" spans="1:1">
      <c r="A455" s="31"/>
    </row>
    <row r="456" spans="1:1">
      <c r="A456" s="31"/>
    </row>
    <row r="457" spans="1:1">
      <c r="A457" s="31"/>
    </row>
    <row r="458" spans="1:1">
      <c r="A458" s="31"/>
    </row>
    <row r="459" spans="1:1">
      <c r="A459" s="31"/>
    </row>
    <row r="460" spans="1:1">
      <c r="A460" s="31"/>
    </row>
    <row r="461" spans="1:1">
      <c r="A461" s="31"/>
    </row>
    <row r="462" spans="1:1">
      <c r="A462" s="31"/>
    </row>
    <row r="463" spans="1:1">
      <c r="A463" s="31"/>
    </row>
    <row r="464" spans="1:1">
      <c r="A464" s="31"/>
    </row>
    <row r="465" spans="1:1">
      <c r="A465" s="31"/>
    </row>
    <row r="466" spans="1:1">
      <c r="A466" s="31"/>
    </row>
    <row r="467" spans="1:1">
      <c r="A467" s="31"/>
    </row>
    <row r="468" spans="1:1">
      <c r="A468" s="31"/>
    </row>
    <row r="469" spans="1:1">
      <c r="A469" s="31"/>
    </row>
    <row r="470" spans="1:1">
      <c r="A470" s="31"/>
    </row>
    <row r="471" spans="1:1">
      <c r="A471" s="31"/>
    </row>
    <row r="472" spans="1:1">
      <c r="A472" s="31"/>
    </row>
    <row r="473" spans="1:1">
      <c r="A473" s="31"/>
    </row>
    <row r="474" spans="1:1">
      <c r="A474" s="31"/>
    </row>
    <row r="475" spans="1:1">
      <c r="A475" s="31"/>
    </row>
    <row r="476" spans="1:1">
      <c r="A476" s="31"/>
    </row>
    <row r="477" spans="1:1">
      <c r="A477" s="31"/>
    </row>
    <row r="478" spans="1:1">
      <c r="A478" s="31"/>
    </row>
    <row r="479" spans="1:1">
      <c r="A479" s="31"/>
    </row>
    <row r="480" spans="1:1">
      <c r="A480" s="31"/>
    </row>
    <row r="481" spans="1:1">
      <c r="A481" s="31"/>
    </row>
    <row r="482" spans="1:1">
      <c r="A482" s="31"/>
    </row>
    <row r="483" spans="1:1">
      <c r="A483" s="31"/>
    </row>
    <row r="484" spans="1:1">
      <c r="A484" s="31"/>
    </row>
    <row r="485" spans="1:1">
      <c r="A485" s="31"/>
    </row>
    <row r="486" spans="1:1">
      <c r="A486" s="31"/>
    </row>
    <row r="487" spans="1:1">
      <c r="A487" s="31"/>
    </row>
    <row r="488" spans="1:1">
      <c r="A488" s="31"/>
    </row>
    <row r="489" spans="1:1">
      <c r="A489" s="31"/>
    </row>
    <row r="490" spans="1:1">
      <c r="A490" s="31"/>
    </row>
    <row r="491" spans="1:1">
      <c r="A491" s="31"/>
    </row>
    <row r="492" spans="1:1">
      <c r="A492" s="31"/>
    </row>
    <row r="493" spans="1:1">
      <c r="A493" s="31"/>
    </row>
    <row r="494" spans="1:1">
      <c r="A494" s="31"/>
    </row>
    <row r="495" spans="1:1">
      <c r="A495" s="31"/>
    </row>
    <row r="496" spans="1:1">
      <c r="A496" s="31"/>
    </row>
    <row r="497" spans="1:1">
      <c r="A497" s="31"/>
    </row>
    <row r="498" spans="1:1">
      <c r="A498" s="31"/>
    </row>
    <row r="499" spans="1:1">
      <c r="A499" s="31"/>
    </row>
    <row r="500" spans="1:1">
      <c r="A500" s="31"/>
    </row>
    <row r="501" spans="1:1">
      <c r="A501" s="31"/>
    </row>
    <row r="502" spans="1:1">
      <c r="A502" s="31"/>
    </row>
    <row r="503" spans="1:1">
      <c r="A503" s="31"/>
    </row>
    <row r="504" spans="1:1">
      <c r="A504" s="31"/>
    </row>
    <row r="505" spans="1:1">
      <c r="A505" s="31"/>
    </row>
    <row r="506" spans="1:1">
      <c r="A506" s="31"/>
    </row>
    <row r="507" spans="1:1">
      <c r="A507" s="31"/>
    </row>
    <row r="508" spans="1:1">
      <c r="A508" s="31"/>
    </row>
    <row r="509" spans="1:1">
      <c r="A509" s="31"/>
    </row>
    <row r="510" spans="1:1">
      <c r="A510" s="31"/>
    </row>
    <row r="511" spans="1:1">
      <c r="A511" s="31"/>
    </row>
    <row r="512" spans="1:1">
      <c r="A512" s="31"/>
    </row>
    <row r="513" spans="1:1">
      <c r="A513" s="31"/>
    </row>
    <row r="514" spans="1:1">
      <c r="A514" s="31"/>
    </row>
    <row r="515" spans="1:1">
      <c r="A515" s="31"/>
    </row>
    <row r="516" spans="1:1">
      <c r="A516" s="31"/>
    </row>
    <row r="517" spans="1:1">
      <c r="A517" s="31"/>
    </row>
    <row r="518" spans="1:1">
      <c r="A518" s="31"/>
    </row>
    <row r="519" spans="1:1">
      <c r="A519" s="31"/>
    </row>
    <row r="520" spans="1:1">
      <c r="A520" s="31"/>
    </row>
    <row r="521" spans="1:1">
      <c r="A521" s="31"/>
    </row>
    <row r="522" spans="1:1">
      <c r="A522" s="31"/>
    </row>
    <row r="523" spans="1:1">
      <c r="A523" s="31"/>
    </row>
    <row r="524" spans="1:1">
      <c r="A524" s="31"/>
    </row>
    <row r="525" spans="1:1">
      <c r="A525" s="31"/>
    </row>
    <row r="526" spans="1:1">
      <c r="A526" s="31"/>
    </row>
    <row r="527" spans="1:1">
      <c r="A527" s="31"/>
    </row>
    <row r="528" spans="1:1">
      <c r="A528" s="31"/>
    </row>
    <row r="529" spans="1:1">
      <c r="A529" s="31"/>
    </row>
    <row r="530" spans="1:1">
      <c r="A530" s="31"/>
    </row>
    <row r="531" spans="1:1">
      <c r="A531" s="31"/>
    </row>
    <row r="532" spans="1:1">
      <c r="A532" s="31"/>
    </row>
    <row r="533" spans="1:1">
      <c r="A533" s="31"/>
    </row>
    <row r="534" spans="1:1">
      <c r="A534" s="31"/>
    </row>
    <row r="535" spans="1:1">
      <c r="A535" s="31"/>
    </row>
    <row r="536" spans="1:1">
      <c r="A536" s="31"/>
    </row>
    <row r="537" spans="1:1">
      <c r="A537" s="31"/>
    </row>
    <row r="538" spans="1:1">
      <c r="A538" s="31"/>
    </row>
    <row r="539" spans="1:1">
      <c r="A539" s="31"/>
    </row>
    <row r="540" spans="1:1">
      <c r="A540" s="31"/>
    </row>
    <row r="541" spans="1:1">
      <c r="A541" s="31"/>
    </row>
    <row r="542" spans="1:1">
      <c r="A542" s="31"/>
    </row>
    <row r="543" spans="1:1">
      <c r="A543" s="31"/>
    </row>
    <row r="544" spans="1:1">
      <c r="A544" s="31"/>
    </row>
    <row r="545" spans="1:1">
      <c r="A545" s="31"/>
    </row>
    <row r="546" spans="1:1">
      <c r="A546" s="31"/>
    </row>
    <row r="547" spans="1:1">
      <c r="A547" s="31"/>
    </row>
    <row r="548" spans="1:1">
      <c r="A548" s="31"/>
    </row>
    <row r="549" spans="1:1">
      <c r="A549" s="31"/>
    </row>
    <row r="550" spans="1:1">
      <c r="A550" s="31"/>
    </row>
    <row r="551" spans="1:1">
      <c r="A551" s="31"/>
    </row>
    <row r="552" spans="1:1">
      <c r="A552" s="31"/>
    </row>
    <row r="553" spans="1:1">
      <c r="A553" s="31"/>
    </row>
    <row r="554" spans="1:1">
      <c r="A554" s="31"/>
    </row>
    <row r="555" spans="1:1">
      <c r="A555" s="31"/>
    </row>
    <row r="556" spans="1:1">
      <c r="A556" s="31"/>
    </row>
    <row r="557" spans="1:1">
      <c r="A557" s="31"/>
    </row>
    <row r="558" spans="1:1">
      <c r="A558" s="31"/>
    </row>
    <row r="559" spans="1:1">
      <c r="A559" s="31"/>
    </row>
    <row r="560" spans="1:1">
      <c r="A560" s="31"/>
    </row>
    <row r="561" spans="1:1">
      <c r="A561" s="31"/>
    </row>
    <row r="562" spans="1:1">
      <c r="A562" s="31"/>
    </row>
    <row r="563" spans="1:1">
      <c r="A563" s="31"/>
    </row>
    <row r="564" spans="1:1">
      <c r="A564" s="31"/>
    </row>
    <row r="565" spans="1:1">
      <c r="A565" s="31"/>
    </row>
    <row r="566" spans="1:1">
      <c r="A566" s="31"/>
    </row>
    <row r="567" spans="1:1">
      <c r="A567" s="31"/>
    </row>
    <row r="568" spans="1:1">
      <c r="A568" s="31"/>
    </row>
    <row r="569" spans="1:1">
      <c r="A569" s="31"/>
    </row>
    <row r="570" spans="1:1">
      <c r="A570" s="31"/>
    </row>
    <row r="571" spans="1:1">
      <c r="A571" s="31"/>
    </row>
    <row r="572" spans="1:1">
      <c r="A572" s="31"/>
    </row>
    <row r="573" spans="1:1">
      <c r="A573" s="31"/>
    </row>
    <row r="574" spans="1:1">
      <c r="A574" s="31"/>
    </row>
    <row r="575" spans="1:1">
      <c r="A575" s="31"/>
    </row>
    <row r="576" spans="1:1">
      <c r="A576" s="31"/>
    </row>
    <row r="577" spans="1:1">
      <c r="A577" s="31"/>
    </row>
    <row r="578" spans="1:1">
      <c r="A578" s="31"/>
    </row>
    <row r="579" spans="1:1">
      <c r="A579" s="31"/>
    </row>
    <row r="580" spans="1:1">
      <c r="A580" s="31"/>
    </row>
    <row r="581" spans="1:1">
      <c r="A581" s="31"/>
    </row>
    <row r="582" spans="1:1">
      <c r="A582" s="31"/>
    </row>
    <row r="583" spans="1:1">
      <c r="A583" s="31"/>
    </row>
    <row r="584" spans="1:1">
      <c r="A584" s="31"/>
    </row>
    <row r="585" spans="1:1">
      <c r="A585" s="31"/>
    </row>
    <row r="586" spans="1:1">
      <c r="A586" s="31"/>
    </row>
    <row r="587" spans="1:1">
      <c r="A587" s="31"/>
    </row>
    <row r="588" spans="1:1">
      <c r="A588" s="31"/>
    </row>
    <row r="589" spans="1:1">
      <c r="A589" s="31"/>
    </row>
    <row r="590" spans="1:1">
      <c r="A590" s="31"/>
    </row>
    <row r="591" spans="1:1">
      <c r="A591" s="31"/>
    </row>
    <row r="592" spans="1:1">
      <c r="A592" s="31"/>
    </row>
    <row r="593" spans="1:1">
      <c r="A593" s="31"/>
    </row>
    <row r="594" spans="1:1">
      <c r="A594" s="31"/>
    </row>
    <row r="595" spans="1:1">
      <c r="A595" s="31"/>
    </row>
    <row r="596" spans="1:1">
      <c r="A596" s="31"/>
    </row>
    <row r="597" spans="1:1">
      <c r="A597" s="31"/>
    </row>
    <row r="598" spans="1:1">
      <c r="A598" s="31"/>
    </row>
    <row r="599" spans="1:1">
      <c r="A599" s="31"/>
    </row>
    <row r="600" spans="1:1">
      <c r="A600" s="31"/>
    </row>
    <row r="601" spans="1:1">
      <c r="A601" s="31"/>
    </row>
    <row r="602" spans="1:1">
      <c r="A602" s="31"/>
    </row>
    <row r="603" spans="1:1">
      <c r="A603" s="31"/>
    </row>
    <row r="604" spans="1:1">
      <c r="A604" s="31"/>
    </row>
    <row r="605" spans="1:1">
      <c r="A605" s="31"/>
    </row>
    <row r="606" spans="1:1">
      <c r="A606" s="31"/>
    </row>
    <row r="607" spans="1:1">
      <c r="A607" s="31"/>
    </row>
    <row r="608" spans="1:1">
      <c r="A608" s="31"/>
    </row>
    <row r="609" spans="1:1">
      <c r="A609" s="31"/>
    </row>
    <row r="610" spans="1:1">
      <c r="A610" s="31"/>
    </row>
    <row r="611" spans="1:1">
      <c r="A611" s="31"/>
    </row>
    <row r="612" spans="1:1">
      <c r="A612" s="31"/>
    </row>
    <row r="613" spans="1:1">
      <c r="A613" s="31"/>
    </row>
    <row r="614" spans="1:1">
      <c r="A614" s="31"/>
    </row>
    <row r="615" spans="1:1">
      <c r="A615" s="31"/>
    </row>
    <row r="616" spans="1:1">
      <c r="A616" s="31"/>
    </row>
    <row r="617" spans="1:1">
      <c r="A617" s="31"/>
    </row>
    <row r="618" spans="1:1">
      <c r="A618" s="31"/>
    </row>
    <row r="619" spans="1:1">
      <c r="A619" s="31"/>
    </row>
    <row r="620" spans="1:1">
      <c r="A620" s="31"/>
    </row>
    <row r="621" spans="1:1">
      <c r="A621" s="31"/>
    </row>
    <row r="622" spans="1:1">
      <c r="A622" s="31"/>
    </row>
    <row r="623" spans="1:1">
      <c r="A623" s="31"/>
    </row>
    <row r="624" spans="1:1">
      <c r="A624" s="31"/>
    </row>
    <row r="625" spans="1:1">
      <c r="A625" s="31"/>
    </row>
    <row r="626" spans="1:1">
      <c r="A626" s="31"/>
    </row>
    <row r="627" spans="1:1">
      <c r="A627" s="31"/>
    </row>
    <row r="628" spans="1:1">
      <c r="A628" s="31"/>
    </row>
    <row r="629" spans="1:1">
      <c r="A629" s="31"/>
    </row>
    <row r="630" spans="1:1">
      <c r="A630" s="31"/>
    </row>
    <row r="631" spans="1:1">
      <c r="A631" s="31"/>
    </row>
    <row r="632" spans="1:1">
      <c r="A632" s="31"/>
    </row>
    <row r="633" spans="1:1">
      <c r="A633" s="31"/>
    </row>
    <row r="634" spans="1:1">
      <c r="A634" s="31"/>
    </row>
    <row r="635" spans="1:1">
      <c r="A635" s="31"/>
    </row>
    <row r="636" spans="1:1">
      <c r="A636" s="31"/>
    </row>
    <row r="637" spans="1:1">
      <c r="A637" s="31"/>
    </row>
    <row r="638" spans="1:1">
      <c r="A638" s="31"/>
    </row>
    <row r="639" spans="1:1">
      <c r="A639" s="31"/>
    </row>
    <row r="640" spans="1:1">
      <c r="A640" s="31"/>
    </row>
    <row r="641" spans="1:1">
      <c r="A641" s="31"/>
    </row>
    <row r="642" spans="1:1">
      <c r="A642" s="31"/>
    </row>
    <row r="643" spans="1:1">
      <c r="A643" s="31"/>
    </row>
    <row r="644" spans="1:1">
      <c r="A644" s="31"/>
    </row>
    <row r="645" spans="1:1">
      <c r="A645" s="31"/>
    </row>
    <row r="646" spans="1:1">
      <c r="A646" s="31"/>
    </row>
    <row r="647" spans="1:1">
      <c r="A647" s="31"/>
    </row>
    <row r="648" spans="1:1">
      <c r="A648" s="31"/>
    </row>
    <row r="649" spans="1:1">
      <c r="A649" s="31"/>
    </row>
    <row r="650" spans="1:1">
      <c r="A650" s="31"/>
    </row>
    <row r="651" spans="1:1">
      <c r="A651" s="31"/>
    </row>
    <row r="652" spans="1:1">
      <c r="A652" s="31"/>
    </row>
    <row r="653" spans="1:1">
      <c r="A653" s="31"/>
    </row>
    <row r="654" spans="1:1">
      <c r="A654" s="31"/>
    </row>
    <row r="655" spans="1:1">
      <c r="A655" s="31"/>
    </row>
    <row r="656" spans="1:1">
      <c r="A656" s="31"/>
    </row>
    <row r="657" spans="1:1">
      <c r="A657" s="31"/>
    </row>
    <row r="658" spans="1:1">
      <c r="A658" s="31"/>
    </row>
    <row r="659" spans="1:1">
      <c r="A659" s="31"/>
    </row>
    <row r="660" spans="1:1">
      <c r="A660" s="31"/>
    </row>
    <row r="661" spans="1:1">
      <c r="A661" s="31"/>
    </row>
    <row r="662" spans="1:1">
      <c r="A662" s="31"/>
    </row>
    <row r="663" spans="1:1">
      <c r="A663" s="31"/>
    </row>
    <row r="664" spans="1:1">
      <c r="A664" s="31"/>
    </row>
    <row r="665" spans="1:1">
      <c r="A665" s="31"/>
    </row>
    <row r="666" spans="1:1">
      <c r="A666" s="31"/>
    </row>
    <row r="667" spans="1:1">
      <c r="A667" s="31"/>
    </row>
    <row r="668" spans="1:1">
      <c r="A668" s="31"/>
    </row>
    <row r="669" spans="1:1">
      <c r="A669" s="31"/>
    </row>
    <row r="670" spans="1:1">
      <c r="A670" s="31"/>
    </row>
    <row r="671" spans="1:1">
      <c r="A671" s="31"/>
    </row>
    <row r="672" spans="1:1">
      <c r="A672" s="31"/>
    </row>
    <row r="673" spans="1:1">
      <c r="A673" s="31"/>
    </row>
    <row r="674" spans="1:1">
      <c r="A674" s="31"/>
    </row>
    <row r="675" spans="1:1">
      <c r="A675" s="31"/>
    </row>
    <row r="676" spans="1:1">
      <c r="A676" s="31"/>
    </row>
    <row r="677" spans="1:1">
      <c r="A677" s="31"/>
    </row>
    <row r="678" spans="1:1">
      <c r="A678" s="31"/>
    </row>
    <row r="679" spans="1:1">
      <c r="A679" s="31"/>
    </row>
    <row r="680" spans="1:1">
      <c r="A680" s="31"/>
    </row>
    <row r="681" spans="1:1">
      <c r="A681" s="31"/>
    </row>
    <row r="682" spans="1:1">
      <c r="A682" s="31"/>
    </row>
    <row r="683" spans="1:1">
      <c r="A683" s="31"/>
    </row>
    <row r="684" spans="1:1">
      <c r="A684" s="31"/>
    </row>
    <row r="685" spans="1:1">
      <c r="A685" s="31"/>
    </row>
    <row r="686" spans="1:1">
      <c r="A686" s="31"/>
    </row>
    <row r="687" spans="1:1">
      <c r="A687" s="31"/>
    </row>
    <row r="688" spans="1:1">
      <c r="A688" s="31"/>
    </row>
    <row r="689" spans="1:1">
      <c r="A689" s="31"/>
    </row>
    <row r="690" spans="1:1">
      <c r="A690" s="31"/>
    </row>
    <row r="691" spans="1:1">
      <c r="A691" s="31"/>
    </row>
    <row r="692" spans="1:1">
      <c r="A692" s="31"/>
    </row>
    <row r="693" spans="1:1">
      <c r="A693" s="31"/>
    </row>
    <row r="694" spans="1:1">
      <c r="A694" s="31"/>
    </row>
    <row r="695" spans="1:1">
      <c r="A695" s="31"/>
    </row>
    <row r="696" spans="1:1">
      <c r="A696" s="31"/>
    </row>
    <row r="697" spans="1:1">
      <c r="A697" s="31"/>
    </row>
    <row r="698" spans="1:1">
      <c r="A698" s="31"/>
    </row>
    <row r="699" spans="1:1">
      <c r="A699" s="31"/>
    </row>
    <row r="700" spans="1:1">
      <c r="A700" s="31"/>
    </row>
    <row r="701" spans="1:1">
      <c r="A701" s="31"/>
    </row>
    <row r="702" spans="1:1">
      <c r="A702" s="31"/>
    </row>
    <row r="703" spans="1:1">
      <c r="A703" s="31"/>
    </row>
    <row r="704" spans="1:1">
      <c r="A704" s="31"/>
    </row>
    <row r="705" spans="1:1">
      <c r="A705" s="31"/>
    </row>
    <row r="706" spans="1:1">
      <c r="A706" s="31"/>
    </row>
    <row r="707" spans="1:1">
      <c r="A707" s="31"/>
    </row>
    <row r="708" spans="1:1">
      <c r="A708" s="31"/>
    </row>
    <row r="709" spans="1:1">
      <c r="A709" s="31"/>
    </row>
    <row r="710" spans="1:1">
      <c r="A710" s="31"/>
    </row>
    <row r="711" spans="1:1">
      <c r="A711" s="31"/>
    </row>
    <row r="712" spans="1:1">
      <c r="A712" s="31"/>
    </row>
    <row r="713" spans="1:1">
      <c r="A713" s="31"/>
    </row>
    <row r="714" spans="1:1">
      <c r="A714" s="31"/>
    </row>
    <row r="715" spans="1:1">
      <c r="A715" s="31"/>
    </row>
    <row r="716" spans="1:1">
      <c r="A716" s="31"/>
    </row>
    <row r="717" spans="1:1">
      <c r="A717" s="31"/>
    </row>
    <row r="718" spans="1:1">
      <c r="A718" s="31"/>
    </row>
    <row r="719" spans="1:1">
      <c r="A719" s="31"/>
    </row>
    <row r="720" spans="1:1">
      <c r="A720" s="31"/>
    </row>
    <row r="721" spans="1:1">
      <c r="A721" s="31"/>
    </row>
    <row r="722" spans="1:1">
      <c r="A722" s="31"/>
    </row>
    <row r="723" spans="1:1">
      <c r="A723" s="31"/>
    </row>
    <row r="724" spans="1:1">
      <c r="A724" s="31"/>
    </row>
    <row r="725" spans="1:1">
      <c r="A725" s="31"/>
    </row>
    <row r="726" spans="1:1">
      <c r="A726" s="31"/>
    </row>
    <row r="727" spans="1:1">
      <c r="A727" s="31"/>
    </row>
    <row r="728" spans="1:1">
      <c r="A728" s="31"/>
    </row>
    <row r="729" spans="1:1">
      <c r="A729" s="31"/>
    </row>
    <row r="730" spans="1:1">
      <c r="A730" s="31"/>
    </row>
    <row r="731" spans="1:1">
      <c r="A731" s="31"/>
    </row>
    <row r="732" spans="1:1">
      <c r="A732" s="31"/>
    </row>
    <row r="733" spans="1:1">
      <c r="A733" s="31"/>
    </row>
    <row r="734" spans="1:1">
      <c r="A734" s="31"/>
    </row>
    <row r="735" spans="1:1">
      <c r="A735" s="31"/>
    </row>
    <row r="736" spans="1:1">
      <c r="A736" s="31"/>
    </row>
    <row r="737" spans="1:1">
      <c r="A737" s="31"/>
    </row>
    <row r="738" spans="1:1">
      <c r="A738" s="31"/>
    </row>
    <row r="739" spans="1:1">
      <c r="A739" s="31"/>
    </row>
    <row r="740" spans="1:1">
      <c r="A740" s="31"/>
    </row>
    <row r="741" spans="1:1">
      <c r="A741" s="31"/>
    </row>
    <row r="742" spans="1:1">
      <c r="A742" s="31"/>
    </row>
    <row r="743" spans="1:1">
      <c r="A743" s="31"/>
    </row>
    <row r="744" spans="1:1">
      <c r="A744" s="31"/>
    </row>
    <row r="745" spans="1:1">
      <c r="A745" s="31"/>
    </row>
    <row r="746" spans="1:1">
      <c r="A746" s="31"/>
    </row>
    <row r="747" spans="1:1">
      <c r="A747" s="31"/>
    </row>
    <row r="748" spans="1:1">
      <c r="A748" s="31"/>
    </row>
    <row r="749" spans="1:1">
      <c r="A749" s="31"/>
    </row>
    <row r="750" spans="1:1">
      <c r="A750" s="31"/>
    </row>
    <row r="751" spans="1:1">
      <c r="A751" s="31"/>
    </row>
    <row r="752" spans="1:1">
      <c r="A752" s="31"/>
    </row>
    <row r="753" spans="1:1">
      <c r="A753" s="31"/>
    </row>
    <row r="754" spans="1:1">
      <c r="A754" s="31"/>
    </row>
    <row r="755" spans="1:1">
      <c r="A755" s="31"/>
    </row>
    <row r="756" spans="1:1">
      <c r="A756" s="31"/>
    </row>
    <row r="757" spans="1:1">
      <c r="A757" s="31"/>
    </row>
    <row r="758" spans="1:1">
      <c r="A758" s="31"/>
    </row>
    <row r="759" spans="1:1">
      <c r="A759" s="31"/>
    </row>
    <row r="760" spans="1:1">
      <c r="A760" s="31"/>
    </row>
    <row r="761" spans="1:1">
      <c r="A761" s="31"/>
    </row>
    <row r="762" spans="1:1">
      <c r="A762" s="31"/>
    </row>
    <row r="763" spans="1:1">
      <c r="A763" s="31"/>
    </row>
    <row r="764" spans="1:1">
      <c r="A764" s="31"/>
    </row>
    <row r="765" spans="1:1">
      <c r="A765" s="31"/>
    </row>
    <row r="766" spans="1:1">
      <c r="A766" s="31"/>
    </row>
    <row r="767" spans="1:1">
      <c r="A767" s="31"/>
    </row>
    <row r="768" spans="1:1">
      <c r="A768" s="31"/>
    </row>
    <row r="769" spans="1:1">
      <c r="A769" s="31"/>
    </row>
    <row r="770" spans="1:1">
      <c r="A770" s="31"/>
    </row>
    <row r="771" spans="1:1">
      <c r="A771" s="31"/>
    </row>
    <row r="772" spans="1:1">
      <c r="A772" s="31"/>
    </row>
    <row r="773" spans="1:1">
      <c r="A773" s="31"/>
    </row>
    <row r="774" spans="1:1">
      <c r="A774" s="31"/>
    </row>
    <row r="775" spans="1:1">
      <c r="A775" s="31"/>
    </row>
    <row r="776" spans="1:1">
      <c r="A776" s="31"/>
    </row>
    <row r="777" spans="1:1">
      <c r="A777" s="31"/>
    </row>
    <row r="778" spans="1:1">
      <c r="A778" s="31"/>
    </row>
    <row r="779" spans="1:1">
      <c r="A779" s="31"/>
    </row>
    <row r="780" spans="1:1">
      <c r="A780" s="31"/>
    </row>
    <row r="781" spans="1:1">
      <c r="A781" s="31"/>
    </row>
    <row r="782" spans="1:1">
      <c r="A782" s="31"/>
    </row>
    <row r="783" spans="1:1">
      <c r="A783" s="31"/>
    </row>
    <row r="784" spans="1:1">
      <c r="A784" s="31"/>
    </row>
    <row r="785" spans="1:1">
      <c r="A785" s="31"/>
    </row>
    <row r="786" spans="1:1">
      <c r="A786" s="31"/>
    </row>
    <row r="787" spans="1:1">
      <c r="A787" s="31"/>
    </row>
    <row r="788" spans="1:1">
      <c r="A788" s="31"/>
    </row>
    <row r="789" spans="1:1">
      <c r="A789" s="31"/>
    </row>
    <row r="790" spans="1:1">
      <c r="A790" s="31"/>
    </row>
    <row r="791" spans="1:1">
      <c r="A791" s="31"/>
    </row>
    <row r="792" spans="1:1">
      <c r="A792" s="31"/>
    </row>
    <row r="793" spans="1:1">
      <c r="A793" s="31"/>
    </row>
    <row r="794" spans="1:1">
      <c r="A794" s="31"/>
    </row>
    <row r="795" spans="1:1">
      <c r="A795" s="31"/>
    </row>
    <row r="796" spans="1:1">
      <c r="A796" s="31"/>
    </row>
    <row r="797" spans="1:1">
      <c r="A797" s="31"/>
    </row>
    <row r="798" spans="1:1">
      <c r="A798" s="31"/>
    </row>
    <row r="799" spans="1:1">
      <c r="A799" s="31"/>
    </row>
    <row r="800" spans="1:1">
      <c r="A800" s="31"/>
    </row>
    <row r="801" spans="1:1">
      <c r="A801" s="31"/>
    </row>
    <row r="802" spans="1:1">
      <c r="A802" s="31"/>
    </row>
    <row r="803" spans="1:1">
      <c r="A803" s="31"/>
    </row>
    <row r="804" spans="1:1">
      <c r="A804" s="31"/>
    </row>
    <row r="805" spans="1:1">
      <c r="A805" s="31"/>
    </row>
    <row r="806" spans="1:1">
      <c r="A806" s="31"/>
    </row>
    <row r="807" spans="1:1">
      <c r="A807" s="31"/>
    </row>
    <row r="808" spans="1:1">
      <c r="A808" s="31"/>
    </row>
    <row r="809" spans="1:1">
      <c r="A809" s="31"/>
    </row>
    <row r="810" spans="1:1">
      <c r="A810" s="31"/>
    </row>
    <row r="811" spans="1:1">
      <c r="A811" s="31"/>
    </row>
    <row r="812" spans="1:1">
      <c r="A812" s="31"/>
    </row>
    <row r="813" spans="1:1">
      <c r="A813" s="31"/>
    </row>
    <row r="814" spans="1:1">
      <c r="A814" s="31"/>
    </row>
    <row r="815" spans="1:1">
      <c r="A815" s="31"/>
    </row>
    <row r="816" spans="1:1">
      <c r="A816" s="31"/>
    </row>
    <row r="817" spans="1:1">
      <c r="A817" s="31"/>
    </row>
    <row r="818" spans="1:1">
      <c r="A818" s="31"/>
    </row>
    <row r="819" spans="1:1">
      <c r="A819" s="31"/>
    </row>
    <row r="820" spans="1:1">
      <c r="A820" s="31"/>
    </row>
    <row r="821" spans="1:1">
      <c r="A821" s="31"/>
    </row>
    <row r="822" spans="1:1">
      <c r="A822" s="31"/>
    </row>
    <row r="823" spans="1:1">
      <c r="A823" s="31"/>
    </row>
    <row r="824" spans="1:1">
      <c r="A824" s="31"/>
    </row>
    <row r="825" spans="1:1">
      <c r="A825" s="31"/>
    </row>
    <row r="826" spans="1:1">
      <c r="A826" s="31"/>
    </row>
    <row r="827" spans="1:1">
      <c r="A827" s="31"/>
    </row>
    <row r="828" spans="1:1">
      <c r="A828" s="31"/>
    </row>
    <row r="829" spans="1:1">
      <c r="A829" s="31"/>
    </row>
    <row r="830" spans="1:1">
      <c r="A830" s="31"/>
    </row>
    <row r="831" spans="1:1">
      <c r="A831" s="31"/>
    </row>
    <row r="832" spans="1:1">
      <c r="A832" s="31"/>
    </row>
    <row r="833" spans="1:1">
      <c r="A833" s="31"/>
    </row>
    <row r="834" spans="1:1">
      <c r="A834" s="31"/>
    </row>
    <row r="835" spans="1:1">
      <c r="A835" s="31"/>
    </row>
    <row r="836" spans="1:1">
      <c r="A836" s="31"/>
    </row>
    <row r="837" spans="1:1">
      <c r="A837" s="31"/>
    </row>
    <row r="838" spans="1:1">
      <c r="A838" s="31"/>
    </row>
    <row r="839" spans="1:1">
      <c r="A839" s="31"/>
    </row>
    <row r="840" spans="1:1">
      <c r="A840" s="31"/>
    </row>
    <row r="841" spans="1:1">
      <c r="A841" s="31"/>
    </row>
    <row r="842" spans="1:1">
      <c r="A842" s="31"/>
    </row>
    <row r="843" spans="1:1">
      <c r="A843" s="31"/>
    </row>
    <row r="844" spans="1:1">
      <c r="A844" s="31"/>
    </row>
    <row r="845" spans="1:1">
      <c r="A845" s="31"/>
    </row>
    <row r="846" spans="1:1">
      <c r="A846" s="31"/>
    </row>
    <row r="847" spans="1:1">
      <c r="A847" s="31"/>
    </row>
    <row r="848" spans="1:1">
      <c r="A848" s="31"/>
    </row>
    <row r="849" spans="1:1">
      <c r="A849" s="31"/>
    </row>
    <row r="850" spans="1:1">
      <c r="A850" s="31"/>
    </row>
    <row r="851" spans="1:1">
      <c r="A851" s="31"/>
    </row>
    <row r="852" spans="1:1">
      <c r="A852" s="31"/>
    </row>
    <row r="853" spans="1:1">
      <c r="A853" s="31"/>
    </row>
    <row r="854" spans="1:1">
      <c r="A854" s="31"/>
    </row>
    <row r="855" spans="1:1">
      <c r="A855" s="31"/>
    </row>
    <row r="856" spans="1:1">
      <c r="A856" s="31"/>
    </row>
    <row r="857" spans="1:1">
      <c r="A857" s="31"/>
    </row>
    <row r="858" spans="1:1">
      <c r="A858" s="31"/>
    </row>
    <row r="859" spans="1:1">
      <c r="A859" s="31"/>
    </row>
    <row r="860" spans="1:1">
      <c r="A860" s="31"/>
    </row>
    <row r="861" spans="1:1">
      <c r="A861" s="31"/>
    </row>
    <row r="862" spans="1:1">
      <c r="A862" s="31"/>
    </row>
    <row r="863" spans="1:1">
      <c r="A863" s="31"/>
    </row>
    <row r="864" spans="1:1">
      <c r="A864" s="31"/>
    </row>
    <row r="865" spans="1:1">
      <c r="A865" s="31"/>
    </row>
    <row r="866" spans="1:1">
      <c r="A866" s="31"/>
    </row>
    <row r="867" spans="1:1">
      <c r="A867" s="31"/>
    </row>
    <row r="868" spans="1:1">
      <c r="A868" s="31"/>
    </row>
    <row r="869" spans="1:1">
      <c r="A869" s="31"/>
    </row>
    <row r="870" spans="1:1">
      <c r="A870" s="31"/>
    </row>
    <row r="871" spans="1:1">
      <c r="A871" s="31"/>
    </row>
    <row r="872" spans="1:1">
      <c r="A872" s="31"/>
    </row>
    <row r="873" spans="1:1">
      <c r="A873" s="31"/>
    </row>
    <row r="874" spans="1:1">
      <c r="A874" s="31"/>
    </row>
    <row r="875" spans="1:1">
      <c r="A875" s="31"/>
    </row>
    <row r="876" spans="1:1">
      <c r="A876" s="31"/>
    </row>
    <row r="877" spans="1:1">
      <c r="A877" s="31"/>
    </row>
    <row r="878" spans="1:1">
      <c r="A878" s="31"/>
    </row>
    <row r="879" spans="1:1">
      <c r="A879" s="31"/>
    </row>
    <row r="880" spans="1:1">
      <c r="A880" s="31"/>
    </row>
    <row r="881" spans="1:1">
      <c r="A881" s="31"/>
    </row>
    <row r="882" spans="1:1">
      <c r="A882" s="31"/>
    </row>
    <row r="883" spans="1:1">
      <c r="A883" s="31"/>
    </row>
    <row r="884" spans="1:1">
      <c r="A884" s="31"/>
    </row>
    <row r="885" spans="1:1">
      <c r="A885" s="31"/>
    </row>
    <row r="886" spans="1:1">
      <c r="A886" s="31"/>
    </row>
    <row r="887" spans="1:1">
      <c r="A887" s="31"/>
    </row>
    <row r="888" spans="1:1">
      <c r="A888" s="31"/>
    </row>
    <row r="889" spans="1:1">
      <c r="A889" s="31"/>
    </row>
    <row r="890" spans="1:1">
      <c r="A890" s="31"/>
    </row>
    <row r="891" spans="1:1">
      <c r="A891" s="31"/>
    </row>
    <row r="892" spans="1:1">
      <c r="A892" s="31"/>
    </row>
    <row r="893" spans="1:1">
      <c r="A893" s="31"/>
    </row>
    <row r="894" spans="1:1">
      <c r="A894" s="31"/>
    </row>
    <row r="895" spans="1:1">
      <c r="A895" s="31"/>
    </row>
    <row r="896" spans="1:1">
      <c r="A896" s="31"/>
    </row>
    <row r="897" spans="1:1">
      <c r="A897" s="31"/>
    </row>
    <row r="898" spans="1:1">
      <c r="A898" s="31"/>
    </row>
    <row r="899" spans="1:1">
      <c r="A899" s="31"/>
    </row>
    <row r="900" spans="1:1">
      <c r="A900" s="31"/>
    </row>
    <row r="901" spans="1:1">
      <c r="A901" s="31"/>
    </row>
    <row r="902" spans="1:1">
      <c r="A902" s="31"/>
    </row>
    <row r="903" spans="1:1">
      <c r="A903" s="31"/>
    </row>
    <row r="904" spans="1:1">
      <c r="A904" s="31"/>
    </row>
    <row r="905" spans="1:1">
      <c r="A905" s="31"/>
    </row>
    <row r="906" spans="1:1">
      <c r="A906" s="31"/>
    </row>
    <row r="907" spans="1:1">
      <c r="A907" s="31"/>
    </row>
    <row r="908" spans="1:1">
      <c r="A908" s="31"/>
    </row>
    <row r="909" spans="1:1">
      <c r="A909" s="31"/>
    </row>
    <row r="910" spans="1:1">
      <c r="A910" s="31"/>
    </row>
    <row r="911" spans="1:1">
      <c r="A911" s="31"/>
    </row>
    <row r="912" spans="1:1">
      <c r="A912" s="31"/>
    </row>
    <row r="913" spans="1:1">
      <c r="A913" s="31"/>
    </row>
    <row r="914" spans="1:1">
      <c r="A914" s="31"/>
    </row>
    <row r="915" spans="1:1">
      <c r="A915" s="31"/>
    </row>
    <row r="916" spans="1:1">
      <c r="A916" s="31"/>
    </row>
    <row r="917" spans="1:1">
      <c r="A917" s="31"/>
    </row>
    <row r="918" spans="1:1">
      <c r="A918" s="31"/>
    </row>
    <row r="919" spans="1:1">
      <c r="A919" s="31"/>
    </row>
    <row r="920" spans="1:1">
      <c r="A920" s="31"/>
    </row>
    <row r="921" spans="1:1">
      <c r="A921" s="31"/>
    </row>
    <row r="922" spans="1:1">
      <c r="A922" s="31"/>
    </row>
    <row r="923" spans="1:1">
      <c r="A923" s="31"/>
    </row>
    <row r="924" spans="1:1">
      <c r="A924" s="31"/>
    </row>
    <row r="925" spans="1:1">
      <c r="A925" s="31"/>
    </row>
    <row r="926" spans="1:1">
      <c r="A926" s="31"/>
    </row>
    <row r="927" spans="1:1">
      <c r="A927" s="31"/>
    </row>
    <row r="928" spans="1:1">
      <c r="A928" s="31"/>
    </row>
    <row r="929" spans="1:1">
      <c r="A929" s="31"/>
    </row>
    <row r="930" spans="1:1">
      <c r="A930" s="31"/>
    </row>
    <row r="931" spans="1:1">
      <c r="A931" s="31"/>
    </row>
    <row r="932" spans="1:1">
      <c r="A932" s="31"/>
    </row>
    <row r="933" spans="1:1">
      <c r="A933" s="31"/>
    </row>
    <row r="934" spans="1:1">
      <c r="A934" s="31"/>
    </row>
    <row r="935" spans="1:1">
      <c r="A935" s="31"/>
    </row>
    <row r="936" spans="1:1">
      <c r="A936" s="31"/>
    </row>
    <row r="937" spans="1:1">
      <c r="A937" s="31"/>
    </row>
    <row r="938" spans="1:1">
      <c r="A938" s="31"/>
    </row>
    <row r="939" spans="1:1">
      <c r="A939" s="31"/>
    </row>
    <row r="940" spans="1:1">
      <c r="A940" s="31"/>
    </row>
    <row r="941" spans="1:1">
      <c r="A941" s="31"/>
    </row>
    <row r="942" spans="1:1">
      <c r="A942" s="31"/>
    </row>
    <row r="943" spans="1:1">
      <c r="A943" s="31"/>
    </row>
    <row r="944" spans="1:1">
      <c r="A944" s="31"/>
    </row>
    <row r="945" spans="1:1">
      <c r="A945" s="31"/>
    </row>
    <row r="946" spans="1:1">
      <c r="A946" s="31"/>
    </row>
    <row r="947" spans="1:1">
      <c r="A947" s="31"/>
    </row>
    <row r="948" spans="1:1">
      <c r="A948" s="31"/>
    </row>
    <row r="949" spans="1:1">
      <c r="A949" s="31"/>
    </row>
    <row r="950" spans="1:1">
      <c r="A950" s="31"/>
    </row>
    <row r="951" spans="1:1">
      <c r="A951" s="31"/>
    </row>
    <row r="952" spans="1:1">
      <c r="A952" s="31"/>
    </row>
    <row r="953" spans="1:1">
      <c r="A953" s="31"/>
    </row>
    <row r="954" spans="1:1">
      <c r="A954" s="31"/>
    </row>
    <row r="955" spans="1:1">
      <c r="A955" s="31"/>
    </row>
    <row r="956" spans="1:1">
      <c r="A956" s="31"/>
    </row>
    <row r="957" spans="1:1">
      <c r="A957" s="31"/>
    </row>
    <row r="958" spans="1:1">
      <c r="A958" s="31"/>
    </row>
    <row r="959" spans="1:1">
      <c r="A959" s="31"/>
    </row>
    <row r="960" spans="1:1">
      <c r="A960" s="31"/>
    </row>
    <row r="961" spans="1:1">
      <c r="A961" s="31"/>
    </row>
    <row r="962" spans="1:1">
      <c r="A962" s="31"/>
    </row>
    <row r="963" spans="1:1">
      <c r="A963" s="31"/>
    </row>
    <row r="964" spans="1:1">
      <c r="A964" s="31"/>
    </row>
    <row r="965" spans="1:1">
      <c r="A965" s="31"/>
    </row>
    <row r="966" spans="1:1">
      <c r="A966" s="31"/>
    </row>
    <row r="967" spans="1:1">
      <c r="A967" s="31"/>
    </row>
    <row r="968" spans="1:1">
      <c r="A968" s="31"/>
    </row>
    <row r="969" spans="1:1">
      <c r="A969" s="31"/>
    </row>
    <row r="970" spans="1:1">
      <c r="A970" s="31"/>
    </row>
    <row r="971" spans="1:1">
      <c r="A971" s="31"/>
    </row>
    <row r="972" spans="1:1">
      <c r="A972" s="31"/>
    </row>
    <row r="973" spans="1:1">
      <c r="A973" s="31"/>
    </row>
    <row r="974" spans="1:1">
      <c r="A974" s="31"/>
    </row>
    <row r="975" spans="1:1">
      <c r="A975" s="31"/>
    </row>
    <row r="976" spans="1:1">
      <c r="A976" s="31"/>
    </row>
    <row r="977" spans="1:1">
      <c r="A977" s="31"/>
    </row>
    <row r="978" spans="1:1">
      <c r="A978" s="31"/>
    </row>
    <row r="979" spans="1:1">
      <c r="A979" s="31"/>
    </row>
    <row r="980" spans="1:1">
      <c r="A980" s="31"/>
    </row>
    <row r="981" spans="1:1">
      <c r="A981" s="31"/>
    </row>
    <row r="982" spans="1:1">
      <c r="A982" s="31"/>
    </row>
    <row r="983" spans="1:1">
      <c r="A983" s="31"/>
    </row>
    <row r="984" spans="1:1">
      <c r="A984" s="31"/>
    </row>
    <row r="985" spans="1:1">
      <c r="A985" s="31"/>
    </row>
    <row r="986" spans="1:1">
      <c r="A986" s="31"/>
    </row>
    <row r="987" spans="1:1">
      <c r="A987" s="31"/>
    </row>
    <row r="988" spans="1:1">
      <c r="A988" s="31"/>
    </row>
    <row r="989" spans="1:1">
      <c r="A989" s="31"/>
    </row>
    <row r="990" spans="1:1">
      <c r="A990" s="31"/>
    </row>
    <row r="991" spans="1:1">
      <c r="A991" s="31"/>
    </row>
    <row r="992" spans="1:1">
      <c r="A992" s="31"/>
    </row>
    <row r="993" spans="1:1">
      <c r="A993" s="31"/>
    </row>
    <row r="994" spans="1:1">
      <c r="A994" s="31"/>
    </row>
    <row r="995" spans="1:1">
      <c r="A995" s="31"/>
    </row>
    <row r="996" spans="1:1">
      <c r="A996" s="31"/>
    </row>
    <row r="997" spans="1:1">
      <c r="A997" s="31"/>
    </row>
    <row r="998" spans="1:1">
      <c r="A998" s="31"/>
    </row>
    <row r="999" spans="1:1">
      <c r="A999" s="31"/>
    </row>
    <row r="1000" spans="1:1">
      <c r="A1000" s="31"/>
    </row>
  </sheetData>
  <hyperlinks>
    <hyperlink ref="C2" r:id="rId1" location="gid=0"/>
    <hyperlink ref="C3" r:id="rId2" location="gid=0"/>
    <hyperlink ref="C4" r:id="rId3" location="gid=0"/>
    <hyperlink ref="C5" r:id="rId4" location="gid=0"/>
    <hyperlink ref="C6" r:id="rId5" location="gid=0"/>
    <hyperlink ref="C7" r:id="rId6" location="gid=0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6640625" defaultRowHeight="15.75" customHeight="1" outlineLevelRow="1"/>
  <cols>
    <col min="1" max="1" width="5.77734375" customWidth="1"/>
    <col min="2" max="2" width="24.109375" customWidth="1"/>
    <col min="3" max="3" width="16.33203125" customWidth="1"/>
    <col min="4" max="4" width="20.88671875" customWidth="1"/>
    <col min="5" max="5" width="25.44140625" customWidth="1"/>
    <col min="6" max="6" width="21.6640625" customWidth="1"/>
    <col min="7" max="7" width="26.77734375" customWidth="1"/>
    <col min="8" max="8" width="21.109375" customWidth="1"/>
    <col min="9" max="9" width="15.6640625" customWidth="1"/>
    <col min="10" max="10" width="53.88671875" customWidth="1"/>
    <col min="11" max="11" width="19.33203125" customWidth="1"/>
    <col min="12" max="12" width="10.88671875" customWidth="1"/>
    <col min="13" max="13" width="14.88671875" customWidth="1"/>
    <col min="14" max="15" width="11.33203125" customWidth="1"/>
    <col min="16" max="16" width="22.109375" customWidth="1"/>
    <col min="17" max="18" width="12.77734375" customWidth="1"/>
    <col min="19" max="19" width="23.6640625" customWidth="1"/>
    <col min="20" max="21" width="12.77734375" customWidth="1"/>
    <col min="22" max="22" width="12.33203125" customWidth="1"/>
    <col min="23" max="25" width="13.21875" customWidth="1"/>
    <col min="26" max="26" width="14.44140625" customWidth="1"/>
    <col min="27" max="27" width="12.109375" customWidth="1"/>
    <col min="28" max="28" width="11.77734375" customWidth="1"/>
    <col min="29" max="30" width="11.44140625" customWidth="1"/>
    <col min="31" max="31" width="15.21875" customWidth="1"/>
    <col min="32" max="33" width="11.109375" customWidth="1"/>
    <col min="34" max="34" width="15.44140625" customWidth="1"/>
    <col min="35" max="36" width="13.21875" customWidth="1"/>
    <col min="37" max="37" width="14.6640625" customWidth="1"/>
    <col min="38" max="38" width="21.77734375" customWidth="1"/>
    <col min="39" max="39" width="29.6640625" customWidth="1"/>
    <col min="40" max="40" width="24.44140625" customWidth="1"/>
    <col min="41" max="41" width="22.33203125" customWidth="1"/>
    <col min="42" max="49" width="11.6640625" customWidth="1"/>
    <col min="50" max="50" width="8.88671875" customWidth="1"/>
    <col min="51" max="51" width="20.77734375" customWidth="1"/>
    <col min="52" max="52" width="9.88671875" customWidth="1"/>
    <col min="53" max="53" width="20.21875" customWidth="1"/>
    <col min="54" max="54" width="9.44140625" customWidth="1"/>
    <col min="55" max="55" width="34.88671875" customWidth="1"/>
    <col min="56" max="56" width="20.33203125" customWidth="1"/>
    <col min="57" max="57" width="18.33203125" customWidth="1"/>
    <col min="58" max="58" width="27.33203125" customWidth="1"/>
    <col min="59" max="59" width="16.33203125" customWidth="1"/>
    <col min="60" max="61" width="31" customWidth="1"/>
    <col min="62" max="62" width="21.6640625" customWidth="1"/>
    <col min="63" max="63" width="9.88671875" customWidth="1"/>
    <col min="64" max="64" width="15.77734375" customWidth="1"/>
    <col min="65" max="65" width="9.88671875" customWidth="1"/>
    <col min="66" max="66" width="15.88671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>SUM(AZ13:AZ1948)</f>
        <v>1758.1090000000002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57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>SUM(BM13:BM1948)</f>
        <v>1126.0345438539346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3.8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32"/>
      <c r="BK5" s="32"/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32"/>
      <c r="BP6" s="32"/>
    </row>
    <row r="7" spans="1:68" ht="13.8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2">
      <c r="A8" s="56"/>
      <c r="B8" s="108" t="s">
        <v>29</v>
      </c>
      <c r="C8" s="108" t="s">
        <v>30</v>
      </c>
      <c r="D8" s="108" t="s">
        <v>31</v>
      </c>
      <c r="E8" s="108" t="s">
        <v>32</v>
      </c>
      <c r="F8" s="111" t="s">
        <v>33</v>
      </c>
      <c r="G8" s="108" t="s">
        <v>34</v>
      </c>
      <c r="H8" s="107" t="s">
        <v>35</v>
      </c>
      <c r="I8" s="103"/>
      <c r="J8" s="108" t="s">
        <v>36</v>
      </c>
      <c r="K8" s="91" t="s">
        <v>37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3"/>
      <c r="AP8" s="101" t="s">
        <v>38</v>
      </c>
      <c r="AQ8" s="102"/>
      <c r="AR8" s="102"/>
      <c r="AS8" s="102"/>
      <c r="AT8" s="102"/>
      <c r="AU8" s="102"/>
      <c r="AV8" s="102"/>
      <c r="AW8" s="103"/>
      <c r="AX8" s="107" t="s">
        <v>39</v>
      </c>
      <c r="AY8" s="102"/>
      <c r="AZ8" s="102"/>
      <c r="BA8" s="103"/>
      <c r="BB8" s="56"/>
      <c r="BC8" s="56"/>
      <c r="BD8" s="108" t="s">
        <v>40</v>
      </c>
      <c r="BE8" s="108" t="s">
        <v>30</v>
      </c>
      <c r="BF8" s="108" t="s">
        <v>31</v>
      </c>
      <c r="BG8" s="108" t="s">
        <v>41</v>
      </c>
      <c r="BH8" s="108" t="s">
        <v>33</v>
      </c>
      <c r="BI8" s="108" t="s">
        <v>34</v>
      </c>
      <c r="BJ8" s="107" t="s">
        <v>42</v>
      </c>
      <c r="BK8" s="102"/>
      <c r="BL8" s="102"/>
      <c r="BM8" s="102"/>
      <c r="BN8" s="103"/>
      <c r="BO8" s="56"/>
      <c r="BP8" s="56"/>
    </row>
    <row r="9" spans="1:68" ht="13.2">
      <c r="A9" s="56"/>
      <c r="B9" s="95"/>
      <c r="C9" s="95"/>
      <c r="D9" s="95"/>
      <c r="E9" s="95"/>
      <c r="F9" s="95"/>
      <c r="G9" s="95"/>
      <c r="H9" s="109"/>
      <c r="I9" s="110"/>
      <c r="J9" s="95"/>
      <c r="K9" s="91" t="s">
        <v>43</v>
      </c>
      <c r="L9" s="92"/>
      <c r="M9" s="93"/>
      <c r="N9" s="91" t="s">
        <v>44</v>
      </c>
      <c r="O9" s="92"/>
      <c r="P9" s="93"/>
      <c r="Q9" s="91" t="s">
        <v>45</v>
      </c>
      <c r="R9" s="92"/>
      <c r="S9" s="93"/>
      <c r="T9" s="91" t="s">
        <v>46</v>
      </c>
      <c r="U9" s="92"/>
      <c r="V9" s="93"/>
      <c r="W9" s="91" t="s">
        <v>47</v>
      </c>
      <c r="X9" s="92"/>
      <c r="Y9" s="93"/>
      <c r="Z9" s="91" t="s">
        <v>48</v>
      </c>
      <c r="AA9" s="92"/>
      <c r="AB9" s="93"/>
      <c r="AC9" s="91" t="s">
        <v>49</v>
      </c>
      <c r="AD9" s="92"/>
      <c r="AE9" s="93"/>
      <c r="AF9" s="91" t="s">
        <v>50</v>
      </c>
      <c r="AG9" s="92"/>
      <c r="AH9" s="93"/>
      <c r="AI9" s="91" t="s">
        <v>51</v>
      </c>
      <c r="AJ9" s="92"/>
      <c r="AK9" s="93"/>
      <c r="AL9" s="94" t="s">
        <v>9</v>
      </c>
      <c r="AM9" s="108" t="s">
        <v>52</v>
      </c>
      <c r="AN9" s="108" t="s">
        <v>53</v>
      </c>
      <c r="AO9" s="108" t="s">
        <v>54</v>
      </c>
      <c r="AP9" s="104"/>
      <c r="AQ9" s="105"/>
      <c r="AR9" s="105"/>
      <c r="AS9" s="105"/>
      <c r="AT9" s="105"/>
      <c r="AU9" s="105"/>
      <c r="AV9" s="105"/>
      <c r="AW9" s="106"/>
      <c r="AX9" s="104"/>
      <c r="AY9" s="105"/>
      <c r="AZ9" s="105"/>
      <c r="BA9" s="106"/>
      <c r="BB9" s="56"/>
      <c r="BC9" s="56"/>
      <c r="BD9" s="95"/>
      <c r="BE9" s="95"/>
      <c r="BF9" s="95"/>
      <c r="BG9" s="95"/>
      <c r="BH9" s="95"/>
      <c r="BI9" s="95"/>
      <c r="BJ9" s="104"/>
      <c r="BK9" s="105"/>
      <c r="BL9" s="105"/>
      <c r="BM9" s="105"/>
      <c r="BN9" s="106"/>
      <c r="BO9" s="56"/>
      <c r="BP9" s="56"/>
    </row>
    <row r="10" spans="1:68" ht="13.2">
      <c r="A10" s="56"/>
      <c r="B10" s="95"/>
      <c r="C10" s="95"/>
      <c r="D10" s="95"/>
      <c r="E10" s="95"/>
      <c r="F10" s="95"/>
      <c r="G10" s="95"/>
      <c r="H10" s="104"/>
      <c r="I10" s="106"/>
      <c r="J10" s="95"/>
      <c r="K10" s="94" t="s">
        <v>55</v>
      </c>
      <c r="L10" s="94" t="s">
        <v>56</v>
      </c>
      <c r="M10" s="94" t="s">
        <v>57</v>
      </c>
      <c r="N10" s="94" t="s">
        <v>58</v>
      </c>
      <c r="O10" s="94" t="s">
        <v>59</v>
      </c>
      <c r="P10" s="94" t="s">
        <v>60</v>
      </c>
      <c r="Q10" s="94" t="s">
        <v>58</v>
      </c>
      <c r="R10" s="94" t="s">
        <v>59</v>
      </c>
      <c r="S10" s="94" t="s">
        <v>60</v>
      </c>
      <c r="T10" s="94" t="s">
        <v>58</v>
      </c>
      <c r="U10" s="94" t="s">
        <v>59</v>
      </c>
      <c r="V10" s="94" t="s">
        <v>60</v>
      </c>
      <c r="W10" s="94" t="s">
        <v>55</v>
      </c>
      <c r="X10" s="94" t="s">
        <v>56</v>
      </c>
      <c r="Y10" s="94" t="s">
        <v>57</v>
      </c>
      <c r="Z10" s="94" t="s">
        <v>58</v>
      </c>
      <c r="AA10" s="94" t="s">
        <v>59</v>
      </c>
      <c r="AB10" s="94" t="s">
        <v>60</v>
      </c>
      <c r="AC10" s="94" t="s">
        <v>58</v>
      </c>
      <c r="AD10" s="94" t="s">
        <v>59</v>
      </c>
      <c r="AE10" s="94" t="s">
        <v>60</v>
      </c>
      <c r="AF10" s="94" t="s">
        <v>58</v>
      </c>
      <c r="AG10" s="94" t="s">
        <v>59</v>
      </c>
      <c r="AH10" s="94" t="s">
        <v>60</v>
      </c>
      <c r="AI10" s="94" t="s">
        <v>58</v>
      </c>
      <c r="AJ10" s="94" t="s">
        <v>59</v>
      </c>
      <c r="AK10" s="94" t="s">
        <v>61</v>
      </c>
      <c r="AL10" s="95"/>
      <c r="AM10" s="95"/>
      <c r="AN10" s="95"/>
      <c r="AO10" s="95"/>
      <c r="AP10" s="97" t="s">
        <v>62</v>
      </c>
      <c r="AQ10" s="93"/>
      <c r="AR10" s="97" t="s">
        <v>63</v>
      </c>
      <c r="AS10" s="93"/>
      <c r="AT10" s="97" t="s">
        <v>64</v>
      </c>
      <c r="AU10" s="93"/>
      <c r="AV10" s="97" t="s">
        <v>65</v>
      </c>
      <c r="AW10" s="93"/>
      <c r="AX10" s="98" t="s">
        <v>66</v>
      </c>
      <c r="AY10" s="99"/>
      <c r="AZ10" s="100" t="s">
        <v>67</v>
      </c>
      <c r="BA10" s="93"/>
      <c r="BB10" s="56"/>
      <c r="BC10" s="56"/>
      <c r="BD10" s="95"/>
      <c r="BE10" s="95"/>
      <c r="BF10" s="95"/>
      <c r="BG10" s="95"/>
      <c r="BH10" s="95"/>
      <c r="BI10" s="95"/>
      <c r="BJ10" s="112" t="s">
        <v>68</v>
      </c>
      <c r="BK10" s="98" t="s">
        <v>66</v>
      </c>
      <c r="BL10" s="99"/>
      <c r="BM10" s="100" t="s">
        <v>67</v>
      </c>
      <c r="BN10" s="93"/>
      <c r="BO10" s="56"/>
      <c r="BP10" s="56"/>
    </row>
    <row r="11" spans="1:68" ht="36" customHeight="1">
      <c r="A11" s="56"/>
      <c r="B11" s="96"/>
      <c r="C11" s="96"/>
      <c r="D11" s="96"/>
      <c r="E11" s="96"/>
      <c r="F11" s="96"/>
      <c r="G11" s="96"/>
      <c r="H11" s="57" t="s">
        <v>69</v>
      </c>
      <c r="I11" s="57" t="s">
        <v>70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6"/>
      <c r="BE11" s="96"/>
      <c r="BF11" s="96"/>
      <c r="BG11" s="96"/>
      <c r="BH11" s="96"/>
      <c r="BI11" s="96"/>
      <c r="BJ11" s="96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2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145.19999999999999">
      <c r="A13" s="66"/>
      <c r="B13" s="67" t="s">
        <v>10</v>
      </c>
      <c r="C13" s="67" t="s">
        <v>76</v>
      </c>
      <c r="D13" s="68" t="s">
        <v>77</v>
      </c>
      <c r="E13" s="69" t="s">
        <v>78</v>
      </c>
      <c r="F13" s="70" t="s">
        <v>79</v>
      </c>
      <c r="G13" s="68" t="s">
        <v>80</v>
      </c>
      <c r="H13" s="71">
        <v>44365</v>
      </c>
      <c r="I13" s="71">
        <v>44920</v>
      </c>
      <c r="J13" s="68" t="s">
        <v>81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/>
      <c r="AJ13" s="72"/>
      <c r="AK13" s="73"/>
      <c r="AL13" s="74" t="s">
        <v>82</v>
      </c>
      <c r="AM13" s="68" t="s">
        <v>83</v>
      </c>
      <c r="AN13" s="73" t="s">
        <v>84</v>
      </c>
      <c r="AO13" s="73"/>
      <c r="AP13" s="75">
        <f t="shared" ref="AP13:AQ13" si="0">AR13+AT13+AV13</f>
        <v>1069056.5</v>
      </c>
      <c r="AQ13" s="75">
        <f t="shared" si="0"/>
        <v>1069022.37928</v>
      </c>
      <c r="AR13" s="76">
        <v>1053972.44</v>
      </c>
      <c r="AS13" s="76">
        <v>1053972.44</v>
      </c>
      <c r="AT13" s="75">
        <v>15084.06</v>
      </c>
      <c r="AU13" s="75">
        <v>15049.939279999933</v>
      </c>
      <c r="AV13" s="75">
        <v>0</v>
      </c>
      <c r="AW13" s="75">
        <v>0</v>
      </c>
      <c r="AX13" s="75">
        <v>702.13</v>
      </c>
      <c r="AY13" s="77">
        <f t="shared" ref="AY13:AY1948" ca="1" si="1">AX13/$I$3*100</f>
        <v>0.94205047221264382</v>
      </c>
      <c r="AZ13" s="75">
        <v>785.07</v>
      </c>
      <c r="BA13" s="77">
        <f t="shared" ref="BA13:BA1948" ca="1" si="2">AZ13/$I$3*100</f>
        <v>1.0533313833905122</v>
      </c>
      <c r="BB13" s="4"/>
      <c r="BC13" s="4"/>
      <c r="BD13" s="67" t="s">
        <v>10</v>
      </c>
      <c r="BE13" s="67" t="s">
        <v>76</v>
      </c>
      <c r="BF13" s="68" t="s">
        <v>85</v>
      </c>
      <c r="BG13" s="69" t="s">
        <v>78</v>
      </c>
      <c r="BH13" s="68" t="s">
        <v>79</v>
      </c>
      <c r="BI13" s="68" t="s">
        <v>80</v>
      </c>
      <c r="BJ13" s="73" t="s">
        <v>86</v>
      </c>
      <c r="BK13" s="78">
        <v>0.99</v>
      </c>
      <c r="BL13" s="78">
        <f t="shared" ref="BL13:BL1948" ca="1" si="3">BK13/$I$4*100</f>
        <v>1.6121793472986064E-3</v>
      </c>
      <c r="BM13" s="78">
        <v>1.0469721999999999</v>
      </c>
      <c r="BN13" s="78">
        <f t="shared" ref="BN13:BN1948" ca="1" si="4">BM13/$I$4*100</f>
        <v>1.7049565232684705E-3</v>
      </c>
      <c r="BO13" s="66"/>
      <c r="BP13" s="66"/>
    </row>
    <row r="14" spans="1:68" ht="237.6">
      <c r="A14" s="66"/>
      <c r="B14" s="67" t="s">
        <v>10</v>
      </c>
      <c r="C14" s="67" t="s">
        <v>76</v>
      </c>
      <c r="D14" s="68" t="s">
        <v>77</v>
      </c>
      <c r="E14" s="69" t="s">
        <v>87</v>
      </c>
      <c r="F14" s="70" t="s">
        <v>79</v>
      </c>
      <c r="G14" s="68" t="s">
        <v>88</v>
      </c>
      <c r="H14" s="71">
        <v>43466</v>
      </c>
      <c r="I14" s="71">
        <v>44925</v>
      </c>
      <c r="J14" s="68" t="s">
        <v>89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79" t="s">
        <v>90</v>
      </c>
      <c r="AL14" s="68" t="s">
        <v>82</v>
      </c>
      <c r="AM14" s="68" t="s">
        <v>91</v>
      </c>
      <c r="AN14" s="73" t="s">
        <v>84</v>
      </c>
      <c r="AO14" s="73"/>
      <c r="AP14" s="75">
        <f t="shared" ref="AP14:AQ14" si="5">AR14+AT14+AV14</f>
        <v>303671.63962999999</v>
      </c>
      <c r="AQ14" s="75">
        <f t="shared" si="5"/>
        <v>303671.63962999999</v>
      </c>
      <c r="AR14" s="75">
        <v>283523.69962999999</v>
      </c>
      <c r="AS14" s="75">
        <v>283523.69962999999</v>
      </c>
      <c r="AT14" s="76">
        <v>20147.939999999999</v>
      </c>
      <c r="AU14" s="76">
        <v>20147.939999999999</v>
      </c>
      <c r="AV14" s="75">
        <v>0</v>
      </c>
      <c r="AW14" s="75">
        <v>0</v>
      </c>
      <c r="AX14" s="75">
        <v>107.25</v>
      </c>
      <c r="AY14" s="77">
        <f t="shared" ca="1" si="1"/>
        <v>0.14389772997138145</v>
      </c>
      <c r="AZ14" s="75">
        <v>107.25</v>
      </c>
      <c r="BA14" s="77">
        <f t="shared" ca="1" si="2"/>
        <v>0.14389772997138145</v>
      </c>
      <c r="BB14" s="4"/>
      <c r="BC14" s="4"/>
      <c r="BD14" s="67" t="s">
        <v>10</v>
      </c>
      <c r="BE14" s="67" t="s">
        <v>76</v>
      </c>
      <c r="BF14" s="68" t="s">
        <v>85</v>
      </c>
      <c r="BG14" s="69" t="s">
        <v>78</v>
      </c>
      <c r="BH14" s="68" t="s">
        <v>79</v>
      </c>
      <c r="BI14" s="68" t="s">
        <v>80</v>
      </c>
      <c r="BJ14" s="73" t="s">
        <v>92</v>
      </c>
      <c r="BK14" s="78">
        <v>6.05</v>
      </c>
      <c r="BL14" s="78">
        <f t="shared" ca="1" si="3"/>
        <v>9.8522071223803714E-3</v>
      </c>
      <c r="BM14" s="78">
        <v>6.8148994374356304</v>
      </c>
      <c r="BN14" s="78">
        <f t="shared" ca="1" si="4"/>
        <v>1.1097818310051126E-2</v>
      </c>
      <c r="BO14" s="66"/>
      <c r="BP14" s="66"/>
    </row>
    <row r="15" spans="1:68" ht="92.4">
      <c r="A15" s="66"/>
      <c r="B15" s="67" t="s">
        <v>10</v>
      </c>
      <c r="C15" s="67" t="s">
        <v>76</v>
      </c>
      <c r="D15" s="68" t="s">
        <v>85</v>
      </c>
      <c r="E15" s="69" t="s">
        <v>93</v>
      </c>
      <c r="F15" s="70" t="s">
        <v>94</v>
      </c>
      <c r="G15" s="68" t="s">
        <v>95</v>
      </c>
      <c r="H15" s="71">
        <v>43466</v>
      </c>
      <c r="I15" s="71">
        <v>44925</v>
      </c>
      <c r="J15" s="68" t="s">
        <v>96</v>
      </c>
      <c r="K15" s="72"/>
      <c r="L15" s="72"/>
      <c r="M15" s="73"/>
      <c r="N15" s="72"/>
      <c r="O15" s="72"/>
      <c r="P15" s="73"/>
      <c r="Q15" s="72"/>
      <c r="R15" s="72"/>
      <c r="S15" s="79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80">
        <v>45169</v>
      </c>
      <c r="AJ15" s="72"/>
      <c r="AK15" s="81"/>
      <c r="AL15" s="74" t="s">
        <v>82</v>
      </c>
      <c r="AM15" s="68" t="s">
        <v>97</v>
      </c>
      <c r="AN15" s="73" t="s">
        <v>84</v>
      </c>
      <c r="AO15" s="73"/>
      <c r="AP15" s="75">
        <f t="shared" ref="AP15:AQ15" si="6">AR15+AT15+AV15</f>
        <v>19919.956129999999</v>
      </c>
      <c r="AQ15" s="75">
        <f t="shared" si="6"/>
        <v>19919.958480000001</v>
      </c>
      <c r="AR15" s="76">
        <f>18441.1</f>
        <v>18441.099999999999</v>
      </c>
      <c r="AS15" s="76">
        <f>17230.58235+1210.52</f>
        <v>18441.102350000001</v>
      </c>
      <c r="AT15" s="76">
        <v>1478.8561299999999</v>
      </c>
      <c r="AU15" s="75">
        <v>1478.8561299999999</v>
      </c>
      <c r="AV15" s="75">
        <v>0</v>
      </c>
      <c r="AW15" s="75">
        <v>0</v>
      </c>
      <c r="AX15" s="75">
        <v>86.3</v>
      </c>
      <c r="AY15" s="77">
        <f t="shared" ca="1" si="1"/>
        <v>0.11578903586508361</v>
      </c>
      <c r="AZ15" s="75">
        <v>86.3</v>
      </c>
      <c r="BA15" s="77">
        <f t="shared" ca="1" si="2"/>
        <v>0.11578903586508361</v>
      </c>
      <c r="BB15" s="4"/>
      <c r="BC15" s="4"/>
      <c r="BD15" s="67" t="s">
        <v>10</v>
      </c>
      <c r="BE15" s="67" t="s">
        <v>76</v>
      </c>
      <c r="BF15" s="68" t="s">
        <v>85</v>
      </c>
      <c r="BG15" s="69" t="s">
        <v>78</v>
      </c>
      <c r="BH15" s="68" t="s">
        <v>79</v>
      </c>
      <c r="BI15" s="68" t="s">
        <v>80</v>
      </c>
      <c r="BJ15" s="73" t="s">
        <v>98</v>
      </c>
      <c r="BK15" s="78">
        <v>1.65</v>
      </c>
      <c r="BL15" s="78">
        <f t="shared" ca="1" si="3"/>
        <v>2.6869655788310104E-3</v>
      </c>
      <c r="BM15" s="78">
        <v>1.4883428323068899</v>
      </c>
      <c r="BN15" s="78">
        <f t="shared" ca="1" si="4"/>
        <v>2.4237127029748291E-3</v>
      </c>
      <c r="BO15" s="66"/>
      <c r="BP15" s="66"/>
    </row>
    <row r="16" spans="1:68" ht="198">
      <c r="A16" s="66"/>
      <c r="B16" s="67" t="s">
        <v>10</v>
      </c>
      <c r="C16" s="67" t="s">
        <v>76</v>
      </c>
      <c r="D16" s="68" t="s">
        <v>85</v>
      </c>
      <c r="E16" s="69" t="s">
        <v>99</v>
      </c>
      <c r="F16" s="70" t="s">
        <v>94</v>
      </c>
      <c r="G16" s="68" t="s">
        <v>100</v>
      </c>
      <c r="H16" s="71">
        <v>43466</v>
      </c>
      <c r="I16" s="71">
        <v>44925</v>
      </c>
      <c r="J16" s="68" t="s">
        <v>101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80">
        <v>45169</v>
      </c>
      <c r="AJ16" s="72"/>
      <c r="AK16" s="81"/>
      <c r="AL16" s="74" t="s">
        <v>82</v>
      </c>
      <c r="AM16" s="68" t="s">
        <v>102</v>
      </c>
      <c r="AN16" s="73" t="s">
        <v>84</v>
      </c>
      <c r="AO16" s="73"/>
      <c r="AP16" s="75">
        <f t="shared" ref="AP16:AQ16" si="7">AR16+AT16+AV16</f>
        <v>270058.23313999997</v>
      </c>
      <c r="AQ16" s="75">
        <f t="shared" si="7"/>
        <v>270058.23313999997</v>
      </c>
      <c r="AR16" s="76">
        <f t="shared" ref="AR16:AS16" si="8">248213.14314+19079.41</f>
        <v>267292.55313999997</v>
      </c>
      <c r="AS16" s="75">
        <f t="shared" si="8"/>
        <v>267292.55313999997</v>
      </c>
      <c r="AT16" s="75">
        <v>2765.68</v>
      </c>
      <c r="AU16" s="75">
        <v>2765.68</v>
      </c>
      <c r="AV16" s="75">
        <v>0</v>
      </c>
      <c r="AW16" s="75">
        <v>0</v>
      </c>
      <c r="AX16" s="75">
        <v>462.3</v>
      </c>
      <c r="AY16" s="77">
        <f t="shared" ca="1" si="1"/>
        <v>0.62026965562489178</v>
      </c>
      <c r="AZ16" s="75">
        <v>462.3</v>
      </c>
      <c r="BA16" s="77">
        <f t="shared" ca="1" si="2"/>
        <v>0.62026965562489178</v>
      </c>
      <c r="BB16" s="4"/>
      <c r="BC16" s="4"/>
      <c r="BD16" s="67" t="s">
        <v>10</v>
      </c>
      <c r="BE16" s="67" t="s">
        <v>76</v>
      </c>
      <c r="BF16" s="68" t="s">
        <v>85</v>
      </c>
      <c r="BG16" s="69" t="s">
        <v>78</v>
      </c>
      <c r="BH16" s="68" t="s">
        <v>79</v>
      </c>
      <c r="BI16" s="68" t="s">
        <v>80</v>
      </c>
      <c r="BJ16" s="73" t="s">
        <v>103</v>
      </c>
      <c r="BK16" s="78">
        <v>622.61</v>
      </c>
      <c r="BL16" s="78">
        <f t="shared" ca="1" si="3"/>
        <v>1.0138979630521063</v>
      </c>
      <c r="BM16" s="78">
        <v>701.26676976574799</v>
      </c>
      <c r="BN16" s="78">
        <f t="shared" ca="1" si="4"/>
        <v>1.1419876799627733</v>
      </c>
      <c r="BO16" s="66"/>
      <c r="BP16" s="66"/>
    </row>
    <row r="17" spans="1:68" ht="277.2">
      <c r="A17" s="66"/>
      <c r="B17" s="67" t="s">
        <v>10</v>
      </c>
      <c r="C17" s="67" t="s">
        <v>76</v>
      </c>
      <c r="D17" s="68" t="s">
        <v>85</v>
      </c>
      <c r="E17" s="69" t="s">
        <v>104</v>
      </c>
      <c r="F17" s="70" t="s">
        <v>94</v>
      </c>
      <c r="G17" s="68" t="s">
        <v>105</v>
      </c>
      <c r="H17" s="71">
        <v>43466</v>
      </c>
      <c r="I17" s="71">
        <v>44925</v>
      </c>
      <c r="J17" s="68" t="s">
        <v>106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80">
        <v>45169</v>
      </c>
      <c r="AJ17" s="72"/>
      <c r="AK17" s="81"/>
      <c r="AL17" s="74" t="s">
        <v>82</v>
      </c>
      <c r="AM17" s="68" t="s">
        <v>107</v>
      </c>
      <c r="AN17" s="73" t="s">
        <v>84</v>
      </c>
      <c r="AO17" s="73"/>
      <c r="AP17" s="75">
        <f t="shared" ref="AP17:AQ17" si="9">AR17+AT17+AV17</f>
        <v>129934.89</v>
      </c>
      <c r="AQ17" s="75">
        <f t="shared" si="9"/>
        <v>129934.89</v>
      </c>
      <c r="AR17" s="75">
        <f t="shared" ref="AR17:AS17" si="10">112070.8+9272.14</f>
        <v>121342.94</v>
      </c>
      <c r="AS17" s="75">
        <f t="shared" si="10"/>
        <v>121342.94</v>
      </c>
      <c r="AT17" s="75">
        <v>8591.9500000000007</v>
      </c>
      <c r="AU17" s="75">
        <v>8591.9500000000007</v>
      </c>
      <c r="AV17" s="75">
        <v>0</v>
      </c>
      <c r="AW17" s="75">
        <v>0</v>
      </c>
      <c r="AX17" s="76">
        <v>297.08999999999997</v>
      </c>
      <c r="AY17" s="77">
        <f t="shared" ca="1" si="1"/>
        <v>0.39860677479904622</v>
      </c>
      <c r="AZ17" s="76">
        <v>297.09899999999999</v>
      </c>
      <c r="BA17" s="77">
        <f t="shared" ca="1" si="2"/>
        <v>0.39861885013302994</v>
      </c>
      <c r="BB17" s="4"/>
      <c r="BC17" s="4"/>
      <c r="BD17" s="67" t="s">
        <v>10</v>
      </c>
      <c r="BE17" s="67" t="s">
        <v>76</v>
      </c>
      <c r="BF17" s="68" t="s">
        <v>85</v>
      </c>
      <c r="BG17" s="69" t="s">
        <v>87</v>
      </c>
      <c r="BH17" s="68" t="s">
        <v>79</v>
      </c>
      <c r="BI17" s="68" t="s">
        <v>88</v>
      </c>
      <c r="BJ17" s="73" t="s">
        <v>92</v>
      </c>
      <c r="BK17" s="78">
        <v>0.93089169800000005</v>
      </c>
      <c r="BL17" s="78">
        <f t="shared" ca="1" si="3"/>
        <v>1.5159236061488197E-3</v>
      </c>
      <c r="BM17" s="78">
        <v>0.93098945099999997</v>
      </c>
      <c r="BN17" s="78">
        <f t="shared" ca="1" si="4"/>
        <v>1.5160827933889574E-3</v>
      </c>
      <c r="BO17" s="66"/>
      <c r="BP17" s="66"/>
    </row>
    <row r="18" spans="1:68" ht="250.8">
      <c r="A18" s="66"/>
      <c r="B18" s="67" t="s">
        <v>10</v>
      </c>
      <c r="C18" s="67" t="s">
        <v>76</v>
      </c>
      <c r="D18" s="68" t="s">
        <v>85</v>
      </c>
      <c r="E18" s="69" t="s">
        <v>108</v>
      </c>
      <c r="F18" s="70" t="s">
        <v>94</v>
      </c>
      <c r="G18" s="68" t="s">
        <v>109</v>
      </c>
      <c r="H18" s="71">
        <v>44956</v>
      </c>
      <c r="I18" s="71">
        <v>45290</v>
      </c>
      <c r="J18" s="68" t="s">
        <v>110</v>
      </c>
      <c r="K18" s="72"/>
      <c r="L18" s="72"/>
      <c r="M18" s="73"/>
      <c r="N18" s="72"/>
      <c r="O18" s="72"/>
      <c r="P18" s="79" t="s">
        <v>111</v>
      </c>
      <c r="Q18" s="80">
        <v>45061</v>
      </c>
      <c r="R18" s="80">
        <v>45098</v>
      </c>
      <c r="S18" s="79" t="s">
        <v>111</v>
      </c>
      <c r="T18" s="80">
        <v>45086</v>
      </c>
      <c r="U18" s="72"/>
      <c r="V18" s="79" t="s">
        <v>112</v>
      </c>
      <c r="W18" s="80">
        <v>45188</v>
      </c>
      <c r="X18" s="80">
        <v>45188</v>
      </c>
      <c r="Y18" s="73"/>
      <c r="Z18" s="80">
        <v>45061</v>
      </c>
      <c r="AA18" s="80">
        <v>45061</v>
      </c>
      <c r="AB18" s="79" t="s">
        <v>111</v>
      </c>
      <c r="AC18" s="80">
        <v>45188</v>
      </c>
      <c r="AD18" s="80">
        <v>45188</v>
      </c>
      <c r="AE18" s="79" t="s">
        <v>111</v>
      </c>
      <c r="AF18" s="80">
        <v>45170</v>
      </c>
      <c r="AG18" s="80">
        <v>45170</v>
      </c>
      <c r="AH18" s="79" t="s">
        <v>111</v>
      </c>
      <c r="AI18" s="80">
        <v>45261</v>
      </c>
      <c r="AJ18" s="72"/>
      <c r="AK18" s="73"/>
      <c r="AL18" s="74" t="s">
        <v>113</v>
      </c>
      <c r="AM18" s="74" t="s">
        <v>114</v>
      </c>
      <c r="AN18" s="73" t="s">
        <v>84</v>
      </c>
      <c r="AO18" s="73"/>
      <c r="AP18" s="75">
        <f t="shared" ref="AP18:AQ18" si="11">AR18+AT18+AV18</f>
        <v>36993</v>
      </c>
      <c r="AQ18" s="75">
        <f t="shared" si="11"/>
        <v>22574.861349999999</v>
      </c>
      <c r="AR18" s="75">
        <v>36993</v>
      </c>
      <c r="AS18" s="76">
        <f>18311.54+4263.32135</f>
        <v>22574.861349999999</v>
      </c>
      <c r="AT18" s="75">
        <v>0</v>
      </c>
      <c r="AU18" s="75">
        <v>0</v>
      </c>
      <c r="AV18" s="75">
        <v>0</v>
      </c>
      <c r="AW18" s="75">
        <v>0</v>
      </c>
      <c r="AX18" s="75">
        <v>30</v>
      </c>
      <c r="AY18" s="77">
        <f t="shared" ca="1" si="1"/>
        <v>4.0251113278708096E-2</v>
      </c>
      <c r="AZ18" s="75">
        <v>0</v>
      </c>
      <c r="BA18" s="77">
        <f t="shared" ca="1" si="2"/>
        <v>0</v>
      </c>
      <c r="BB18" s="4"/>
      <c r="BC18" s="4"/>
      <c r="BD18" s="67" t="s">
        <v>10</v>
      </c>
      <c r="BE18" s="67" t="s">
        <v>76</v>
      </c>
      <c r="BF18" s="68" t="s">
        <v>85</v>
      </c>
      <c r="BG18" s="69" t="s">
        <v>87</v>
      </c>
      <c r="BH18" s="68" t="s">
        <v>79</v>
      </c>
      <c r="BI18" s="68" t="s">
        <v>88</v>
      </c>
      <c r="BJ18" s="73" t="s">
        <v>86</v>
      </c>
      <c r="BK18" s="78">
        <v>0.15128771299999999</v>
      </c>
      <c r="BL18" s="78">
        <f t="shared" ca="1" si="3"/>
        <v>2.4636659232185745E-4</v>
      </c>
      <c r="BM18" s="78">
        <v>0.14302780000000001</v>
      </c>
      <c r="BN18" s="78">
        <f t="shared" ca="1" si="4"/>
        <v>2.3291562146419758E-4</v>
      </c>
      <c r="BO18" s="66"/>
      <c r="BP18" s="66"/>
    </row>
    <row r="19" spans="1:68" ht="39.6">
      <c r="A19" s="66"/>
      <c r="B19" s="67" t="s">
        <v>10</v>
      </c>
      <c r="C19" s="67" t="s">
        <v>76</v>
      </c>
      <c r="D19" s="68" t="s">
        <v>85</v>
      </c>
      <c r="E19" s="69" t="s">
        <v>115</v>
      </c>
      <c r="F19" s="70" t="s">
        <v>94</v>
      </c>
      <c r="G19" s="68" t="s">
        <v>116</v>
      </c>
      <c r="H19" s="71">
        <v>44834</v>
      </c>
      <c r="I19" s="71">
        <v>44925</v>
      </c>
      <c r="J19" s="68" t="s">
        <v>117</v>
      </c>
      <c r="K19" s="72"/>
      <c r="L19" s="72"/>
      <c r="M19" s="73"/>
      <c r="N19" s="72"/>
      <c r="O19" s="72"/>
      <c r="P19" s="73"/>
      <c r="Q19" s="72"/>
      <c r="R19" s="72"/>
      <c r="S19" s="73"/>
      <c r="T19" s="72"/>
      <c r="U19" s="72"/>
      <c r="V19" s="73"/>
      <c r="W19" s="72"/>
      <c r="X19" s="72"/>
      <c r="Y19" s="73"/>
      <c r="Z19" s="72"/>
      <c r="AA19" s="72"/>
      <c r="AB19" s="73"/>
      <c r="AC19" s="72"/>
      <c r="AD19" s="72"/>
      <c r="AE19" s="73"/>
      <c r="AF19" s="72"/>
      <c r="AG19" s="72"/>
      <c r="AH19" s="73"/>
      <c r="AI19" s="72"/>
      <c r="AJ19" s="72"/>
      <c r="AK19" s="73"/>
      <c r="AL19" s="68" t="s">
        <v>82</v>
      </c>
      <c r="AM19" s="68" t="s">
        <v>118</v>
      </c>
      <c r="AN19" s="73" t="s">
        <v>84</v>
      </c>
      <c r="AO19" s="73"/>
      <c r="AP19" s="75">
        <f t="shared" ref="AP19:AQ19" si="12">AR19+AT19+AV19</f>
        <v>3000</v>
      </c>
      <c r="AQ19" s="75">
        <f t="shared" si="12"/>
        <v>3000</v>
      </c>
      <c r="AR19" s="75">
        <v>3000</v>
      </c>
      <c r="AS19" s="75">
        <v>3000</v>
      </c>
      <c r="AT19" s="75">
        <v>0</v>
      </c>
      <c r="AU19" s="75">
        <v>0</v>
      </c>
      <c r="AV19" s="75">
        <v>0</v>
      </c>
      <c r="AW19" s="75">
        <v>0</v>
      </c>
      <c r="AX19" s="75">
        <v>4.07</v>
      </c>
      <c r="AY19" s="77">
        <f t="shared" ca="1" si="1"/>
        <v>5.4607343681447327E-3</v>
      </c>
      <c r="AZ19" s="75">
        <v>7.74</v>
      </c>
      <c r="BA19" s="77">
        <f t="shared" ca="1" si="2"/>
        <v>1.0384787225906689E-2</v>
      </c>
      <c r="BB19" s="4"/>
      <c r="BC19" s="4"/>
      <c r="BD19" s="67" t="s">
        <v>10</v>
      </c>
      <c r="BE19" s="67" t="s">
        <v>76</v>
      </c>
      <c r="BF19" s="68" t="s">
        <v>85</v>
      </c>
      <c r="BG19" s="69" t="s">
        <v>87</v>
      </c>
      <c r="BH19" s="68" t="s">
        <v>79</v>
      </c>
      <c r="BI19" s="68" t="s">
        <v>88</v>
      </c>
      <c r="BJ19" s="73" t="s">
        <v>98</v>
      </c>
      <c r="BK19" s="78">
        <v>0.24838706499999999</v>
      </c>
      <c r="BL19" s="78">
        <f t="shared" ca="1" si="3"/>
        <v>4.0448939023143078E-4</v>
      </c>
      <c r="BM19" s="78">
        <v>0.20332383319311001</v>
      </c>
      <c r="BN19" s="78">
        <f t="shared" ca="1" si="4"/>
        <v>3.3110554008840282E-4</v>
      </c>
      <c r="BO19" s="66"/>
      <c r="BP19" s="66"/>
    </row>
    <row r="20" spans="1:68" ht="39.6">
      <c r="A20" s="66"/>
      <c r="B20" s="67" t="s">
        <v>10</v>
      </c>
      <c r="C20" s="67" t="s">
        <v>76</v>
      </c>
      <c r="D20" s="68" t="s">
        <v>85</v>
      </c>
      <c r="E20" s="69" t="s">
        <v>119</v>
      </c>
      <c r="F20" s="70" t="s">
        <v>94</v>
      </c>
      <c r="G20" s="68" t="s">
        <v>120</v>
      </c>
      <c r="H20" s="71">
        <v>44834</v>
      </c>
      <c r="I20" s="71">
        <v>44925</v>
      </c>
      <c r="J20" s="68" t="s">
        <v>117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73"/>
      <c r="AL20" s="68" t="s">
        <v>82</v>
      </c>
      <c r="AM20" s="68" t="s">
        <v>118</v>
      </c>
      <c r="AN20" s="73" t="s">
        <v>84</v>
      </c>
      <c r="AO20" s="73"/>
      <c r="AP20" s="75">
        <f t="shared" ref="AP20:AQ20" si="13">AR20+AT20+AV20</f>
        <v>3000</v>
      </c>
      <c r="AQ20" s="75">
        <f t="shared" si="13"/>
        <v>3000</v>
      </c>
      <c r="AR20" s="75">
        <v>3000</v>
      </c>
      <c r="AS20" s="75">
        <v>3000</v>
      </c>
      <c r="AT20" s="75">
        <v>0</v>
      </c>
      <c r="AU20" s="75">
        <v>0</v>
      </c>
      <c r="AV20" s="75">
        <v>0</v>
      </c>
      <c r="AW20" s="75">
        <v>0</v>
      </c>
      <c r="AX20" s="75">
        <v>1.71</v>
      </c>
      <c r="AY20" s="77">
        <f t="shared" ca="1" si="1"/>
        <v>2.2943134568863613E-3</v>
      </c>
      <c r="AZ20" s="75">
        <v>3.27</v>
      </c>
      <c r="BA20" s="77">
        <f t="shared" ca="1" si="2"/>
        <v>4.3873713473791829E-3</v>
      </c>
      <c r="BB20" s="66"/>
      <c r="BC20" s="4"/>
      <c r="BD20" s="67" t="s">
        <v>10</v>
      </c>
      <c r="BE20" s="67" t="s">
        <v>76</v>
      </c>
      <c r="BF20" s="68" t="s">
        <v>85</v>
      </c>
      <c r="BG20" s="69" t="s">
        <v>87</v>
      </c>
      <c r="BH20" s="68" t="s">
        <v>79</v>
      </c>
      <c r="BI20" s="68" t="s">
        <v>88</v>
      </c>
      <c r="BJ20" s="73" t="s">
        <v>103</v>
      </c>
      <c r="BK20" s="78">
        <v>95.729433520000001</v>
      </c>
      <c r="BL20" s="78">
        <f t="shared" ca="1" si="3"/>
        <v>0.15589193499953427</v>
      </c>
      <c r="BM20" s="78">
        <v>95.800674834252007</v>
      </c>
      <c r="BN20" s="78">
        <f t="shared" ca="1" si="4"/>
        <v>0.15600794891419234</v>
      </c>
      <c r="BO20" s="66"/>
      <c r="BP20" s="66"/>
    </row>
    <row r="21" spans="1:68" ht="52.8">
      <c r="A21" s="66"/>
      <c r="B21" s="67" t="s">
        <v>10</v>
      </c>
      <c r="C21" s="67" t="s">
        <v>76</v>
      </c>
      <c r="D21" s="68" t="s">
        <v>85</v>
      </c>
      <c r="E21" s="69" t="s">
        <v>121</v>
      </c>
      <c r="F21" s="70" t="s">
        <v>94</v>
      </c>
      <c r="G21" s="68" t="s">
        <v>122</v>
      </c>
      <c r="H21" s="71">
        <v>44834</v>
      </c>
      <c r="I21" s="71">
        <v>44925</v>
      </c>
      <c r="J21" s="68" t="s">
        <v>117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73"/>
      <c r="AL21" s="68" t="s">
        <v>82</v>
      </c>
      <c r="AM21" s="68" t="s">
        <v>118</v>
      </c>
      <c r="AN21" s="73" t="s">
        <v>84</v>
      </c>
      <c r="AO21" s="73"/>
      <c r="AP21" s="75">
        <f t="shared" ref="AP21:AQ21" si="14">AR21+AT21+AV21</f>
        <v>3000</v>
      </c>
      <c r="AQ21" s="75">
        <f t="shared" si="14"/>
        <v>3000</v>
      </c>
      <c r="AR21" s="75">
        <v>3000</v>
      </c>
      <c r="AS21" s="75">
        <v>3000</v>
      </c>
      <c r="AT21" s="75">
        <v>0</v>
      </c>
      <c r="AU21" s="75">
        <v>0</v>
      </c>
      <c r="AV21" s="75">
        <v>0</v>
      </c>
      <c r="AW21" s="75">
        <v>0</v>
      </c>
      <c r="AX21" s="75">
        <v>2.69</v>
      </c>
      <c r="AY21" s="77">
        <f t="shared" ca="1" si="1"/>
        <v>3.6091831573241591E-3</v>
      </c>
      <c r="AZ21" s="75">
        <v>4.6900000000000004</v>
      </c>
      <c r="BA21" s="77">
        <f t="shared" ca="1" si="2"/>
        <v>6.2925907092380336E-3</v>
      </c>
      <c r="BB21" s="66"/>
      <c r="BC21" s="4"/>
      <c r="BD21" s="67" t="s">
        <v>10</v>
      </c>
      <c r="BE21" s="67" t="s">
        <v>76</v>
      </c>
      <c r="BF21" s="68" t="s">
        <v>85</v>
      </c>
      <c r="BG21" s="69" t="s">
        <v>93</v>
      </c>
      <c r="BH21" s="68" t="s">
        <v>94</v>
      </c>
      <c r="BI21" s="68" t="s">
        <v>95</v>
      </c>
      <c r="BJ21" s="73" t="s">
        <v>92</v>
      </c>
      <c r="BK21" s="78">
        <v>0.56988499999999997</v>
      </c>
      <c r="BL21" s="78">
        <f t="shared" ca="1" si="3"/>
        <v>9.2803719932855176E-4</v>
      </c>
      <c r="BM21" s="78">
        <v>0.56988499999999997</v>
      </c>
      <c r="BN21" s="78">
        <f t="shared" ca="1" si="4"/>
        <v>9.2803719932855176E-4</v>
      </c>
      <c r="BO21" s="66"/>
      <c r="BP21" s="66"/>
    </row>
    <row r="22" spans="1:68" ht="52.8">
      <c r="A22" s="66"/>
      <c r="B22" s="67" t="s">
        <v>10</v>
      </c>
      <c r="C22" s="67" t="s">
        <v>76</v>
      </c>
      <c r="D22" s="68" t="s">
        <v>85</v>
      </c>
      <c r="E22" s="69" t="s">
        <v>123</v>
      </c>
      <c r="F22" s="70" t="s">
        <v>94</v>
      </c>
      <c r="G22" s="68" t="s">
        <v>124</v>
      </c>
      <c r="H22" s="71">
        <v>44834</v>
      </c>
      <c r="I22" s="71">
        <v>44925</v>
      </c>
      <c r="J22" s="68" t="s">
        <v>117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73"/>
      <c r="AL22" s="68" t="s">
        <v>82</v>
      </c>
      <c r="AM22" s="68" t="s">
        <v>118</v>
      </c>
      <c r="AN22" s="73" t="s">
        <v>84</v>
      </c>
      <c r="AO22" s="73"/>
      <c r="AP22" s="75">
        <f t="shared" ref="AP22:AQ22" si="15">AR22+AT22+AV22</f>
        <v>3000</v>
      </c>
      <c r="AQ22" s="75">
        <f t="shared" si="15"/>
        <v>3000</v>
      </c>
      <c r="AR22" s="75">
        <v>3000</v>
      </c>
      <c r="AS22" s="75">
        <v>3000</v>
      </c>
      <c r="AT22" s="75">
        <v>0</v>
      </c>
      <c r="AU22" s="75">
        <v>0</v>
      </c>
      <c r="AV22" s="75">
        <v>0</v>
      </c>
      <c r="AW22" s="75">
        <v>0</v>
      </c>
      <c r="AX22" s="75">
        <v>2.37</v>
      </c>
      <c r="AY22" s="77">
        <f t="shared" ca="1" si="1"/>
        <v>3.1798379490179398E-3</v>
      </c>
      <c r="AZ22" s="75">
        <v>4.3899999999999997</v>
      </c>
      <c r="BA22" s="77">
        <f t="shared" ca="1" si="2"/>
        <v>5.8900795764509515E-3</v>
      </c>
      <c r="BB22" s="66"/>
      <c r="BC22" s="4"/>
      <c r="BD22" s="67" t="s">
        <v>10</v>
      </c>
      <c r="BE22" s="67" t="s">
        <v>76</v>
      </c>
      <c r="BF22" s="68" t="s">
        <v>85</v>
      </c>
      <c r="BG22" s="69" t="s">
        <v>93</v>
      </c>
      <c r="BH22" s="68" t="s">
        <v>94</v>
      </c>
      <c r="BI22" s="68" t="s">
        <v>95</v>
      </c>
      <c r="BJ22" s="73" t="s">
        <v>86</v>
      </c>
      <c r="BK22" s="78">
        <v>9.2605999999999994E-2</v>
      </c>
      <c r="BL22" s="78">
        <f t="shared" ca="1" si="3"/>
        <v>1.5080553599589367E-4</v>
      </c>
      <c r="BM22" s="78">
        <v>9.2605999999999994E-2</v>
      </c>
      <c r="BN22" s="78">
        <f t="shared" ca="1" si="4"/>
        <v>1.5080553599589367E-4</v>
      </c>
      <c r="BO22" s="66"/>
      <c r="BP22" s="66"/>
    </row>
    <row r="23" spans="1:68" ht="328.5" customHeight="1">
      <c r="A23" s="66"/>
      <c r="B23" s="67" t="s">
        <v>10</v>
      </c>
      <c r="C23" s="67" t="s">
        <v>76</v>
      </c>
      <c r="D23" s="68" t="s">
        <v>85</v>
      </c>
      <c r="E23" s="69" t="s">
        <v>125</v>
      </c>
      <c r="F23" s="70" t="s">
        <v>94</v>
      </c>
      <c r="G23" s="68" t="s">
        <v>126</v>
      </c>
      <c r="H23" s="71">
        <v>44834</v>
      </c>
      <c r="I23" s="71">
        <v>45657</v>
      </c>
      <c r="J23" s="68" t="s">
        <v>127</v>
      </c>
      <c r="K23" s="80">
        <v>45122</v>
      </c>
      <c r="L23" s="72"/>
      <c r="M23" s="73"/>
      <c r="N23" s="82">
        <v>45291</v>
      </c>
      <c r="O23" s="72"/>
      <c r="P23" s="79"/>
      <c r="Q23" s="80">
        <v>45350</v>
      </c>
      <c r="R23" s="72"/>
      <c r="S23" s="79" t="s">
        <v>112</v>
      </c>
      <c r="T23" s="80">
        <v>45419</v>
      </c>
      <c r="U23" s="72"/>
      <c r="V23" s="79" t="s">
        <v>112</v>
      </c>
      <c r="W23" s="80">
        <v>45358</v>
      </c>
      <c r="X23" s="72"/>
      <c r="Y23" s="73"/>
      <c r="Z23" s="80">
        <v>45611</v>
      </c>
      <c r="AA23" s="72"/>
      <c r="AB23" s="79" t="s">
        <v>112</v>
      </c>
      <c r="AC23" s="80">
        <v>45626</v>
      </c>
      <c r="AD23" s="72"/>
      <c r="AE23" s="73"/>
      <c r="AF23" s="80">
        <v>45627</v>
      </c>
      <c r="AG23" s="72"/>
      <c r="AH23" s="73"/>
      <c r="AI23" s="80">
        <v>45657</v>
      </c>
      <c r="AJ23" s="72"/>
      <c r="AK23" s="83"/>
      <c r="AL23" s="74" t="s">
        <v>128</v>
      </c>
      <c r="AM23" s="74" t="s">
        <v>129</v>
      </c>
      <c r="AN23" s="79" t="s">
        <v>130</v>
      </c>
      <c r="AO23" s="74" t="s">
        <v>131</v>
      </c>
      <c r="AP23" s="75">
        <f t="shared" ref="AP23:AQ23" si="16">AR23+AT23+AV23</f>
        <v>7397523.1900000004</v>
      </c>
      <c r="AQ23" s="75">
        <f t="shared" si="16"/>
        <v>5407913.1914499998</v>
      </c>
      <c r="AR23" s="76">
        <v>7397523.1900000004</v>
      </c>
      <c r="AS23" s="76">
        <v>5407913.1914499998</v>
      </c>
      <c r="AT23" s="75">
        <v>0</v>
      </c>
      <c r="AU23" s="75">
        <v>0</v>
      </c>
      <c r="AV23" s="75">
        <v>0</v>
      </c>
      <c r="AW23" s="75">
        <v>0</v>
      </c>
      <c r="AX23" s="75">
        <v>12898.81</v>
      </c>
      <c r="AY23" s="77">
        <f t="shared" ca="1" si="1"/>
        <v>17.306382082351092</v>
      </c>
      <c r="AZ23" s="75">
        <v>0</v>
      </c>
      <c r="BA23" s="77">
        <f t="shared" ca="1" si="2"/>
        <v>0</v>
      </c>
      <c r="BB23" s="66"/>
      <c r="BC23" s="4"/>
      <c r="BD23" s="67" t="s">
        <v>10</v>
      </c>
      <c r="BE23" s="67" t="s">
        <v>76</v>
      </c>
      <c r="BF23" s="68" t="s">
        <v>85</v>
      </c>
      <c r="BG23" s="69" t="s">
        <v>93</v>
      </c>
      <c r="BH23" s="68" t="s">
        <v>94</v>
      </c>
      <c r="BI23" s="68" t="s">
        <v>95</v>
      </c>
      <c r="BJ23" s="73" t="s">
        <v>132</v>
      </c>
      <c r="BK23" s="78">
        <v>2.1999999999999999E-5</v>
      </c>
      <c r="BL23" s="78">
        <f t="shared" ca="1" si="3"/>
        <v>3.582620771774681E-8</v>
      </c>
      <c r="BM23" s="78">
        <v>2.1999999999999999E-5</v>
      </c>
      <c r="BN23" s="78">
        <f t="shared" ca="1" si="4"/>
        <v>3.582620771774681E-8</v>
      </c>
      <c r="BO23" s="66"/>
      <c r="BP23" s="66"/>
    </row>
    <row r="24" spans="1:68" ht="52.8">
      <c r="A24" s="66"/>
      <c r="B24" s="67"/>
      <c r="C24" s="67"/>
      <c r="D24" s="68"/>
      <c r="E24" s="69"/>
      <c r="F24" s="84"/>
      <c r="G24" s="68"/>
      <c r="H24" s="71"/>
      <c r="I24" s="71"/>
      <c r="J24" s="68"/>
      <c r="K24" s="72"/>
      <c r="L24" s="72"/>
      <c r="M24" s="73"/>
      <c r="N24" s="72"/>
      <c r="O24" s="72"/>
      <c r="P24" s="73"/>
      <c r="Q24" s="72"/>
      <c r="R24" s="72"/>
      <c r="S24" s="73"/>
      <c r="T24" s="72"/>
      <c r="U24" s="72"/>
      <c r="V24" s="73"/>
      <c r="W24" s="72"/>
      <c r="X24" s="72"/>
      <c r="Y24" s="73"/>
      <c r="Z24" s="72"/>
      <c r="AA24" s="72"/>
      <c r="AB24" s="73"/>
      <c r="AC24" s="72"/>
      <c r="AD24" s="72"/>
      <c r="AE24" s="73"/>
      <c r="AF24" s="72"/>
      <c r="AG24" s="72"/>
      <c r="AH24" s="73"/>
      <c r="AI24" s="72"/>
      <c r="AJ24" s="72"/>
      <c r="AK24" s="73"/>
      <c r="AL24" s="68"/>
      <c r="AM24" s="73"/>
      <c r="AN24" s="73"/>
      <c r="AO24" s="73"/>
      <c r="AP24" s="75">
        <f t="shared" ref="AP24:AQ24" si="17">AR24+AT24+AV24</f>
        <v>0</v>
      </c>
      <c r="AQ24" s="75">
        <f t="shared" si="17"/>
        <v>0</v>
      </c>
      <c r="AR24" s="75"/>
      <c r="AS24" s="75"/>
      <c r="AT24" s="75"/>
      <c r="AU24" s="75"/>
      <c r="AV24" s="75"/>
      <c r="AW24" s="75"/>
      <c r="AX24" s="75"/>
      <c r="AY24" s="77">
        <f t="shared" ca="1" si="1"/>
        <v>0</v>
      </c>
      <c r="AZ24" s="75"/>
      <c r="BA24" s="77">
        <f t="shared" ca="1" si="2"/>
        <v>0</v>
      </c>
      <c r="BB24" s="66"/>
      <c r="BC24" s="4"/>
      <c r="BD24" s="67" t="s">
        <v>10</v>
      </c>
      <c r="BE24" s="67" t="s">
        <v>76</v>
      </c>
      <c r="BF24" s="68" t="s">
        <v>85</v>
      </c>
      <c r="BG24" s="69" t="s">
        <v>93</v>
      </c>
      <c r="BH24" s="68" t="s">
        <v>94</v>
      </c>
      <c r="BI24" s="68" t="s">
        <v>95</v>
      </c>
      <c r="BJ24" s="73" t="s">
        <v>133</v>
      </c>
      <c r="BK24" s="78">
        <v>0.79511500000000002</v>
      </c>
      <c r="BL24" s="78">
        <f t="shared" ca="1" si="3"/>
        <v>1.2948161431589205E-3</v>
      </c>
      <c r="BM24" s="78">
        <v>0.79511500000000002</v>
      </c>
      <c r="BN24" s="78">
        <f t="shared" ca="1" si="4"/>
        <v>1.2948161431589205E-3</v>
      </c>
      <c r="BO24" s="66"/>
      <c r="BP24" s="66"/>
    </row>
    <row r="25" spans="1:68" ht="52.8">
      <c r="A25" s="66"/>
      <c r="B25" s="67"/>
      <c r="C25" s="67"/>
      <c r="D25" s="68"/>
      <c r="E25" s="69"/>
      <c r="F25" s="84"/>
      <c r="G25" s="68"/>
      <c r="H25" s="71"/>
      <c r="I25" s="71"/>
      <c r="J25" s="68"/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/>
      <c r="AJ25" s="72"/>
      <c r="AK25" s="73"/>
      <c r="AL25" s="68"/>
      <c r="AM25" s="73"/>
      <c r="AN25" s="73"/>
      <c r="AO25" s="73"/>
      <c r="AP25" s="75">
        <f t="shared" ref="AP25:AQ25" si="18">AR25+AT25+AV25</f>
        <v>0</v>
      </c>
      <c r="AQ25" s="75">
        <f t="shared" si="18"/>
        <v>0</v>
      </c>
      <c r="AR25" s="75"/>
      <c r="AS25" s="75"/>
      <c r="AT25" s="75"/>
      <c r="AU25" s="75"/>
      <c r="AV25" s="75"/>
      <c r="AW25" s="75"/>
      <c r="AX25" s="75"/>
      <c r="AY25" s="77">
        <f t="shared" ca="1" si="1"/>
        <v>0</v>
      </c>
      <c r="AZ25" s="75"/>
      <c r="BA25" s="77">
        <f t="shared" ca="1" si="2"/>
        <v>0</v>
      </c>
      <c r="BB25" s="66"/>
      <c r="BC25" s="4"/>
      <c r="BD25" s="67" t="s">
        <v>10</v>
      </c>
      <c r="BE25" s="67" t="s">
        <v>76</v>
      </c>
      <c r="BF25" s="68" t="s">
        <v>85</v>
      </c>
      <c r="BG25" s="69" t="s">
        <v>93</v>
      </c>
      <c r="BH25" s="68" t="s">
        <v>94</v>
      </c>
      <c r="BI25" s="68" t="s">
        <v>95</v>
      </c>
      <c r="BJ25" s="73" t="s">
        <v>98</v>
      </c>
      <c r="BK25" s="78">
        <v>1.394064</v>
      </c>
      <c r="BL25" s="78">
        <f t="shared" ca="1" si="3"/>
        <v>2.2701830198105901E-3</v>
      </c>
      <c r="BM25" s="78">
        <v>1.394064</v>
      </c>
      <c r="BN25" s="78">
        <f t="shared" ca="1" si="4"/>
        <v>2.2701830198105901E-3</v>
      </c>
      <c r="BO25" s="66"/>
      <c r="BP25" s="66"/>
    </row>
    <row r="26" spans="1:68" ht="52.8">
      <c r="A26" s="66"/>
      <c r="B26" s="67"/>
      <c r="C26" s="67"/>
      <c r="D26" s="68"/>
      <c r="E26" s="69"/>
      <c r="F26" s="84"/>
      <c r="G26" s="68"/>
      <c r="H26" s="71"/>
      <c r="I26" s="71"/>
      <c r="J26" s="68"/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/>
      <c r="AJ26" s="72"/>
      <c r="AK26" s="73"/>
      <c r="AL26" s="68"/>
      <c r="AM26" s="73"/>
      <c r="AN26" s="73"/>
      <c r="AO26" s="73"/>
      <c r="AP26" s="75">
        <f t="shared" ref="AP26:AQ26" si="19">AR26+AT26+AV26</f>
        <v>0</v>
      </c>
      <c r="AQ26" s="75">
        <f t="shared" si="19"/>
        <v>0</v>
      </c>
      <c r="AR26" s="75"/>
      <c r="AS26" s="75"/>
      <c r="AT26" s="75"/>
      <c r="AU26" s="75"/>
      <c r="AV26" s="75"/>
      <c r="AW26" s="75"/>
      <c r="AX26" s="75"/>
      <c r="AY26" s="77">
        <f t="shared" ca="1" si="1"/>
        <v>0</v>
      </c>
      <c r="AZ26" s="75"/>
      <c r="BA26" s="77">
        <f t="shared" ca="1" si="2"/>
        <v>0</v>
      </c>
      <c r="BB26" s="66"/>
      <c r="BC26" s="4"/>
      <c r="BD26" s="67" t="s">
        <v>10</v>
      </c>
      <c r="BE26" s="67" t="s">
        <v>76</v>
      </c>
      <c r="BF26" s="68" t="s">
        <v>85</v>
      </c>
      <c r="BG26" s="69" t="s">
        <v>93</v>
      </c>
      <c r="BH26" s="68" t="s">
        <v>94</v>
      </c>
      <c r="BI26" s="68" t="s">
        <v>95</v>
      </c>
      <c r="BJ26" s="73" t="s">
        <v>103</v>
      </c>
      <c r="BK26" s="78">
        <v>8.7758909999999997</v>
      </c>
      <c r="BL26" s="78">
        <f t="shared" ca="1" si="3"/>
        <v>1.4291222448832033E-2</v>
      </c>
      <c r="BM26" s="78">
        <v>8.7758909999999997</v>
      </c>
      <c r="BN26" s="78">
        <f t="shared" ca="1" si="4"/>
        <v>1.4291222448832033E-2</v>
      </c>
      <c r="BO26" s="66"/>
      <c r="BP26" s="66"/>
    </row>
    <row r="27" spans="1:68" ht="52.8">
      <c r="A27" s="66"/>
      <c r="B27" s="67"/>
      <c r="C27" s="67"/>
      <c r="D27" s="68"/>
      <c r="E27" s="69"/>
      <c r="F27" s="84"/>
      <c r="G27" s="68"/>
      <c r="H27" s="71"/>
      <c r="I27" s="71"/>
      <c r="J27" s="68"/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/>
      <c r="AJ27" s="72"/>
      <c r="AK27" s="73"/>
      <c r="AL27" s="68"/>
      <c r="AM27" s="73"/>
      <c r="AN27" s="73"/>
      <c r="AO27" s="73"/>
      <c r="AP27" s="75">
        <f t="shared" ref="AP27:AQ27" si="20">AR27+AT27+AV27</f>
        <v>0</v>
      </c>
      <c r="AQ27" s="75">
        <f t="shared" si="20"/>
        <v>0</v>
      </c>
      <c r="AR27" s="75"/>
      <c r="AS27" s="75"/>
      <c r="AT27" s="75"/>
      <c r="AU27" s="75"/>
      <c r="AV27" s="75"/>
      <c r="AW27" s="75"/>
      <c r="AX27" s="75"/>
      <c r="AY27" s="77">
        <f t="shared" ca="1" si="1"/>
        <v>0</v>
      </c>
      <c r="AZ27" s="75"/>
      <c r="BA27" s="77">
        <f t="shared" ca="1" si="2"/>
        <v>0</v>
      </c>
      <c r="BB27" s="66"/>
      <c r="BC27" s="4"/>
      <c r="BD27" s="67" t="s">
        <v>10</v>
      </c>
      <c r="BE27" s="67" t="s">
        <v>76</v>
      </c>
      <c r="BF27" s="68" t="s">
        <v>85</v>
      </c>
      <c r="BG27" s="69" t="s">
        <v>93</v>
      </c>
      <c r="BH27" s="68" t="s">
        <v>94</v>
      </c>
      <c r="BI27" s="68" t="s">
        <v>95</v>
      </c>
      <c r="BJ27" s="73" t="s">
        <v>134</v>
      </c>
      <c r="BK27" s="78">
        <v>0.65675600000000001</v>
      </c>
      <c r="BL27" s="78">
        <f t="shared" ca="1" si="3"/>
        <v>1.0695034943580238E-3</v>
      </c>
      <c r="BM27" s="78">
        <v>0.65675600000000001</v>
      </c>
      <c r="BN27" s="78">
        <f t="shared" ca="1" si="4"/>
        <v>1.0695034943580238E-3</v>
      </c>
      <c r="BO27" s="66"/>
      <c r="BP27" s="66"/>
    </row>
    <row r="28" spans="1:68" ht="79.2">
      <c r="A28" s="66"/>
      <c r="B28" s="67"/>
      <c r="C28" s="67"/>
      <c r="D28" s="68"/>
      <c r="E28" s="69"/>
      <c r="F28" s="84"/>
      <c r="G28" s="68"/>
      <c r="H28" s="71"/>
      <c r="I28" s="71"/>
      <c r="J28" s="68"/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/>
      <c r="AJ28" s="72"/>
      <c r="AK28" s="73"/>
      <c r="AL28" s="68"/>
      <c r="AM28" s="73"/>
      <c r="AN28" s="73"/>
      <c r="AO28" s="73"/>
      <c r="AP28" s="75">
        <f t="shared" ref="AP28:AQ28" si="21">AR28+AT28+AV28</f>
        <v>0</v>
      </c>
      <c r="AQ28" s="75">
        <f t="shared" si="21"/>
        <v>0</v>
      </c>
      <c r="AR28" s="75"/>
      <c r="AS28" s="75"/>
      <c r="AT28" s="75"/>
      <c r="AU28" s="75"/>
      <c r="AV28" s="75"/>
      <c r="AW28" s="75"/>
      <c r="AX28" s="75"/>
      <c r="AY28" s="77">
        <f t="shared" ca="1" si="1"/>
        <v>0</v>
      </c>
      <c r="AZ28" s="75"/>
      <c r="BA28" s="77">
        <f t="shared" ca="1" si="2"/>
        <v>0</v>
      </c>
      <c r="BB28" s="66"/>
      <c r="BC28" s="4"/>
      <c r="BD28" s="67" t="s">
        <v>10</v>
      </c>
      <c r="BE28" s="67" t="s">
        <v>76</v>
      </c>
      <c r="BF28" s="68" t="s">
        <v>85</v>
      </c>
      <c r="BG28" s="69" t="s">
        <v>99</v>
      </c>
      <c r="BH28" s="68" t="s">
        <v>94</v>
      </c>
      <c r="BI28" s="68" t="s">
        <v>100</v>
      </c>
      <c r="BJ28" s="73" t="s">
        <v>92</v>
      </c>
      <c r="BK28" s="78">
        <v>17.462394</v>
      </c>
      <c r="BL28" s="78">
        <f t="shared" ca="1" si="3"/>
        <v>2.8436879758778885E-2</v>
      </c>
      <c r="BM28" s="78">
        <v>17.462394</v>
      </c>
      <c r="BN28" s="78">
        <f t="shared" ca="1" si="4"/>
        <v>2.8436879758778885E-2</v>
      </c>
      <c r="BO28" s="66"/>
      <c r="BP28" s="66"/>
    </row>
    <row r="29" spans="1:68" ht="79.2">
      <c r="A29" s="66"/>
      <c r="B29" s="67"/>
      <c r="C29" s="67"/>
      <c r="D29" s="68"/>
      <c r="E29" s="69"/>
      <c r="F29" s="84"/>
      <c r="G29" s="68"/>
      <c r="H29" s="71"/>
      <c r="I29" s="71"/>
      <c r="J29" s="68"/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/>
      <c r="AJ29" s="72"/>
      <c r="AK29" s="73"/>
      <c r="AL29" s="68"/>
      <c r="AM29" s="73"/>
      <c r="AN29" s="73"/>
      <c r="AO29" s="73"/>
      <c r="AP29" s="75">
        <f t="shared" ref="AP29:AQ29" si="22">AR29+AT29+AV29</f>
        <v>0</v>
      </c>
      <c r="AQ29" s="75">
        <f t="shared" si="22"/>
        <v>0</v>
      </c>
      <c r="AR29" s="75"/>
      <c r="AS29" s="75"/>
      <c r="AT29" s="75"/>
      <c r="AU29" s="75"/>
      <c r="AV29" s="75"/>
      <c r="AW29" s="75"/>
      <c r="AX29" s="75"/>
      <c r="AY29" s="77">
        <f t="shared" ca="1" si="1"/>
        <v>0</v>
      </c>
      <c r="AZ29" s="75"/>
      <c r="BA29" s="77">
        <f t="shared" ca="1" si="2"/>
        <v>0</v>
      </c>
      <c r="BB29" s="66"/>
      <c r="BC29" s="4"/>
      <c r="BD29" s="67" t="s">
        <v>10</v>
      </c>
      <c r="BE29" s="67" t="s">
        <v>76</v>
      </c>
      <c r="BF29" s="68" t="s">
        <v>85</v>
      </c>
      <c r="BG29" s="69" t="s">
        <v>99</v>
      </c>
      <c r="BH29" s="68" t="s">
        <v>94</v>
      </c>
      <c r="BI29" s="68" t="s">
        <v>100</v>
      </c>
      <c r="BJ29" s="73" t="s">
        <v>86</v>
      </c>
      <c r="BK29" s="78">
        <v>2.8376389999999998</v>
      </c>
      <c r="BL29" s="78">
        <f t="shared" ca="1" si="3"/>
        <v>4.6209929200899695E-3</v>
      </c>
      <c r="BM29" s="78">
        <v>2.8376389999999998</v>
      </c>
      <c r="BN29" s="78">
        <f t="shared" ca="1" si="4"/>
        <v>4.6209929200899695E-3</v>
      </c>
      <c r="BO29" s="66"/>
      <c r="BP29" s="66"/>
    </row>
    <row r="30" spans="1:68" ht="79.2">
      <c r="A30" s="66"/>
      <c r="B30" s="67"/>
      <c r="C30" s="67"/>
      <c r="D30" s="68"/>
      <c r="E30" s="69"/>
      <c r="F30" s="84"/>
      <c r="G30" s="68"/>
      <c r="H30" s="71"/>
      <c r="I30" s="71"/>
      <c r="J30" s="68"/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/>
      <c r="AJ30" s="72"/>
      <c r="AK30" s="73"/>
      <c r="AL30" s="68"/>
      <c r="AM30" s="73"/>
      <c r="AN30" s="73"/>
      <c r="AO30" s="73"/>
      <c r="AP30" s="75">
        <f t="shared" ref="AP30:AQ30" si="23">AR30+AT30+AV30</f>
        <v>0</v>
      </c>
      <c r="AQ30" s="75">
        <f t="shared" si="23"/>
        <v>0</v>
      </c>
      <c r="AR30" s="75"/>
      <c r="AS30" s="75"/>
      <c r="AT30" s="75"/>
      <c r="AU30" s="75"/>
      <c r="AV30" s="75"/>
      <c r="AW30" s="75"/>
      <c r="AX30" s="75"/>
      <c r="AY30" s="77">
        <f t="shared" ca="1" si="1"/>
        <v>0</v>
      </c>
      <c r="AZ30" s="75"/>
      <c r="BA30" s="77">
        <f t="shared" ca="1" si="2"/>
        <v>0</v>
      </c>
      <c r="BB30" s="66"/>
      <c r="BC30" s="4"/>
      <c r="BD30" s="67" t="s">
        <v>10</v>
      </c>
      <c r="BE30" s="67" t="s">
        <v>76</v>
      </c>
      <c r="BF30" s="68" t="s">
        <v>85</v>
      </c>
      <c r="BG30" s="69" t="s">
        <v>99</v>
      </c>
      <c r="BH30" s="68" t="s">
        <v>94</v>
      </c>
      <c r="BI30" s="68" t="s">
        <v>100</v>
      </c>
      <c r="BJ30" s="73" t="s">
        <v>132</v>
      </c>
      <c r="BK30" s="78">
        <v>3.7599999999999998E-4</v>
      </c>
      <c r="BL30" s="78">
        <f t="shared" ca="1" si="3"/>
        <v>6.1230245917603629E-7</v>
      </c>
      <c r="BM30" s="78">
        <v>3.7599999999999998E-4</v>
      </c>
      <c r="BN30" s="78">
        <f t="shared" ca="1" si="4"/>
        <v>6.1230245917603629E-7</v>
      </c>
      <c r="BO30" s="66"/>
      <c r="BP30" s="66"/>
    </row>
    <row r="31" spans="1:68" ht="79.2">
      <c r="A31" s="66"/>
      <c r="B31" s="67"/>
      <c r="C31" s="67"/>
      <c r="D31" s="68"/>
      <c r="E31" s="69"/>
      <c r="F31" s="84"/>
      <c r="G31" s="68"/>
      <c r="H31" s="71"/>
      <c r="I31" s="71"/>
      <c r="J31" s="68"/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/>
      <c r="AJ31" s="72"/>
      <c r="AK31" s="73"/>
      <c r="AL31" s="68"/>
      <c r="AM31" s="73"/>
      <c r="AN31" s="73"/>
      <c r="AO31" s="73"/>
      <c r="AP31" s="75">
        <f t="shared" ref="AP31:AQ31" si="24">AR31+AT31+AV31</f>
        <v>0</v>
      </c>
      <c r="AQ31" s="75">
        <f t="shared" si="24"/>
        <v>0</v>
      </c>
      <c r="AR31" s="75"/>
      <c r="AS31" s="75"/>
      <c r="AT31" s="75"/>
      <c r="AU31" s="75"/>
      <c r="AV31" s="75"/>
      <c r="AW31" s="75"/>
      <c r="AX31" s="75"/>
      <c r="AY31" s="77">
        <f t="shared" ca="1" si="1"/>
        <v>0</v>
      </c>
      <c r="AZ31" s="75"/>
      <c r="BA31" s="77">
        <f t="shared" ca="1" si="2"/>
        <v>0</v>
      </c>
      <c r="BB31" s="66"/>
      <c r="BC31" s="4"/>
      <c r="BD31" s="67" t="s">
        <v>10</v>
      </c>
      <c r="BE31" s="67" t="s">
        <v>76</v>
      </c>
      <c r="BF31" s="68" t="s">
        <v>85</v>
      </c>
      <c r="BG31" s="69" t="s">
        <v>99</v>
      </c>
      <c r="BH31" s="68" t="s">
        <v>94</v>
      </c>
      <c r="BI31" s="68" t="s">
        <v>100</v>
      </c>
      <c r="BJ31" s="73" t="s">
        <v>135</v>
      </c>
      <c r="BK31" s="78">
        <v>11.933244</v>
      </c>
      <c r="BL31" s="78">
        <f t="shared" ca="1" si="3"/>
        <v>1.9432858104116171E-2</v>
      </c>
      <c r="BM31" s="78">
        <v>11.933244</v>
      </c>
      <c r="BN31" s="78">
        <f t="shared" ca="1" si="4"/>
        <v>1.9432858104116171E-2</v>
      </c>
      <c r="BO31" s="66"/>
      <c r="BP31" s="66"/>
    </row>
    <row r="32" spans="1:68" ht="79.2">
      <c r="A32" s="66"/>
      <c r="B32" s="67"/>
      <c r="C32" s="67"/>
      <c r="D32" s="68"/>
      <c r="E32" s="69"/>
      <c r="F32" s="84"/>
      <c r="G32" s="68"/>
      <c r="H32" s="71"/>
      <c r="I32" s="71"/>
      <c r="J32" s="68"/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/>
      <c r="AJ32" s="72"/>
      <c r="AK32" s="73"/>
      <c r="AL32" s="68"/>
      <c r="AM32" s="73"/>
      <c r="AN32" s="73"/>
      <c r="AO32" s="73"/>
      <c r="AP32" s="75">
        <f t="shared" ref="AP32:AQ32" si="25">AR32+AT32+AV32</f>
        <v>0</v>
      </c>
      <c r="AQ32" s="75">
        <f t="shared" si="25"/>
        <v>0</v>
      </c>
      <c r="AR32" s="75"/>
      <c r="AS32" s="75"/>
      <c r="AT32" s="75"/>
      <c r="AU32" s="75"/>
      <c r="AV32" s="75"/>
      <c r="AW32" s="75"/>
      <c r="AX32" s="75"/>
      <c r="AY32" s="77">
        <f t="shared" ca="1" si="1"/>
        <v>0</v>
      </c>
      <c r="AZ32" s="75"/>
      <c r="BA32" s="77">
        <f t="shared" ca="1" si="2"/>
        <v>0</v>
      </c>
      <c r="BB32" s="66"/>
      <c r="BC32" s="4"/>
      <c r="BD32" s="67" t="s">
        <v>10</v>
      </c>
      <c r="BE32" s="67" t="s">
        <v>76</v>
      </c>
      <c r="BF32" s="68" t="s">
        <v>85</v>
      </c>
      <c r="BG32" s="69" t="s">
        <v>99</v>
      </c>
      <c r="BH32" s="68" t="s">
        <v>94</v>
      </c>
      <c r="BI32" s="68" t="s">
        <v>100</v>
      </c>
      <c r="BJ32" s="73" t="s">
        <v>98</v>
      </c>
      <c r="BK32" s="78">
        <v>25.414128000000002</v>
      </c>
      <c r="BL32" s="78">
        <f t="shared" ca="1" si="3"/>
        <v>4.1385992213336602E-2</v>
      </c>
      <c r="BM32" s="78">
        <v>25.414128000000002</v>
      </c>
      <c r="BN32" s="78">
        <f t="shared" ca="1" si="4"/>
        <v>4.1385992213336602E-2</v>
      </c>
      <c r="BO32" s="66"/>
      <c r="BP32" s="66"/>
    </row>
    <row r="33" spans="1:68" ht="79.2">
      <c r="A33" s="66"/>
      <c r="B33" s="67"/>
      <c r="C33" s="67"/>
      <c r="D33" s="68"/>
      <c r="E33" s="69"/>
      <c r="F33" s="84"/>
      <c r="G33" s="68"/>
      <c r="H33" s="71"/>
      <c r="I33" s="71"/>
      <c r="J33" s="68"/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/>
      <c r="AJ33" s="72"/>
      <c r="AK33" s="73"/>
      <c r="AL33" s="68"/>
      <c r="AM33" s="73"/>
      <c r="AN33" s="73"/>
      <c r="AO33" s="73"/>
      <c r="AP33" s="75">
        <f t="shared" ref="AP33:AQ33" si="26">AR33+AT33+AV33</f>
        <v>0</v>
      </c>
      <c r="AQ33" s="75">
        <f t="shared" si="26"/>
        <v>0</v>
      </c>
      <c r="AR33" s="75"/>
      <c r="AS33" s="75"/>
      <c r="AT33" s="75"/>
      <c r="AU33" s="75"/>
      <c r="AV33" s="75"/>
      <c r="AW33" s="75"/>
      <c r="AX33" s="75"/>
      <c r="AY33" s="77">
        <f t="shared" ca="1" si="1"/>
        <v>0</v>
      </c>
      <c r="AZ33" s="75"/>
      <c r="BA33" s="77">
        <f t="shared" ca="1" si="2"/>
        <v>0</v>
      </c>
      <c r="BB33" s="66"/>
      <c r="BC33" s="4"/>
      <c r="BD33" s="67" t="s">
        <v>10</v>
      </c>
      <c r="BE33" s="67" t="s">
        <v>76</v>
      </c>
      <c r="BF33" s="68" t="s">
        <v>85</v>
      </c>
      <c r="BG33" s="69" t="s">
        <v>99</v>
      </c>
      <c r="BH33" s="68" t="s">
        <v>94</v>
      </c>
      <c r="BI33" s="68" t="s">
        <v>100</v>
      </c>
      <c r="BJ33" s="73" t="s">
        <v>103</v>
      </c>
      <c r="BK33" s="78">
        <v>159.98664199999999</v>
      </c>
      <c r="BL33" s="78">
        <f t="shared" ca="1" si="3"/>
        <v>0.26053248492530884</v>
      </c>
      <c r="BM33" s="78">
        <v>159.98664199999999</v>
      </c>
      <c r="BN33" s="78">
        <f t="shared" ca="1" si="4"/>
        <v>0.26053248492530884</v>
      </c>
      <c r="BO33" s="66"/>
      <c r="BP33" s="66"/>
    </row>
    <row r="34" spans="1:68" ht="79.2">
      <c r="A34" s="66"/>
      <c r="B34" s="67"/>
      <c r="C34" s="67"/>
      <c r="D34" s="68"/>
      <c r="E34" s="69"/>
      <c r="F34" s="84"/>
      <c r="G34" s="68"/>
      <c r="H34" s="71"/>
      <c r="I34" s="71"/>
      <c r="J34" s="68"/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/>
      <c r="AJ34" s="72"/>
      <c r="AK34" s="73"/>
      <c r="AL34" s="68"/>
      <c r="AM34" s="73"/>
      <c r="AN34" s="73"/>
      <c r="AO34" s="73"/>
      <c r="AP34" s="75">
        <f t="shared" ref="AP34:AQ34" si="27">AR34+AT34+AV34</f>
        <v>0</v>
      </c>
      <c r="AQ34" s="75">
        <f t="shared" si="27"/>
        <v>0</v>
      </c>
      <c r="AR34" s="75"/>
      <c r="AS34" s="75"/>
      <c r="AT34" s="75"/>
      <c r="AU34" s="75"/>
      <c r="AV34" s="75"/>
      <c r="AW34" s="75"/>
      <c r="AX34" s="75"/>
      <c r="AY34" s="77">
        <f t="shared" ca="1" si="1"/>
        <v>0</v>
      </c>
      <c r="AZ34" s="75"/>
      <c r="BA34" s="77">
        <f t="shared" ca="1" si="2"/>
        <v>0</v>
      </c>
      <c r="BB34" s="66"/>
      <c r="BC34" s="4"/>
      <c r="BD34" s="67" t="s">
        <v>10</v>
      </c>
      <c r="BE34" s="67" t="s">
        <v>76</v>
      </c>
      <c r="BF34" s="68" t="s">
        <v>85</v>
      </c>
      <c r="BG34" s="69" t="s">
        <v>99</v>
      </c>
      <c r="BH34" s="68" t="s">
        <v>94</v>
      </c>
      <c r="BI34" s="68" t="s">
        <v>100</v>
      </c>
      <c r="BJ34" s="73" t="s">
        <v>134</v>
      </c>
      <c r="BK34" s="78">
        <v>10.376442000000001</v>
      </c>
      <c r="BL34" s="78">
        <f t="shared" ca="1" si="3"/>
        <v>1.6897662111961462E-2</v>
      </c>
      <c r="BM34" s="78">
        <v>10.376442000000001</v>
      </c>
      <c r="BN34" s="78">
        <f t="shared" ca="1" si="4"/>
        <v>1.6897662111961462E-2</v>
      </c>
      <c r="BO34" s="66"/>
      <c r="BP34" s="66"/>
    </row>
    <row r="35" spans="1:68" ht="66">
      <c r="A35" s="66"/>
      <c r="B35" s="67"/>
      <c r="C35" s="67"/>
      <c r="D35" s="68"/>
      <c r="E35" s="69"/>
      <c r="F35" s="84"/>
      <c r="G35" s="68"/>
      <c r="H35" s="71"/>
      <c r="I35" s="71"/>
      <c r="J35" s="68"/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/>
      <c r="AJ35" s="72"/>
      <c r="AK35" s="73"/>
      <c r="AL35" s="68"/>
      <c r="AM35" s="73"/>
      <c r="AN35" s="73"/>
      <c r="AO35" s="73"/>
      <c r="AP35" s="75">
        <f t="shared" ref="AP35:AQ35" si="28">AR35+AT35+AV35</f>
        <v>0</v>
      </c>
      <c r="AQ35" s="75">
        <f t="shared" si="28"/>
        <v>0</v>
      </c>
      <c r="AR35" s="75"/>
      <c r="AS35" s="75"/>
      <c r="AT35" s="75"/>
      <c r="AU35" s="75"/>
      <c r="AV35" s="75"/>
      <c r="AW35" s="75"/>
      <c r="AX35" s="75"/>
      <c r="AY35" s="77">
        <f t="shared" ca="1" si="1"/>
        <v>0</v>
      </c>
      <c r="AZ35" s="75"/>
      <c r="BA35" s="77">
        <f t="shared" ca="1" si="2"/>
        <v>0</v>
      </c>
      <c r="BB35" s="66"/>
      <c r="BC35" s="4"/>
      <c r="BD35" s="67" t="s">
        <v>10</v>
      </c>
      <c r="BE35" s="67" t="s">
        <v>76</v>
      </c>
      <c r="BF35" s="68" t="s">
        <v>85</v>
      </c>
      <c r="BG35" s="69" t="s">
        <v>104</v>
      </c>
      <c r="BH35" s="68" t="s">
        <v>94</v>
      </c>
      <c r="BI35" s="68" t="s">
        <v>105</v>
      </c>
      <c r="BJ35" s="73" t="s">
        <v>92</v>
      </c>
      <c r="BK35" s="78">
        <v>3.515835</v>
      </c>
      <c r="BL35" s="78">
        <f t="shared" ca="1" si="3"/>
        <v>5.7254106823329248E-3</v>
      </c>
      <c r="BM35" s="78">
        <v>3.515835</v>
      </c>
      <c r="BN35" s="78">
        <f t="shared" ca="1" si="4"/>
        <v>5.7254106823329248E-3</v>
      </c>
      <c r="BO35" s="66"/>
      <c r="BP35" s="66"/>
    </row>
    <row r="36" spans="1:68" ht="66">
      <c r="A36" s="66"/>
      <c r="B36" s="67"/>
      <c r="C36" s="67"/>
      <c r="D36" s="68"/>
      <c r="E36" s="69"/>
      <c r="F36" s="84"/>
      <c r="G36" s="68"/>
      <c r="H36" s="71"/>
      <c r="I36" s="71"/>
      <c r="J36" s="68"/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/>
      <c r="AJ36" s="72"/>
      <c r="AK36" s="73"/>
      <c r="AL36" s="68"/>
      <c r="AM36" s="73"/>
      <c r="AN36" s="73"/>
      <c r="AO36" s="73"/>
      <c r="AP36" s="75">
        <f t="shared" ref="AP36:AQ36" si="29">AR36+AT36+AV36</f>
        <v>0</v>
      </c>
      <c r="AQ36" s="75">
        <f t="shared" si="29"/>
        <v>0</v>
      </c>
      <c r="AR36" s="75"/>
      <c r="AS36" s="75"/>
      <c r="AT36" s="75"/>
      <c r="AU36" s="75"/>
      <c r="AV36" s="75"/>
      <c r="AW36" s="75"/>
      <c r="AX36" s="75"/>
      <c r="AY36" s="77">
        <f t="shared" ca="1" si="1"/>
        <v>0</v>
      </c>
      <c r="AZ36" s="75"/>
      <c r="BA36" s="77">
        <f t="shared" ca="1" si="2"/>
        <v>0</v>
      </c>
      <c r="BB36" s="66"/>
      <c r="BC36" s="4"/>
      <c r="BD36" s="67" t="s">
        <v>10</v>
      </c>
      <c r="BE36" s="67" t="s">
        <v>76</v>
      </c>
      <c r="BF36" s="68" t="s">
        <v>85</v>
      </c>
      <c r="BG36" s="69" t="s">
        <v>104</v>
      </c>
      <c r="BH36" s="68" t="s">
        <v>94</v>
      </c>
      <c r="BI36" s="68" t="s">
        <v>105</v>
      </c>
      <c r="BJ36" s="73" t="s">
        <v>86</v>
      </c>
      <c r="BK36" s="78">
        <v>0.57132300000000003</v>
      </c>
      <c r="BL36" s="78">
        <f t="shared" ca="1" si="3"/>
        <v>9.3037893054210262E-4</v>
      </c>
      <c r="BM36" s="78">
        <v>0.57132300000000003</v>
      </c>
      <c r="BN36" s="78">
        <f t="shared" ca="1" si="4"/>
        <v>9.3037893054210262E-4</v>
      </c>
      <c r="BO36" s="66"/>
      <c r="BP36" s="66"/>
    </row>
    <row r="37" spans="1:68" ht="66">
      <c r="A37" s="66"/>
      <c r="B37" s="67"/>
      <c r="C37" s="67"/>
      <c r="D37" s="68"/>
      <c r="E37" s="69"/>
      <c r="F37" s="84"/>
      <c r="G37" s="68"/>
      <c r="H37" s="71"/>
      <c r="I37" s="71"/>
      <c r="J37" s="68"/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/>
      <c r="AJ37" s="72"/>
      <c r="AK37" s="73"/>
      <c r="AL37" s="68"/>
      <c r="AM37" s="73"/>
      <c r="AN37" s="73"/>
      <c r="AO37" s="73"/>
      <c r="AP37" s="75">
        <f t="shared" ref="AP37:AQ37" si="30">AR37+AT37+AV37</f>
        <v>0</v>
      </c>
      <c r="AQ37" s="75">
        <f t="shared" si="30"/>
        <v>0</v>
      </c>
      <c r="AR37" s="75"/>
      <c r="AS37" s="75"/>
      <c r="AT37" s="75"/>
      <c r="AU37" s="75"/>
      <c r="AV37" s="75"/>
      <c r="AW37" s="75"/>
      <c r="AX37" s="75"/>
      <c r="AY37" s="77">
        <f t="shared" ca="1" si="1"/>
        <v>0</v>
      </c>
      <c r="AZ37" s="75"/>
      <c r="BA37" s="77">
        <f t="shared" ca="1" si="2"/>
        <v>0</v>
      </c>
      <c r="BB37" s="66"/>
      <c r="BC37" s="4"/>
      <c r="BD37" s="67" t="s">
        <v>10</v>
      </c>
      <c r="BE37" s="67" t="s">
        <v>76</v>
      </c>
      <c r="BF37" s="68" t="s">
        <v>85</v>
      </c>
      <c r="BG37" s="69" t="s">
        <v>104</v>
      </c>
      <c r="BH37" s="68" t="s">
        <v>94</v>
      </c>
      <c r="BI37" s="68" t="s">
        <v>105</v>
      </c>
      <c r="BJ37" s="73" t="s">
        <v>132</v>
      </c>
      <c r="BK37" s="78">
        <v>1.6799999999999999E-4</v>
      </c>
      <c r="BL37" s="78">
        <f t="shared" ca="1" si="3"/>
        <v>2.7358194984461199E-7</v>
      </c>
      <c r="BM37" s="78">
        <v>1.6799999999999999E-4</v>
      </c>
      <c r="BN37" s="78">
        <f t="shared" ca="1" si="4"/>
        <v>2.7358194984461199E-7</v>
      </c>
      <c r="BO37" s="66"/>
      <c r="BP37" s="66"/>
    </row>
    <row r="38" spans="1:68" ht="66">
      <c r="A38" s="66"/>
      <c r="B38" s="67"/>
      <c r="C38" s="67"/>
      <c r="D38" s="68"/>
      <c r="E38" s="69"/>
      <c r="F38" s="84"/>
      <c r="G38" s="68"/>
      <c r="H38" s="71"/>
      <c r="I38" s="71"/>
      <c r="J38" s="68"/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/>
      <c r="AJ38" s="72"/>
      <c r="AK38" s="73"/>
      <c r="AL38" s="68"/>
      <c r="AM38" s="73"/>
      <c r="AN38" s="73"/>
      <c r="AO38" s="73"/>
      <c r="AP38" s="75">
        <f t="shared" ref="AP38:AQ38" si="31">AR38+AT38+AV38</f>
        <v>0</v>
      </c>
      <c r="AQ38" s="75">
        <f t="shared" si="31"/>
        <v>0</v>
      </c>
      <c r="AR38" s="75"/>
      <c r="AS38" s="75"/>
      <c r="AT38" s="75"/>
      <c r="AU38" s="75"/>
      <c r="AV38" s="75"/>
      <c r="AW38" s="75"/>
      <c r="AX38" s="75"/>
      <c r="AY38" s="77">
        <f t="shared" ca="1" si="1"/>
        <v>0</v>
      </c>
      <c r="AZ38" s="75"/>
      <c r="BA38" s="77">
        <f t="shared" ca="1" si="2"/>
        <v>0</v>
      </c>
      <c r="BB38" s="66"/>
      <c r="BC38" s="4"/>
      <c r="BD38" s="67" t="s">
        <v>10</v>
      </c>
      <c r="BE38" s="67" t="s">
        <v>76</v>
      </c>
      <c r="BF38" s="68" t="s">
        <v>85</v>
      </c>
      <c r="BG38" s="69" t="s">
        <v>104</v>
      </c>
      <c r="BH38" s="68" t="s">
        <v>94</v>
      </c>
      <c r="BI38" s="68" t="s">
        <v>105</v>
      </c>
      <c r="BJ38" s="73" t="s">
        <v>133</v>
      </c>
      <c r="BK38" s="78">
        <v>4.7464810000000002</v>
      </c>
      <c r="BL38" s="78">
        <f t="shared" ca="1" si="3"/>
        <v>7.7294733742881176E-3</v>
      </c>
      <c r="BM38" s="78">
        <v>4.7464810000000002</v>
      </c>
      <c r="BN38" s="78">
        <f t="shared" ca="1" si="4"/>
        <v>7.7294733742881176E-3</v>
      </c>
      <c r="BO38" s="66"/>
      <c r="BP38" s="66"/>
    </row>
    <row r="39" spans="1:68" ht="66">
      <c r="A39" s="66"/>
      <c r="B39" s="67"/>
      <c r="C39" s="67"/>
      <c r="D39" s="68"/>
      <c r="E39" s="69"/>
      <c r="F39" s="84"/>
      <c r="G39" s="68"/>
      <c r="H39" s="71"/>
      <c r="I39" s="71"/>
      <c r="J39" s="68"/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/>
      <c r="AJ39" s="72"/>
      <c r="AK39" s="73"/>
      <c r="AL39" s="68"/>
      <c r="AM39" s="73"/>
      <c r="AN39" s="73"/>
      <c r="AO39" s="73"/>
      <c r="AP39" s="75">
        <f t="shared" ref="AP39:AQ39" si="32">AR39+AT39+AV39</f>
        <v>0</v>
      </c>
      <c r="AQ39" s="75">
        <f t="shared" si="32"/>
        <v>0</v>
      </c>
      <c r="AR39" s="75"/>
      <c r="AS39" s="75"/>
      <c r="AT39" s="75"/>
      <c r="AU39" s="75"/>
      <c r="AV39" s="75"/>
      <c r="AW39" s="75"/>
      <c r="AX39" s="75"/>
      <c r="AY39" s="77">
        <f t="shared" ca="1" si="1"/>
        <v>0</v>
      </c>
      <c r="AZ39" s="75"/>
      <c r="BA39" s="77">
        <f t="shared" ca="1" si="2"/>
        <v>0</v>
      </c>
      <c r="BB39" s="66"/>
      <c r="BC39" s="4"/>
      <c r="BD39" s="67" t="s">
        <v>10</v>
      </c>
      <c r="BE39" s="67" t="s">
        <v>76</v>
      </c>
      <c r="BF39" s="68" t="s">
        <v>85</v>
      </c>
      <c r="BG39" s="69" t="s">
        <v>104</v>
      </c>
      <c r="BH39" s="68" t="s">
        <v>94</v>
      </c>
      <c r="BI39" s="68" t="s">
        <v>105</v>
      </c>
      <c r="BJ39" s="73" t="s">
        <v>98</v>
      </c>
      <c r="BK39" s="78">
        <v>6.4182240000000004</v>
      </c>
      <c r="BL39" s="78">
        <f t="shared" ca="1" si="3"/>
        <v>1.0451846645592172E-2</v>
      </c>
      <c r="BM39" s="78">
        <v>6.4182240000000004</v>
      </c>
      <c r="BN39" s="78">
        <f t="shared" ca="1" si="4"/>
        <v>1.0451846645592172E-2</v>
      </c>
      <c r="BO39" s="66"/>
      <c r="BP39" s="66"/>
    </row>
    <row r="40" spans="1:68" ht="66">
      <c r="A40" s="66"/>
      <c r="B40" s="67"/>
      <c r="C40" s="67"/>
      <c r="D40" s="68"/>
      <c r="E40" s="69"/>
      <c r="F40" s="84"/>
      <c r="G40" s="68"/>
      <c r="H40" s="71"/>
      <c r="I40" s="71"/>
      <c r="J40" s="68"/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/>
      <c r="AJ40" s="72"/>
      <c r="AK40" s="73"/>
      <c r="AL40" s="68"/>
      <c r="AM40" s="73"/>
      <c r="AN40" s="73"/>
      <c r="AO40" s="73"/>
      <c r="AP40" s="75">
        <f t="shared" ref="AP40:AQ40" si="33">AR40+AT40+AV40</f>
        <v>0</v>
      </c>
      <c r="AQ40" s="75">
        <f t="shared" si="33"/>
        <v>0</v>
      </c>
      <c r="AR40" s="75"/>
      <c r="AS40" s="75"/>
      <c r="AT40" s="75"/>
      <c r="AU40" s="75"/>
      <c r="AV40" s="75"/>
      <c r="AW40" s="75"/>
      <c r="AX40" s="75"/>
      <c r="AY40" s="77">
        <f t="shared" ca="1" si="1"/>
        <v>0</v>
      </c>
      <c r="AZ40" s="75"/>
      <c r="BA40" s="77">
        <f t="shared" ca="1" si="2"/>
        <v>0</v>
      </c>
      <c r="BB40" s="66"/>
      <c r="BC40" s="4"/>
      <c r="BD40" s="67" t="s">
        <v>10</v>
      </c>
      <c r="BE40" s="67" t="s">
        <v>76</v>
      </c>
      <c r="BF40" s="68" t="s">
        <v>85</v>
      </c>
      <c r="BG40" s="69" t="s">
        <v>104</v>
      </c>
      <c r="BH40" s="68" t="s">
        <v>94</v>
      </c>
      <c r="BI40" s="68" t="s">
        <v>105</v>
      </c>
      <c r="BJ40" s="73" t="s">
        <v>103</v>
      </c>
      <c r="BK40" s="78">
        <v>40.404000000000003</v>
      </c>
      <c r="BL40" s="78">
        <f t="shared" ca="1" si="3"/>
        <v>6.5796458937629185E-2</v>
      </c>
      <c r="BM40" s="78">
        <v>40.404000000000003</v>
      </c>
      <c r="BN40" s="78">
        <f t="shared" ca="1" si="4"/>
        <v>6.5796458937629185E-2</v>
      </c>
      <c r="BO40" s="66"/>
      <c r="BP40" s="66"/>
    </row>
    <row r="41" spans="1:68" ht="66">
      <c r="A41" s="66"/>
      <c r="B41" s="67"/>
      <c r="C41" s="67"/>
      <c r="D41" s="68"/>
      <c r="E41" s="69"/>
      <c r="F41" s="84"/>
      <c r="G41" s="68"/>
      <c r="H41" s="71"/>
      <c r="I41" s="71"/>
      <c r="J41" s="68"/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/>
      <c r="AJ41" s="72"/>
      <c r="AK41" s="73"/>
      <c r="AL41" s="68"/>
      <c r="AM41" s="73"/>
      <c r="AN41" s="73"/>
      <c r="AO41" s="73"/>
      <c r="AP41" s="75">
        <f t="shared" ref="AP41:AQ41" si="34">AR41+AT41+AV41</f>
        <v>0</v>
      </c>
      <c r="AQ41" s="75">
        <f t="shared" si="34"/>
        <v>0</v>
      </c>
      <c r="AR41" s="75"/>
      <c r="AS41" s="75"/>
      <c r="AT41" s="75"/>
      <c r="AU41" s="75"/>
      <c r="AV41" s="75"/>
      <c r="AW41" s="75"/>
      <c r="AX41" s="75"/>
      <c r="AY41" s="77">
        <f t="shared" ca="1" si="1"/>
        <v>0</v>
      </c>
      <c r="AZ41" s="75"/>
      <c r="BA41" s="77">
        <f t="shared" ca="1" si="2"/>
        <v>0</v>
      </c>
      <c r="BB41" s="66"/>
      <c r="BC41" s="4"/>
      <c r="BD41" s="67" t="s">
        <v>10</v>
      </c>
      <c r="BE41" s="67" t="s">
        <v>76</v>
      </c>
      <c r="BF41" s="68" t="s">
        <v>85</v>
      </c>
      <c r="BG41" s="69" t="s">
        <v>104</v>
      </c>
      <c r="BH41" s="68" t="s">
        <v>94</v>
      </c>
      <c r="BI41" s="68" t="s">
        <v>105</v>
      </c>
      <c r="BJ41" s="73" t="s">
        <v>134</v>
      </c>
      <c r="BK41" s="78">
        <v>4.0315750000000001</v>
      </c>
      <c r="BL41" s="78">
        <f t="shared" ca="1" si="3"/>
        <v>6.5652746990761401E-3</v>
      </c>
      <c r="BM41" s="78">
        <v>4.0315750000000001</v>
      </c>
      <c r="BN41" s="78">
        <f t="shared" ca="1" si="4"/>
        <v>6.5652746990761401E-3</v>
      </c>
      <c r="BO41" s="66"/>
      <c r="BP41" s="66"/>
    </row>
    <row r="42" spans="1:68" ht="66">
      <c r="A42" s="66"/>
      <c r="B42" s="67"/>
      <c r="C42" s="67"/>
      <c r="D42" s="68"/>
      <c r="E42" s="69"/>
      <c r="F42" s="84"/>
      <c r="G42" s="68"/>
      <c r="H42" s="71"/>
      <c r="I42" s="71"/>
      <c r="J42" s="68"/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/>
      <c r="AJ42" s="72"/>
      <c r="AK42" s="73"/>
      <c r="AL42" s="68"/>
      <c r="AM42" s="73"/>
      <c r="AN42" s="73"/>
      <c r="AO42" s="73"/>
      <c r="AP42" s="75">
        <f t="shared" ref="AP42:AQ42" si="35">AR42+AT42+AV42</f>
        <v>0</v>
      </c>
      <c r="AQ42" s="75">
        <f t="shared" si="35"/>
        <v>0</v>
      </c>
      <c r="AR42" s="75"/>
      <c r="AS42" s="75"/>
      <c r="AT42" s="75"/>
      <c r="AU42" s="75"/>
      <c r="AV42" s="75"/>
      <c r="AW42" s="75"/>
      <c r="AX42" s="75"/>
      <c r="AY42" s="77">
        <f t="shared" ca="1" si="1"/>
        <v>0</v>
      </c>
      <c r="AZ42" s="75"/>
      <c r="BA42" s="77">
        <f t="shared" ca="1" si="2"/>
        <v>0</v>
      </c>
      <c r="BB42" s="66"/>
      <c r="BC42" s="4"/>
      <c r="BD42" s="67" t="s">
        <v>10</v>
      </c>
      <c r="BE42" s="67" t="s">
        <v>76</v>
      </c>
      <c r="BF42" s="68" t="s">
        <v>85</v>
      </c>
      <c r="BG42" s="69" t="s">
        <v>108</v>
      </c>
      <c r="BH42" s="68" t="s">
        <v>94</v>
      </c>
      <c r="BI42" s="68" t="s">
        <v>109</v>
      </c>
      <c r="BJ42" s="73" t="s">
        <v>92</v>
      </c>
      <c r="BK42" s="78">
        <v>0.30470000000000003</v>
      </c>
      <c r="BL42" s="78">
        <f t="shared" ca="1" si="3"/>
        <v>4.9619297689079331E-4</v>
      </c>
      <c r="BM42" s="78">
        <v>0</v>
      </c>
      <c r="BN42" s="78">
        <f t="shared" ca="1" si="4"/>
        <v>0</v>
      </c>
      <c r="BO42" s="66"/>
      <c r="BP42" s="66"/>
    </row>
    <row r="43" spans="1:68" ht="66">
      <c r="A43" s="66"/>
      <c r="B43" s="67"/>
      <c r="C43" s="67"/>
      <c r="D43" s="68"/>
      <c r="E43" s="69"/>
      <c r="F43" s="84"/>
      <c r="G43" s="68"/>
      <c r="H43" s="71"/>
      <c r="I43" s="71"/>
      <c r="J43" s="68"/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/>
      <c r="AJ43" s="72"/>
      <c r="AK43" s="73"/>
      <c r="AL43" s="68"/>
      <c r="AM43" s="73"/>
      <c r="AN43" s="73"/>
      <c r="AO43" s="73"/>
      <c r="AP43" s="75">
        <f t="shared" ref="AP43:AQ43" si="36">AR43+AT43+AV43</f>
        <v>0</v>
      </c>
      <c r="AQ43" s="75">
        <f t="shared" si="36"/>
        <v>0</v>
      </c>
      <c r="AR43" s="75"/>
      <c r="AS43" s="75"/>
      <c r="AT43" s="75"/>
      <c r="AU43" s="75"/>
      <c r="AV43" s="75"/>
      <c r="AW43" s="75"/>
      <c r="AX43" s="75"/>
      <c r="AY43" s="77">
        <f t="shared" ca="1" si="1"/>
        <v>0</v>
      </c>
      <c r="AZ43" s="75"/>
      <c r="BA43" s="77">
        <f t="shared" ca="1" si="2"/>
        <v>0</v>
      </c>
      <c r="BB43" s="66"/>
      <c r="BC43" s="4"/>
      <c r="BD43" s="67" t="s">
        <v>10</v>
      </c>
      <c r="BE43" s="67" t="s">
        <v>76</v>
      </c>
      <c r="BF43" s="68" t="s">
        <v>85</v>
      </c>
      <c r="BG43" s="69" t="s">
        <v>108</v>
      </c>
      <c r="BH43" s="68" t="s">
        <v>94</v>
      </c>
      <c r="BI43" s="68" t="s">
        <v>109</v>
      </c>
      <c r="BJ43" s="73" t="s">
        <v>86</v>
      </c>
      <c r="BK43" s="78">
        <v>5.0099999999999999E-2</v>
      </c>
      <c r="BL43" s="78">
        <f t="shared" ca="1" si="3"/>
        <v>8.158604575723249E-5</v>
      </c>
      <c r="BM43" s="78">
        <v>0</v>
      </c>
      <c r="BN43" s="78">
        <f t="shared" ca="1" si="4"/>
        <v>0</v>
      </c>
      <c r="BO43" s="66"/>
      <c r="BP43" s="66"/>
    </row>
    <row r="44" spans="1:68" ht="66">
      <c r="A44" s="66"/>
      <c r="B44" s="67"/>
      <c r="C44" s="67"/>
      <c r="D44" s="68"/>
      <c r="E44" s="69"/>
      <c r="F44" s="84"/>
      <c r="G44" s="68"/>
      <c r="H44" s="71"/>
      <c r="I44" s="71"/>
      <c r="J44" s="68"/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/>
      <c r="AJ44" s="72"/>
      <c r="AK44" s="73"/>
      <c r="AL44" s="68"/>
      <c r="AM44" s="73"/>
      <c r="AN44" s="73"/>
      <c r="AO44" s="73"/>
      <c r="AP44" s="75">
        <f t="shared" ref="AP44:AQ44" si="37">AR44+AT44+AV44</f>
        <v>0</v>
      </c>
      <c r="AQ44" s="75">
        <f t="shared" si="37"/>
        <v>0</v>
      </c>
      <c r="AR44" s="75"/>
      <c r="AS44" s="75"/>
      <c r="AT44" s="75"/>
      <c r="AU44" s="75"/>
      <c r="AV44" s="75"/>
      <c r="AW44" s="75"/>
      <c r="AX44" s="75"/>
      <c r="AY44" s="77">
        <f t="shared" ca="1" si="1"/>
        <v>0</v>
      </c>
      <c r="AZ44" s="75"/>
      <c r="BA44" s="77">
        <f t="shared" ca="1" si="2"/>
        <v>0</v>
      </c>
      <c r="BB44" s="66"/>
      <c r="BC44" s="4"/>
      <c r="BD44" s="67" t="s">
        <v>10</v>
      </c>
      <c r="BE44" s="67" t="s">
        <v>76</v>
      </c>
      <c r="BF44" s="68" t="s">
        <v>85</v>
      </c>
      <c r="BG44" s="69" t="s">
        <v>108</v>
      </c>
      <c r="BH44" s="68" t="s">
        <v>94</v>
      </c>
      <c r="BI44" s="68" t="s">
        <v>109</v>
      </c>
      <c r="BJ44" s="73" t="s">
        <v>132</v>
      </c>
      <c r="BK44" s="78">
        <v>7.9999999999999996E-6</v>
      </c>
      <c r="BL44" s="78">
        <f t="shared" ca="1" si="3"/>
        <v>1.3027711897362473E-8</v>
      </c>
      <c r="BM44" s="78">
        <v>0</v>
      </c>
      <c r="BN44" s="78">
        <f t="shared" ca="1" si="4"/>
        <v>0</v>
      </c>
      <c r="BO44" s="66"/>
      <c r="BP44" s="66"/>
    </row>
    <row r="45" spans="1:68" ht="66">
      <c r="A45" s="66"/>
      <c r="B45" s="67"/>
      <c r="C45" s="67"/>
      <c r="D45" s="68"/>
      <c r="E45" s="69"/>
      <c r="F45" s="84"/>
      <c r="G45" s="68"/>
      <c r="H45" s="71"/>
      <c r="I45" s="71"/>
      <c r="J45" s="68"/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/>
      <c r="AJ45" s="72"/>
      <c r="AK45" s="73"/>
      <c r="AL45" s="68"/>
      <c r="AM45" s="73"/>
      <c r="AN45" s="73"/>
      <c r="AO45" s="73"/>
      <c r="AP45" s="75">
        <f t="shared" ref="AP45:AQ45" si="38">AR45+AT45+AV45</f>
        <v>0</v>
      </c>
      <c r="AQ45" s="75">
        <f t="shared" si="38"/>
        <v>0</v>
      </c>
      <c r="AR45" s="75"/>
      <c r="AS45" s="75"/>
      <c r="AT45" s="75"/>
      <c r="AU45" s="75"/>
      <c r="AV45" s="75"/>
      <c r="AW45" s="75"/>
      <c r="AX45" s="75"/>
      <c r="AY45" s="77">
        <f t="shared" ca="1" si="1"/>
        <v>0</v>
      </c>
      <c r="AZ45" s="75"/>
      <c r="BA45" s="77">
        <f t="shared" ca="1" si="2"/>
        <v>0</v>
      </c>
      <c r="BB45" s="66"/>
      <c r="BC45" s="4"/>
      <c r="BD45" s="67" t="s">
        <v>10</v>
      </c>
      <c r="BE45" s="67" t="s">
        <v>76</v>
      </c>
      <c r="BF45" s="68" t="s">
        <v>85</v>
      </c>
      <c r="BG45" s="69" t="s">
        <v>108</v>
      </c>
      <c r="BH45" s="68" t="s">
        <v>94</v>
      </c>
      <c r="BI45" s="68" t="s">
        <v>109</v>
      </c>
      <c r="BJ45" s="73" t="s">
        <v>133</v>
      </c>
      <c r="BK45" s="78">
        <v>10.519116</v>
      </c>
      <c r="BL45" s="78">
        <f t="shared" ca="1" si="3"/>
        <v>1.7130001582866997E-2</v>
      </c>
      <c r="BM45" s="78">
        <v>0</v>
      </c>
      <c r="BN45" s="78">
        <f t="shared" ca="1" si="4"/>
        <v>0</v>
      </c>
      <c r="BO45" s="66"/>
      <c r="BP45" s="66"/>
    </row>
    <row r="46" spans="1:68" ht="66">
      <c r="A46" s="66"/>
      <c r="B46" s="67"/>
      <c r="C46" s="67"/>
      <c r="D46" s="68"/>
      <c r="E46" s="69"/>
      <c r="F46" s="84"/>
      <c r="G46" s="68"/>
      <c r="H46" s="71"/>
      <c r="I46" s="71"/>
      <c r="J46" s="68"/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/>
      <c r="AJ46" s="72"/>
      <c r="AK46" s="73"/>
      <c r="AL46" s="68"/>
      <c r="AM46" s="73"/>
      <c r="AN46" s="73"/>
      <c r="AO46" s="73"/>
      <c r="AP46" s="75">
        <f t="shared" ref="AP46:AQ46" si="39">AR46+AT46+AV46</f>
        <v>0</v>
      </c>
      <c r="AQ46" s="75">
        <f t="shared" si="39"/>
        <v>0</v>
      </c>
      <c r="AR46" s="75"/>
      <c r="AS46" s="75"/>
      <c r="AT46" s="75"/>
      <c r="AU46" s="75"/>
      <c r="AV46" s="75"/>
      <c r="AW46" s="75"/>
      <c r="AX46" s="75"/>
      <c r="AY46" s="77">
        <f t="shared" ca="1" si="1"/>
        <v>0</v>
      </c>
      <c r="AZ46" s="75"/>
      <c r="BA46" s="77">
        <f t="shared" ca="1" si="2"/>
        <v>0</v>
      </c>
      <c r="BB46" s="66"/>
      <c r="BC46" s="4"/>
      <c r="BD46" s="67" t="s">
        <v>10</v>
      </c>
      <c r="BE46" s="67" t="s">
        <v>76</v>
      </c>
      <c r="BF46" s="68" t="s">
        <v>85</v>
      </c>
      <c r="BG46" s="69" t="s">
        <v>108</v>
      </c>
      <c r="BH46" s="68" t="s">
        <v>94</v>
      </c>
      <c r="BI46" s="68" t="s">
        <v>109</v>
      </c>
      <c r="BJ46" s="73" t="s">
        <v>103</v>
      </c>
      <c r="BK46" s="78">
        <v>9.1079860000000004</v>
      </c>
      <c r="BL46" s="78">
        <f t="shared" ca="1" si="3"/>
        <v>1.4832027196651359E-2</v>
      </c>
      <c r="BM46" s="78">
        <v>0</v>
      </c>
      <c r="BN46" s="78">
        <f t="shared" ca="1" si="4"/>
        <v>0</v>
      </c>
      <c r="BO46" s="66"/>
      <c r="BP46" s="66"/>
    </row>
    <row r="47" spans="1:68" ht="66">
      <c r="A47" s="66"/>
      <c r="B47" s="67"/>
      <c r="C47" s="67"/>
      <c r="D47" s="68"/>
      <c r="E47" s="69"/>
      <c r="F47" s="84"/>
      <c r="G47" s="68"/>
      <c r="H47" s="71"/>
      <c r="I47" s="71"/>
      <c r="J47" s="68"/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/>
      <c r="AJ47" s="72"/>
      <c r="AK47" s="73"/>
      <c r="AL47" s="68"/>
      <c r="AM47" s="73"/>
      <c r="AN47" s="73"/>
      <c r="AO47" s="73"/>
      <c r="AP47" s="75">
        <f t="shared" ref="AP47:AQ47" si="40">AR47+AT47+AV47</f>
        <v>0</v>
      </c>
      <c r="AQ47" s="75">
        <f t="shared" si="40"/>
        <v>0</v>
      </c>
      <c r="AR47" s="75"/>
      <c r="AS47" s="75"/>
      <c r="AT47" s="75"/>
      <c r="AU47" s="75"/>
      <c r="AV47" s="75"/>
      <c r="AW47" s="75"/>
      <c r="AX47" s="75"/>
      <c r="AY47" s="77">
        <f t="shared" ca="1" si="1"/>
        <v>0</v>
      </c>
      <c r="AZ47" s="75"/>
      <c r="BA47" s="77">
        <f t="shared" ca="1" si="2"/>
        <v>0</v>
      </c>
      <c r="BB47" s="66"/>
      <c r="BC47" s="4"/>
      <c r="BD47" s="67" t="s">
        <v>10</v>
      </c>
      <c r="BE47" s="67" t="s">
        <v>76</v>
      </c>
      <c r="BF47" s="68" t="s">
        <v>85</v>
      </c>
      <c r="BG47" s="69" t="s">
        <v>108</v>
      </c>
      <c r="BH47" s="68" t="s">
        <v>94</v>
      </c>
      <c r="BI47" s="68" t="s">
        <v>109</v>
      </c>
      <c r="BJ47" s="73" t="s">
        <v>98</v>
      </c>
      <c r="BK47" s="78">
        <v>5.9940899999999999</v>
      </c>
      <c r="BL47" s="78">
        <f t="shared" ca="1" si="3"/>
        <v>9.7611597008576793E-3</v>
      </c>
      <c r="BM47" s="78">
        <v>0</v>
      </c>
      <c r="BN47" s="78">
        <f t="shared" ca="1" si="4"/>
        <v>0</v>
      </c>
      <c r="BO47" s="66"/>
      <c r="BP47" s="66"/>
    </row>
    <row r="48" spans="1:68" ht="66">
      <c r="A48" s="66"/>
      <c r="B48" s="67"/>
      <c r="C48" s="67"/>
      <c r="D48" s="68"/>
      <c r="E48" s="69"/>
      <c r="F48" s="84"/>
      <c r="G48" s="68"/>
      <c r="H48" s="71"/>
      <c r="I48" s="71"/>
      <c r="J48" s="68"/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/>
      <c r="AJ48" s="72"/>
      <c r="AK48" s="73"/>
      <c r="AL48" s="68"/>
      <c r="AM48" s="73"/>
      <c r="AN48" s="73"/>
      <c r="AO48" s="73"/>
      <c r="AP48" s="75">
        <f t="shared" ref="AP48:AQ48" si="41">AR48+AT48+AV48</f>
        <v>0</v>
      </c>
      <c r="AQ48" s="75">
        <f t="shared" si="41"/>
        <v>0</v>
      </c>
      <c r="AR48" s="75"/>
      <c r="AS48" s="75"/>
      <c r="AT48" s="75"/>
      <c r="AU48" s="75"/>
      <c r="AV48" s="75"/>
      <c r="AW48" s="75"/>
      <c r="AX48" s="75"/>
      <c r="AY48" s="77">
        <f t="shared" ca="1" si="1"/>
        <v>0</v>
      </c>
      <c r="AZ48" s="75"/>
      <c r="BA48" s="77">
        <f t="shared" ca="1" si="2"/>
        <v>0</v>
      </c>
      <c r="BB48" s="66"/>
      <c r="BC48" s="4"/>
      <c r="BD48" s="67" t="s">
        <v>10</v>
      </c>
      <c r="BE48" s="67" t="s">
        <v>76</v>
      </c>
      <c r="BF48" s="68" t="s">
        <v>85</v>
      </c>
      <c r="BG48" s="69" t="s">
        <v>108</v>
      </c>
      <c r="BH48" s="68" t="s">
        <v>94</v>
      </c>
      <c r="BI48" s="68" t="s">
        <v>109</v>
      </c>
      <c r="BJ48" s="73" t="s">
        <v>134</v>
      </c>
      <c r="BK48" s="78">
        <v>4.024</v>
      </c>
      <c r="BL48" s="78">
        <f t="shared" ca="1" si="3"/>
        <v>6.552939084373325E-3</v>
      </c>
      <c r="BM48" s="78">
        <v>0</v>
      </c>
      <c r="BN48" s="78">
        <f t="shared" ca="1" si="4"/>
        <v>0</v>
      </c>
      <c r="BO48" s="66"/>
      <c r="BP48" s="66"/>
    </row>
    <row r="49" spans="1:68" ht="26.4">
      <c r="A49" s="66"/>
      <c r="B49" s="67"/>
      <c r="C49" s="67"/>
      <c r="D49" s="68"/>
      <c r="E49" s="69"/>
      <c r="F49" s="84"/>
      <c r="G49" s="68"/>
      <c r="H49" s="71"/>
      <c r="I49" s="71"/>
      <c r="J49" s="68"/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/>
      <c r="AJ49" s="72"/>
      <c r="AK49" s="73"/>
      <c r="AL49" s="68"/>
      <c r="AM49" s="73"/>
      <c r="AN49" s="73"/>
      <c r="AO49" s="73"/>
      <c r="AP49" s="75">
        <f t="shared" ref="AP49:AQ49" si="42">AR49+AT49+AV49</f>
        <v>0</v>
      </c>
      <c r="AQ49" s="75">
        <f t="shared" si="42"/>
        <v>0</v>
      </c>
      <c r="AR49" s="75"/>
      <c r="AS49" s="75"/>
      <c r="AT49" s="75"/>
      <c r="AU49" s="75"/>
      <c r="AV49" s="75"/>
      <c r="AW49" s="75"/>
      <c r="AX49" s="75"/>
      <c r="AY49" s="77">
        <f t="shared" ca="1" si="1"/>
        <v>0</v>
      </c>
      <c r="AZ49" s="75"/>
      <c r="BA49" s="77">
        <f t="shared" ca="1" si="2"/>
        <v>0</v>
      </c>
      <c r="BB49" s="66"/>
      <c r="BC49" s="4"/>
      <c r="BD49" s="67" t="s">
        <v>10</v>
      </c>
      <c r="BE49" s="67" t="s">
        <v>76</v>
      </c>
      <c r="BF49" s="68" t="s">
        <v>85</v>
      </c>
      <c r="BG49" s="69" t="s">
        <v>115</v>
      </c>
      <c r="BH49" s="68" t="s">
        <v>94</v>
      </c>
      <c r="BI49" s="68" t="s">
        <v>116</v>
      </c>
      <c r="BJ49" s="73" t="s">
        <v>92</v>
      </c>
      <c r="BK49" s="78">
        <v>0.529555</v>
      </c>
      <c r="BL49" s="78">
        <f t="shared" ca="1" si="3"/>
        <v>8.6236124672597306E-4</v>
      </c>
      <c r="BM49" s="78">
        <v>9.7096000000000002E-2</v>
      </c>
      <c r="BN49" s="78">
        <f t="shared" ca="1" si="4"/>
        <v>1.5811733929828838E-4</v>
      </c>
      <c r="BO49" s="66"/>
      <c r="BP49" s="66"/>
    </row>
    <row r="50" spans="1:68" ht="26.4">
      <c r="A50" s="66"/>
      <c r="B50" s="67"/>
      <c r="C50" s="67"/>
      <c r="D50" s="68"/>
      <c r="E50" s="69"/>
      <c r="F50" s="84"/>
      <c r="G50" s="68"/>
      <c r="H50" s="71"/>
      <c r="I50" s="71"/>
      <c r="J50" s="68"/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/>
      <c r="AJ50" s="72"/>
      <c r="AK50" s="73"/>
      <c r="AL50" s="68"/>
      <c r="AM50" s="73"/>
      <c r="AN50" s="73"/>
      <c r="AO50" s="73"/>
      <c r="AP50" s="75">
        <f t="shared" ref="AP50:AQ50" si="43">AR50+AT50+AV50</f>
        <v>0</v>
      </c>
      <c r="AQ50" s="75">
        <f t="shared" si="43"/>
        <v>0</v>
      </c>
      <c r="AR50" s="75"/>
      <c r="AS50" s="75"/>
      <c r="AT50" s="75"/>
      <c r="AU50" s="75"/>
      <c r="AV50" s="75"/>
      <c r="AW50" s="75"/>
      <c r="AX50" s="75"/>
      <c r="AY50" s="77">
        <f t="shared" ca="1" si="1"/>
        <v>0</v>
      </c>
      <c r="AZ50" s="75"/>
      <c r="BA50" s="77">
        <f t="shared" ca="1" si="2"/>
        <v>0</v>
      </c>
      <c r="BB50" s="66"/>
      <c r="BC50" s="4"/>
      <c r="BD50" s="67" t="s">
        <v>10</v>
      </c>
      <c r="BE50" s="67" t="s">
        <v>76</v>
      </c>
      <c r="BF50" s="68" t="s">
        <v>85</v>
      </c>
      <c r="BG50" s="69" t="s">
        <v>115</v>
      </c>
      <c r="BH50" s="68" t="s">
        <v>94</v>
      </c>
      <c r="BI50" s="68" t="s">
        <v>116</v>
      </c>
      <c r="BJ50" s="73" t="s">
        <v>86</v>
      </c>
      <c r="BK50" s="78">
        <v>8.6055000000000003E-3</v>
      </c>
      <c r="BL50" s="78">
        <f t="shared" ca="1" si="3"/>
        <v>1.40137468415941E-5</v>
      </c>
      <c r="BM50" s="78">
        <v>1.5779000000000001E-2</v>
      </c>
      <c r="BN50" s="78">
        <f t="shared" ca="1" si="4"/>
        <v>2.5695533253560314E-5</v>
      </c>
      <c r="BO50" s="66"/>
      <c r="BP50" s="66"/>
    </row>
    <row r="51" spans="1:68" ht="26.4">
      <c r="A51" s="66"/>
      <c r="B51" s="67"/>
      <c r="C51" s="67"/>
      <c r="D51" s="68"/>
      <c r="E51" s="69"/>
      <c r="F51" s="84"/>
      <c r="G51" s="68"/>
      <c r="H51" s="71"/>
      <c r="I51" s="71"/>
      <c r="J51" s="68"/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/>
      <c r="AJ51" s="72"/>
      <c r="AK51" s="73"/>
      <c r="AL51" s="68"/>
      <c r="AM51" s="73"/>
      <c r="AN51" s="73"/>
      <c r="AO51" s="73"/>
      <c r="AP51" s="75">
        <f t="shared" ref="AP51:AQ51" si="44">AR51+AT51+AV51</f>
        <v>0</v>
      </c>
      <c r="AQ51" s="75">
        <f t="shared" si="44"/>
        <v>0</v>
      </c>
      <c r="AR51" s="75"/>
      <c r="AS51" s="75"/>
      <c r="AT51" s="75"/>
      <c r="AU51" s="75"/>
      <c r="AV51" s="75"/>
      <c r="AW51" s="75"/>
      <c r="AX51" s="75"/>
      <c r="AY51" s="77">
        <f t="shared" ca="1" si="1"/>
        <v>0</v>
      </c>
      <c r="AZ51" s="75"/>
      <c r="BA51" s="77">
        <f t="shared" ca="1" si="2"/>
        <v>0</v>
      </c>
      <c r="BB51" s="66"/>
      <c r="BC51" s="4"/>
      <c r="BD51" s="67" t="s">
        <v>10</v>
      </c>
      <c r="BE51" s="67" t="s">
        <v>76</v>
      </c>
      <c r="BF51" s="68" t="s">
        <v>85</v>
      </c>
      <c r="BG51" s="69" t="s">
        <v>115</v>
      </c>
      <c r="BH51" s="68" t="s">
        <v>94</v>
      </c>
      <c r="BI51" s="68" t="s">
        <v>116</v>
      </c>
      <c r="BJ51" s="73" t="s">
        <v>134</v>
      </c>
      <c r="BK51" s="78">
        <v>0.71921650000000004</v>
      </c>
      <c r="BL51" s="78">
        <f t="shared" ca="1" si="3"/>
        <v>1.1712181692286748E-3</v>
      </c>
      <c r="BM51" s="78">
        <v>1.320122</v>
      </c>
      <c r="BN51" s="78">
        <f t="shared" ca="1" si="4"/>
        <v>2.1497711356712433E-3</v>
      </c>
      <c r="BO51" s="66"/>
      <c r="BP51" s="66"/>
    </row>
    <row r="52" spans="1:68" ht="26.4">
      <c r="A52" s="66"/>
      <c r="B52" s="67"/>
      <c r="C52" s="67"/>
      <c r="D52" s="68"/>
      <c r="E52" s="69"/>
      <c r="F52" s="84"/>
      <c r="G52" s="68"/>
      <c r="H52" s="71"/>
      <c r="I52" s="71"/>
      <c r="J52" s="68"/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/>
      <c r="AJ52" s="72"/>
      <c r="AK52" s="73"/>
      <c r="AL52" s="68"/>
      <c r="AM52" s="73"/>
      <c r="AN52" s="73"/>
      <c r="AO52" s="73"/>
      <c r="AP52" s="75">
        <f t="shared" ref="AP52:AQ52" si="45">AR52+AT52+AV52</f>
        <v>0</v>
      </c>
      <c r="AQ52" s="75">
        <f t="shared" si="45"/>
        <v>0</v>
      </c>
      <c r="AR52" s="75"/>
      <c r="AS52" s="75"/>
      <c r="AT52" s="75"/>
      <c r="AU52" s="75"/>
      <c r="AV52" s="75"/>
      <c r="AW52" s="75"/>
      <c r="AX52" s="75"/>
      <c r="AY52" s="77">
        <f t="shared" ca="1" si="1"/>
        <v>0</v>
      </c>
      <c r="AZ52" s="75"/>
      <c r="BA52" s="77">
        <f t="shared" ca="1" si="2"/>
        <v>0</v>
      </c>
      <c r="BB52" s="66"/>
      <c r="BC52" s="4"/>
      <c r="BD52" s="67" t="s">
        <v>10</v>
      </c>
      <c r="BE52" s="67" t="s">
        <v>76</v>
      </c>
      <c r="BF52" s="68" t="s">
        <v>85</v>
      </c>
      <c r="BG52" s="69" t="s">
        <v>115</v>
      </c>
      <c r="BH52" s="68" t="s">
        <v>94</v>
      </c>
      <c r="BI52" s="68" t="s">
        <v>116</v>
      </c>
      <c r="BJ52" s="73" t="s">
        <v>98</v>
      </c>
      <c r="BK52" s="78">
        <v>0.14399999999999999</v>
      </c>
      <c r="BL52" s="78">
        <f t="shared" ca="1" si="3"/>
        <v>2.3449881415252451E-4</v>
      </c>
      <c r="BM52" s="78">
        <v>0.24912000000000001</v>
      </c>
      <c r="BN52" s="78">
        <f t="shared" ca="1" si="4"/>
        <v>4.0568294848386749E-4</v>
      </c>
      <c r="BO52" s="66"/>
      <c r="BP52" s="66"/>
    </row>
    <row r="53" spans="1:68" ht="26.4">
      <c r="A53" s="66"/>
      <c r="B53" s="67"/>
      <c r="C53" s="67"/>
      <c r="D53" s="68"/>
      <c r="E53" s="69"/>
      <c r="F53" s="84"/>
      <c r="G53" s="68"/>
      <c r="H53" s="71"/>
      <c r="I53" s="71"/>
      <c r="J53" s="68"/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/>
      <c r="AJ53" s="72"/>
      <c r="AK53" s="73"/>
      <c r="AL53" s="68"/>
      <c r="AM53" s="73"/>
      <c r="AN53" s="73"/>
      <c r="AO53" s="73"/>
      <c r="AP53" s="75">
        <f t="shared" ref="AP53:AQ53" si="46">AR53+AT53+AV53</f>
        <v>0</v>
      </c>
      <c r="AQ53" s="75">
        <f t="shared" si="46"/>
        <v>0</v>
      </c>
      <c r="AR53" s="75"/>
      <c r="AS53" s="75"/>
      <c r="AT53" s="75"/>
      <c r="AU53" s="75"/>
      <c r="AV53" s="75"/>
      <c r="AW53" s="75"/>
      <c r="AX53" s="75"/>
      <c r="AY53" s="77">
        <f t="shared" ca="1" si="1"/>
        <v>0</v>
      </c>
      <c r="AZ53" s="75"/>
      <c r="BA53" s="77">
        <f t="shared" ca="1" si="2"/>
        <v>0</v>
      </c>
      <c r="BB53" s="66"/>
      <c r="BC53" s="4"/>
      <c r="BD53" s="67" t="s">
        <v>10</v>
      </c>
      <c r="BE53" s="67" t="s">
        <v>76</v>
      </c>
      <c r="BF53" s="68" t="s">
        <v>85</v>
      </c>
      <c r="BG53" s="69" t="s">
        <v>115</v>
      </c>
      <c r="BH53" s="68" t="s">
        <v>94</v>
      </c>
      <c r="BI53" s="68" t="s">
        <v>116</v>
      </c>
      <c r="BJ53" s="73" t="s">
        <v>103</v>
      </c>
      <c r="BK53" s="78">
        <v>1.0811839999999999</v>
      </c>
      <c r="BL53" s="78">
        <f t="shared" ca="1" si="3"/>
        <v>1.7606692075047437E-3</v>
      </c>
      <c r="BM53" s="78">
        <v>1.979681</v>
      </c>
      <c r="BN53" s="78">
        <f t="shared" ca="1" si="4"/>
        <v>3.2238392145853053E-3</v>
      </c>
      <c r="BO53" s="66"/>
      <c r="BP53" s="66"/>
    </row>
    <row r="54" spans="1:68" ht="26.4">
      <c r="A54" s="66"/>
      <c r="B54" s="67"/>
      <c r="C54" s="67"/>
      <c r="D54" s="68"/>
      <c r="E54" s="69"/>
      <c r="F54" s="84"/>
      <c r="G54" s="68"/>
      <c r="H54" s="71"/>
      <c r="I54" s="71"/>
      <c r="J54" s="68"/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/>
      <c r="AJ54" s="72"/>
      <c r="AK54" s="73"/>
      <c r="AL54" s="68"/>
      <c r="AM54" s="73"/>
      <c r="AN54" s="73"/>
      <c r="AO54" s="73"/>
      <c r="AP54" s="75">
        <f t="shared" ref="AP54:AQ54" si="47">AR54+AT54+AV54</f>
        <v>0</v>
      </c>
      <c r="AQ54" s="75">
        <f t="shared" si="47"/>
        <v>0</v>
      </c>
      <c r="AR54" s="75"/>
      <c r="AS54" s="75"/>
      <c r="AT54" s="75"/>
      <c r="AU54" s="75"/>
      <c r="AV54" s="75"/>
      <c r="AW54" s="75"/>
      <c r="AX54" s="75"/>
      <c r="AY54" s="77">
        <f t="shared" ca="1" si="1"/>
        <v>0</v>
      </c>
      <c r="AZ54" s="75"/>
      <c r="BA54" s="77">
        <f t="shared" ca="1" si="2"/>
        <v>0</v>
      </c>
      <c r="BB54" s="66"/>
      <c r="BC54" s="4"/>
      <c r="BD54" s="67" t="s">
        <v>10</v>
      </c>
      <c r="BE54" s="67" t="s">
        <v>76</v>
      </c>
      <c r="BF54" s="68" t="s">
        <v>85</v>
      </c>
      <c r="BG54" s="69" t="s">
        <v>115</v>
      </c>
      <c r="BH54" s="68" t="s">
        <v>94</v>
      </c>
      <c r="BI54" s="68" t="s">
        <v>116</v>
      </c>
      <c r="BJ54" s="73" t="s">
        <v>132</v>
      </c>
      <c r="BK54" s="78">
        <v>4.9999999999999998E-7</v>
      </c>
      <c r="BL54" s="78">
        <f t="shared" ca="1" si="3"/>
        <v>8.1423199358515459E-10</v>
      </c>
      <c r="BM54" s="78">
        <v>6.9999999999999997E-7</v>
      </c>
      <c r="BN54" s="78">
        <f t="shared" ca="1" si="4"/>
        <v>1.1399247910192166E-9</v>
      </c>
      <c r="BO54" s="66"/>
      <c r="BP54" s="66"/>
    </row>
    <row r="55" spans="1:68" ht="26.4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>
        <f t="shared" ref="AP55:AQ55" si="48">AR55+AT55+AV55</f>
        <v>0</v>
      </c>
      <c r="AQ55" s="75">
        <f t="shared" si="48"/>
        <v>0</v>
      </c>
      <c r="AR55" s="75"/>
      <c r="AS55" s="75"/>
      <c r="AT55" s="75"/>
      <c r="AU55" s="75"/>
      <c r="AV55" s="75"/>
      <c r="AW55" s="75"/>
      <c r="AX55" s="75"/>
      <c r="AY55" s="77">
        <f t="shared" ca="1" si="1"/>
        <v>0</v>
      </c>
      <c r="AZ55" s="75"/>
      <c r="BA55" s="77">
        <f t="shared" ca="1" si="2"/>
        <v>0</v>
      </c>
      <c r="BB55" s="66"/>
      <c r="BC55" s="4"/>
      <c r="BD55" s="67" t="s">
        <v>10</v>
      </c>
      <c r="BE55" s="67" t="s">
        <v>76</v>
      </c>
      <c r="BF55" s="68" t="s">
        <v>85</v>
      </c>
      <c r="BG55" s="69" t="s">
        <v>115</v>
      </c>
      <c r="BH55" s="68" t="s">
        <v>94</v>
      </c>
      <c r="BI55" s="68" t="s">
        <v>116</v>
      </c>
      <c r="BJ55" s="73" t="s">
        <v>133</v>
      </c>
      <c r="BK55" s="78">
        <v>1.5851851851000001</v>
      </c>
      <c r="BL55" s="78">
        <f t="shared" ca="1" si="3"/>
        <v>2.5814169869312507E-3</v>
      </c>
      <c r="BM55" s="78">
        <v>4.0749810000000002</v>
      </c>
      <c r="BN55" s="78">
        <f t="shared" ca="1" si="4"/>
        <v>6.6359598069032546E-3</v>
      </c>
      <c r="BO55" s="66"/>
      <c r="BP55" s="66"/>
    </row>
    <row r="56" spans="1:68" ht="26.4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>
        <f t="shared" ref="AP56:AQ56" si="49">AR56+AT56+AV56</f>
        <v>0</v>
      </c>
      <c r="AQ56" s="75">
        <f t="shared" si="49"/>
        <v>0</v>
      </c>
      <c r="AR56" s="75"/>
      <c r="AS56" s="75"/>
      <c r="AT56" s="75"/>
      <c r="AU56" s="75"/>
      <c r="AV56" s="75"/>
      <c r="AW56" s="75"/>
      <c r="AX56" s="75"/>
      <c r="AY56" s="77">
        <f t="shared" ca="1" si="1"/>
        <v>0</v>
      </c>
      <c r="AZ56" s="75"/>
      <c r="BA56" s="77">
        <f t="shared" ca="1" si="2"/>
        <v>0</v>
      </c>
      <c r="BB56" s="66"/>
      <c r="BC56" s="4"/>
      <c r="BD56" s="67" t="s">
        <v>10</v>
      </c>
      <c r="BE56" s="67" t="s">
        <v>76</v>
      </c>
      <c r="BF56" s="68" t="s">
        <v>85</v>
      </c>
      <c r="BG56" s="69" t="s">
        <v>119</v>
      </c>
      <c r="BH56" s="68" t="s">
        <v>94</v>
      </c>
      <c r="BI56" s="68" t="s">
        <v>120</v>
      </c>
      <c r="BJ56" s="73" t="s">
        <v>92</v>
      </c>
      <c r="BK56" s="78">
        <v>2.4492E-2</v>
      </c>
      <c r="BL56" s="78">
        <f t="shared" ca="1" si="3"/>
        <v>3.9884339973775219E-5</v>
      </c>
      <c r="BM56" s="78">
        <v>4.0169000000000003E-2</v>
      </c>
      <c r="BN56" s="78">
        <f t="shared" ca="1" si="4"/>
        <v>6.5413769900644165E-5</v>
      </c>
      <c r="BO56" s="66"/>
      <c r="BP56" s="66"/>
    </row>
    <row r="57" spans="1:68" ht="26.4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>
        <f t="shared" ref="AP57:AQ57" si="50">AR57+AT57+AV57</f>
        <v>0</v>
      </c>
      <c r="AQ57" s="75">
        <f t="shared" si="50"/>
        <v>0</v>
      </c>
      <c r="AR57" s="75"/>
      <c r="AS57" s="75"/>
      <c r="AT57" s="75"/>
      <c r="AU57" s="75"/>
      <c r="AV57" s="75"/>
      <c r="AW57" s="75"/>
      <c r="AX57" s="75"/>
      <c r="AY57" s="77">
        <f t="shared" ca="1" si="1"/>
        <v>0</v>
      </c>
      <c r="AZ57" s="75"/>
      <c r="BA57" s="77">
        <f t="shared" ca="1" si="2"/>
        <v>0</v>
      </c>
      <c r="BB57" s="66"/>
      <c r="BC57" s="4"/>
      <c r="BD57" s="67" t="s">
        <v>10</v>
      </c>
      <c r="BE57" s="67" t="s">
        <v>76</v>
      </c>
      <c r="BF57" s="68" t="s">
        <v>85</v>
      </c>
      <c r="BG57" s="69" t="s">
        <v>119</v>
      </c>
      <c r="BH57" s="68" t="s">
        <v>94</v>
      </c>
      <c r="BI57" s="68" t="s">
        <v>120</v>
      </c>
      <c r="BJ57" s="73" t="s">
        <v>86</v>
      </c>
      <c r="BK57" s="78">
        <v>3.98E-3</v>
      </c>
      <c r="BL57" s="78">
        <f t="shared" ca="1" si="3"/>
        <v>6.4812866689378311E-6</v>
      </c>
      <c r="BM57" s="78">
        <v>6.5279999999999999E-3</v>
      </c>
      <c r="BN57" s="78">
        <f t="shared" ca="1" si="4"/>
        <v>1.063061290824778E-5</v>
      </c>
      <c r="BO57" s="66"/>
      <c r="BP57" s="66"/>
    </row>
    <row r="58" spans="1:68" ht="26.4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>
        <f t="shared" ref="AP58:AQ58" si="51">AR58+AT58+AV58</f>
        <v>0</v>
      </c>
      <c r="AQ58" s="75">
        <f t="shared" si="51"/>
        <v>0</v>
      </c>
      <c r="AR58" s="75"/>
      <c r="AS58" s="75"/>
      <c r="AT58" s="75"/>
      <c r="AU58" s="75"/>
      <c r="AV58" s="75"/>
      <c r="AW58" s="75"/>
      <c r="AX58" s="75"/>
      <c r="AY58" s="77">
        <f t="shared" ca="1" si="1"/>
        <v>0</v>
      </c>
      <c r="AZ58" s="75"/>
      <c r="BA58" s="77">
        <f t="shared" ca="1" si="2"/>
        <v>0</v>
      </c>
      <c r="BB58" s="66"/>
      <c r="BC58" s="4"/>
      <c r="BD58" s="67" t="s">
        <v>10</v>
      </c>
      <c r="BE58" s="67" t="s">
        <v>76</v>
      </c>
      <c r="BF58" s="68" t="s">
        <v>85</v>
      </c>
      <c r="BG58" s="69" t="s">
        <v>119</v>
      </c>
      <c r="BH58" s="68" t="s">
        <v>94</v>
      </c>
      <c r="BI58" s="68" t="s">
        <v>120</v>
      </c>
      <c r="BJ58" s="73" t="s">
        <v>134</v>
      </c>
      <c r="BK58" s="78">
        <v>0.33263749999999997</v>
      </c>
      <c r="BL58" s="78">
        <f t="shared" ca="1" si="3"/>
        <v>5.4168818953236378E-4</v>
      </c>
      <c r="BM58" s="78">
        <v>0.54696400000000001</v>
      </c>
      <c r="BN58" s="78">
        <f t="shared" ca="1" si="4"/>
        <v>8.9071117627862113E-4</v>
      </c>
      <c r="BO58" s="66"/>
      <c r="BP58" s="66"/>
    </row>
    <row r="59" spans="1:68" ht="26.4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>
        <f t="shared" ref="AP59:AQ59" si="52">AR59+AT59+AV59</f>
        <v>0</v>
      </c>
      <c r="AQ59" s="75">
        <f t="shared" si="52"/>
        <v>0</v>
      </c>
      <c r="AR59" s="75"/>
      <c r="AS59" s="75"/>
      <c r="AT59" s="75"/>
      <c r="AU59" s="75"/>
      <c r="AV59" s="75"/>
      <c r="AW59" s="75"/>
      <c r="AX59" s="75"/>
      <c r="AY59" s="77">
        <f t="shared" ca="1" si="1"/>
        <v>0</v>
      </c>
      <c r="AZ59" s="75"/>
      <c r="BA59" s="77">
        <f t="shared" ca="1" si="2"/>
        <v>0</v>
      </c>
      <c r="BB59" s="66"/>
      <c r="BC59" s="4"/>
      <c r="BD59" s="67" t="s">
        <v>10</v>
      </c>
      <c r="BE59" s="67" t="s">
        <v>76</v>
      </c>
      <c r="BF59" s="68" t="s">
        <v>85</v>
      </c>
      <c r="BG59" s="69" t="s">
        <v>119</v>
      </c>
      <c r="BH59" s="68" t="s">
        <v>94</v>
      </c>
      <c r="BI59" s="68" t="s">
        <v>120</v>
      </c>
      <c r="BJ59" s="73" t="s">
        <v>98</v>
      </c>
      <c r="BK59" s="78">
        <v>5.3280000000000001E-2</v>
      </c>
      <c r="BL59" s="78">
        <f t="shared" ca="1" si="3"/>
        <v>8.6764561236434088E-5</v>
      </c>
      <c r="BM59" s="78">
        <v>9.4320000000000001E-2</v>
      </c>
      <c r="BN59" s="78">
        <f t="shared" ca="1" si="4"/>
        <v>1.5359672326990359E-4</v>
      </c>
      <c r="BO59" s="66"/>
      <c r="BP59" s="66"/>
    </row>
    <row r="60" spans="1:68" ht="26.4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>
        <f t="shared" ref="AP60:AQ60" si="53">AR60+AT60+AV60</f>
        <v>0</v>
      </c>
      <c r="AQ60" s="75">
        <f t="shared" si="53"/>
        <v>0</v>
      </c>
      <c r="AR60" s="75"/>
      <c r="AS60" s="75"/>
      <c r="AT60" s="75"/>
      <c r="AU60" s="75"/>
      <c r="AV60" s="75"/>
      <c r="AW60" s="75"/>
      <c r="AX60" s="75"/>
      <c r="AY60" s="77">
        <f t="shared" ca="1" si="1"/>
        <v>0</v>
      </c>
      <c r="AZ60" s="75"/>
      <c r="BA60" s="77">
        <f t="shared" ca="1" si="2"/>
        <v>0</v>
      </c>
      <c r="BB60" s="66"/>
      <c r="BC60" s="4"/>
      <c r="BD60" s="67" t="s">
        <v>10</v>
      </c>
      <c r="BE60" s="67" t="s">
        <v>76</v>
      </c>
      <c r="BF60" s="68" t="s">
        <v>85</v>
      </c>
      <c r="BG60" s="69" t="s">
        <v>119</v>
      </c>
      <c r="BH60" s="68" t="s">
        <v>94</v>
      </c>
      <c r="BI60" s="68" t="s">
        <v>120</v>
      </c>
      <c r="BJ60" s="73" t="s">
        <v>103</v>
      </c>
      <c r="BK60" s="78">
        <v>0.50004749999999998</v>
      </c>
      <c r="BL60" s="78">
        <f t="shared" ca="1" si="3"/>
        <v>8.143093456245453E-4</v>
      </c>
      <c r="BM60" s="78">
        <v>0.81740800000000002</v>
      </c>
      <c r="BN60" s="78">
        <f t="shared" ca="1" si="4"/>
        <v>1.3311194908249082E-3</v>
      </c>
      <c r="BO60" s="66"/>
      <c r="BP60" s="66"/>
    </row>
    <row r="61" spans="1:68" ht="26.4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>
        <f t="shared" ref="AP61:AQ61" si="54">AR61+AT61+AV61</f>
        <v>0</v>
      </c>
      <c r="AQ61" s="75">
        <f t="shared" si="54"/>
        <v>0</v>
      </c>
      <c r="AR61" s="75"/>
      <c r="AS61" s="75"/>
      <c r="AT61" s="75"/>
      <c r="AU61" s="75"/>
      <c r="AV61" s="75"/>
      <c r="AW61" s="75"/>
      <c r="AX61" s="75"/>
      <c r="AY61" s="77">
        <f t="shared" ca="1" si="1"/>
        <v>0</v>
      </c>
      <c r="AZ61" s="75"/>
      <c r="BA61" s="77">
        <f t="shared" ca="1" si="2"/>
        <v>0</v>
      </c>
      <c r="BB61" s="66"/>
      <c r="BC61" s="4"/>
      <c r="BD61" s="67" t="s">
        <v>10</v>
      </c>
      <c r="BE61" s="67" t="s">
        <v>76</v>
      </c>
      <c r="BF61" s="68" t="s">
        <v>85</v>
      </c>
      <c r="BG61" s="69" t="s">
        <v>119</v>
      </c>
      <c r="BH61" s="68" t="s">
        <v>94</v>
      </c>
      <c r="BI61" s="68" t="s">
        <v>120</v>
      </c>
      <c r="BJ61" s="73" t="s">
        <v>132</v>
      </c>
      <c r="BK61" s="78">
        <v>4.9999999999999998E-7</v>
      </c>
      <c r="BL61" s="78">
        <f t="shared" ca="1" si="3"/>
        <v>8.1423199358515459E-10</v>
      </c>
      <c r="BM61" s="78">
        <v>6.9999999999999997E-7</v>
      </c>
      <c r="BN61" s="78">
        <f t="shared" ca="1" si="4"/>
        <v>1.1399247910192166E-9</v>
      </c>
      <c r="BO61" s="66"/>
      <c r="BP61" s="66"/>
    </row>
    <row r="62" spans="1:68" ht="26.4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>
        <f t="shared" ref="AP62:AQ62" si="55">AR62+AT62+AV62</f>
        <v>0</v>
      </c>
      <c r="AQ62" s="75">
        <f t="shared" si="55"/>
        <v>0</v>
      </c>
      <c r="AR62" s="75"/>
      <c r="AS62" s="75"/>
      <c r="AT62" s="75"/>
      <c r="AU62" s="75"/>
      <c r="AV62" s="75"/>
      <c r="AW62" s="75"/>
      <c r="AX62" s="75"/>
      <c r="AY62" s="77">
        <f t="shared" ca="1" si="1"/>
        <v>0</v>
      </c>
      <c r="AZ62" s="75"/>
      <c r="BA62" s="77">
        <f t="shared" ca="1" si="2"/>
        <v>0</v>
      </c>
      <c r="BB62" s="66"/>
      <c r="BC62" s="4"/>
      <c r="BD62" s="67" t="s">
        <v>10</v>
      </c>
      <c r="BE62" s="67" t="s">
        <v>76</v>
      </c>
      <c r="BF62" s="68" t="s">
        <v>85</v>
      </c>
      <c r="BG62" s="69" t="s">
        <v>119</v>
      </c>
      <c r="BH62" s="68" t="s">
        <v>94</v>
      </c>
      <c r="BI62" s="68" t="s">
        <v>120</v>
      </c>
      <c r="BJ62" s="73" t="s">
        <v>133</v>
      </c>
      <c r="BK62" s="78">
        <v>0.79179999999999995</v>
      </c>
      <c r="BL62" s="78">
        <f t="shared" ca="1" si="3"/>
        <v>1.2894177850414509E-3</v>
      </c>
      <c r="BM62" s="78">
        <v>1.7692000000000001</v>
      </c>
      <c r="BN62" s="78">
        <f t="shared" ca="1" si="4"/>
        <v>2.8810784861017114E-3</v>
      </c>
      <c r="BO62" s="66"/>
      <c r="BP62" s="66"/>
    </row>
    <row r="63" spans="1:68" ht="26.4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>
        <f t="shared" ref="AP63:AQ63" si="56">AR63+AT63+AV63</f>
        <v>0</v>
      </c>
      <c r="AQ63" s="75">
        <f t="shared" si="56"/>
        <v>0</v>
      </c>
      <c r="AR63" s="75"/>
      <c r="AS63" s="75"/>
      <c r="AT63" s="75"/>
      <c r="AU63" s="75"/>
      <c r="AV63" s="75"/>
      <c r="AW63" s="75"/>
      <c r="AX63" s="75"/>
      <c r="AY63" s="77">
        <f t="shared" ca="1" si="1"/>
        <v>0</v>
      </c>
      <c r="AZ63" s="75"/>
      <c r="BA63" s="77">
        <f t="shared" ca="1" si="2"/>
        <v>0</v>
      </c>
      <c r="BB63" s="66"/>
      <c r="BC63" s="4"/>
      <c r="BD63" s="67" t="s">
        <v>10</v>
      </c>
      <c r="BE63" s="67" t="s">
        <v>76</v>
      </c>
      <c r="BF63" s="68" t="s">
        <v>85</v>
      </c>
      <c r="BG63" s="69" t="s">
        <v>121</v>
      </c>
      <c r="BH63" s="68" t="s">
        <v>94</v>
      </c>
      <c r="BI63" s="68" t="s">
        <v>122</v>
      </c>
      <c r="BJ63" s="73" t="s">
        <v>92</v>
      </c>
      <c r="BK63" s="78">
        <v>3.4421E-2</v>
      </c>
      <c r="BL63" s="78">
        <f t="shared" ca="1" si="3"/>
        <v>5.605335890238922E-5</v>
      </c>
      <c r="BM63" s="78">
        <v>5.7822999999999999E-2</v>
      </c>
      <c r="BN63" s="78">
        <f t="shared" ca="1" si="4"/>
        <v>9.4162673130148799E-5</v>
      </c>
      <c r="BO63" s="66"/>
      <c r="BP63" s="66"/>
    </row>
    <row r="64" spans="1:68" ht="26.4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>
        <f t="shared" ref="AP64:AQ64" si="57">AR64+AT64+AV64</f>
        <v>0</v>
      </c>
      <c r="AQ64" s="75">
        <f t="shared" si="57"/>
        <v>0</v>
      </c>
      <c r="AR64" s="75"/>
      <c r="AS64" s="75"/>
      <c r="AT64" s="75"/>
      <c r="AU64" s="75"/>
      <c r="AV64" s="75"/>
      <c r="AW64" s="75"/>
      <c r="AX64" s="75"/>
      <c r="AY64" s="77">
        <f t="shared" ca="1" si="1"/>
        <v>0</v>
      </c>
      <c r="AZ64" s="75"/>
      <c r="BA64" s="77">
        <f t="shared" ca="1" si="2"/>
        <v>0</v>
      </c>
      <c r="BB64" s="66"/>
      <c r="BC64" s="4"/>
      <c r="BD64" s="67" t="s">
        <v>10</v>
      </c>
      <c r="BE64" s="67" t="s">
        <v>76</v>
      </c>
      <c r="BF64" s="68" t="s">
        <v>85</v>
      </c>
      <c r="BG64" s="69" t="s">
        <v>121</v>
      </c>
      <c r="BH64" s="68" t="s">
        <v>94</v>
      </c>
      <c r="BI64" s="68" t="s">
        <v>122</v>
      </c>
      <c r="BJ64" s="73" t="s">
        <v>86</v>
      </c>
      <c r="BK64" s="78">
        <v>5.5935000000000004E-3</v>
      </c>
      <c r="BL64" s="78">
        <f t="shared" ca="1" si="3"/>
        <v>9.108813312237126E-6</v>
      </c>
      <c r="BM64" s="78">
        <v>9.3959999999999998E-3</v>
      </c>
      <c r="BN64" s="78">
        <f t="shared" ca="1" si="4"/>
        <v>1.5301047623452228E-5</v>
      </c>
      <c r="BO64" s="66"/>
      <c r="BP64" s="66"/>
    </row>
    <row r="65" spans="1:68" ht="26.4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>
        <f t="shared" ref="AP65:AQ65" si="58">AR65+AT65+AV65</f>
        <v>0</v>
      </c>
      <c r="AQ65" s="75">
        <f t="shared" si="58"/>
        <v>0</v>
      </c>
      <c r="AR65" s="75"/>
      <c r="AS65" s="75"/>
      <c r="AT65" s="75"/>
      <c r="AU65" s="75"/>
      <c r="AV65" s="75"/>
      <c r="AW65" s="75"/>
      <c r="AX65" s="75"/>
      <c r="AY65" s="77">
        <f t="shared" ca="1" si="1"/>
        <v>0</v>
      </c>
      <c r="AZ65" s="75"/>
      <c r="BA65" s="77">
        <f t="shared" ca="1" si="2"/>
        <v>0</v>
      </c>
      <c r="BB65" s="66"/>
      <c r="BC65" s="4"/>
      <c r="BD65" s="67" t="s">
        <v>10</v>
      </c>
      <c r="BE65" s="67" t="s">
        <v>76</v>
      </c>
      <c r="BF65" s="68" t="s">
        <v>85</v>
      </c>
      <c r="BG65" s="69" t="s">
        <v>121</v>
      </c>
      <c r="BH65" s="68" t="s">
        <v>94</v>
      </c>
      <c r="BI65" s="68" t="s">
        <v>122</v>
      </c>
      <c r="BJ65" s="73" t="s">
        <v>134</v>
      </c>
      <c r="BK65" s="78">
        <v>0.46749099999999999</v>
      </c>
      <c r="BL65" s="78">
        <f t="shared" ca="1" si="3"/>
        <v>7.6129225782623508E-4</v>
      </c>
      <c r="BM65" s="78">
        <v>0.78709300000000004</v>
      </c>
      <c r="BN65" s="78">
        <f t="shared" ca="1" si="4"/>
        <v>1.2817526050538403E-3</v>
      </c>
      <c r="BO65" s="66"/>
      <c r="BP65" s="66"/>
    </row>
    <row r="66" spans="1:68" ht="26.4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>
        <f t="shared" ref="AP66:AQ66" si="59">AR66+AT66+AV66</f>
        <v>0</v>
      </c>
      <c r="AQ66" s="75">
        <f t="shared" si="59"/>
        <v>0</v>
      </c>
      <c r="AR66" s="75"/>
      <c r="AS66" s="75"/>
      <c r="AT66" s="75"/>
      <c r="AU66" s="75"/>
      <c r="AV66" s="75"/>
      <c r="AW66" s="75"/>
      <c r="AX66" s="75"/>
      <c r="AY66" s="77">
        <f t="shared" ca="1" si="1"/>
        <v>0</v>
      </c>
      <c r="AZ66" s="75"/>
      <c r="BA66" s="77">
        <f t="shared" ca="1" si="2"/>
        <v>0</v>
      </c>
      <c r="BB66" s="66"/>
      <c r="BC66" s="4"/>
      <c r="BD66" s="67" t="s">
        <v>10</v>
      </c>
      <c r="BE66" s="67" t="s">
        <v>76</v>
      </c>
      <c r="BF66" s="68" t="s">
        <v>85</v>
      </c>
      <c r="BG66" s="69" t="s">
        <v>121</v>
      </c>
      <c r="BH66" s="68" t="s">
        <v>94</v>
      </c>
      <c r="BI66" s="68" t="s">
        <v>122</v>
      </c>
      <c r="BJ66" s="73" t="s">
        <v>98</v>
      </c>
      <c r="BK66" s="78">
        <v>9.3600000000000003E-2</v>
      </c>
      <c r="BL66" s="78">
        <f t="shared" ca="1" si="3"/>
        <v>1.5242422919914097E-4</v>
      </c>
      <c r="BM66" s="78">
        <v>0.1386</v>
      </c>
      <c r="BN66" s="78">
        <f t="shared" ca="1" si="4"/>
        <v>2.2570510862180489E-4</v>
      </c>
      <c r="BO66" s="66"/>
      <c r="BP66" s="66"/>
    </row>
    <row r="67" spans="1:68" ht="26.4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>
        <f t="shared" ref="AP67:AQ67" si="60">AR67+AT67+AV67</f>
        <v>0</v>
      </c>
      <c r="AQ67" s="75">
        <f t="shared" si="60"/>
        <v>0</v>
      </c>
      <c r="AR67" s="75"/>
      <c r="AS67" s="75"/>
      <c r="AT67" s="75"/>
      <c r="AU67" s="75"/>
      <c r="AV67" s="75"/>
      <c r="AW67" s="75"/>
      <c r="AX67" s="75"/>
      <c r="AY67" s="77">
        <f t="shared" ca="1" si="1"/>
        <v>0</v>
      </c>
      <c r="AZ67" s="75"/>
      <c r="BA67" s="77">
        <f t="shared" ca="1" si="2"/>
        <v>0</v>
      </c>
      <c r="BB67" s="66"/>
      <c r="BC67" s="4"/>
      <c r="BD67" s="67" t="s">
        <v>10</v>
      </c>
      <c r="BE67" s="67" t="s">
        <v>76</v>
      </c>
      <c r="BF67" s="68" t="s">
        <v>85</v>
      </c>
      <c r="BG67" s="69" t="s">
        <v>121</v>
      </c>
      <c r="BH67" s="68" t="s">
        <v>94</v>
      </c>
      <c r="BI67" s="68" t="s">
        <v>122</v>
      </c>
      <c r="BJ67" s="73" t="s">
        <v>103</v>
      </c>
      <c r="BK67" s="78">
        <v>0.70276950000000005</v>
      </c>
      <c r="BL67" s="78">
        <f t="shared" ca="1" si="3"/>
        <v>1.1444348220316849E-3</v>
      </c>
      <c r="BM67" s="78">
        <v>1.1771799999999999</v>
      </c>
      <c r="BN67" s="78">
        <f t="shared" ca="1" si="4"/>
        <v>1.9169952364171449E-3</v>
      </c>
      <c r="BO67" s="66"/>
      <c r="BP67" s="66"/>
    </row>
    <row r="68" spans="1:68" ht="26.4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>
        <f t="shared" ref="AP68:AQ68" si="61">AR68+AT68+AV68</f>
        <v>0</v>
      </c>
      <c r="AQ68" s="75">
        <f t="shared" si="61"/>
        <v>0</v>
      </c>
      <c r="AR68" s="75"/>
      <c r="AS68" s="75"/>
      <c r="AT68" s="75"/>
      <c r="AU68" s="75"/>
      <c r="AV68" s="75"/>
      <c r="AW68" s="75"/>
      <c r="AX68" s="75"/>
      <c r="AY68" s="77">
        <f t="shared" ca="1" si="1"/>
        <v>0</v>
      </c>
      <c r="AZ68" s="75"/>
      <c r="BA68" s="77">
        <f t="shared" ca="1" si="2"/>
        <v>0</v>
      </c>
      <c r="BB68" s="66"/>
      <c r="BC68" s="4"/>
      <c r="BD68" s="67" t="s">
        <v>10</v>
      </c>
      <c r="BE68" s="67" t="s">
        <v>76</v>
      </c>
      <c r="BF68" s="68" t="s">
        <v>85</v>
      </c>
      <c r="BG68" s="69" t="s">
        <v>121</v>
      </c>
      <c r="BH68" s="68" t="s">
        <v>94</v>
      </c>
      <c r="BI68" s="68" t="s">
        <v>122</v>
      </c>
      <c r="BJ68" s="73" t="s">
        <v>132</v>
      </c>
      <c r="BK68" s="78">
        <v>4.9999999999999998E-7</v>
      </c>
      <c r="BL68" s="78">
        <f t="shared" ca="1" si="3"/>
        <v>8.1423199358515459E-10</v>
      </c>
      <c r="BM68" s="78">
        <v>6.9999999999999997E-7</v>
      </c>
      <c r="BN68" s="78">
        <f t="shared" ca="1" si="4"/>
        <v>1.1399247910192166E-9</v>
      </c>
      <c r="BO68" s="66"/>
      <c r="BP68" s="66"/>
    </row>
    <row r="69" spans="1:68" ht="26.4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>
        <f t="shared" ref="AP69:AQ69" si="62">AR69+AT69+AV69</f>
        <v>0</v>
      </c>
      <c r="AQ69" s="75">
        <f t="shared" si="62"/>
        <v>0</v>
      </c>
      <c r="AR69" s="75"/>
      <c r="AS69" s="75"/>
      <c r="AT69" s="75"/>
      <c r="AU69" s="75"/>
      <c r="AV69" s="75"/>
      <c r="AW69" s="75"/>
      <c r="AX69" s="75"/>
      <c r="AY69" s="77">
        <f t="shared" ca="1" si="1"/>
        <v>0</v>
      </c>
      <c r="AZ69" s="75"/>
      <c r="BA69" s="77">
        <f t="shared" ca="1" si="2"/>
        <v>0</v>
      </c>
      <c r="BB69" s="66"/>
      <c r="BC69" s="4"/>
      <c r="BD69" s="67" t="s">
        <v>10</v>
      </c>
      <c r="BE69" s="67" t="s">
        <v>76</v>
      </c>
      <c r="BF69" s="68" t="s">
        <v>85</v>
      </c>
      <c r="BG69" s="69" t="s">
        <v>121</v>
      </c>
      <c r="BH69" s="68" t="s">
        <v>94</v>
      </c>
      <c r="BI69" s="68" t="s">
        <v>122</v>
      </c>
      <c r="BJ69" s="73" t="s">
        <v>133</v>
      </c>
      <c r="BK69" s="78">
        <v>1.391</v>
      </c>
      <c r="BL69" s="78">
        <f t="shared" ca="1" si="3"/>
        <v>2.2651934061539004E-3</v>
      </c>
      <c r="BM69" s="78">
        <v>0.78709300000000004</v>
      </c>
      <c r="BN69" s="78">
        <f t="shared" ca="1" si="4"/>
        <v>1.2817526050538403E-3</v>
      </c>
      <c r="BO69" s="66"/>
      <c r="BP69" s="66"/>
    </row>
    <row r="70" spans="1:68" ht="26.4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>
        <f t="shared" ref="AP70:AQ70" si="63">AR70+AT70+AV70</f>
        <v>0</v>
      </c>
      <c r="AQ70" s="75">
        <f t="shared" si="63"/>
        <v>0</v>
      </c>
      <c r="AR70" s="75"/>
      <c r="AS70" s="75"/>
      <c r="AT70" s="75"/>
      <c r="AU70" s="75"/>
      <c r="AV70" s="75"/>
      <c r="AW70" s="75"/>
      <c r="AX70" s="75"/>
      <c r="AY70" s="77">
        <f t="shared" ca="1" si="1"/>
        <v>0</v>
      </c>
      <c r="AZ70" s="75"/>
      <c r="BA70" s="77">
        <f t="shared" ca="1" si="2"/>
        <v>0</v>
      </c>
      <c r="BB70" s="66"/>
      <c r="BC70" s="4"/>
      <c r="BD70" s="67" t="s">
        <v>10</v>
      </c>
      <c r="BE70" s="67" t="s">
        <v>76</v>
      </c>
      <c r="BF70" s="68" t="s">
        <v>85</v>
      </c>
      <c r="BG70" s="69" t="s">
        <v>123</v>
      </c>
      <c r="BH70" s="68" t="s">
        <v>94</v>
      </c>
      <c r="BI70" s="68" t="s">
        <v>124</v>
      </c>
      <c r="BJ70" s="73" t="s">
        <v>92</v>
      </c>
      <c r="BK70" s="78">
        <v>3.6039000000000002E-2</v>
      </c>
      <c r="BL70" s="78">
        <f t="shared" ca="1" si="3"/>
        <v>5.8688213633630783E-5</v>
      </c>
      <c r="BM70" s="78">
        <v>5.3851000000000003E-2</v>
      </c>
      <c r="BN70" s="78">
        <f t="shared" ca="1" si="4"/>
        <v>8.7694414173108344E-5</v>
      </c>
      <c r="BO70" s="66"/>
      <c r="BP70" s="66"/>
    </row>
    <row r="71" spans="1:68" ht="26.4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>
        <f t="shared" ref="AP71:AQ71" si="64">AR71+AT71+AV71</f>
        <v>0</v>
      </c>
      <c r="AQ71" s="75">
        <f t="shared" si="64"/>
        <v>0</v>
      </c>
      <c r="AR71" s="75"/>
      <c r="AS71" s="75"/>
      <c r="AT71" s="75"/>
      <c r="AU71" s="75"/>
      <c r="AV71" s="75"/>
      <c r="AW71" s="75"/>
      <c r="AX71" s="75"/>
      <c r="AY71" s="77">
        <f t="shared" ca="1" si="1"/>
        <v>0</v>
      </c>
      <c r="AZ71" s="75"/>
      <c r="BA71" s="77">
        <f t="shared" ca="1" si="2"/>
        <v>0</v>
      </c>
      <c r="BB71" s="66"/>
      <c r="BC71" s="4"/>
      <c r="BD71" s="67" t="s">
        <v>10</v>
      </c>
      <c r="BE71" s="67" t="s">
        <v>76</v>
      </c>
      <c r="BF71" s="68" t="s">
        <v>85</v>
      </c>
      <c r="BG71" s="69" t="s">
        <v>123</v>
      </c>
      <c r="BH71" s="68" t="s">
        <v>94</v>
      </c>
      <c r="BI71" s="68" t="s">
        <v>124</v>
      </c>
      <c r="BJ71" s="73" t="s">
        <v>86</v>
      </c>
      <c r="BK71" s="78">
        <v>5.2705E-3</v>
      </c>
      <c r="BL71" s="78">
        <f t="shared" ca="1" si="3"/>
        <v>8.5828194443811149E-6</v>
      </c>
      <c r="BM71" s="78">
        <v>8.7500000000000008E-3</v>
      </c>
      <c r="BN71" s="78">
        <f t="shared" ca="1" si="4"/>
        <v>1.4249059887740209E-5</v>
      </c>
      <c r="BO71" s="66"/>
      <c r="BP71" s="66"/>
    </row>
    <row r="72" spans="1:68" ht="26.4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>
        <f t="shared" ref="AP72:AQ72" si="65">AR72+AT72+AV72</f>
        <v>0</v>
      </c>
      <c r="AQ72" s="75">
        <f t="shared" si="65"/>
        <v>0</v>
      </c>
      <c r="AR72" s="75"/>
      <c r="AS72" s="75"/>
      <c r="AT72" s="75"/>
      <c r="AU72" s="75"/>
      <c r="AV72" s="75"/>
      <c r="AW72" s="75"/>
      <c r="AX72" s="75"/>
      <c r="AY72" s="77">
        <f t="shared" ca="1" si="1"/>
        <v>0</v>
      </c>
      <c r="AZ72" s="75"/>
      <c r="BA72" s="77">
        <f t="shared" ca="1" si="2"/>
        <v>0</v>
      </c>
      <c r="BB72" s="66"/>
      <c r="BC72" s="4"/>
      <c r="BD72" s="67" t="s">
        <v>10</v>
      </c>
      <c r="BE72" s="67" t="s">
        <v>76</v>
      </c>
      <c r="BF72" s="68" t="s">
        <v>85</v>
      </c>
      <c r="BG72" s="69" t="s">
        <v>123</v>
      </c>
      <c r="BH72" s="68" t="s">
        <v>94</v>
      </c>
      <c r="BI72" s="68" t="s">
        <v>124</v>
      </c>
      <c r="BJ72" s="73" t="s">
        <v>134</v>
      </c>
      <c r="BK72" s="78">
        <v>0.44052000000000002</v>
      </c>
      <c r="BL72" s="78">
        <f t="shared" ca="1" si="3"/>
        <v>7.1737095562826472E-4</v>
      </c>
      <c r="BM72" s="78">
        <v>0.733151</v>
      </c>
      <c r="BN72" s="78">
        <f t="shared" ca="1" si="4"/>
        <v>1.1939100006578996E-3</v>
      </c>
      <c r="BO72" s="66"/>
      <c r="BP72" s="66"/>
    </row>
    <row r="73" spans="1:68" ht="26.4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>
        <f t="shared" ref="AP73:AQ73" si="66">AR73+AT73+AV73</f>
        <v>0</v>
      </c>
      <c r="AQ73" s="75">
        <f t="shared" si="66"/>
        <v>0</v>
      </c>
      <c r="AR73" s="75"/>
      <c r="AS73" s="75"/>
      <c r="AT73" s="75"/>
      <c r="AU73" s="75"/>
      <c r="AV73" s="75"/>
      <c r="AW73" s="75"/>
      <c r="AX73" s="75"/>
      <c r="AY73" s="77">
        <f t="shared" ca="1" si="1"/>
        <v>0</v>
      </c>
      <c r="AZ73" s="75"/>
      <c r="BA73" s="77">
        <f t="shared" ca="1" si="2"/>
        <v>0</v>
      </c>
      <c r="BB73" s="66"/>
      <c r="BC73" s="4"/>
      <c r="BD73" s="67" t="s">
        <v>10</v>
      </c>
      <c r="BE73" s="67" t="s">
        <v>76</v>
      </c>
      <c r="BF73" s="68" t="s">
        <v>85</v>
      </c>
      <c r="BG73" s="69" t="s">
        <v>123</v>
      </c>
      <c r="BH73" s="68" t="s">
        <v>94</v>
      </c>
      <c r="BI73" s="68" t="s">
        <v>124</v>
      </c>
      <c r="BJ73" s="73" t="s">
        <v>98</v>
      </c>
      <c r="BK73" s="78">
        <v>8.8200000000000001E-2</v>
      </c>
      <c r="BL73" s="78">
        <f t="shared" ca="1" si="3"/>
        <v>1.4363052366842129E-4</v>
      </c>
      <c r="BM73" s="78">
        <v>0.1278</v>
      </c>
      <c r="BN73" s="78">
        <f t="shared" ca="1" si="4"/>
        <v>2.0811769756036555E-4</v>
      </c>
      <c r="BO73" s="66"/>
      <c r="BP73" s="66"/>
    </row>
    <row r="74" spans="1:68" ht="26.4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>
        <f t="shared" ref="AP74:AQ74" si="67">AR74+AT74+AV74</f>
        <v>0</v>
      </c>
      <c r="AQ74" s="75">
        <f t="shared" si="67"/>
        <v>0</v>
      </c>
      <c r="AR74" s="75"/>
      <c r="AS74" s="75"/>
      <c r="AT74" s="75"/>
      <c r="AU74" s="75"/>
      <c r="AV74" s="75"/>
      <c r="AW74" s="75"/>
      <c r="AX74" s="75"/>
      <c r="AY74" s="77">
        <f t="shared" ca="1" si="1"/>
        <v>0</v>
      </c>
      <c r="AZ74" s="75"/>
      <c r="BA74" s="77">
        <f t="shared" ca="1" si="2"/>
        <v>0</v>
      </c>
      <c r="BB74" s="66"/>
      <c r="BC74" s="4"/>
      <c r="BD74" s="67" t="s">
        <v>10</v>
      </c>
      <c r="BE74" s="67" t="s">
        <v>76</v>
      </c>
      <c r="BF74" s="68" t="s">
        <v>85</v>
      </c>
      <c r="BG74" s="69" t="s">
        <v>123</v>
      </c>
      <c r="BH74" s="68" t="s">
        <v>94</v>
      </c>
      <c r="BI74" s="68" t="s">
        <v>124</v>
      </c>
      <c r="BJ74" s="73" t="s">
        <v>103</v>
      </c>
      <c r="BK74" s="78">
        <v>0.66222499999999995</v>
      </c>
      <c r="BL74" s="78">
        <f t="shared" ca="1" si="3"/>
        <v>1.0784095639038581E-3</v>
      </c>
      <c r="BM74" s="78">
        <v>1.0960909999999999</v>
      </c>
      <c r="BN74" s="78">
        <f t="shared" ca="1" si="4"/>
        <v>1.7849447201614913E-3</v>
      </c>
      <c r="BO74" s="66"/>
      <c r="BP74" s="66"/>
    </row>
    <row r="75" spans="1:68" ht="26.4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>
        <f t="shared" ref="AP75:AQ75" si="68">AR75+AT75+AV75</f>
        <v>0</v>
      </c>
      <c r="AQ75" s="75">
        <f t="shared" si="68"/>
        <v>0</v>
      </c>
      <c r="AR75" s="75"/>
      <c r="AS75" s="75"/>
      <c r="AT75" s="75"/>
      <c r="AU75" s="75"/>
      <c r="AV75" s="75"/>
      <c r="AW75" s="75"/>
      <c r="AX75" s="75"/>
      <c r="AY75" s="77">
        <f t="shared" ca="1" si="1"/>
        <v>0</v>
      </c>
      <c r="AZ75" s="75"/>
      <c r="BA75" s="77">
        <f t="shared" ca="1" si="2"/>
        <v>0</v>
      </c>
      <c r="BB75" s="66"/>
      <c r="BC75" s="4"/>
      <c r="BD75" s="67" t="s">
        <v>10</v>
      </c>
      <c r="BE75" s="67" t="s">
        <v>76</v>
      </c>
      <c r="BF75" s="68" t="s">
        <v>85</v>
      </c>
      <c r="BG75" s="69" t="s">
        <v>123</v>
      </c>
      <c r="BH75" s="68" t="s">
        <v>94</v>
      </c>
      <c r="BI75" s="68" t="s">
        <v>124</v>
      </c>
      <c r="BJ75" s="73" t="s">
        <v>132</v>
      </c>
      <c r="BK75" s="78">
        <v>4.9999999999999998E-7</v>
      </c>
      <c r="BL75" s="78">
        <f t="shared" ca="1" si="3"/>
        <v>8.1423199358515459E-10</v>
      </c>
      <c r="BM75" s="78">
        <v>6.9999999999999997E-7</v>
      </c>
      <c r="BN75" s="78">
        <f t="shared" ca="1" si="4"/>
        <v>1.1399247910192166E-9</v>
      </c>
      <c r="BO75" s="66"/>
      <c r="BP75" s="66"/>
    </row>
    <row r="76" spans="1:68" ht="26.4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>
        <f t="shared" ref="AP76:AQ76" si="69">AR76+AT76+AV76</f>
        <v>0</v>
      </c>
      <c r="AQ76" s="75">
        <f t="shared" si="69"/>
        <v>0</v>
      </c>
      <c r="AR76" s="75"/>
      <c r="AS76" s="75"/>
      <c r="AT76" s="75"/>
      <c r="AU76" s="75"/>
      <c r="AV76" s="75"/>
      <c r="AW76" s="75"/>
      <c r="AX76" s="75"/>
      <c r="AY76" s="77">
        <f t="shared" ca="1" si="1"/>
        <v>0</v>
      </c>
      <c r="AZ76" s="75"/>
      <c r="BA76" s="77">
        <f t="shared" ca="1" si="2"/>
        <v>0</v>
      </c>
      <c r="BB76" s="66"/>
      <c r="BC76" s="4"/>
      <c r="BD76" s="67" t="s">
        <v>10</v>
      </c>
      <c r="BE76" s="67" t="s">
        <v>76</v>
      </c>
      <c r="BF76" s="68" t="s">
        <v>85</v>
      </c>
      <c r="BG76" s="69" t="s">
        <v>123</v>
      </c>
      <c r="BH76" s="68" t="s">
        <v>94</v>
      </c>
      <c r="BI76" s="68" t="s">
        <v>124</v>
      </c>
      <c r="BJ76" s="73" t="s">
        <v>133</v>
      </c>
      <c r="BK76" s="78">
        <v>1.1397826</v>
      </c>
      <c r="BL76" s="78">
        <f t="shared" ca="1" si="3"/>
        <v>1.856094917303342E-3</v>
      </c>
      <c r="BM76" s="78">
        <v>2.368525</v>
      </c>
      <c r="BN76" s="78">
        <f t="shared" ca="1" si="4"/>
        <v>3.857057665212557E-3</v>
      </c>
      <c r="BO76" s="66"/>
      <c r="BP76" s="66"/>
    </row>
    <row r="77" spans="1:68" ht="66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>
        <f t="shared" ref="AP77:AQ77" si="70">AR77+AT77+AV77</f>
        <v>0</v>
      </c>
      <c r="AQ77" s="75">
        <f t="shared" si="70"/>
        <v>0</v>
      </c>
      <c r="AR77" s="75"/>
      <c r="AS77" s="75"/>
      <c r="AT77" s="75"/>
      <c r="AU77" s="75"/>
      <c r="AV77" s="75"/>
      <c r="AW77" s="75"/>
      <c r="AX77" s="75"/>
      <c r="AY77" s="77">
        <f t="shared" ca="1" si="1"/>
        <v>0</v>
      </c>
      <c r="AZ77" s="75"/>
      <c r="BA77" s="77">
        <f t="shared" ca="1" si="2"/>
        <v>0</v>
      </c>
      <c r="BB77" s="66"/>
      <c r="BC77" s="4"/>
      <c r="BD77" s="67" t="s">
        <v>10</v>
      </c>
      <c r="BE77" s="67" t="s">
        <v>76</v>
      </c>
      <c r="BF77" s="68" t="s">
        <v>85</v>
      </c>
      <c r="BG77" s="69" t="s">
        <v>125</v>
      </c>
      <c r="BH77" s="68" t="s">
        <v>94</v>
      </c>
      <c r="BI77" s="68" t="s">
        <v>126</v>
      </c>
      <c r="BJ77" s="73" t="s">
        <v>92</v>
      </c>
      <c r="BK77" s="85">
        <v>-3.7302599999999999</v>
      </c>
      <c r="BL77" s="78">
        <f t="shared" ca="1" si="3"/>
        <v>-6.0745940727819176E-3</v>
      </c>
      <c r="BM77" s="78">
        <v>0</v>
      </c>
      <c r="BN77" s="78">
        <f t="shared" ca="1" si="4"/>
        <v>0</v>
      </c>
      <c r="BO77" s="66"/>
      <c r="BP77" s="66"/>
    </row>
    <row r="78" spans="1:68" ht="66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>
        <f t="shared" ref="AP78:AQ78" si="71">AR78+AT78+AV78</f>
        <v>0</v>
      </c>
      <c r="AQ78" s="75">
        <f t="shared" si="71"/>
        <v>0</v>
      </c>
      <c r="AR78" s="75"/>
      <c r="AS78" s="75"/>
      <c r="AT78" s="75"/>
      <c r="AU78" s="75"/>
      <c r="AV78" s="75"/>
      <c r="AW78" s="75"/>
      <c r="AX78" s="75"/>
      <c r="AY78" s="77">
        <f t="shared" ca="1" si="1"/>
        <v>0</v>
      </c>
      <c r="AZ78" s="75"/>
      <c r="BA78" s="77">
        <f t="shared" ca="1" si="2"/>
        <v>0</v>
      </c>
      <c r="BB78" s="66"/>
      <c r="BC78" s="4"/>
      <c r="BD78" s="67" t="s">
        <v>10</v>
      </c>
      <c r="BE78" s="67" t="s">
        <v>76</v>
      </c>
      <c r="BF78" s="68" t="s">
        <v>85</v>
      </c>
      <c r="BG78" s="69" t="s">
        <v>125</v>
      </c>
      <c r="BH78" s="68" t="s">
        <v>94</v>
      </c>
      <c r="BI78" s="68" t="s">
        <v>126</v>
      </c>
      <c r="BJ78" s="73" t="s">
        <v>86</v>
      </c>
      <c r="BK78" s="85">
        <v>-0.60636100000000004</v>
      </c>
      <c r="BL78" s="78">
        <f t="shared" ca="1" si="3"/>
        <v>-9.8743705172457609E-4</v>
      </c>
      <c r="BM78" s="78">
        <v>0</v>
      </c>
      <c r="BN78" s="78">
        <f t="shared" ca="1" si="4"/>
        <v>0</v>
      </c>
      <c r="BO78" s="66"/>
      <c r="BP78" s="66"/>
    </row>
    <row r="79" spans="1:68" ht="66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>
        <f t="shared" ref="AP79:AQ79" si="72">AR79+AT79+AV79</f>
        <v>0</v>
      </c>
      <c r="AQ79" s="75">
        <f t="shared" si="72"/>
        <v>0</v>
      </c>
      <c r="AR79" s="75"/>
      <c r="AS79" s="75"/>
      <c r="AT79" s="75"/>
      <c r="AU79" s="75"/>
      <c r="AV79" s="75"/>
      <c r="AW79" s="75"/>
      <c r="AX79" s="75"/>
      <c r="AY79" s="77">
        <f t="shared" ca="1" si="1"/>
        <v>0</v>
      </c>
      <c r="AZ79" s="75"/>
      <c r="BA79" s="77">
        <f t="shared" ca="1" si="2"/>
        <v>0</v>
      </c>
      <c r="BB79" s="66"/>
      <c r="BC79" s="4"/>
      <c r="BD79" s="67" t="s">
        <v>10</v>
      </c>
      <c r="BE79" s="67" t="s">
        <v>76</v>
      </c>
      <c r="BF79" s="68" t="s">
        <v>85</v>
      </c>
      <c r="BG79" s="69" t="s">
        <v>125</v>
      </c>
      <c r="BH79" s="68" t="s">
        <v>94</v>
      </c>
      <c r="BI79" s="68" t="s">
        <v>126</v>
      </c>
      <c r="BJ79" s="73" t="s">
        <v>98</v>
      </c>
      <c r="BK79" s="78">
        <v>920.23500000000001</v>
      </c>
      <c r="BL79" s="78">
        <f t="shared" ca="1" si="3"/>
        <v>1.4985695572336697</v>
      </c>
      <c r="BM79" s="78">
        <v>0</v>
      </c>
      <c r="BN79" s="78">
        <f t="shared" ca="1" si="4"/>
        <v>0</v>
      </c>
      <c r="BO79" s="66"/>
      <c r="BP79" s="66"/>
    </row>
    <row r="80" spans="1:68" ht="66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>
        <f t="shared" ref="AP80:AQ80" si="73">AR80+AT80+AV80</f>
        <v>0</v>
      </c>
      <c r="AQ80" s="75">
        <f t="shared" si="73"/>
        <v>0</v>
      </c>
      <c r="AR80" s="75"/>
      <c r="AS80" s="75"/>
      <c r="AT80" s="75"/>
      <c r="AU80" s="75"/>
      <c r="AV80" s="75"/>
      <c r="AW80" s="75"/>
      <c r="AX80" s="75"/>
      <c r="AY80" s="77">
        <f t="shared" ca="1" si="1"/>
        <v>0</v>
      </c>
      <c r="AZ80" s="75"/>
      <c r="BA80" s="77">
        <f t="shared" ca="1" si="2"/>
        <v>0</v>
      </c>
      <c r="BB80" s="66"/>
      <c r="BC80" s="4"/>
      <c r="BD80" s="67" t="s">
        <v>10</v>
      </c>
      <c r="BE80" s="67" t="s">
        <v>76</v>
      </c>
      <c r="BF80" s="68" t="s">
        <v>85</v>
      </c>
      <c r="BG80" s="69" t="s">
        <v>125</v>
      </c>
      <c r="BH80" s="68" t="s">
        <v>94</v>
      </c>
      <c r="BI80" s="68" t="s">
        <v>126</v>
      </c>
      <c r="BJ80" s="73" t="s">
        <v>132</v>
      </c>
      <c r="BK80" s="78">
        <v>0.242850122</v>
      </c>
      <c r="BL80" s="78">
        <f t="shared" ca="1" si="3"/>
        <v>3.9547267795691609E-4</v>
      </c>
      <c r="BM80" s="78">
        <v>9.9000000000000001E-6</v>
      </c>
      <c r="BN80" s="78">
        <f t="shared" ca="1" si="4"/>
        <v>1.6121793472986064E-8</v>
      </c>
      <c r="BO80" s="66"/>
      <c r="BP80" s="66"/>
    </row>
    <row r="81" spans="1:68" ht="66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>
        <f t="shared" ref="AP81:AQ81" si="74">AR81+AT81+AV81</f>
        <v>0</v>
      </c>
      <c r="AQ81" s="75">
        <f t="shared" si="74"/>
        <v>0</v>
      </c>
      <c r="AR81" s="75"/>
      <c r="AS81" s="75"/>
      <c r="AT81" s="75"/>
      <c r="AU81" s="75"/>
      <c r="AV81" s="75"/>
      <c r="AW81" s="75"/>
      <c r="AX81" s="75"/>
      <c r="AY81" s="77">
        <f t="shared" ca="1" si="1"/>
        <v>0</v>
      </c>
      <c r="AZ81" s="75"/>
      <c r="BA81" s="77">
        <f t="shared" ca="1" si="2"/>
        <v>0</v>
      </c>
      <c r="BB81" s="66"/>
      <c r="BC81" s="4"/>
      <c r="BD81" s="67" t="s">
        <v>10</v>
      </c>
      <c r="BE81" s="67" t="s">
        <v>76</v>
      </c>
      <c r="BF81" s="68" t="s">
        <v>85</v>
      </c>
      <c r="BG81" s="69" t="s">
        <v>125</v>
      </c>
      <c r="BH81" s="68" t="s">
        <v>94</v>
      </c>
      <c r="BI81" s="68" t="s">
        <v>126</v>
      </c>
      <c r="BJ81" s="73" t="s">
        <v>103</v>
      </c>
      <c r="BK81" s="78">
        <v>10103.9431</v>
      </c>
      <c r="BL81" s="78">
        <f t="shared" ca="1" si="3"/>
        <v>16.453907466767937</v>
      </c>
      <c r="BM81" s="78">
        <v>0</v>
      </c>
      <c r="BN81" s="78">
        <f t="shared" ca="1" si="4"/>
        <v>0</v>
      </c>
      <c r="BO81" s="66"/>
      <c r="BP81" s="66"/>
    </row>
    <row r="82" spans="1:68" ht="66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>
        <f t="shared" ref="AP82:AQ82" si="75">AR82+AT82+AV82</f>
        <v>0</v>
      </c>
      <c r="AQ82" s="75">
        <f t="shared" si="75"/>
        <v>0</v>
      </c>
      <c r="AR82" s="75"/>
      <c r="AS82" s="75"/>
      <c r="AT82" s="75"/>
      <c r="AU82" s="75"/>
      <c r="AV82" s="75"/>
      <c r="AW82" s="75"/>
      <c r="AX82" s="75"/>
      <c r="AY82" s="77">
        <f t="shared" ca="1" si="1"/>
        <v>0</v>
      </c>
      <c r="AZ82" s="75"/>
      <c r="BA82" s="77">
        <f t="shared" ca="1" si="2"/>
        <v>0</v>
      </c>
      <c r="BB82" s="66"/>
      <c r="BC82" s="4"/>
      <c r="BD82" s="67" t="s">
        <v>10</v>
      </c>
      <c r="BE82" s="67" t="s">
        <v>76</v>
      </c>
      <c r="BF82" s="68" t="s">
        <v>85</v>
      </c>
      <c r="BG82" s="69" t="s">
        <v>125</v>
      </c>
      <c r="BH82" s="68" t="s">
        <v>94</v>
      </c>
      <c r="BI82" s="68" t="s">
        <v>126</v>
      </c>
      <c r="BJ82" s="73" t="s">
        <v>136</v>
      </c>
      <c r="BK82" s="78">
        <v>2.6379999999999999</v>
      </c>
      <c r="BL82" s="78">
        <f t="shared" ca="1" si="3"/>
        <v>4.2958879981552763E-3</v>
      </c>
      <c r="BM82" s="78">
        <v>0</v>
      </c>
      <c r="BN82" s="78">
        <f t="shared" ca="1" si="4"/>
        <v>0</v>
      </c>
      <c r="BO82" s="66"/>
      <c r="BP82" s="66"/>
    </row>
    <row r="83" spans="1:68" ht="66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>
        <f t="shared" ref="AP83:AQ83" si="76">AR83+AT83+AV83</f>
        <v>0</v>
      </c>
      <c r="AQ83" s="75">
        <f t="shared" si="76"/>
        <v>0</v>
      </c>
      <c r="AR83" s="75"/>
      <c r="AS83" s="75"/>
      <c r="AT83" s="75"/>
      <c r="AU83" s="75"/>
      <c r="AV83" s="75"/>
      <c r="AW83" s="75"/>
      <c r="AX83" s="75"/>
      <c r="AY83" s="77">
        <f t="shared" ca="1" si="1"/>
        <v>0</v>
      </c>
      <c r="AZ83" s="75"/>
      <c r="BA83" s="77">
        <f t="shared" ca="1" si="2"/>
        <v>0</v>
      </c>
      <c r="BB83" s="66"/>
      <c r="BC83" s="4"/>
      <c r="BD83" s="67" t="s">
        <v>10</v>
      </c>
      <c r="BE83" s="67" t="s">
        <v>76</v>
      </c>
      <c r="BF83" s="68" t="s">
        <v>85</v>
      </c>
      <c r="BG83" s="69" t="s">
        <v>125</v>
      </c>
      <c r="BH83" s="68" t="s">
        <v>94</v>
      </c>
      <c r="BI83" s="68" t="s">
        <v>126</v>
      </c>
      <c r="BJ83" s="73" t="s">
        <v>133</v>
      </c>
      <c r="BK83" s="78">
        <v>1876.0920000000001</v>
      </c>
      <c r="BL83" s="78">
        <f t="shared" ca="1" si="3"/>
        <v>3.0551482586183205</v>
      </c>
      <c r="BM83" s="78">
        <v>0</v>
      </c>
      <c r="BN83" s="78">
        <f t="shared" ca="1" si="4"/>
        <v>0</v>
      </c>
      <c r="BO83" s="66"/>
      <c r="BP83" s="66"/>
    </row>
    <row r="84" spans="1:68" ht="13.2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>
        <f t="shared" ref="AP84:AQ84" si="77">AR84+AT84+AV84</f>
        <v>0</v>
      </c>
      <c r="AQ84" s="75">
        <f t="shared" si="77"/>
        <v>0</v>
      </c>
      <c r="AR84" s="75"/>
      <c r="AS84" s="75"/>
      <c r="AT84" s="75"/>
      <c r="AU84" s="75"/>
      <c r="AV84" s="75"/>
      <c r="AW84" s="75"/>
      <c r="AX84" s="75"/>
      <c r="AY84" s="77">
        <f t="shared" ca="1" si="1"/>
        <v>0</v>
      </c>
      <c r="AZ84" s="75"/>
      <c r="BA84" s="77">
        <f t="shared" ca="1" si="2"/>
        <v>0</v>
      </c>
      <c r="BB84" s="66"/>
      <c r="BC84" s="4"/>
      <c r="BD84" s="67"/>
      <c r="BE84" s="67"/>
      <c r="BF84" s="68"/>
      <c r="BG84" s="69"/>
      <c r="BH84" s="74"/>
      <c r="BI84" s="68"/>
      <c r="BJ84" s="73"/>
      <c r="BK84" s="78"/>
      <c r="BL84" s="78">
        <f t="shared" ca="1" si="3"/>
        <v>0</v>
      </c>
      <c r="BM84" s="78"/>
      <c r="BN84" s="78">
        <f t="shared" ca="1" si="4"/>
        <v>0</v>
      </c>
      <c r="BO84" s="66"/>
      <c r="BP84" s="66"/>
    </row>
    <row r="85" spans="1:68" ht="13.2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>
        <f t="shared" ref="AP85:AQ85" si="78">AR85+AT85+AV85</f>
        <v>0</v>
      </c>
      <c r="AQ85" s="75">
        <f t="shared" si="78"/>
        <v>0</v>
      </c>
      <c r="AR85" s="75"/>
      <c r="AS85" s="75"/>
      <c r="AT85" s="75"/>
      <c r="AU85" s="75"/>
      <c r="AV85" s="75"/>
      <c r="AW85" s="75"/>
      <c r="AX85" s="75"/>
      <c r="AY85" s="77">
        <f t="shared" ca="1" si="1"/>
        <v>0</v>
      </c>
      <c r="AZ85" s="75"/>
      <c r="BA85" s="77">
        <f t="shared" ca="1" si="2"/>
        <v>0</v>
      </c>
      <c r="BB85" s="66"/>
      <c r="BC85" s="4"/>
      <c r="BD85" s="67"/>
      <c r="BE85" s="67"/>
      <c r="BF85" s="68"/>
      <c r="BG85" s="69"/>
      <c r="BH85" s="74"/>
      <c r="BI85" s="68"/>
      <c r="BJ85" s="73"/>
      <c r="BK85" s="78"/>
      <c r="BL85" s="78">
        <f t="shared" ca="1" si="3"/>
        <v>0</v>
      </c>
      <c r="BM85" s="78"/>
      <c r="BN85" s="78">
        <f t="shared" ca="1" si="4"/>
        <v>0</v>
      </c>
      <c r="BO85" s="66"/>
      <c r="BP85" s="66"/>
    </row>
    <row r="86" spans="1:68" ht="13.2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>
        <f t="shared" ref="AP86:AQ86" si="79">AR86+AT86+AV86</f>
        <v>0</v>
      </c>
      <c r="AQ86" s="75">
        <f t="shared" si="79"/>
        <v>0</v>
      </c>
      <c r="AR86" s="75"/>
      <c r="AS86" s="75"/>
      <c r="AT86" s="75"/>
      <c r="AU86" s="75"/>
      <c r="AV86" s="75"/>
      <c r="AW86" s="75"/>
      <c r="AX86" s="75"/>
      <c r="AY86" s="77">
        <f t="shared" ca="1" si="1"/>
        <v>0</v>
      </c>
      <c r="AZ86" s="75"/>
      <c r="BA86" s="77">
        <f t="shared" ca="1" si="2"/>
        <v>0</v>
      </c>
      <c r="BB86" s="66"/>
      <c r="BC86" s="4"/>
      <c r="BD86" s="67"/>
      <c r="BE86" s="67"/>
      <c r="BF86" s="68"/>
      <c r="BG86" s="69"/>
      <c r="BH86" s="74"/>
      <c r="BI86" s="68"/>
      <c r="BJ86" s="73"/>
      <c r="BK86" s="78"/>
      <c r="BL86" s="78">
        <f t="shared" ca="1" si="3"/>
        <v>0</v>
      </c>
      <c r="BM86" s="78"/>
      <c r="BN86" s="78">
        <f t="shared" ca="1" si="4"/>
        <v>0</v>
      </c>
      <c r="BO86" s="66"/>
      <c r="BP86" s="66"/>
    </row>
    <row r="87" spans="1:68" ht="13.2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>
        <f t="shared" ref="AP87:AQ87" si="80">AR87+AT87+AV87</f>
        <v>0</v>
      </c>
      <c r="AQ87" s="75">
        <f t="shared" si="80"/>
        <v>0</v>
      </c>
      <c r="AR87" s="75"/>
      <c r="AS87" s="75"/>
      <c r="AT87" s="75"/>
      <c r="AU87" s="75"/>
      <c r="AV87" s="75"/>
      <c r="AW87" s="75"/>
      <c r="AX87" s="75"/>
      <c r="AY87" s="77">
        <f t="shared" ca="1" si="1"/>
        <v>0</v>
      </c>
      <c r="AZ87" s="75"/>
      <c r="BA87" s="77">
        <f t="shared" ca="1" si="2"/>
        <v>0</v>
      </c>
      <c r="BB87" s="66"/>
      <c r="BC87" s="4"/>
      <c r="BD87" s="67"/>
      <c r="BE87" s="67"/>
      <c r="BF87" s="68"/>
      <c r="BG87" s="69"/>
      <c r="BH87" s="74"/>
      <c r="BI87" s="68"/>
      <c r="BJ87" s="73"/>
      <c r="BK87" s="78"/>
      <c r="BL87" s="78">
        <f t="shared" ca="1" si="3"/>
        <v>0</v>
      </c>
      <c r="BM87" s="78"/>
      <c r="BN87" s="78">
        <f t="shared" ca="1" si="4"/>
        <v>0</v>
      </c>
      <c r="BO87" s="66"/>
      <c r="BP87" s="66"/>
    </row>
    <row r="88" spans="1:68" ht="13.2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>
        <f t="shared" ref="AP88:AQ88" si="81">AR88+AT88+AV88</f>
        <v>0</v>
      </c>
      <c r="AQ88" s="75">
        <f t="shared" si="81"/>
        <v>0</v>
      </c>
      <c r="AR88" s="75"/>
      <c r="AS88" s="75"/>
      <c r="AT88" s="75"/>
      <c r="AU88" s="75"/>
      <c r="AV88" s="75"/>
      <c r="AW88" s="75"/>
      <c r="AX88" s="75"/>
      <c r="AY88" s="77">
        <f t="shared" ca="1" si="1"/>
        <v>0</v>
      </c>
      <c r="AZ88" s="75"/>
      <c r="BA88" s="77">
        <f t="shared" ca="1" si="2"/>
        <v>0</v>
      </c>
      <c r="BB88" s="66"/>
      <c r="BC88" s="4"/>
      <c r="BD88" s="67"/>
      <c r="BE88" s="67"/>
      <c r="BF88" s="68"/>
      <c r="BG88" s="69"/>
      <c r="BH88" s="74"/>
      <c r="BI88" s="68"/>
      <c r="BJ88" s="73"/>
      <c r="BK88" s="78"/>
      <c r="BL88" s="78">
        <f t="shared" ca="1" si="3"/>
        <v>0</v>
      </c>
      <c r="BM88" s="78"/>
      <c r="BN88" s="78">
        <f t="shared" ca="1" si="4"/>
        <v>0</v>
      </c>
      <c r="BO88" s="66"/>
      <c r="BP88" s="66"/>
    </row>
    <row r="89" spans="1:68" ht="13.2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>
        <f t="shared" ref="AP89:AQ89" si="82">AR89+AT89+AV89</f>
        <v>0</v>
      </c>
      <c r="AQ89" s="75">
        <f t="shared" si="82"/>
        <v>0</v>
      </c>
      <c r="AR89" s="75"/>
      <c r="AS89" s="75"/>
      <c r="AT89" s="75"/>
      <c r="AU89" s="75"/>
      <c r="AV89" s="75"/>
      <c r="AW89" s="75"/>
      <c r="AX89" s="75"/>
      <c r="AY89" s="77">
        <f t="shared" ca="1" si="1"/>
        <v>0</v>
      </c>
      <c r="AZ89" s="75"/>
      <c r="BA89" s="77">
        <f t="shared" ca="1" si="2"/>
        <v>0</v>
      </c>
      <c r="BB89" s="66"/>
      <c r="BC89" s="4"/>
      <c r="BD89" s="67"/>
      <c r="BE89" s="67"/>
      <c r="BF89" s="68"/>
      <c r="BG89" s="69"/>
      <c r="BH89" s="74"/>
      <c r="BI89" s="68"/>
      <c r="BJ89" s="73"/>
      <c r="BK89" s="78"/>
      <c r="BL89" s="78">
        <f t="shared" ca="1" si="3"/>
        <v>0</v>
      </c>
      <c r="BM89" s="78"/>
      <c r="BN89" s="78">
        <f t="shared" ca="1" si="4"/>
        <v>0</v>
      </c>
      <c r="BO89" s="66"/>
      <c r="BP89" s="66"/>
    </row>
    <row r="90" spans="1:68" ht="13.2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>
        <f t="shared" ref="AP90:AQ90" si="83">AR90+AT90+AV90</f>
        <v>0</v>
      </c>
      <c r="AQ90" s="75">
        <f t="shared" si="83"/>
        <v>0</v>
      </c>
      <c r="AR90" s="75"/>
      <c r="AS90" s="75"/>
      <c r="AT90" s="75"/>
      <c r="AU90" s="75"/>
      <c r="AV90" s="75"/>
      <c r="AW90" s="75"/>
      <c r="AX90" s="75"/>
      <c r="AY90" s="77">
        <f t="shared" ca="1" si="1"/>
        <v>0</v>
      </c>
      <c r="AZ90" s="75"/>
      <c r="BA90" s="77">
        <f t="shared" ca="1" si="2"/>
        <v>0</v>
      </c>
      <c r="BB90" s="66"/>
      <c r="BC90" s="4"/>
      <c r="BD90" s="67"/>
      <c r="BE90" s="67"/>
      <c r="BF90" s="68"/>
      <c r="BG90" s="69"/>
      <c r="BH90" s="74"/>
      <c r="BI90" s="68"/>
      <c r="BJ90" s="73"/>
      <c r="BK90" s="78"/>
      <c r="BL90" s="78">
        <f t="shared" ca="1" si="3"/>
        <v>0</v>
      </c>
      <c r="BM90" s="78"/>
      <c r="BN90" s="78">
        <f t="shared" ca="1" si="4"/>
        <v>0</v>
      </c>
      <c r="BO90" s="66"/>
      <c r="BP90" s="66"/>
    </row>
    <row r="91" spans="1:68" ht="13.2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>
        <f t="shared" ref="AP91:AQ91" si="84">AR91+AT91+AV91</f>
        <v>0</v>
      </c>
      <c r="AQ91" s="75">
        <f t="shared" si="84"/>
        <v>0</v>
      </c>
      <c r="AR91" s="75"/>
      <c r="AS91" s="75"/>
      <c r="AT91" s="75"/>
      <c r="AU91" s="75"/>
      <c r="AV91" s="75"/>
      <c r="AW91" s="75"/>
      <c r="AX91" s="75"/>
      <c r="AY91" s="77">
        <f t="shared" ca="1" si="1"/>
        <v>0</v>
      </c>
      <c r="AZ91" s="75"/>
      <c r="BA91" s="77">
        <f t="shared" ca="1" si="2"/>
        <v>0</v>
      </c>
      <c r="BB91" s="66"/>
      <c r="BC91" s="4"/>
      <c r="BD91" s="67"/>
      <c r="BE91" s="67"/>
      <c r="BF91" s="68"/>
      <c r="BG91" s="69"/>
      <c r="BH91" s="74"/>
      <c r="BI91" s="68"/>
      <c r="BJ91" s="73"/>
      <c r="BK91" s="78"/>
      <c r="BL91" s="78">
        <f t="shared" ca="1" si="3"/>
        <v>0</v>
      </c>
      <c r="BM91" s="78"/>
      <c r="BN91" s="78">
        <f t="shared" ca="1" si="4"/>
        <v>0</v>
      </c>
      <c r="BO91" s="66"/>
      <c r="BP91" s="66"/>
    </row>
    <row r="92" spans="1:68" ht="13.2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>
        <f t="shared" ref="AP92:AQ92" si="85">AR92+AT92+AV92</f>
        <v>0</v>
      </c>
      <c r="AQ92" s="75">
        <f t="shared" si="85"/>
        <v>0</v>
      </c>
      <c r="AR92" s="75"/>
      <c r="AS92" s="75"/>
      <c r="AT92" s="75"/>
      <c r="AU92" s="75"/>
      <c r="AV92" s="75"/>
      <c r="AW92" s="75"/>
      <c r="AX92" s="75"/>
      <c r="AY92" s="77">
        <f t="shared" ca="1" si="1"/>
        <v>0</v>
      </c>
      <c r="AZ92" s="75"/>
      <c r="BA92" s="77">
        <f t="shared" ca="1" si="2"/>
        <v>0</v>
      </c>
      <c r="BB92" s="66"/>
      <c r="BC92" s="4"/>
      <c r="BD92" s="67"/>
      <c r="BE92" s="67"/>
      <c r="BF92" s="68"/>
      <c r="BG92" s="69"/>
      <c r="BH92" s="74"/>
      <c r="BI92" s="68"/>
      <c r="BJ92" s="73"/>
      <c r="BK92" s="78"/>
      <c r="BL92" s="78">
        <f t="shared" ca="1" si="3"/>
        <v>0</v>
      </c>
      <c r="BM92" s="78"/>
      <c r="BN92" s="78">
        <f t="shared" ca="1" si="4"/>
        <v>0</v>
      </c>
      <c r="BO92" s="66"/>
      <c r="BP92" s="66"/>
    </row>
    <row r="93" spans="1:68" ht="13.2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>
        <f t="shared" ref="AP93:AQ93" si="86">AR93+AT93+AV93</f>
        <v>0</v>
      </c>
      <c r="AQ93" s="75">
        <f t="shared" si="86"/>
        <v>0</v>
      </c>
      <c r="AR93" s="75"/>
      <c r="AS93" s="75"/>
      <c r="AT93" s="75"/>
      <c r="AU93" s="75"/>
      <c r="AV93" s="75"/>
      <c r="AW93" s="75"/>
      <c r="AX93" s="75"/>
      <c r="AY93" s="77">
        <f t="shared" ca="1" si="1"/>
        <v>0</v>
      </c>
      <c r="AZ93" s="75"/>
      <c r="BA93" s="77">
        <f t="shared" ca="1" si="2"/>
        <v>0</v>
      </c>
      <c r="BB93" s="66"/>
      <c r="BC93" s="4"/>
      <c r="BD93" s="67"/>
      <c r="BE93" s="67"/>
      <c r="BF93" s="68"/>
      <c r="BG93" s="69"/>
      <c r="BH93" s="74"/>
      <c r="BI93" s="68"/>
      <c r="BJ93" s="73"/>
      <c r="BK93" s="78"/>
      <c r="BL93" s="78">
        <f t="shared" ca="1" si="3"/>
        <v>0</v>
      </c>
      <c r="BM93" s="78"/>
      <c r="BN93" s="78">
        <f t="shared" ca="1" si="4"/>
        <v>0</v>
      </c>
      <c r="BO93" s="66"/>
      <c r="BP93" s="66"/>
    </row>
    <row r="94" spans="1:68" ht="13.2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>
        <f t="shared" ref="AP94:AQ94" si="87">AR94+AT94+AV94</f>
        <v>0</v>
      </c>
      <c r="AQ94" s="75">
        <f t="shared" si="87"/>
        <v>0</v>
      </c>
      <c r="AR94" s="75"/>
      <c r="AS94" s="75"/>
      <c r="AT94" s="75"/>
      <c r="AU94" s="75"/>
      <c r="AV94" s="75"/>
      <c r="AW94" s="75"/>
      <c r="AX94" s="75"/>
      <c r="AY94" s="77">
        <f t="shared" ca="1" si="1"/>
        <v>0</v>
      </c>
      <c r="AZ94" s="75"/>
      <c r="BA94" s="77">
        <f t="shared" ca="1" si="2"/>
        <v>0</v>
      </c>
      <c r="BB94" s="66"/>
      <c r="BC94" s="4"/>
      <c r="BD94" s="67"/>
      <c r="BE94" s="67"/>
      <c r="BF94" s="68"/>
      <c r="BG94" s="69"/>
      <c r="BH94" s="74"/>
      <c r="BI94" s="68"/>
      <c r="BJ94" s="73"/>
      <c r="BK94" s="78"/>
      <c r="BL94" s="78">
        <f t="shared" ca="1" si="3"/>
        <v>0</v>
      </c>
      <c r="BM94" s="78"/>
      <c r="BN94" s="78">
        <f t="shared" ca="1" si="4"/>
        <v>0</v>
      </c>
      <c r="BO94" s="66"/>
      <c r="BP94" s="66"/>
    </row>
    <row r="95" spans="1:68" ht="13.2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>
        <f t="shared" ref="AP95:AQ95" si="88">AR95+AT95+AV95</f>
        <v>0</v>
      </c>
      <c r="AQ95" s="75">
        <f t="shared" si="88"/>
        <v>0</v>
      </c>
      <c r="AR95" s="75"/>
      <c r="AS95" s="75"/>
      <c r="AT95" s="75"/>
      <c r="AU95" s="75"/>
      <c r="AV95" s="75"/>
      <c r="AW95" s="75"/>
      <c r="AX95" s="75"/>
      <c r="AY95" s="77">
        <f t="shared" ca="1" si="1"/>
        <v>0</v>
      </c>
      <c r="AZ95" s="75"/>
      <c r="BA95" s="77">
        <f t="shared" ca="1" si="2"/>
        <v>0</v>
      </c>
      <c r="BB95" s="66"/>
      <c r="BC95" s="4"/>
      <c r="BD95" s="67"/>
      <c r="BE95" s="67"/>
      <c r="BF95" s="68"/>
      <c r="BG95" s="69"/>
      <c r="BH95" s="74"/>
      <c r="BI95" s="68"/>
      <c r="BJ95" s="73"/>
      <c r="BK95" s="78"/>
      <c r="BL95" s="78">
        <f t="shared" ca="1" si="3"/>
        <v>0</v>
      </c>
      <c r="BM95" s="78"/>
      <c r="BN95" s="78">
        <f t="shared" ca="1" si="4"/>
        <v>0</v>
      </c>
      <c r="BO95" s="66"/>
      <c r="BP95" s="66"/>
    </row>
    <row r="96" spans="1:68" ht="13.2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>
        <f t="shared" ref="AP96:AQ96" si="89">AR96+AT96+AV96</f>
        <v>0</v>
      </c>
      <c r="AQ96" s="75">
        <f t="shared" si="89"/>
        <v>0</v>
      </c>
      <c r="AR96" s="75"/>
      <c r="AS96" s="75"/>
      <c r="AT96" s="75"/>
      <c r="AU96" s="75"/>
      <c r="AV96" s="75"/>
      <c r="AW96" s="75"/>
      <c r="AX96" s="75"/>
      <c r="AY96" s="77">
        <f t="shared" ca="1" si="1"/>
        <v>0</v>
      </c>
      <c r="AZ96" s="75"/>
      <c r="BA96" s="77">
        <f t="shared" ca="1" si="2"/>
        <v>0</v>
      </c>
      <c r="BB96" s="66"/>
      <c r="BC96" s="4"/>
      <c r="BD96" s="67"/>
      <c r="BE96" s="67"/>
      <c r="BF96" s="68"/>
      <c r="BG96" s="69"/>
      <c r="BH96" s="74"/>
      <c r="BI96" s="68"/>
      <c r="BJ96" s="73"/>
      <c r="BK96" s="78"/>
      <c r="BL96" s="78">
        <f t="shared" ca="1" si="3"/>
        <v>0</v>
      </c>
      <c r="BM96" s="78"/>
      <c r="BN96" s="78">
        <f t="shared" ca="1" si="4"/>
        <v>0</v>
      </c>
      <c r="BO96" s="66"/>
      <c r="BP96" s="66"/>
    </row>
    <row r="97" spans="1:68" ht="13.2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>
        <f t="shared" ref="AP97:AQ97" si="90">AR97+AT97+AV97</f>
        <v>0</v>
      </c>
      <c r="AQ97" s="75">
        <f t="shared" si="90"/>
        <v>0</v>
      </c>
      <c r="AR97" s="75"/>
      <c r="AS97" s="75"/>
      <c r="AT97" s="75"/>
      <c r="AU97" s="75"/>
      <c r="AV97" s="75"/>
      <c r="AW97" s="75"/>
      <c r="AX97" s="75"/>
      <c r="AY97" s="77">
        <f t="shared" ca="1" si="1"/>
        <v>0</v>
      </c>
      <c r="AZ97" s="75"/>
      <c r="BA97" s="77">
        <f t="shared" ca="1" si="2"/>
        <v>0</v>
      </c>
      <c r="BB97" s="66"/>
      <c r="BC97" s="4"/>
      <c r="BD97" s="67"/>
      <c r="BE97" s="67"/>
      <c r="BF97" s="68"/>
      <c r="BG97" s="69"/>
      <c r="BH97" s="74"/>
      <c r="BI97" s="68"/>
      <c r="BJ97" s="73"/>
      <c r="BK97" s="78"/>
      <c r="BL97" s="78">
        <f t="shared" ca="1" si="3"/>
        <v>0</v>
      </c>
      <c r="BM97" s="78"/>
      <c r="BN97" s="78">
        <f t="shared" ca="1" si="4"/>
        <v>0</v>
      </c>
      <c r="BO97" s="66"/>
      <c r="BP97" s="66"/>
    </row>
    <row r="98" spans="1:68" ht="13.2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>
        <f t="shared" ref="AP98:AQ98" si="91">AR98+AT98+AV98</f>
        <v>0</v>
      </c>
      <c r="AQ98" s="75">
        <f t="shared" si="91"/>
        <v>0</v>
      </c>
      <c r="AR98" s="75"/>
      <c r="AS98" s="75"/>
      <c r="AT98" s="75"/>
      <c r="AU98" s="75"/>
      <c r="AV98" s="75"/>
      <c r="AW98" s="75"/>
      <c r="AX98" s="75"/>
      <c r="AY98" s="77">
        <f t="shared" ca="1" si="1"/>
        <v>0</v>
      </c>
      <c r="AZ98" s="75"/>
      <c r="BA98" s="77">
        <f t="shared" ca="1" si="2"/>
        <v>0</v>
      </c>
      <c r="BB98" s="66"/>
      <c r="BC98" s="4"/>
      <c r="BD98" s="67"/>
      <c r="BE98" s="67"/>
      <c r="BF98" s="68"/>
      <c r="BG98" s="69"/>
      <c r="BH98" s="74"/>
      <c r="BI98" s="68"/>
      <c r="BJ98" s="73"/>
      <c r="BK98" s="78"/>
      <c r="BL98" s="78">
        <f t="shared" ca="1" si="3"/>
        <v>0</v>
      </c>
      <c r="BM98" s="78"/>
      <c r="BN98" s="78">
        <f t="shared" ca="1" si="4"/>
        <v>0</v>
      </c>
      <c r="BO98" s="66"/>
      <c r="BP98" s="66"/>
    </row>
    <row r="99" spans="1:68" ht="13.2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>
        <f t="shared" ref="AP99:AQ99" si="92">AR99+AT99+AV99</f>
        <v>0</v>
      </c>
      <c r="AQ99" s="75">
        <f t="shared" si="92"/>
        <v>0</v>
      </c>
      <c r="AR99" s="75"/>
      <c r="AS99" s="75"/>
      <c r="AT99" s="75"/>
      <c r="AU99" s="75"/>
      <c r="AV99" s="75"/>
      <c r="AW99" s="75"/>
      <c r="AX99" s="75"/>
      <c r="AY99" s="77">
        <f t="shared" ca="1" si="1"/>
        <v>0</v>
      </c>
      <c r="AZ99" s="75"/>
      <c r="BA99" s="77">
        <f t="shared" ca="1" si="2"/>
        <v>0</v>
      </c>
      <c r="BB99" s="66"/>
      <c r="BC99" s="4"/>
      <c r="BD99" s="67"/>
      <c r="BE99" s="67"/>
      <c r="BF99" s="68"/>
      <c r="BG99" s="69"/>
      <c r="BH99" s="74"/>
      <c r="BI99" s="68"/>
      <c r="BJ99" s="73"/>
      <c r="BK99" s="78"/>
      <c r="BL99" s="78">
        <f t="shared" ca="1" si="3"/>
        <v>0</v>
      </c>
      <c r="BM99" s="78"/>
      <c r="BN99" s="78">
        <f t="shared" ca="1" si="4"/>
        <v>0</v>
      </c>
      <c r="BO99" s="66"/>
      <c r="BP99" s="66"/>
    </row>
    <row r="100" spans="1:68" ht="13.2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>
        <f t="shared" ref="AP100:AQ100" si="93">AR100+AT100+AV100</f>
        <v>0</v>
      </c>
      <c r="AQ100" s="75">
        <f t="shared" si="93"/>
        <v>0</v>
      </c>
      <c r="AR100" s="75"/>
      <c r="AS100" s="75"/>
      <c r="AT100" s="75"/>
      <c r="AU100" s="75"/>
      <c r="AV100" s="75"/>
      <c r="AW100" s="75"/>
      <c r="AX100" s="75"/>
      <c r="AY100" s="77">
        <f t="shared" ca="1" si="1"/>
        <v>0</v>
      </c>
      <c r="AZ100" s="75"/>
      <c r="BA100" s="77">
        <f t="shared" ca="1" si="2"/>
        <v>0</v>
      </c>
      <c r="BB100" s="66"/>
      <c r="BC100" s="4"/>
      <c r="BD100" s="67"/>
      <c r="BE100" s="67"/>
      <c r="BF100" s="68"/>
      <c r="BG100" s="69"/>
      <c r="BH100" s="74"/>
      <c r="BI100" s="68"/>
      <c r="BJ100" s="73"/>
      <c r="BK100" s="78"/>
      <c r="BL100" s="78">
        <f t="shared" ca="1" si="3"/>
        <v>0</v>
      </c>
      <c r="BM100" s="78"/>
      <c r="BN100" s="78">
        <f t="shared" ca="1" si="4"/>
        <v>0</v>
      </c>
      <c r="BO100" s="66"/>
      <c r="BP100" s="66"/>
    </row>
    <row r="101" spans="1:68" ht="13.2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>
        <f t="shared" ref="AP101:AQ101" si="94">AR101+AT101+AV101</f>
        <v>0</v>
      </c>
      <c r="AQ101" s="75">
        <f t="shared" si="94"/>
        <v>0</v>
      </c>
      <c r="AR101" s="75"/>
      <c r="AS101" s="75"/>
      <c r="AT101" s="75"/>
      <c r="AU101" s="75"/>
      <c r="AV101" s="75"/>
      <c r="AW101" s="75"/>
      <c r="AX101" s="75"/>
      <c r="AY101" s="77">
        <f t="shared" ca="1" si="1"/>
        <v>0</v>
      </c>
      <c r="AZ101" s="75"/>
      <c r="BA101" s="77">
        <f t="shared" ca="1" si="2"/>
        <v>0</v>
      </c>
      <c r="BB101" s="66"/>
      <c r="BC101" s="4"/>
      <c r="BD101" s="67"/>
      <c r="BE101" s="67"/>
      <c r="BF101" s="68"/>
      <c r="BG101" s="69"/>
      <c r="BH101" s="74"/>
      <c r="BI101" s="68"/>
      <c r="BJ101" s="73"/>
      <c r="BK101" s="78"/>
      <c r="BL101" s="78">
        <f t="shared" ca="1" si="3"/>
        <v>0</v>
      </c>
      <c r="BM101" s="78"/>
      <c r="BN101" s="78">
        <f t="shared" ca="1" si="4"/>
        <v>0</v>
      </c>
      <c r="BO101" s="66"/>
      <c r="BP101" s="66"/>
    </row>
    <row r="102" spans="1:68" ht="13.2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>
        <f t="shared" ref="AP102:AQ102" si="95">AR102+AT102+AV102</f>
        <v>0</v>
      </c>
      <c r="AQ102" s="75">
        <f t="shared" si="95"/>
        <v>0</v>
      </c>
      <c r="AR102" s="75"/>
      <c r="AS102" s="75"/>
      <c r="AT102" s="75"/>
      <c r="AU102" s="75"/>
      <c r="AV102" s="75"/>
      <c r="AW102" s="75"/>
      <c r="AX102" s="75"/>
      <c r="AY102" s="77">
        <f t="shared" ca="1" si="1"/>
        <v>0</v>
      </c>
      <c r="AZ102" s="75"/>
      <c r="BA102" s="77">
        <f t="shared" ca="1" si="2"/>
        <v>0</v>
      </c>
      <c r="BB102" s="66"/>
      <c r="BC102" s="4"/>
      <c r="BD102" s="67"/>
      <c r="BE102" s="67"/>
      <c r="BF102" s="68"/>
      <c r="BG102" s="69"/>
      <c r="BH102" s="74"/>
      <c r="BI102" s="68"/>
      <c r="BJ102" s="73"/>
      <c r="BK102" s="78"/>
      <c r="BL102" s="78">
        <f t="shared" ca="1" si="3"/>
        <v>0</v>
      </c>
      <c r="BM102" s="78"/>
      <c r="BN102" s="78">
        <f t="shared" ca="1" si="4"/>
        <v>0</v>
      </c>
      <c r="BO102" s="66"/>
      <c r="BP102" s="66"/>
    </row>
    <row r="103" spans="1:68" ht="13.2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>
        <f t="shared" ref="AP103:AQ103" si="96">AR103+AT103+AV103</f>
        <v>0</v>
      </c>
      <c r="AQ103" s="75">
        <f t="shared" si="96"/>
        <v>0</v>
      </c>
      <c r="AR103" s="75"/>
      <c r="AS103" s="75"/>
      <c r="AT103" s="75"/>
      <c r="AU103" s="75"/>
      <c r="AV103" s="75"/>
      <c r="AW103" s="75"/>
      <c r="AX103" s="75"/>
      <c r="AY103" s="77">
        <f t="shared" ca="1" si="1"/>
        <v>0</v>
      </c>
      <c r="AZ103" s="75"/>
      <c r="BA103" s="77">
        <f t="shared" ca="1" si="2"/>
        <v>0</v>
      </c>
      <c r="BB103" s="66"/>
      <c r="BC103" s="4"/>
      <c r="BD103" s="67"/>
      <c r="BE103" s="67"/>
      <c r="BF103" s="68"/>
      <c r="BG103" s="69"/>
      <c r="BH103" s="74"/>
      <c r="BI103" s="68"/>
      <c r="BJ103" s="73"/>
      <c r="BK103" s="78"/>
      <c r="BL103" s="78">
        <f t="shared" ca="1" si="3"/>
        <v>0</v>
      </c>
      <c r="BM103" s="78"/>
      <c r="BN103" s="78">
        <f t="shared" ca="1" si="4"/>
        <v>0</v>
      </c>
      <c r="BO103" s="66"/>
      <c r="BP103" s="66"/>
    </row>
    <row r="104" spans="1:68" ht="13.2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>
        <f t="shared" ref="AP104:AQ104" si="97">AR104+AT104+AV104</f>
        <v>0</v>
      </c>
      <c r="AQ104" s="75">
        <f t="shared" si="97"/>
        <v>0</v>
      </c>
      <c r="AR104" s="75"/>
      <c r="AS104" s="75"/>
      <c r="AT104" s="75"/>
      <c r="AU104" s="75"/>
      <c r="AV104" s="75"/>
      <c r="AW104" s="75"/>
      <c r="AX104" s="75"/>
      <c r="AY104" s="77">
        <f t="shared" ca="1" si="1"/>
        <v>0</v>
      </c>
      <c r="AZ104" s="75"/>
      <c r="BA104" s="77">
        <f t="shared" ca="1" si="2"/>
        <v>0</v>
      </c>
      <c r="BB104" s="66"/>
      <c r="BC104" s="4"/>
      <c r="BD104" s="67"/>
      <c r="BE104" s="67"/>
      <c r="BF104" s="68"/>
      <c r="BG104" s="69"/>
      <c r="BH104" s="74"/>
      <c r="BI104" s="68"/>
      <c r="BJ104" s="73"/>
      <c r="BK104" s="78"/>
      <c r="BL104" s="78">
        <f t="shared" ca="1" si="3"/>
        <v>0</v>
      </c>
      <c r="BM104" s="78"/>
      <c r="BN104" s="78">
        <f t="shared" ca="1" si="4"/>
        <v>0</v>
      </c>
      <c r="BO104" s="66"/>
      <c r="BP104" s="66"/>
    </row>
    <row r="105" spans="1:68" ht="13.2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>
        <f t="shared" ref="AP105:AQ105" si="98">AR105+AT105+AV105</f>
        <v>0</v>
      </c>
      <c r="AQ105" s="75">
        <f t="shared" si="98"/>
        <v>0</v>
      </c>
      <c r="AR105" s="75"/>
      <c r="AS105" s="75"/>
      <c r="AT105" s="75"/>
      <c r="AU105" s="75"/>
      <c r="AV105" s="75"/>
      <c r="AW105" s="75"/>
      <c r="AX105" s="75"/>
      <c r="AY105" s="77">
        <f t="shared" ca="1" si="1"/>
        <v>0</v>
      </c>
      <c r="AZ105" s="75"/>
      <c r="BA105" s="77">
        <f t="shared" ca="1" si="2"/>
        <v>0</v>
      </c>
      <c r="BB105" s="66"/>
      <c r="BC105" s="4"/>
      <c r="BD105" s="67"/>
      <c r="BE105" s="67"/>
      <c r="BF105" s="68"/>
      <c r="BG105" s="69"/>
      <c r="BH105" s="74"/>
      <c r="BI105" s="68"/>
      <c r="BJ105" s="73"/>
      <c r="BK105" s="78"/>
      <c r="BL105" s="78">
        <f t="shared" ca="1" si="3"/>
        <v>0</v>
      </c>
      <c r="BM105" s="78"/>
      <c r="BN105" s="78">
        <f t="shared" ca="1" si="4"/>
        <v>0</v>
      </c>
      <c r="BO105" s="66"/>
      <c r="BP105" s="66"/>
    </row>
    <row r="106" spans="1:68" ht="13.2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>
        <f t="shared" ref="AP106:AQ106" si="99">AR106+AT106+AV106</f>
        <v>0</v>
      </c>
      <c r="AQ106" s="75">
        <f t="shared" si="99"/>
        <v>0</v>
      </c>
      <c r="AR106" s="75"/>
      <c r="AS106" s="75"/>
      <c r="AT106" s="75"/>
      <c r="AU106" s="75"/>
      <c r="AV106" s="75"/>
      <c r="AW106" s="75"/>
      <c r="AX106" s="75"/>
      <c r="AY106" s="77">
        <f t="shared" ca="1" si="1"/>
        <v>0</v>
      </c>
      <c r="AZ106" s="75"/>
      <c r="BA106" s="77">
        <f t="shared" ca="1" si="2"/>
        <v>0</v>
      </c>
      <c r="BB106" s="66"/>
      <c r="BC106" s="4"/>
      <c r="BD106" s="67"/>
      <c r="BE106" s="67"/>
      <c r="BF106" s="68"/>
      <c r="BG106" s="69"/>
      <c r="BH106" s="74"/>
      <c r="BI106" s="68"/>
      <c r="BJ106" s="73"/>
      <c r="BK106" s="78"/>
      <c r="BL106" s="78">
        <f t="shared" ca="1" si="3"/>
        <v>0</v>
      </c>
      <c r="BM106" s="78"/>
      <c r="BN106" s="78">
        <f t="shared" ca="1" si="4"/>
        <v>0</v>
      </c>
      <c r="BO106" s="66"/>
      <c r="BP106" s="66"/>
    </row>
    <row r="107" spans="1:68" ht="13.2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>
        <f t="shared" ref="AP107:AQ107" si="100">AR107+AT107+AV107</f>
        <v>0</v>
      </c>
      <c r="AQ107" s="75">
        <f t="shared" si="100"/>
        <v>0</v>
      </c>
      <c r="AR107" s="75"/>
      <c r="AS107" s="75"/>
      <c r="AT107" s="75"/>
      <c r="AU107" s="75"/>
      <c r="AV107" s="75"/>
      <c r="AW107" s="75"/>
      <c r="AX107" s="75"/>
      <c r="AY107" s="77">
        <f t="shared" ca="1" si="1"/>
        <v>0</v>
      </c>
      <c r="AZ107" s="75"/>
      <c r="BA107" s="77">
        <f t="shared" ca="1" si="2"/>
        <v>0</v>
      </c>
      <c r="BB107" s="66"/>
      <c r="BC107" s="4"/>
      <c r="BD107" s="67"/>
      <c r="BE107" s="67"/>
      <c r="BF107" s="68"/>
      <c r="BG107" s="69"/>
      <c r="BH107" s="74"/>
      <c r="BI107" s="68"/>
      <c r="BJ107" s="73"/>
      <c r="BK107" s="78"/>
      <c r="BL107" s="78">
        <f t="shared" ca="1" si="3"/>
        <v>0</v>
      </c>
      <c r="BM107" s="78"/>
      <c r="BN107" s="78">
        <f t="shared" ca="1" si="4"/>
        <v>0</v>
      </c>
      <c r="BO107" s="66"/>
      <c r="BP107" s="66"/>
    </row>
    <row r="108" spans="1:68" ht="13.2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>
        <f t="shared" ref="AP108:AQ108" si="101">AR108+AT108+AV108</f>
        <v>0</v>
      </c>
      <c r="AQ108" s="75">
        <f t="shared" si="101"/>
        <v>0</v>
      </c>
      <c r="AR108" s="75"/>
      <c r="AS108" s="75"/>
      <c r="AT108" s="75"/>
      <c r="AU108" s="75"/>
      <c r="AV108" s="75"/>
      <c r="AW108" s="75"/>
      <c r="AX108" s="75"/>
      <c r="AY108" s="77">
        <f t="shared" ca="1" si="1"/>
        <v>0</v>
      </c>
      <c r="AZ108" s="75"/>
      <c r="BA108" s="77">
        <f t="shared" ca="1" si="2"/>
        <v>0</v>
      </c>
      <c r="BB108" s="66"/>
      <c r="BC108" s="4"/>
      <c r="BD108" s="67"/>
      <c r="BE108" s="67"/>
      <c r="BF108" s="68"/>
      <c r="BG108" s="69"/>
      <c r="BH108" s="74"/>
      <c r="BI108" s="68"/>
      <c r="BJ108" s="73"/>
      <c r="BK108" s="78"/>
      <c r="BL108" s="78">
        <f t="shared" ca="1" si="3"/>
        <v>0</v>
      </c>
      <c r="BM108" s="78"/>
      <c r="BN108" s="78">
        <f t="shared" ca="1" si="4"/>
        <v>0</v>
      </c>
      <c r="BO108" s="66"/>
      <c r="BP108" s="66"/>
    </row>
    <row r="109" spans="1:68" ht="13.2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>
        <f t="shared" ref="AP109:AQ109" si="102">AR109+AT109+AV109</f>
        <v>0</v>
      </c>
      <c r="AQ109" s="75">
        <f t="shared" si="102"/>
        <v>0</v>
      </c>
      <c r="AR109" s="75"/>
      <c r="AS109" s="75"/>
      <c r="AT109" s="75"/>
      <c r="AU109" s="75"/>
      <c r="AV109" s="75"/>
      <c r="AW109" s="75"/>
      <c r="AX109" s="75"/>
      <c r="AY109" s="77">
        <f t="shared" ca="1" si="1"/>
        <v>0</v>
      </c>
      <c r="AZ109" s="75"/>
      <c r="BA109" s="77">
        <f t="shared" ca="1" si="2"/>
        <v>0</v>
      </c>
      <c r="BB109" s="66"/>
      <c r="BC109" s="4"/>
      <c r="BD109" s="67"/>
      <c r="BE109" s="67"/>
      <c r="BF109" s="68"/>
      <c r="BG109" s="69"/>
      <c r="BH109" s="74"/>
      <c r="BI109" s="68"/>
      <c r="BJ109" s="73"/>
      <c r="BK109" s="78"/>
      <c r="BL109" s="78">
        <f t="shared" ca="1" si="3"/>
        <v>0</v>
      </c>
      <c r="BM109" s="78"/>
      <c r="BN109" s="78">
        <f t="shared" ca="1" si="4"/>
        <v>0</v>
      </c>
      <c r="BO109" s="66"/>
      <c r="BP109" s="66"/>
    </row>
    <row r="110" spans="1:68" ht="13.2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>
        <f t="shared" ref="AP110:AQ110" si="103">AR110+AT110+AV110</f>
        <v>0</v>
      </c>
      <c r="AQ110" s="75">
        <f t="shared" si="103"/>
        <v>0</v>
      </c>
      <c r="AR110" s="75"/>
      <c r="AS110" s="75"/>
      <c r="AT110" s="75"/>
      <c r="AU110" s="75"/>
      <c r="AV110" s="75"/>
      <c r="AW110" s="75"/>
      <c r="AX110" s="75"/>
      <c r="AY110" s="77">
        <f t="shared" ca="1" si="1"/>
        <v>0</v>
      </c>
      <c r="AZ110" s="75"/>
      <c r="BA110" s="77">
        <f t="shared" ca="1" si="2"/>
        <v>0</v>
      </c>
      <c r="BB110" s="66"/>
      <c r="BC110" s="4"/>
      <c r="BD110" s="67"/>
      <c r="BE110" s="67"/>
      <c r="BF110" s="68"/>
      <c r="BG110" s="69"/>
      <c r="BH110" s="74"/>
      <c r="BI110" s="68"/>
      <c r="BJ110" s="73"/>
      <c r="BK110" s="78"/>
      <c r="BL110" s="78">
        <f t="shared" ca="1" si="3"/>
        <v>0</v>
      </c>
      <c r="BM110" s="78"/>
      <c r="BN110" s="78">
        <f t="shared" ca="1" si="4"/>
        <v>0</v>
      </c>
      <c r="BO110" s="66"/>
      <c r="BP110" s="66"/>
    </row>
    <row r="111" spans="1:68" ht="13.2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>
        <f t="shared" ref="AP111:AQ111" si="104">AR111+AT111+AV111</f>
        <v>0</v>
      </c>
      <c r="AQ111" s="75">
        <f t="shared" si="104"/>
        <v>0</v>
      </c>
      <c r="AR111" s="75"/>
      <c r="AS111" s="75"/>
      <c r="AT111" s="75"/>
      <c r="AU111" s="75"/>
      <c r="AV111" s="75"/>
      <c r="AW111" s="75"/>
      <c r="AX111" s="75"/>
      <c r="AY111" s="77">
        <f t="shared" ca="1" si="1"/>
        <v>0</v>
      </c>
      <c r="AZ111" s="75"/>
      <c r="BA111" s="77">
        <f t="shared" ca="1" si="2"/>
        <v>0</v>
      </c>
      <c r="BB111" s="66"/>
      <c r="BC111" s="4"/>
      <c r="BD111" s="67"/>
      <c r="BE111" s="67"/>
      <c r="BF111" s="68"/>
      <c r="BG111" s="69"/>
      <c r="BH111" s="74"/>
      <c r="BI111" s="68"/>
      <c r="BJ111" s="73"/>
      <c r="BK111" s="78"/>
      <c r="BL111" s="78">
        <f t="shared" ca="1" si="3"/>
        <v>0</v>
      </c>
      <c r="BM111" s="78"/>
      <c r="BN111" s="78">
        <f t="shared" ca="1" si="4"/>
        <v>0</v>
      </c>
      <c r="BO111" s="66"/>
      <c r="BP111" s="66"/>
    </row>
    <row r="112" spans="1:68" ht="13.2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>
        <f t="shared" ref="AP112:AQ112" si="105">AR112+AT112+AV112</f>
        <v>0</v>
      </c>
      <c r="AQ112" s="75">
        <f t="shared" si="105"/>
        <v>0</v>
      </c>
      <c r="AR112" s="75"/>
      <c r="AS112" s="75"/>
      <c r="AT112" s="75"/>
      <c r="AU112" s="75"/>
      <c r="AV112" s="75"/>
      <c r="AW112" s="75"/>
      <c r="AX112" s="75"/>
      <c r="AY112" s="77">
        <f t="shared" ca="1" si="1"/>
        <v>0</v>
      </c>
      <c r="AZ112" s="75"/>
      <c r="BA112" s="77">
        <f t="shared" ca="1" si="2"/>
        <v>0</v>
      </c>
      <c r="BB112" s="66"/>
      <c r="BC112" s="4"/>
      <c r="BD112" s="67"/>
      <c r="BE112" s="67"/>
      <c r="BF112" s="68"/>
      <c r="BG112" s="69"/>
      <c r="BH112" s="74"/>
      <c r="BI112" s="68"/>
      <c r="BJ112" s="73"/>
      <c r="BK112" s="78"/>
      <c r="BL112" s="78">
        <f t="shared" ca="1" si="3"/>
        <v>0</v>
      </c>
      <c r="BM112" s="78"/>
      <c r="BN112" s="78">
        <f t="shared" ca="1" si="4"/>
        <v>0</v>
      </c>
      <c r="BO112" s="66"/>
      <c r="BP112" s="66"/>
    </row>
    <row r="113" spans="1:68" ht="13.2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>
        <f t="shared" ref="AP113:AQ113" si="106">AR113+AT113+AV113</f>
        <v>0</v>
      </c>
      <c r="AQ113" s="75">
        <f t="shared" si="106"/>
        <v>0</v>
      </c>
      <c r="AR113" s="75"/>
      <c r="AS113" s="75"/>
      <c r="AT113" s="75"/>
      <c r="AU113" s="75"/>
      <c r="AV113" s="75"/>
      <c r="AW113" s="75"/>
      <c r="AX113" s="75"/>
      <c r="AY113" s="77">
        <f t="shared" ca="1" si="1"/>
        <v>0</v>
      </c>
      <c r="AZ113" s="75"/>
      <c r="BA113" s="77">
        <f t="shared" ca="1" si="2"/>
        <v>0</v>
      </c>
      <c r="BB113" s="66"/>
      <c r="BC113" s="4"/>
      <c r="BD113" s="67"/>
      <c r="BE113" s="67"/>
      <c r="BF113" s="68"/>
      <c r="BG113" s="69"/>
      <c r="BH113" s="74"/>
      <c r="BI113" s="68"/>
      <c r="BJ113" s="73"/>
      <c r="BK113" s="78"/>
      <c r="BL113" s="78">
        <f t="shared" ca="1" si="3"/>
        <v>0</v>
      </c>
      <c r="BM113" s="78"/>
      <c r="BN113" s="78">
        <f t="shared" ca="1" si="4"/>
        <v>0</v>
      </c>
      <c r="BO113" s="66"/>
      <c r="BP113" s="66"/>
    </row>
    <row r="114" spans="1:68" ht="13.2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>
        <f t="shared" ref="AP114:AQ114" si="107">AR114+AT114+AV114</f>
        <v>0</v>
      </c>
      <c r="AQ114" s="75">
        <f t="shared" si="107"/>
        <v>0</v>
      </c>
      <c r="AR114" s="75"/>
      <c r="AS114" s="75"/>
      <c r="AT114" s="75"/>
      <c r="AU114" s="75"/>
      <c r="AV114" s="75"/>
      <c r="AW114" s="75"/>
      <c r="AX114" s="75"/>
      <c r="AY114" s="77">
        <f t="shared" ca="1" si="1"/>
        <v>0</v>
      </c>
      <c r="AZ114" s="75"/>
      <c r="BA114" s="77">
        <f t="shared" ca="1" si="2"/>
        <v>0</v>
      </c>
      <c r="BB114" s="66"/>
      <c r="BC114" s="4"/>
      <c r="BD114" s="67"/>
      <c r="BE114" s="67"/>
      <c r="BF114" s="68"/>
      <c r="BG114" s="69"/>
      <c r="BH114" s="74"/>
      <c r="BI114" s="68"/>
      <c r="BJ114" s="73"/>
      <c r="BK114" s="78"/>
      <c r="BL114" s="78">
        <f t="shared" ca="1" si="3"/>
        <v>0</v>
      </c>
      <c r="BM114" s="78"/>
      <c r="BN114" s="78">
        <f t="shared" ca="1" si="4"/>
        <v>0</v>
      </c>
      <c r="BO114" s="66"/>
      <c r="BP114" s="66"/>
    </row>
    <row r="115" spans="1:68" ht="13.2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>
        <f t="shared" ref="AP115:AQ115" si="108">AR115+AT115+AV115</f>
        <v>0</v>
      </c>
      <c r="AQ115" s="75">
        <f t="shared" si="108"/>
        <v>0</v>
      </c>
      <c r="AR115" s="75"/>
      <c r="AS115" s="75"/>
      <c r="AT115" s="75"/>
      <c r="AU115" s="75"/>
      <c r="AV115" s="75"/>
      <c r="AW115" s="75"/>
      <c r="AX115" s="75"/>
      <c r="AY115" s="77">
        <f t="shared" ca="1" si="1"/>
        <v>0</v>
      </c>
      <c r="AZ115" s="75"/>
      <c r="BA115" s="77">
        <f t="shared" ca="1" si="2"/>
        <v>0</v>
      </c>
      <c r="BB115" s="66"/>
      <c r="BC115" s="4"/>
      <c r="BD115" s="67"/>
      <c r="BE115" s="67"/>
      <c r="BF115" s="68"/>
      <c r="BG115" s="69"/>
      <c r="BH115" s="74"/>
      <c r="BI115" s="68"/>
      <c r="BJ115" s="73"/>
      <c r="BK115" s="78"/>
      <c r="BL115" s="78">
        <f t="shared" ca="1" si="3"/>
        <v>0</v>
      </c>
      <c r="BM115" s="78"/>
      <c r="BN115" s="78">
        <f t="shared" ca="1" si="4"/>
        <v>0</v>
      </c>
      <c r="BO115" s="66"/>
      <c r="BP115" s="66"/>
    </row>
    <row r="116" spans="1:68" ht="13.2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>
        <f t="shared" ref="AP116:AQ116" si="109">AR116+AT116+AV116</f>
        <v>0</v>
      </c>
      <c r="AQ116" s="75">
        <f t="shared" si="109"/>
        <v>0</v>
      </c>
      <c r="AR116" s="75"/>
      <c r="AS116" s="75"/>
      <c r="AT116" s="75"/>
      <c r="AU116" s="75"/>
      <c r="AV116" s="75"/>
      <c r="AW116" s="75"/>
      <c r="AX116" s="75"/>
      <c r="AY116" s="77">
        <f t="shared" ca="1" si="1"/>
        <v>0</v>
      </c>
      <c r="AZ116" s="75"/>
      <c r="BA116" s="77">
        <f t="shared" ca="1" si="2"/>
        <v>0</v>
      </c>
      <c r="BB116" s="66"/>
      <c r="BC116" s="4"/>
      <c r="BD116" s="67"/>
      <c r="BE116" s="67"/>
      <c r="BF116" s="68"/>
      <c r="BG116" s="69"/>
      <c r="BH116" s="74"/>
      <c r="BI116" s="68"/>
      <c r="BJ116" s="73"/>
      <c r="BK116" s="78"/>
      <c r="BL116" s="78">
        <f t="shared" ca="1" si="3"/>
        <v>0</v>
      </c>
      <c r="BM116" s="78"/>
      <c r="BN116" s="78">
        <f t="shared" ca="1" si="4"/>
        <v>0</v>
      </c>
      <c r="BO116" s="66"/>
      <c r="BP116" s="66"/>
    </row>
    <row r="117" spans="1:68" ht="13.2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>
        <f t="shared" ref="AP117:AQ117" si="110">AR117+AT117+AV117</f>
        <v>0</v>
      </c>
      <c r="AQ117" s="75">
        <f t="shared" si="110"/>
        <v>0</v>
      </c>
      <c r="AR117" s="75"/>
      <c r="AS117" s="75"/>
      <c r="AT117" s="75"/>
      <c r="AU117" s="75"/>
      <c r="AV117" s="75"/>
      <c r="AW117" s="75"/>
      <c r="AX117" s="75"/>
      <c r="AY117" s="77">
        <f t="shared" ca="1" si="1"/>
        <v>0</v>
      </c>
      <c r="AZ117" s="75"/>
      <c r="BA117" s="77">
        <f t="shared" ca="1" si="2"/>
        <v>0</v>
      </c>
      <c r="BB117" s="66"/>
      <c r="BC117" s="4"/>
      <c r="BD117" s="67"/>
      <c r="BE117" s="67"/>
      <c r="BF117" s="68"/>
      <c r="BG117" s="69"/>
      <c r="BH117" s="74"/>
      <c r="BI117" s="68"/>
      <c r="BJ117" s="73"/>
      <c r="BK117" s="78"/>
      <c r="BL117" s="78">
        <f t="shared" ca="1" si="3"/>
        <v>0</v>
      </c>
      <c r="BM117" s="78"/>
      <c r="BN117" s="78">
        <f t="shared" ca="1" si="4"/>
        <v>0</v>
      </c>
      <c r="BO117" s="66"/>
      <c r="BP117" s="66"/>
    </row>
    <row r="118" spans="1:68" ht="13.2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>
        <f t="shared" ref="AP118:AQ118" si="111">AR118+AT118+AV118</f>
        <v>0</v>
      </c>
      <c r="AQ118" s="75">
        <f t="shared" si="111"/>
        <v>0</v>
      </c>
      <c r="AR118" s="75"/>
      <c r="AS118" s="75"/>
      <c r="AT118" s="75"/>
      <c r="AU118" s="75"/>
      <c r="AV118" s="75"/>
      <c r="AW118" s="75"/>
      <c r="AX118" s="75"/>
      <c r="AY118" s="77">
        <f t="shared" ca="1" si="1"/>
        <v>0</v>
      </c>
      <c r="AZ118" s="75"/>
      <c r="BA118" s="77">
        <f t="shared" ca="1" si="2"/>
        <v>0</v>
      </c>
      <c r="BB118" s="66"/>
      <c r="BC118" s="4"/>
      <c r="BD118" s="67"/>
      <c r="BE118" s="67"/>
      <c r="BF118" s="68"/>
      <c r="BG118" s="69"/>
      <c r="BH118" s="74"/>
      <c r="BI118" s="68"/>
      <c r="BJ118" s="73"/>
      <c r="BK118" s="78"/>
      <c r="BL118" s="78">
        <f t="shared" ca="1" si="3"/>
        <v>0</v>
      </c>
      <c r="BM118" s="78"/>
      <c r="BN118" s="78">
        <f t="shared" ca="1" si="4"/>
        <v>0</v>
      </c>
      <c r="BO118" s="66"/>
      <c r="BP118" s="66"/>
    </row>
    <row r="119" spans="1:68" ht="13.2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>
        <f t="shared" ref="AP119:AQ119" si="112">AR119+AT119+AV119</f>
        <v>0</v>
      </c>
      <c r="AQ119" s="75">
        <f t="shared" si="112"/>
        <v>0</v>
      </c>
      <c r="AR119" s="75"/>
      <c r="AS119" s="75"/>
      <c r="AT119" s="75"/>
      <c r="AU119" s="75"/>
      <c r="AV119" s="75"/>
      <c r="AW119" s="75"/>
      <c r="AX119" s="75"/>
      <c r="AY119" s="77">
        <f t="shared" ca="1" si="1"/>
        <v>0</v>
      </c>
      <c r="AZ119" s="75"/>
      <c r="BA119" s="77">
        <f t="shared" ca="1" si="2"/>
        <v>0</v>
      </c>
      <c r="BB119" s="66"/>
      <c r="BC119" s="4"/>
      <c r="BD119" s="67"/>
      <c r="BE119" s="67"/>
      <c r="BF119" s="68"/>
      <c r="BG119" s="69"/>
      <c r="BH119" s="74"/>
      <c r="BI119" s="68"/>
      <c r="BJ119" s="73"/>
      <c r="BK119" s="78"/>
      <c r="BL119" s="78">
        <f t="shared" ca="1" si="3"/>
        <v>0</v>
      </c>
      <c r="BM119" s="78"/>
      <c r="BN119" s="78">
        <f t="shared" ca="1" si="4"/>
        <v>0</v>
      </c>
      <c r="BO119" s="66"/>
      <c r="BP119" s="66"/>
    </row>
    <row r="120" spans="1:68" ht="13.2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>
        <f t="shared" ref="AP120:AQ120" si="113">AR120+AT120+AV120</f>
        <v>0</v>
      </c>
      <c r="AQ120" s="75">
        <f t="shared" si="113"/>
        <v>0</v>
      </c>
      <c r="AR120" s="75"/>
      <c r="AS120" s="75"/>
      <c r="AT120" s="75"/>
      <c r="AU120" s="75"/>
      <c r="AV120" s="75"/>
      <c r="AW120" s="75"/>
      <c r="AX120" s="75"/>
      <c r="AY120" s="77">
        <f t="shared" ca="1" si="1"/>
        <v>0</v>
      </c>
      <c r="AZ120" s="75"/>
      <c r="BA120" s="77">
        <f t="shared" ca="1" si="2"/>
        <v>0</v>
      </c>
      <c r="BB120" s="66"/>
      <c r="BC120" s="4"/>
      <c r="BD120" s="67"/>
      <c r="BE120" s="67"/>
      <c r="BF120" s="68"/>
      <c r="BG120" s="69"/>
      <c r="BH120" s="74"/>
      <c r="BI120" s="68"/>
      <c r="BJ120" s="73"/>
      <c r="BK120" s="78"/>
      <c r="BL120" s="78">
        <f t="shared" ca="1" si="3"/>
        <v>0</v>
      </c>
      <c r="BM120" s="78"/>
      <c r="BN120" s="78">
        <f t="shared" ca="1" si="4"/>
        <v>0</v>
      </c>
      <c r="BO120" s="66"/>
      <c r="BP120" s="66"/>
    </row>
    <row r="121" spans="1:68" ht="13.2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>
        <f t="shared" ref="AP121:AQ121" si="114">AR121+AT121+AV121</f>
        <v>0</v>
      </c>
      <c r="AQ121" s="75">
        <f t="shared" si="114"/>
        <v>0</v>
      </c>
      <c r="AR121" s="75"/>
      <c r="AS121" s="75"/>
      <c r="AT121" s="75"/>
      <c r="AU121" s="75"/>
      <c r="AV121" s="75"/>
      <c r="AW121" s="75"/>
      <c r="AX121" s="75"/>
      <c r="AY121" s="77">
        <f t="shared" ca="1" si="1"/>
        <v>0</v>
      </c>
      <c r="AZ121" s="75"/>
      <c r="BA121" s="77">
        <f t="shared" ca="1" si="2"/>
        <v>0</v>
      </c>
      <c r="BB121" s="66"/>
      <c r="BC121" s="4"/>
      <c r="BD121" s="67"/>
      <c r="BE121" s="67"/>
      <c r="BF121" s="68"/>
      <c r="BG121" s="69"/>
      <c r="BH121" s="74"/>
      <c r="BI121" s="68"/>
      <c r="BJ121" s="73"/>
      <c r="BK121" s="78"/>
      <c r="BL121" s="78">
        <f t="shared" ca="1" si="3"/>
        <v>0</v>
      </c>
      <c r="BM121" s="78"/>
      <c r="BN121" s="78">
        <f t="shared" ca="1" si="4"/>
        <v>0</v>
      </c>
      <c r="BO121" s="66"/>
      <c r="BP121" s="66"/>
    </row>
    <row r="122" spans="1:68" ht="13.2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>
        <f t="shared" ref="AP122:AQ122" si="115">AR122+AT122+AV122</f>
        <v>0</v>
      </c>
      <c r="AQ122" s="75">
        <f t="shared" si="115"/>
        <v>0</v>
      </c>
      <c r="AR122" s="75"/>
      <c r="AS122" s="75"/>
      <c r="AT122" s="75"/>
      <c r="AU122" s="75"/>
      <c r="AV122" s="75"/>
      <c r="AW122" s="75"/>
      <c r="AX122" s="75"/>
      <c r="AY122" s="77">
        <f t="shared" ca="1" si="1"/>
        <v>0</v>
      </c>
      <c r="AZ122" s="75"/>
      <c r="BA122" s="77">
        <f t="shared" ca="1" si="2"/>
        <v>0</v>
      </c>
      <c r="BB122" s="66"/>
      <c r="BC122" s="4"/>
      <c r="BD122" s="67"/>
      <c r="BE122" s="67"/>
      <c r="BF122" s="68"/>
      <c r="BG122" s="69"/>
      <c r="BH122" s="74"/>
      <c r="BI122" s="68"/>
      <c r="BJ122" s="73"/>
      <c r="BK122" s="78"/>
      <c r="BL122" s="78">
        <f t="shared" ca="1" si="3"/>
        <v>0</v>
      </c>
      <c r="BM122" s="78"/>
      <c r="BN122" s="78">
        <f t="shared" ca="1" si="4"/>
        <v>0</v>
      </c>
      <c r="BO122" s="66"/>
      <c r="BP122" s="66"/>
    </row>
    <row r="123" spans="1:68" ht="13.2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>
        <f t="shared" ref="AP123:AQ123" si="116">AR123+AT123+AV123</f>
        <v>0</v>
      </c>
      <c r="AQ123" s="75">
        <f t="shared" si="116"/>
        <v>0</v>
      </c>
      <c r="AR123" s="75"/>
      <c r="AS123" s="75"/>
      <c r="AT123" s="75"/>
      <c r="AU123" s="75"/>
      <c r="AV123" s="75"/>
      <c r="AW123" s="75"/>
      <c r="AX123" s="75"/>
      <c r="AY123" s="77">
        <f t="shared" ca="1" si="1"/>
        <v>0</v>
      </c>
      <c r="AZ123" s="75"/>
      <c r="BA123" s="77">
        <f t="shared" ca="1" si="2"/>
        <v>0</v>
      </c>
      <c r="BB123" s="66"/>
      <c r="BC123" s="4"/>
      <c r="BD123" s="67"/>
      <c r="BE123" s="67"/>
      <c r="BF123" s="68"/>
      <c r="BG123" s="69"/>
      <c r="BH123" s="74"/>
      <c r="BI123" s="68"/>
      <c r="BJ123" s="73"/>
      <c r="BK123" s="78"/>
      <c r="BL123" s="78">
        <f t="shared" ca="1" si="3"/>
        <v>0</v>
      </c>
      <c r="BM123" s="78"/>
      <c r="BN123" s="78">
        <f t="shared" ca="1" si="4"/>
        <v>0</v>
      </c>
      <c r="BO123" s="66"/>
      <c r="BP123" s="66"/>
    </row>
    <row r="124" spans="1:68" ht="13.2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>
        <f t="shared" ref="AP124:AQ124" si="117">AR124+AT124+AV124</f>
        <v>0</v>
      </c>
      <c r="AQ124" s="75">
        <f t="shared" si="117"/>
        <v>0</v>
      </c>
      <c r="AR124" s="75"/>
      <c r="AS124" s="75"/>
      <c r="AT124" s="75"/>
      <c r="AU124" s="75"/>
      <c r="AV124" s="75"/>
      <c r="AW124" s="75"/>
      <c r="AX124" s="75"/>
      <c r="AY124" s="77">
        <f t="shared" ca="1" si="1"/>
        <v>0</v>
      </c>
      <c r="AZ124" s="75"/>
      <c r="BA124" s="77">
        <f t="shared" ca="1" si="2"/>
        <v>0</v>
      </c>
      <c r="BB124" s="66"/>
      <c r="BC124" s="4"/>
      <c r="BD124" s="67"/>
      <c r="BE124" s="67"/>
      <c r="BF124" s="68"/>
      <c r="BG124" s="69"/>
      <c r="BH124" s="74"/>
      <c r="BI124" s="68"/>
      <c r="BJ124" s="73"/>
      <c r="BK124" s="78"/>
      <c r="BL124" s="78">
        <f t="shared" ca="1" si="3"/>
        <v>0</v>
      </c>
      <c r="BM124" s="78"/>
      <c r="BN124" s="78">
        <f t="shared" ca="1" si="4"/>
        <v>0</v>
      </c>
      <c r="BO124" s="66"/>
      <c r="BP124" s="66"/>
    </row>
    <row r="125" spans="1:68" ht="13.2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>
        <f t="shared" ref="AP125:AQ125" si="118">AR125+AT125+AV125</f>
        <v>0</v>
      </c>
      <c r="AQ125" s="75">
        <f t="shared" si="118"/>
        <v>0</v>
      </c>
      <c r="AR125" s="75"/>
      <c r="AS125" s="75"/>
      <c r="AT125" s="75"/>
      <c r="AU125" s="75"/>
      <c r="AV125" s="75"/>
      <c r="AW125" s="75"/>
      <c r="AX125" s="75"/>
      <c r="AY125" s="77">
        <f t="shared" ca="1" si="1"/>
        <v>0</v>
      </c>
      <c r="AZ125" s="75"/>
      <c r="BA125" s="77">
        <f t="shared" ca="1" si="2"/>
        <v>0</v>
      </c>
      <c r="BB125" s="66"/>
      <c r="BC125" s="4"/>
      <c r="BD125" s="67"/>
      <c r="BE125" s="67"/>
      <c r="BF125" s="68"/>
      <c r="BG125" s="69"/>
      <c r="BH125" s="74"/>
      <c r="BI125" s="68"/>
      <c r="BJ125" s="73"/>
      <c r="BK125" s="78"/>
      <c r="BL125" s="78">
        <f t="shared" ca="1" si="3"/>
        <v>0</v>
      </c>
      <c r="BM125" s="78"/>
      <c r="BN125" s="78">
        <f t="shared" ca="1" si="4"/>
        <v>0</v>
      </c>
      <c r="BO125" s="66"/>
      <c r="BP125" s="66"/>
    </row>
    <row r="126" spans="1:68" ht="13.2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>
        <f t="shared" ref="AP126:AQ126" si="119">AR126+AT126+AV126</f>
        <v>0</v>
      </c>
      <c r="AQ126" s="75">
        <f t="shared" si="119"/>
        <v>0</v>
      </c>
      <c r="AR126" s="75"/>
      <c r="AS126" s="75"/>
      <c r="AT126" s="75"/>
      <c r="AU126" s="75"/>
      <c r="AV126" s="75"/>
      <c r="AW126" s="75"/>
      <c r="AX126" s="75"/>
      <c r="AY126" s="77">
        <f t="shared" ca="1" si="1"/>
        <v>0</v>
      </c>
      <c r="AZ126" s="75"/>
      <c r="BA126" s="77">
        <f t="shared" ca="1" si="2"/>
        <v>0</v>
      </c>
      <c r="BB126" s="66"/>
      <c r="BC126" s="4"/>
      <c r="BD126" s="67"/>
      <c r="BE126" s="67"/>
      <c r="BF126" s="68"/>
      <c r="BG126" s="69"/>
      <c r="BH126" s="74"/>
      <c r="BI126" s="68"/>
      <c r="BJ126" s="73"/>
      <c r="BK126" s="78"/>
      <c r="BL126" s="78">
        <f t="shared" ca="1" si="3"/>
        <v>0</v>
      </c>
      <c r="BM126" s="78"/>
      <c r="BN126" s="78">
        <f t="shared" ca="1" si="4"/>
        <v>0</v>
      </c>
      <c r="BO126" s="66"/>
      <c r="BP126" s="66"/>
    </row>
    <row r="127" spans="1:68" ht="13.2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>
        <f t="shared" ref="AP127:AQ127" si="120">AR127+AT127+AV127</f>
        <v>0</v>
      </c>
      <c r="AQ127" s="75">
        <f t="shared" si="120"/>
        <v>0</v>
      </c>
      <c r="AR127" s="75"/>
      <c r="AS127" s="75"/>
      <c r="AT127" s="75"/>
      <c r="AU127" s="75"/>
      <c r="AV127" s="75"/>
      <c r="AW127" s="75"/>
      <c r="AX127" s="75"/>
      <c r="AY127" s="77">
        <f t="shared" ca="1" si="1"/>
        <v>0</v>
      </c>
      <c r="AZ127" s="75"/>
      <c r="BA127" s="77">
        <f t="shared" ca="1" si="2"/>
        <v>0</v>
      </c>
      <c r="BB127" s="66"/>
      <c r="BC127" s="4"/>
      <c r="BD127" s="67"/>
      <c r="BE127" s="67"/>
      <c r="BF127" s="68"/>
      <c r="BG127" s="69"/>
      <c r="BH127" s="74"/>
      <c r="BI127" s="68"/>
      <c r="BJ127" s="73"/>
      <c r="BK127" s="78"/>
      <c r="BL127" s="78">
        <f t="shared" ca="1" si="3"/>
        <v>0</v>
      </c>
      <c r="BM127" s="78"/>
      <c r="BN127" s="78">
        <f t="shared" ca="1" si="4"/>
        <v>0</v>
      </c>
      <c r="BO127" s="66"/>
      <c r="BP127" s="66"/>
    </row>
    <row r="128" spans="1:68" ht="13.2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>
        <f t="shared" ref="AP128:AQ128" si="121">AR128+AT128+AV128</f>
        <v>0</v>
      </c>
      <c r="AQ128" s="75">
        <f t="shared" si="121"/>
        <v>0</v>
      </c>
      <c r="AR128" s="75"/>
      <c r="AS128" s="75"/>
      <c r="AT128" s="75"/>
      <c r="AU128" s="75"/>
      <c r="AV128" s="75"/>
      <c r="AW128" s="75"/>
      <c r="AX128" s="75"/>
      <c r="AY128" s="77">
        <f t="shared" ca="1" si="1"/>
        <v>0</v>
      </c>
      <c r="AZ128" s="75"/>
      <c r="BA128" s="77">
        <f t="shared" ca="1" si="2"/>
        <v>0</v>
      </c>
      <c r="BB128" s="66"/>
      <c r="BC128" s="4"/>
      <c r="BD128" s="67"/>
      <c r="BE128" s="67"/>
      <c r="BF128" s="68"/>
      <c r="BG128" s="69"/>
      <c r="BH128" s="74"/>
      <c r="BI128" s="68"/>
      <c r="BJ128" s="73"/>
      <c r="BK128" s="78"/>
      <c r="BL128" s="78">
        <f t="shared" ca="1" si="3"/>
        <v>0</v>
      </c>
      <c r="BM128" s="78"/>
      <c r="BN128" s="78">
        <f t="shared" ca="1" si="4"/>
        <v>0</v>
      </c>
      <c r="BO128" s="66"/>
      <c r="BP128" s="66"/>
    </row>
    <row r="129" spans="1:68" ht="13.2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>
        <f t="shared" ref="AP129:AQ129" si="122">AR129+AT129+AV129</f>
        <v>0</v>
      </c>
      <c r="AQ129" s="75">
        <f t="shared" si="122"/>
        <v>0</v>
      </c>
      <c r="AR129" s="75"/>
      <c r="AS129" s="75"/>
      <c r="AT129" s="75"/>
      <c r="AU129" s="75"/>
      <c r="AV129" s="75"/>
      <c r="AW129" s="75"/>
      <c r="AX129" s="75"/>
      <c r="AY129" s="77">
        <f t="shared" ca="1" si="1"/>
        <v>0</v>
      </c>
      <c r="AZ129" s="75"/>
      <c r="BA129" s="77">
        <f t="shared" ca="1" si="2"/>
        <v>0</v>
      </c>
      <c r="BB129" s="66"/>
      <c r="BC129" s="4"/>
      <c r="BD129" s="67"/>
      <c r="BE129" s="67"/>
      <c r="BF129" s="68"/>
      <c r="BG129" s="69"/>
      <c r="BH129" s="74"/>
      <c r="BI129" s="68"/>
      <c r="BJ129" s="73"/>
      <c r="BK129" s="78"/>
      <c r="BL129" s="78">
        <f t="shared" ca="1" si="3"/>
        <v>0</v>
      </c>
      <c r="BM129" s="78"/>
      <c r="BN129" s="78">
        <f t="shared" ca="1" si="4"/>
        <v>0</v>
      </c>
      <c r="BO129" s="66"/>
      <c r="BP129" s="66"/>
    </row>
    <row r="130" spans="1:68" ht="13.2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>
        <f t="shared" ref="AP130:AQ130" si="123">AR130+AT130+AV130</f>
        <v>0</v>
      </c>
      <c r="AQ130" s="75">
        <f t="shared" si="123"/>
        <v>0</v>
      </c>
      <c r="AR130" s="75"/>
      <c r="AS130" s="75"/>
      <c r="AT130" s="75"/>
      <c r="AU130" s="75"/>
      <c r="AV130" s="75"/>
      <c r="AW130" s="75"/>
      <c r="AX130" s="75"/>
      <c r="AY130" s="77">
        <f t="shared" ca="1" si="1"/>
        <v>0</v>
      </c>
      <c r="AZ130" s="75"/>
      <c r="BA130" s="77">
        <f t="shared" ca="1" si="2"/>
        <v>0</v>
      </c>
      <c r="BB130" s="66"/>
      <c r="BC130" s="4"/>
      <c r="BD130" s="67"/>
      <c r="BE130" s="67"/>
      <c r="BF130" s="68"/>
      <c r="BG130" s="69"/>
      <c r="BH130" s="74"/>
      <c r="BI130" s="68"/>
      <c r="BJ130" s="73"/>
      <c r="BK130" s="78"/>
      <c r="BL130" s="78">
        <f t="shared" ca="1" si="3"/>
        <v>0</v>
      </c>
      <c r="BM130" s="78"/>
      <c r="BN130" s="78">
        <f t="shared" ca="1" si="4"/>
        <v>0</v>
      </c>
      <c r="BO130" s="66"/>
      <c r="BP130" s="66"/>
    </row>
    <row r="131" spans="1:68" ht="13.2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>
        <f t="shared" ref="AP131:AQ131" si="124">AR131+AT131+AV131</f>
        <v>0</v>
      </c>
      <c r="AQ131" s="75">
        <f t="shared" si="124"/>
        <v>0</v>
      </c>
      <c r="AR131" s="75"/>
      <c r="AS131" s="75"/>
      <c r="AT131" s="75"/>
      <c r="AU131" s="75"/>
      <c r="AV131" s="75"/>
      <c r="AW131" s="75"/>
      <c r="AX131" s="75"/>
      <c r="AY131" s="77">
        <f t="shared" ca="1" si="1"/>
        <v>0</v>
      </c>
      <c r="AZ131" s="75"/>
      <c r="BA131" s="77">
        <f t="shared" ca="1" si="2"/>
        <v>0</v>
      </c>
      <c r="BB131" s="66"/>
      <c r="BC131" s="4"/>
      <c r="BD131" s="67"/>
      <c r="BE131" s="67"/>
      <c r="BF131" s="68"/>
      <c r="BG131" s="69"/>
      <c r="BH131" s="74"/>
      <c r="BI131" s="68"/>
      <c r="BJ131" s="73"/>
      <c r="BK131" s="78"/>
      <c r="BL131" s="78">
        <f t="shared" ca="1" si="3"/>
        <v>0</v>
      </c>
      <c r="BM131" s="78"/>
      <c r="BN131" s="78">
        <f t="shared" ca="1" si="4"/>
        <v>0</v>
      </c>
      <c r="BO131" s="66"/>
      <c r="BP131" s="66"/>
    </row>
    <row r="132" spans="1:68" ht="13.2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>
        <f t="shared" ref="AP132:AQ132" si="125">AR132+AT132+AV132</f>
        <v>0</v>
      </c>
      <c r="AQ132" s="75">
        <f t="shared" si="125"/>
        <v>0</v>
      </c>
      <c r="AR132" s="75"/>
      <c r="AS132" s="75"/>
      <c r="AT132" s="75"/>
      <c r="AU132" s="75"/>
      <c r="AV132" s="75"/>
      <c r="AW132" s="75"/>
      <c r="AX132" s="75"/>
      <c r="AY132" s="77">
        <f t="shared" ca="1" si="1"/>
        <v>0</v>
      </c>
      <c r="AZ132" s="75"/>
      <c r="BA132" s="77">
        <f t="shared" ca="1" si="2"/>
        <v>0</v>
      </c>
      <c r="BB132" s="66"/>
      <c r="BC132" s="4"/>
      <c r="BD132" s="67"/>
      <c r="BE132" s="67"/>
      <c r="BF132" s="68"/>
      <c r="BG132" s="69"/>
      <c r="BH132" s="74"/>
      <c r="BI132" s="68"/>
      <c r="BJ132" s="73"/>
      <c r="BK132" s="78"/>
      <c r="BL132" s="78">
        <f t="shared" ca="1" si="3"/>
        <v>0</v>
      </c>
      <c r="BM132" s="78"/>
      <c r="BN132" s="78">
        <f t="shared" ca="1" si="4"/>
        <v>0</v>
      </c>
      <c r="BO132" s="66"/>
      <c r="BP132" s="66"/>
    </row>
    <row r="133" spans="1:68" ht="13.2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>
        <f t="shared" ref="AP133:AQ133" si="126">AR133+AT133+AV133</f>
        <v>0</v>
      </c>
      <c r="AQ133" s="75">
        <f t="shared" si="126"/>
        <v>0</v>
      </c>
      <c r="AR133" s="75"/>
      <c r="AS133" s="75"/>
      <c r="AT133" s="75"/>
      <c r="AU133" s="75"/>
      <c r="AV133" s="75"/>
      <c r="AW133" s="75"/>
      <c r="AX133" s="75"/>
      <c r="AY133" s="77">
        <f t="shared" ca="1" si="1"/>
        <v>0</v>
      </c>
      <c r="AZ133" s="75"/>
      <c r="BA133" s="77">
        <f t="shared" ca="1" si="2"/>
        <v>0</v>
      </c>
      <c r="BB133" s="66"/>
      <c r="BC133" s="4"/>
      <c r="BD133" s="67"/>
      <c r="BE133" s="67"/>
      <c r="BF133" s="68"/>
      <c r="BG133" s="69"/>
      <c r="BH133" s="74"/>
      <c r="BI133" s="68"/>
      <c r="BJ133" s="73"/>
      <c r="BK133" s="78"/>
      <c r="BL133" s="78">
        <f t="shared" ca="1" si="3"/>
        <v>0</v>
      </c>
      <c r="BM133" s="78"/>
      <c r="BN133" s="78">
        <f t="shared" ca="1" si="4"/>
        <v>0</v>
      </c>
      <c r="BO133" s="66"/>
      <c r="BP133" s="66"/>
    </row>
    <row r="134" spans="1:68" ht="13.2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>
        <f t="shared" ref="AP134:AQ134" si="127">AR134+AT134+AV134</f>
        <v>0</v>
      </c>
      <c r="AQ134" s="75">
        <f t="shared" si="127"/>
        <v>0</v>
      </c>
      <c r="AR134" s="75"/>
      <c r="AS134" s="75"/>
      <c r="AT134" s="75"/>
      <c r="AU134" s="75"/>
      <c r="AV134" s="75"/>
      <c r="AW134" s="75"/>
      <c r="AX134" s="75"/>
      <c r="AY134" s="77">
        <f t="shared" ca="1" si="1"/>
        <v>0</v>
      </c>
      <c r="AZ134" s="75"/>
      <c r="BA134" s="77">
        <f t="shared" ca="1" si="2"/>
        <v>0</v>
      </c>
      <c r="BB134" s="66"/>
      <c r="BC134" s="4"/>
      <c r="BD134" s="67"/>
      <c r="BE134" s="67"/>
      <c r="BF134" s="68"/>
      <c r="BG134" s="69"/>
      <c r="BH134" s="74"/>
      <c r="BI134" s="68"/>
      <c r="BJ134" s="73"/>
      <c r="BK134" s="78"/>
      <c r="BL134" s="78">
        <f t="shared" ca="1" si="3"/>
        <v>0</v>
      </c>
      <c r="BM134" s="78"/>
      <c r="BN134" s="78">
        <f t="shared" ca="1" si="4"/>
        <v>0</v>
      </c>
      <c r="BO134" s="66"/>
      <c r="BP134" s="66"/>
    </row>
    <row r="135" spans="1:68" ht="13.2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>
        <f t="shared" ref="AP135:AQ135" si="128">AR135+AT135+AV135</f>
        <v>0</v>
      </c>
      <c r="AQ135" s="75">
        <f t="shared" si="128"/>
        <v>0</v>
      </c>
      <c r="AR135" s="75"/>
      <c r="AS135" s="75"/>
      <c r="AT135" s="75"/>
      <c r="AU135" s="75"/>
      <c r="AV135" s="75"/>
      <c r="AW135" s="75"/>
      <c r="AX135" s="75"/>
      <c r="AY135" s="77">
        <f t="shared" ca="1" si="1"/>
        <v>0</v>
      </c>
      <c r="AZ135" s="75"/>
      <c r="BA135" s="77">
        <f t="shared" ca="1" si="2"/>
        <v>0</v>
      </c>
      <c r="BB135" s="66"/>
      <c r="BC135" s="4"/>
      <c r="BD135" s="67"/>
      <c r="BE135" s="67"/>
      <c r="BF135" s="68"/>
      <c r="BG135" s="69"/>
      <c r="BH135" s="74"/>
      <c r="BI135" s="68"/>
      <c r="BJ135" s="73"/>
      <c r="BK135" s="78"/>
      <c r="BL135" s="78">
        <f t="shared" ca="1" si="3"/>
        <v>0</v>
      </c>
      <c r="BM135" s="78"/>
      <c r="BN135" s="78">
        <f t="shared" ca="1" si="4"/>
        <v>0</v>
      </c>
      <c r="BO135" s="66"/>
      <c r="BP135" s="66"/>
    </row>
    <row r="136" spans="1:68" ht="13.2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>
        <f t="shared" ref="AP136:AQ136" si="129">AR136+AT136+AV136</f>
        <v>0</v>
      </c>
      <c r="AQ136" s="75">
        <f t="shared" si="129"/>
        <v>0</v>
      </c>
      <c r="AR136" s="75"/>
      <c r="AS136" s="75"/>
      <c r="AT136" s="75"/>
      <c r="AU136" s="75"/>
      <c r="AV136" s="75"/>
      <c r="AW136" s="75"/>
      <c r="AX136" s="75"/>
      <c r="AY136" s="77">
        <f t="shared" ca="1" si="1"/>
        <v>0</v>
      </c>
      <c r="AZ136" s="75"/>
      <c r="BA136" s="77">
        <f t="shared" ca="1" si="2"/>
        <v>0</v>
      </c>
      <c r="BB136" s="66"/>
      <c r="BC136" s="4"/>
      <c r="BD136" s="67"/>
      <c r="BE136" s="67"/>
      <c r="BF136" s="68"/>
      <c r="BG136" s="69"/>
      <c r="BH136" s="74"/>
      <c r="BI136" s="68"/>
      <c r="BJ136" s="73"/>
      <c r="BK136" s="78"/>
      <c r="BL136" s="78">
        <f t="shared" ca="1" si="3"/>
        <v>0</v>
      </c>
      <c r="BM136" s="78"/>
      <c r="BN136" s="78">
        <f t="shared" ca="1" si="4"/>
        <v>0</v>
      </c>
      <c r="BO136" s="66"/>
      <c r="BP136" s="66"/>
    </row>
    <row r="137" spans="1:68" ht="13.2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>
        <f t="shared" ref="AP137:AQ137" si="130">AR137+AT137+AV137</f>
        <v>0</v>
      </c>
      <c r="AQ137" s="75">
        <f t="shared" si="130"/>
        <v>0</v>
      </c>
      <c r="AR137" s="75"/>
      <c r="AS137" s="75"/>
      <c r="AT137" s="75"/>
      <c r="AU137" s="75"/>
      <c r="AV137" s="75"/>
      <c r="AW137" s="75"/>
      <c r="AX137" s="75"/>
      <c r="AY137" s="77">
        <f t="shared" ca="1" si="1"/>
        <v>0</v>
      </c>
      <c r="AZ137" s="75"/>
      <c r="BA137" s="77">
        <f t="shared" ca="1" si="2"/>
        <v>0</v>
      </c>
      <c r="BB137" s="66"/>
      <c r="BC137" s="4"/>
      <c r="BD137" s="67"/>
      <c r="BE137" s="67"/>
      <c r="BF137" s="68"/>
      <c r="BG137" s="69"/>
      <c r="BH137" s="74"/>
      <c r="BI137" s="68"/>
      <c r="BJ137" s="73"/>
      <c r="BK137" s="78"/>
      <c r="BL137" s="78">
        <f t="shared" ca="1" si="3"/>
        <v>0</v>
      </c>
      <c r="BM137" s="78"/>
      <c r="BN137" s="78">
        <f t="shared" ca="1" si="4"/>
        <v>0</v>
      </c>
      <c r="BO137" s="66"/>
      <c r="BP137" s="66"/>
    </row>
    <row r="138" spans="1:68" ht="13.2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>
        <f t="shared" ref="AP138:AQ138" si="131">AR138+AT138+AV138</f>
        <v>0</v>
      </c>
      <c r="AQ138" s="75">
        <f t="shared" si="131"/>
        <v>0</v>
      </c>
      <c r="AR138" s="75"/>
      <c r="AS138" s="75"/>
      <c r="AT138" s="75"/>
      <c r="AU138" s="75"/>
      <c r="AV138" s="75"/>
      <c r="AW138" s="75"/>
      <c r="AX138" s="75"/>
      <c r="AY138" s="77">
        <f t="shared" ca="1" si="1"/>
        <v>0</v>
      </c>
      <c r="AZ138" s="75"/>
      <c r="BA138" s="77">
        <f t="shared" ca="1" si="2"/>
        <v>0</v>
      </c>
      <c r="BB138" s="66"/>
      <c r="BC138" s="4"/>
      <c r="BD138" s="67"/>
      <c r="BE138" s="67"/>
      <c r="BF138" s="68"/>
      <c r="BG138" s="69"/>
      <c r="BH138" s="74"/>
      <c r="BI138" s="68"/>
      <c r="BJ138" s="73"/>
      <c r="BK138" s="78"/>
      <c r="BL138" s="78">
        <f t="shared" ca="1" si="3"/>
        <v>0</v>
      </c>
      <c r="BM138" s="78"/>
      <c r="BN138" s="78">
        <f t="shared" ca="1" si="4"/>
        <v>0</v>
      </c>
      <c r="BO138" s="66"/>
      <c r="BP138" s="66"/>
    </row>
    <row r="139" spans="1:68" ht="13.2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>
        <f t="shared" ref="AP139:AQ139" si="132">AR139+AT139+AV139</f>
        <v>0</v>
      </c>
      <c r="AQ139" s="75">
        <f t="shared" si="132"/>
        <v>0</v>
      </c>
      <c r="AR139" s="75"/>
      <c r="AS139" s="75"/>
      <c r="AT139" s="75"/>
      <c r="AU139" s="75"/>
      <c r="AV139" s="75"/>
      <c r="AW139" s="75"/>
      <c r="AX139" s="75"/>
      <c r="AY139" s="77">
        <f t="shared" ca="1" si="1"/>
        <v>0</v>
      </c>
      <c r="AZ139" s="75"/>
      <c r="BA139" s="77">
        <f t="shared" ca="1" si="2"/>
        <v>0</v>
      </c>
      <c r="BB139" s="66"/>
      <c r="BC139" s="4"/>
      <c r="BD139" s="67"/>
      <c r="BE139" s="67"/>
      <c r="BF139" s="68"/>
      <c r="BG139" s="69"/>
      <c r="BH139" s="74"/>
      <c r="BI139" s="68"/>
      <c r="BJ139" s="73"/>
      <c r="BK139" s="78"/>
      <c r="BL139" s="78">
        <f t="shared" ca="1" si="3"/>
        <v>0</v>
      </c>
      <c r="BM139" s="78"/>
      <c r="BN139" s="78">
        <f t="shared" ca="1" si="4"/>
        <v>0</v>
      </c>
      <c r="BO139" s="66"/>
      <c r="BP139" s="66"/>
    </row>
    <row r="140" spans="1:68" ht="13.2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>
        <f t="shared" ref="AP140:AQ140" si="133">AR140+AT140+AV140</f>
        <v>0</v>
      </c>
      <c r="AQ140" s="75">
        <f t="shared" si="133"/>
        <v>0</v>
      </c>
      <c r="AR140" s="75"/>
      <c r="AS140" s="75"/>
      <c r="AT140" s="75"/>
      <c r="AU140" s="75"/>
      <c r="AV140" s="75"/>
      <c r="AW140" s="75"/>
      <c r="AX140" s="75"/>
      <c r="AY140" s="77">
        <f t="shared" ca="1" si="1"/>
        <v>0</v>
      </c>
      <c r="AZ140" s="75"/>
      <c r="BA140" s="77">
        <f t="shared" ca="1" si="2"/>
        <v>0</v>
      </c>
      <c r="BB140" s="66"/>
      <c r="BC140" s="4"/>
      <c r="BD140" s="67"/>
      <c r="BE140" s="67"/>
      <c r="BF140" s="68"/>
      <c r="BG140" s="69"/>
      <c r="BH140" s="74"/>
      <c r="BI140" s="68"/>
      <c r="BJ140" s="73"/>
      <c r="BK140" s="78"/>
      <c r="BL140" s="78">
        <f t="shared" ca="1" si="3"/>
        <v>0</v>
      </c>
      <c r="BM140" s="78"/>
      <c r="BN140" s="78">
        <f t="shared" ca="1" si="4"/>
        <v>0</v>
      </c>
      <c r="BO140" s="66"/>
      <c r="BP140" s="66"/>
    </row>
    <row r="141" spans="1:68" ht="13.2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>
        <f t="shared" ref="AP141:AQ141" si="134">AR141+AT141+AV141</f>
        <v>0</v>
      </c>
      <c r="AQ141" s="75">
        <f t="shared" si="134"/>
        <v>0</v>
      </c>
      <c r="AR141" s="75"/>
      <c r="AS141" s="75"/>
      <c r="AT141" s="75"/>
      <c r="AU141" s="75"/>
      <c r="AV141" s="75"/>
      <c r="AW141" s="75"/>
      <c r="AX141" s="75"/>
      <c r="AY141" s="77">
        <f t="shared" ca="1" si="1"/>
        <v>0</v>
      </c>
      <c r="AZ141" s="75"/>
      <c r="BA141" s="77">
        <f t="shared" ca="1" si="2"/>
        <v>0</v>
      </c>
      <c r="BB141" s="66"/>
      <c r="BC141" s="4"/>
      <c r="BD141" s="67"/>
      <c r="BE141" s="67"/>
      <c r="BF141" s="68"/>
      <c r="BG141" s="69"/>
      <c r="BH141" s="74"/>
      <c r="BI141" s="68"/>
      <c r="BJ141" s="73"/>
      <c r="BK141" s="78"/>
      <c r="BL141" s="78">
        <f t="shared" ca="1" si="3"/>
        <v>0</v>
      </c>
      <c r="BM141" s="78"/>
      <c r="BN141" s="78">
        <f t="shared" ca="1" si="4"/>
        <v>0</v>
      </c>
      <c r="BO141" s="66"/>
      <c r="BP141" s="66"/>
    </row>
    <row r="142" spans="1:68" ht="13.2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>
        <f t="shared" ref="AP142:AQ142" si="135">AR142+AT142+AV142</f>
        <v>0</v>
      </c>
      <c r="AQ142" s="75">
        <f t="shared" si="135"/>
        <v>0</v>
      </c>
      <c r="AR142" s="75"/>
      <c r="AS142" s="75"/>
      <c r="AT142" s="75"/>
      <c r="AU142" s="75"/>
      <c r="AV142" s="75"/>
      <c r="AW142" s="75"/>
      <c r="AX142" s="75"/>
      <c r="AY142" s="77">
        <f t="shared" ca="1" si="1"/>
        <v>0</v>
      </c>
      <c r="AZ142" s="75"/>
      <c r="BA142" s="77">
        <f t="shared" ca="1" si="2"/>
        <v>0</v>
      </c>
      <c r="BB142" s="66"/>
      <c r="BC142" s="4"/>
      <c r="BD142" s="67"/>
      <c r="BE142" s="67"/>
      <c r="BF142" s="68"/>
      <c r="BG142" s="69"/>
      <c r="BH142" s="74"/>
      <c r="BI142" s="68"/>
      <c r="BJ142" s="73"/>
      <c r="BK142" s="78"/>
      <c r="BL142" s="78">
        <f t="shared" ca="1" si="3"/>
        <v>0</v>
      </c>
      <c r="BM142" s="78"/>
      <c r="BN142" s="78">
        <f t="shared" ca="1" si="4"/>
        <v>0</v>
      </c>
      <c r="BO142" s="66"/>
      <c r="BP142" s="66"/>
    </row>
    <row r="143" spans="1:68" ht="13.2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>
        <f t="shared" ref="AP143:AQ143" si="136">AR143+AT143+AV143</f>
        <v>0</v>
      </c>
      <c r="AQ143" s="75">
        <f t="shared" si="136"/>
        <v>0</v>
      </c>
      <c r="AR143" s="75"/>
      <c r="AS143" s="75"/>
      <c r="AT143" s="75"/>
      <c r="AU143" s="75"/>
      <c r="AV143" s="75"/>
      <c r="AW143" s="75"/>
      <c r="AX143" s="75"/>
      <c r="AY143" s="77">
        <f t="shared" ca="1" si="1"/>
        <v>0</v>
      </c>
      <c r="AZ143" s="75"/>
      <c r="BA143" s="77">
        <f t="shared" ca="1" si="2"/>
        <v>0</v>
      </c>
      <c r="BB143" s="66"/>
      <c r="BC143" s="4"/>
      <c r="BD143" s="67"/>
      <c r="BE143" s="67"/>
      <c r="BF143" s="68"/>
      <c r="BG143" s="69"/>
      <c r="BH143" s="74"/>
      <c r="BI143" s="68"/>
      <c r="BJ143" s="73"/>
      <c r="BK143" s="78"/>
      <c r="BL143" s="78">
        <f t="shared" ca="1" si="3"/>
        <v>0</v>
      </c>
      <c r="BM143" s="78"/>
      <c r="BN143" s="78">
        <f t="shared" ca="1" si="4"/>
        <v>0</v>
      </c>
      <c r="BO143" s="66"/>
      <c r="BP143" s="66"/>
    </row>
    <row r="144" spans="1:68" ht="13.2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>
        <f t="shared" ref="AP144:AQ144" si="137">AR144+AT144+AV144</f>
        <v>0</v>
      </c>
      <c r="AQ144" s="75">
        <f t="shared" si="137"/>
        <v>0</v>
      </c>
      <c r="AR144" s="75"/>
      <c r="AS144" s="75"/>
      <c r="AT144" s="75"/>
      <c r="AU144" s="75"/>
      <c r="AV144" s="75"/>
      <c r="AW144" s="75"/>
      <c r="AX144" s="75"/>
      <c r="AY144" s="77">
        <f t="shared" ca="1" si="1"/>
        <v>0</v>
      </c>
      <c r="AZ144" s="75"/>
      <c r="BA144" s="77">
        <f t="shared" ca="1" si="2"/>
        <v>0</v>
      </c>
      <c r="BB144" s="66"/>
      <c r="BC144" s="4"/>
      <c r="BD144" s="67"/>
      <c r="BE144" s="67"/>
      <c r="BF144" s="68"/>
      <c r="BG144" s="69"/>
      <c r="BH144" s="74"/>
      <c r="BI144" s="68"/>
      <c r="BJ144" s="73"/>
      <c r="BK144" s="78"/>
      <c r="BL144" s="78">
        <f t="shared" ca="1" si="3"/>
        <v>0</v>
      </c>
      <c r="BM144" s="78"/>
      <c r="BN144" s="78">
        <f t="shared" ca="1" si="4"/>
        <v>0</v>
      </c>
      <c r="BO144" s="66"/>
      <c r="BP144" s="66"/>
    </row>
    <row r="145" spans="1:68" ht="13.2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>
        <f t="shared" ref="AP145:AQ145" si="138">AR145+AT145+AV145</f>
        <v>0</v>
      </c>
      <c r="AQ145" s="75">
        <f t="shared" si="138"/>
        <v>0</v>
      </c>
      <c r="AR145" s="75"/>
      <c r="AS145" s="75"/>
      <c r="AT145" s="75"/>
      <c r="AU145" s="75"/>
      <c r="AV145" s="75"/>
      <c r="AW145" s="75"/>
      <c r="AX145" s="75"/>
      <c r="AY145" s="77">
        <f t="shared" ca="1" si="1"/>
        <v>0</v>
      </c>
      <c r="AZ145" s="75"/>
      <c r="BA145" s="77">
        <f t="shared" ca="1" si="2"/>
        <v>0</v>
      </c>
      <c r="BB145" s="66"/>
      <c r="BC145" s="4"/>
      <c r="BD145" s="67"/>
      <c r="BE145" s="67"/>
      <c r="BF145" s="68"/>
      <c r="BG145" s="69"/>
      <c r="BH145" s="74"/>
      <c r="BI145" s="68"/>
      <c r="BJ145" s="73"/>
      <c r="BK145" s="78"/>
      <c r="BL145" s="78">
        <f t="shared" ca="1" si="3"/>
        <v>0</v>
      </c>
      <c r="BM145" s="78"/>
      <c r="BN145" s="78">
        <f t="shared" ca="1" si="4"/>
        <v>0</v>
      </c>
      <c r="BO145" s="66"/>
      <c r="BP145" s="66"/>
    </row>
    <row r="146" spans="1:68" ht="13.2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>
        <f t="shared" ref="AP146:AQ146" si="139">AR146+AT146+AV146</f>
        <v>0</v>
      </c>
      <c r="AQ146" s="75">
        <f t="shared" si="139"/>
        <v>0</v>
      </c>
      <c r="AR146" s="75"/>
      <c r="AS146" s="75"/>
      <c r="AT146" s="75"/>
      <c r="AU146" s="75"/>
      <c r="AV146" s="75"/>
      <c r="AW146" s="75"/>
      <c r="AX146" s="75"/>
      <c r="AY146" s="77">
        <f t="shared" ca="1" si="1"/>
        <v>0</v>
      </c>
      <c r="AZ146" s="75"/>
      <c r="BA146" s="77">
        <f t="shared" ca="1" si="2"/>
        <v>0</v>
      </c>
      <c r="BB146" s="66"/>
      <c r="BC146" s="4"/>
      <c r="BD146" s="67"/>
      <c r="BE146" s="67"/>
      <c r="BF146" s="68"/>
      <c r="BG146" s="69"/>
      <c r="BH146" s="74"/>
      <c r="BI146" s="68"/>
      <c r="BJ146" s="73"/>
      <c r="BK146" s="78"/>
      <c r="BL146" s="78">
        <f t="shared" ca="1" si="3"/>
        <v>0</v>
      </c>
      <c r="BM146" s="78"/>
      <c r="BN146" s="78">
        <f t="shared" ca="1" si="4"/>
        <v>0</v>
      </c>
      <c r="BO146" s="66"/>
      <c r="BP146" s="66"/>
    </row>
    <row r="147" spans="1:68" ht="13.2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>
        <f t="shared" ref="AP147:AQ147" si="140">AR147+AT147+AV147</f>
        <v>0</v>
      </c>
      <c r="AQ147" s="75">
        <f t="shared" si="140"/>
        <v>0</v>
      </c>
      <c r="AR147" s="75"/>
      <c r="AS147" s="75"/>
      <c r="AT147" s="75"/>
      <c r="AU147" s="75"/>
      <c r="AV147" s="75"/>
      <c r="AW147" s="75"/>
      <c r="AX147" s="75"/>
      <c r="AY147" s="77">
        <f t="shared" ca="1" si="1"/>
        <v>0</v>
      </c>
      <c r="AZ147" s="75"/>
      <c r="BA147" s="77">
        <f t="shared" ca="1" si="2"/>
        <v>0</v>
      </c>
      <c r="BB147" s="66"/>
      <c r="BC147" s="4"/>
      <c r="BD147" s="67"/>
      <c r="BE147" s="67"/>
      <c r="BF147" s="68"/>
      <c r="BG147" s="69"/>
      <c r="BH147" s="74"/>
      <c r="BI147" s="68"/>
      <c r="BJ147" s="73"/>
      <c r="BK147" s="78"/>
      <c r="BL147" s="78">
        <f t="shared" ca="1" si="3"/>
        <v>0</v>
      </c>
      <c r="BM147" s="78"/>
      <c r="BN147" s="78">
        <f t="shared" ca="1" si="4"/>
        <v>0</v>
      </c>
      <c r="BO147" s="66"/>
      <c r="BP147" s="66"/>
    </row>
    <row r="148" spans="1:68" ht="13.2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>
        <f t="shared" ref="AP148:AQ148" si="141">AR148+AT148+AV148</f>
        <v>0</v>
      </c>
      <c r="AQ148" s="75">
        <f t="shared" si="141"/>
        <v>0</v>
      </c>
      <c r="AR148" s="75"/>
      <c r="AS148" s="75"/>
      <c r="AT148" s="75"/>
      <c r="AU148" s="75"/>
      <c r="AV148" s="75"/>
      <c r="AW148" s="75"/>
      <c r="AX148" s="75"/>
      <c r="AY148" s="77">
        <f t="shared" ca="1" si="1"/>
        <v>0</v>
      </c>
      <c r="AZ148" s="75"/>
      <c r="BA148" s="77">
        <f t="shared" ca="1" si="2"/>
        <v>0</v>
      </c>
      <c r="BB148" s="66"/>
      <c r="BC148" s="4"/>
      <c r="BD148" s="67"/>
      <c r="BE148" s="67"/>
      <c r="BF148" s="68"/>
      <c r="BG148" s="69"/>
      <c r="BH148" s="74"/>
      <c r="BI148" s="68"/>
      <c r="BJ148" s="73"/>
      <c r="BK148" s="78"/>
      <c r="BL148" s="78">
        <f t="shared" ca="1" si="3"/>
        <v>0</v>
      </c>
      <c r="BM148" s="78"/>
      <c r="BN148" s="78">
        <f t="shared" ca="1" si="4"/>
        <v>0</v>
      </c>
      <c r="BO148" s="66"/>
      <c r="BP148" s="66"/>
    </row>
    <row r="149" spans="1:68" ht="13.2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>
        <f t="shared" ref="AP149:AQ149" si="142">AR149+AT149+AV149</f>
        <v>0</v>
      </c>
      <c r="AQ149" s="75">
        <f t="shared" si="142"/>
        <v>0</v>
      </c>
      <c r="AR149" s="75"/>
      <c r="AS149" s="75"/>
      <c r="AT149" s="75"/>
      <c r="AU149" s="75"/>
      <c r="AV149" s="75"/>
      <c r="AW149" s="75"/>
      <c r="AX149" s="75"/>
      <c r="AY149" s="77">
        <f t="shared" ca="1" si="1"/>
        <v>0</v>
      </c>
      <c r="AZ149" s="75"/>
      <c r="BA149" s="77">
        <f t="shared" ca="1" si="2"/>
        <v>0</v>
      </c>
      <c r="BB149" s="66"/>
      <c r="BC149" s="4"/>
      <c r="BD149" s="67"/>
      <c r="BE149" s="67"/>
      <c r="BF149" s="68"/>
      <c r="BG149" s="69"/>
      <c r="BH149" s="74"/>
      <c r="BI149" s="68"/>
      <c r="BJ149" s="73"/>
      <c r="BK149" s="78"/>
      <c r="BL149" s="78">
        <f t="shared" ca="1" si="3"/>
        <v>0</v>
      </c>
      <c r="BM149" s="78"/>
      <c r="BN149" s="78">
        <f t="shared" ca="1" si="4"/>
        <v>0</v>
      </c>
      <c r="BO149" s="66"/>
      <c r="BP149" s="66"/>
    </row>
    <row r="150" spans="1:68" ht="13.2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>
        <f t="shared" ref="AP150:AQ150" si="143">AR150+AT150+AV150</f>
        <v>0</v>
      </c>
      <c r="AQ150" s="75">
        <f t="shared" si="143"/>
        <v>0</v>
      </c>
      <c r="AR150" s="75"/>
      <c r="AS150" s="75"/>
      <c r="AT150" s="75"/>
      <c r="AU150" s="75"/>
      <c r="AV150" s="75"/>
      <c r="AW150" s="75"/>
      <c r="AX150" s="75"/>
      <c r="AY150" s="77">
        <f t="shared" ca="1" si="1"/>
        <v>0</v>
      </c>
      <c r="AZ150" s="75"/>
      <c r="BA150" s="77">
        <f t="shared" ca="1" si="2"/>
        <v>0</v>
      </c>
      <c r="BB150" s="66"/>
      <c r="BC150" s="4"/>
      <c r="BD150" s="67"/>
      <c r="BE150" s="67"/>
      <c r="BF150" s="68"/>
      <c r="BG150" s="69"/>
      <c r="BH150" s="74"/>
      <c r="BI150" s="68"/>
      <c r="BJ150" s="73"/>
      <c r="BK150" s="78"/>
      <c r="BL150" s="78">
        <f t="shared" ca="1" si="3"/>
        <v>0</v>
      </c>
      <c r="BM150" s="78"/>
      <c r="BN150" s="78">
        <f t="shared" ca="1" si="4"/>
        <v>0</v>
      </c>
      <c r="BO150" s="66"/>
      <c r="BP150" s="66"/>
    </row>
    <row r="151" spans="1:68" ht="13.2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>
        <f t="shared" ref="AP151:AQ151" si="144">AR151+AT151+AV151</f>
        <v>0</v>
      </c>
      <c r="AQ151" s="75">
        <f t="shared" si="144"/>
        <v>0</v>
      </c>
      <c r="AR151" s="75"/>
      <c r="AS151" s="75"/>
      <c r="AT151" s="75"/>
      <c r="AU151" s="75"/>
      <c r="AV151" s="75"/>
      <c r="AW151" s="75"/>
      <c r="AX151" s="75"/>
      <c r="AY151" s="77">
        <f t="shared" ca="1" si="1"/>
        <v>0</v>
      </c>
      <c r="AZ151" s="75"/>
      <c r="BA151" s="77">
        <f t="shared" ca="1" si="2"/>
        <v>0</v>
      </c>
      <c r="BB151" s="66"/>
      <c r="BC151" s="4"/>
      <c r="BD151" s="67"/>
      <c r="BE151" s="67"/>
      <c r="BF151" s="68"/>
      <c r="BG151" s="69"/>
      <c r="BH151" s="74"/>
      <c r="BI151" s="68"/>
      <c r="BJ151" s="73"/>
      <c r="BK151" s="78"/>
      <c r="BL151" s="78">
        <f t="shared" ca="1" si="3"/>
        <v>0</v>
      </c>
      <c r="BM151" s="78"/>
      <c r="BN151" s="78">
        <f t="shared" ca="1" si="4"/>
        <v>0</v>
      </c>
      <c r="BO151" s="66"/>
      <c r="BP151" s="66"/>
    </row>
    <row r="152" spans="1:68" ht="13.2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>
        <f t="shared" ref="AP152:AQ152" si="145">AR152+AT152+AV152</f>
        <v>0</v>
      </c>
      <c r="AQ152" s="75">
        <f t="shared" si="145"/>
        <v>0</v>
      </c>
      <c r="AR152" s="75"/>
      <c r="AS152" s="75"/>
      <c r="AT152" s="75"/>
      <c r="AU152" s="75"/>
      <c r="AV152" s="75"/>
      <c r="AW152" s="75"/>
      <c r="AX152" s="75"/>
      <c r="AY152" s="77">
        <f t="shared" ca="1" si="1"/>
        <v>0</v>
      </c>
      <c r="AZ152" s="75"/>
      <c r="BA152" s="77">
        <f t="shared" ca="1" si="2"/>
        <v>0</v>
      </c>
      <c r="BB152" s="66"/>
      <c r="BC152" s="4"/>
      <c r="BD152" s="67"/>
      <c r="BE152" s="67"/>
      <c r="BF152" s="68"/>
      <c r="BG152" s="69"/>
      <c r="BH152" s="74"/>
      <c r="BI152" s="68"/>
      <c r="BJ152" s="73"/>
      <c r="BK152" s="78"/>
      <c r="BL152" s="78">
        <f t="shared" ca="1" si="3"/>
        <v>0</v>
      </c>
      <c r="BM152" s="78"/>
      <c r="BN152" s="78">
        <f t="shared" ca="1" si="4"/>
        <v>0</v>
      </c>
      <c r="BO152" s="66"/>
      <c r="BP152" s="66"/>
    </row>
    <row r="153" spans="1:68" ht="13.2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>
        <f t="shared" ref="AP153:AQ153" si="146">AR153+AT153+AV153</f>
        <v>0</v>
      </c>
      <c r="AQ153" s="75">
        <f t="shared" si="146"/>
        <v>0</v>
      </c>
      <c r="AR153" s="75"/>
      <c r="AS153" s="75"/>
      <c r="AT153" s="75"/>
      <c r="AU153" s="75"/>
      <c r="AV153" s="75"/>
      <c r="AW153" s="75"/>
      <c r="AX153" s="75"/>
      <c r="AY153" s="77">
        <f t="shared" ca="1" si="1"/>
        <v>0</v>
      </c>
      <c r="AZ153" s="75"/>
      <c r="BA153" s="77">
        <f t="shared" ca="1" si="2"/>
        <v>0</v>
      </c>
      <c r="BB153" s="66"/>
      <c r="BC153" s="4"/>
      <c r="BD153" s="67"/>
      <c r="BE153" s="67"/>
      <c r="BF153" s="68"/>
      <c r="BG153" s="69"/>
      <c r="BH153" s="74"/>
      <c r="BI153" s="68"/>
      <c r="BJ153" s="73"/>
      <c r="BK153" s="78"/>
      <c r="BL153" s="78">
        <f t="shared" ca="1" si="3"/>
        <v>0</v>
      </c>
      <c r="BM153" s="78"/>
      <c r="BN153" s="78">
        <f t="shared" ca="1" si="4"/>
        <v>0</v>
      </c>
      <c r="BO153" s="66"/>
      <c r="BP153" s="66"/>
    </row>
    <row r="154" spans="1:68" ht="13.2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>
        <f t="shared" ref="AP154:AQ154" si="147">AR154+AT154+AV154</f>
        <v>0</v>
      </c>
      <c r="AQ154" s="75">
        <f t="shared" si="147"/>
        <v>0</v>
      </c>
      <c r="AR154" s="75"/>
      <c r="AS154" s="75"/>
      <c r="AT154" s="75"/>
      <c r="AU154" s="75"/>
      <c r="AV154" s="75"/>
      <c r="AW154" s="75"/>
      <c r="AX154" s="75"/>
      <c r="AY154" s="77">
        <f t="shared" ca="1" si="1"/>
        <v>0</v>
      </c>
      <c r="AZ154" s="75"/>
      <c r="BA154" s="77">
        <f t="shared" ca="1" si="2"/>
        <v>0</v>
      </c>
      <c r="BB154" s="66"/>
      <c r="BC154" s="4"/>
      <c r="BD154" s="67"/>
      <c r="BE154" s="67"/>
      <c r="BF154" s="68"/>
      <c r="BG154" s="69"/>
      <c r="BH154" s="74"/>
      <c r="BI154" s="68"/>
      <c r="BJ154" s="73"/>
      <c r="BK154" s="78"/>
      <c r="BL154" s="78">
        <f t="shared" ca="1" si="3"/>
        <v>0</v>
      </c>
      <c r="BM154" s="78"/>
      <c r="BN154" s="78">
        <f t="shared" ca="1" si="4"/>
        <v>0</v>
      </c>
      <c r="BO154" s="66"/>
      <c r="BP154" s="66"/>
    </row>
    <row r="155" spans="1:68" ht="13.2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>
        <f t="shared" ref="AP155:AQ155" si="148">AR155+AT155+AV155</f>
        <v>0</v>
      </c>
      <c r="AQ155" s="75">
        <f t="shared" si="148"/>
        <v>0</v>
      </c>
      <c r="AR155" s="75"/>
      <c r="AS155" s="75"/>
      <c r="AT155" s="75"/>
      <c r="AU155" s="75"/>
      <c r="AV155" s="75"/>
      <c r="AW155" s="75"/>
      <c r="AX155" s="75"/>
      <c r="AY155" s="77">
        <f t="shared" ca="1" si="1"/>
        <v>0</v>
      </c>
      <c r="AZ155" s="75"/>
      <c r="BA155" s="77">
        <f t="shared" ca="1" si="2"/>
        <v>0</v>
      </c>
      <c r="BB155" s="66"/>
      <c r="BC155" s="4"/>
      <c r="BD155" s="67"/>
      <c r="BE155" s="67"/>
      <c r="BF155" s="68"/>
      <c r="BG155" s="69"/>
      <c r="BH155" s="74"/>
      <c r="BI155" s="68"/>
      <c r="BJ155" s="73"/>
      <c r="BK155" s="78"/>
      <c r="BL155" s="78">
        <f t="shared" ca="1" si="3"/>
        <v>0</v>
      </c>
      <c r="BM155" s="78"/>
      <c r="BN155" s="78">
        <f t="shared" ca="1" si="4"/>
        <v>0</v>
      </c>
      <c r="BO155" s="66"/>
      <c r="BP155" s="66"/>
    </row>
    <row r="156" spans="1:68" ht="13.2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>
        <f t="shared" ref="AP156:AQ156" si="149">AR156+AT156+AV156</f>
        <v>0</v>
      </c>
      <c r="AQ156" s="75">
        <f t="shared" si="149"/>
        <v>0</v>
      </c>
      <c r="AR156" s="75"/>
      <c r="AS156" s="75"/>
      <c r="AT156" s="75"/>
      <c r="AU156" s="75"/>
      <c r="AV156" s="75"/>
      <c r="AW156" s="75"/>
      <c r="AX156" s="75"/>
      <c r="AY156" s="77">
        <f t="shared" ca="1" si="1"/>
        <v>0</v>
      </c>
      <c r="AZ156" s="75"/>
      <c r="BA156" s="77">
        <f t="shared" ca="1" si="2"/>
        <v>0</v>
      </c>
      <c r="BB156" s="66"/>
      <c r="BC156" s="4"/>
      <c r="BD156" s="67"/>
      <c r="BE156" s="67"/>
      <c r="BF156" s="68"/>
      <c r="BG156" s="69"/>
      <c r="BH156" s="74"/>
      <c r="BI156" s="68"/>
      <c r="BJ156" s="73"/>
      <c r="BK156" s="78"/>
      <c r="BL156" s="78">
        <f t="shared" ca="1" si="3"/>
        <v>0</v>
      </c>
      <c r="BM156" s="78"/>
      <c r="BN156" s="78">
        <f t="shared" ca="1" si="4"/>
        <v>0</v>
      </c>
      <c r="BO156" s="66"/>
      <c r="BP156" s="66"/>
    </row>
    <row r="157" spans="1:68" ht="13.2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>
        <f t="shared" ref="AP157:AQ157" si="150">AR157+AT157+AV157</f>
        <v>0</v>
      </c>
      <c r="AQ157" s="75">
        <f t="shared" si="150"/>
        <v>0</v>
      </c>
      <c r="AR157" s="75"/>
      <c r="AS157" s="75"/>
      <c r="AT157" s="75"/>
      <c r="AU157" s="75"/>
      <c r="AV157" s="75"/>
      <c r="AW157" s="75"/>
      <c r="AX157" s="75"/>
      <c r="AY157" s="77">
        <f t="shared" ca="1" si="1"/>
        <v>0</v>
      </c>
      <c r="AZ157" s="75"/>
      <c r="BA157" s="77">
        <f t="shared" ca="1" si="2"/>
        <v>0</v>
      </c>
      <c r="BB157" s="66"/>
      <c r="BC157" s="4"/>
      <c r="BD157" s="67"/>
      <c r="BE157" s="67"/>
      <c r="BF157" s="68"/>
      <c r="BG157" s="69"/>
      <c r="BH157" s="74"/>
      <c r="BI157" s="68"/>
      <c r="BJ157" s="73"/>
      <c r="BK157" s="78"/>
      <c r="BL157" s="78">
        <f t="shared" ca="1" si="3"/>
        <v>0</v>
      </c>
      <c r="BM157" s="78"/>
      <c r="BN157" s="78">
        <f t="shared" ca="1" si="4"/>
        <v>0</v>
      </c>
      <c r="BO157" s="66"/>
      <c r="BP157" s="66"/>
    </row>
    <row r="158" spans="1:68" ht="13.2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>
        <f t="shared" ref="AP158:AQ158" si="151">AR158+AT158+AV158</f>
        <v>0</v>
      </c>
      <c r="AQ158" s="75">
        <f t="shared" si="151"/>
        <v>0</v>
      </c>
      <c r="AR158" s="75"/>
      <c r="AS158" s="75"/>
      <c r="AT158" s="75"/>
      <c r="AU158" s="75"/>
      <c r="AV158" s="75"/>
      <c r="AW158" s="75"/>
      <c r="AX158" s="75"/>
      <c r="AY158" s="77">
        <f t="shared" ca="1" si="1"/>
        <v>0</v>
      </c>
      <c r="AZ158" s="75"/>
      <c r="BA158" s="77">
        <f t="shared" ca="1" si="2"/>
        <v>0</v>
      </c>
      <c r="BB158" s="66"/>
      <c r="BC158" s="4"/>
      <c r="BD158" s="67"/>
      <c r="BE158" s="67"/>
      <c r="BF158" s="68"/>
      <c r="BG158" s="69"/>
      <c r="BH158" s="74"/>
      <c r="BI158" s="68"/>
      <c r="BJ158" s="73"/>
      <c r="BK158" s="78"/>
      <c r="BL158" s="78">
        <f t="shared" ca="1" si="3"/>
        <v>0</v>
      </c>
      <c r="BM158" s="78"/>
      <c r="BN158" s="78">
        <f t="shared" ca="1" si="4"/>
        <v>0</v>
      </c>
      <c r="BO158" s="66"/>
      <c r="BP158" s="66"/>
    </row>
    <row r="159" spans="1:68" ht="13.2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>
        <f t="shared" ref="AP159:AQ159" si="152">AR159+AT159+AV159</f>
        <v>0</v>
      </c>
      <c r="AQ159" s="75">
        <f t="shared" si="152"/>
        <v>0</v>
      </c>
      <c r="AR159" s="75"/>
      <c r="AS159" s="75"/>
      <c r="AT159" s="75"/>
      <c r="AU159" s="75"/>
      <c r="AV159" s="75"/>
      <c r="AW159" s="75"/>
      <c r="AX159" s="75"/>
      <c r="AY159" s="77">
        <f t="shared" ca="1" si="1"/>
        <v>0</v>
      </c>
      <c r="AZ159" s="75"/>
      <c r="BA159" s="77">
        <f t="shared" ca="1" si="2"/>
        <v>0</v>
      </c>
      <c r="BB159" s="66"/>
      <c r="BC159" s="4"/>
      <c r="BD159" s="67"/>
      <c r="BE159" s="67"/>
      <c r="BF159" s="68"/>
      <c r="BG159" s="69"/>
      <c r="BH159" s="74"/>
      <c r="BI159" s="68"/>
      <c r="BJ159" s="73"/>
      <c r="BK159" s="78"/>
      <c r="BL159" s="78">
        <f t="shared" ca="1" si="3"/>
        <v>0</v>
      </c>
      <c r="BM159" s="78"/>
      <c r="BN159" s="78">
        <f t="shared" ca="1" si="4"/>
        <v>0</v>
      </c>
      <c r="BO159" s="66"/>
      <c r="BP159" s="66"/>
    </row>
    <row r="160" spans="1:68" ht="13.2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>
        <f t="shared" ref="AP160:AQ160" si="153">AR160+AT160+AV160</f>
        <v>0</v>
      </c>
      <c r="AQ160" s="75">
        <f t="shared" si="153"/>
        <v>0</v>
      </c>
      <c r="AR160" s="75"/>
      <c r="AS160" s="75"/>
      <c r="AT160" s="75"/>
      <c r="AU160" s="75"/>
      <c r="AV160" s="75"/>
      <c r="AW160" s="75"/>
      <c r="AX160" s="75"/>
      <c r="AY160" s="77">
        <f t="shared" ca="1" si="1"/>
        <v>0</v>
      </c>
      <c r="AZ160" s="75"/>
      <c r="BA160" s="77">
        <f t="shared" ca="1" si="2"/>
        <v>0</v>
      </c>
      <c r="BB160" s="66"/>
      <c r="BC160" s="4"/>
      <c r="BD160" s="67"/>
      <c r="BE160" s="67"/>
      <c r="BF160" s="68"/>
      <c r="BG160" s="69"/>
      <c r="BH160" s="74"/>
      <c r="BI160" s="68"/>
      <c r="BJ160" s="73"/>
      <c r="BK160" s="78"/>
      <c r="BL160" s="78">
        <f t="shared" ca="1" si="3"/>
        <v>0</v>
      </c>
      <c r="BM160" s="78"/>
      <c r="BN160" s="78">
        <f t="shared" ca="1" si="4"/>
        <v>0</v>
      </c>
      <c r="BO160" s="66"/>
      <c r="BP160" s="66"/>
    </row>
    <row r="161" spans="1:68" ht="13.2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>
        <f t="shared" ref="AP161:AQ161" si="154">AR161+AT161+AV161</f>
        <v>0</v>
      </c>
      <c r="AQ161" s="75">
        <f t="shared" si="154"/>
        <v>0</v>
      </c>
      <c r="AR161" s="75"/>
      <c r="AS161" s="75"/>
      <c r="AT161" s="75"/>
      <c r="AU161" s="75"/>
      <c r="AV161" s="75"/>
      <c r="AW161" s="75"/>
      <c r="AX161" s="75"/>
      <c r="AY161" s="77">
        <f t="shared" ca="1" si="1"/>
        <v>0</v>
      </c>
      <c r="AZ161" s="75"/>
      <c r="BA161" s="77">
        <f t="shared" ca="1" si="2"/>
        <v>0</v>
      </c>
      <c r="BB161" s="66"/>
      <c r="BC161" s="4"/>
      <c r="BD161" s="67"/>
      <c r="BE161" s="67"/>
      <c r="BF161" s="68"/>
      <c r="BG161" s="69"/>
      <c r="BH161" s="74"/>
      <c r="BI161" s="68"/>
      <c r="BJ161" s="73"/>
      <c r="BK161" s="78"/>
      <c r="BL161" s="78">
        <f t="shared" ca="1" si="3"/>
        <v>0</v>
      </c>
      <c r="BM161" s="78"/>
      <c r="BN161" s="78">
        <f t="shared" ca="1" si="4"/>
        <v>0</v>
      </c>
      <c r="BO161" s="66"/>
      <c r="BP161" s="66"/>
    </row>
    <row r="162" spans="1:68" ht="13.2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>
        <f t="shared" ref="AP162:AQ162" si="155">AR162+AT162+AV162</f>
        <v>0</v>
      </c>
      <c r="AQ162" s="75">
        <f t="shared" si="155"/>
        <v>0</v>
      </c>
      <c r="AR162" s="75"/>
      <c r="AS162" s="75"/>
      <c r="AT162" s="75"/>
      <c r="AU162" s="75"/>
      <c r="AV162" s="75"/>
      <c r="AW162" s="75"/>
      <c r="AX162" s="75"/>
      <c r="AY162" s="77">
        <f t="shared" ca="1" si="1"/>
        <v>0</v>
      </c>
      <c r="AZ162" s="75"/>
      <c r="BA162" s="77">
        <f t="shared" ca="1" si="2"/>
        <v>0</v>
      </c>
      <c r="BB162" s="66"/>
      <c r="BC162" s="4"/>
      <c r="BD162" s="67"/>
      <c r="BE162" s="67"/>
      <c r="BF162" s="68"/>
      <c r="BG162" s="69"/>
      <c r="BH162" s="74"/>
      <c r="BI162" s="68"/>
      <c r="BJ162" s="73"/>
      <c r="BK162" s="78"/>
      <c r="BL162" s="78">
        <f t="shared" ca="1" si="3"/>
        <v>0</v>
      </c>
      <c r="BM162" s="78"/>
      <c r="BN162" s="78">
        <f t="shared" ca="1" si="4"/>
        <v>0</v>
      </c>
      <c r="BO162" s="66"/>
      <c r="BP162" s="66"/>
    </row>
    <row r="163" spans="1:68" ht="13.2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>
        <f t="shared" ref="AP163:AQ163" si="156">AR163+AT163+AV163</f>
        <v>0</v>
      </c>
      <c r="AQ163" s="75">
        <f t="shared" si="156"/>
        <v>0</v>
      </c>
      <c r="AR163" s="75"/>
      <c r="AS163" s="75"/>
      <c r="AT163" s="75"/>
      <c r="AU163" s="75"/>
      <c r="AV163" s="75"/>
      <c r="AW163" s="75"/>
      <c r="AX163" s="75"/>
      <c r="AY163" s="77">
        <f t="shared" ca="1" si="1"/>
        <v>0</v>
      </c>
      <c r="AZ163" s="75"/>
      <c r="BA163" s="77">
        <f t="shared" ca="1" si="2"/>
        <v>0</v>
      </c>
      <c r="BB163" s="66"/>
      <c r="BC163" s="4"/>
      <c r="BD163" s="67"/>
      <c r="BE163" s="67"/>
      <c r="BF163" s="68"/>
      <c r="BG163" s="69"/>
      <c r="BH163" s="74"/>
      <c r="BI163" s="68"/>
      <c r="BJ163" s="73"/>
      <c r="BK163" s="78"/>
      <c r="BL163" s="78">
        <f t="shared" ca="1" si="3"/>
        <v>0</v>
      </c>
      <c r="BM163" s="78"/>
      <c r="BN163" s="78">
        <f t="shared" ca="1" si="4"/>
        <v>0</v>
      </c>
      <c r="BO163" s="66"/>
      <c r="BP163" s="66"/>
    </row>
    <row r="164" spans="1:68" ht="13.2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>
        <f t="shared" ref="AP164:AQ164" si="157">AR164+AT164+AV164</f>
        <v>0</v>
      </c>
      <c r="AQ164" s="75">
        <f t="shared" si="157"/>
        <v>0</v>
      </c>
      <c r="AR164" s="75"/>
      <c r="AS164" s="75"/>
      <c r="AT164" s="75"/>
      <c r="AU164" s="75"/>
      <c r="AV164" s="75"/>
      <c r="AW164" s="75"/>
      <c r="AX164" s="75"/>
      <c r="AY164" s="77">
        <f t="shared" ca="1" si="1"/>
        <v>0</v>
      </c>
      <c r="AZ164" s="75"/>
      <c r="BA164" s="77">
        <f t="shared" ca="1" si="2"/>
        <v>0</v>
      </c>
      <c r="BB164" s="66"/>
      <c r="BC164" s="4"/>
      <c r="BD164" s="67"/>
      <c r="BE164" s="67"/>
      <c r="BF164" s="68"/>
      <c r="BG164" s="69"/>
      <c r="BH164" s="74"/>
      <c r="BI164" s="68"/>
      <c r="BJ164" s="73"/>
      <c r="BK164" s="78"/>
      <c r="BL164" s="78">
        <f t="shared" ca="1" si="3"/>
        <v>0</v>
      </c>
      <c r="BM164" s="78"/>
      <c r="BN164" s="78">
        <f t="shared" ca="1" si="4"/>
        <v>0</v>
      </c>
      <c r="BO164" s="66"/>
      <c r="BP164" s="66"/>
    </row>
    <row r="165" spans="1:68" ht="13.2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>
        <f t="shared" ref="AP165:AQ165" si="158">AR165+AT165+AV165</f>
        <v>0</v>
      </c>
      <c r="AQ165" s="75">
        <f t="shared" si="158"/>
        <v>0</v>
      </c>
      <c r="AR165" s="75"/>
      <c r="AS165" s="75"/>
      <c r="AT165" s="75"/>
      <c r="AU165" s="75"/>
      <c r="AV165" s="75"/>
      <c r="AW165" s="75"/>
      <c r="AX165" s="75"/>
      <c r="AY165" s="77">
        <f t="shared" ca="1" si="1"/>
        <v>0</v>
      </c>
      <c r="AZ165" s="75"/>
      <c r="BA165" s="77">
        <f t="shared" ca="1" si="2"/>
        <v>0</v>
      </c>
      <c r="BB165" s="66"/>
      <c r="BC165" s="4"/>
      <c r="BD165" s="67"/>
      <c r="BE165" s="67"/>
      <c r="BF165" s="68"/>
      <c r="BG165" s="69"/>
      <c r="BH165" s="74"/>
      <c r="BI165" s="68"/>
      <c r="BJ165" s="73"/>
      <c r="BK165" s="78"/>
      <c r="BL165" s="78">
        <f t="shared" ca="1" si="3"/>
        <v>0</v>
      </c>
      <c r="BM165" s="78"/>
      <c r="BN165" s="78">
        <f t="shared" ca="1" si="4"/>
        <v>0</v>
      </c>
      <c r="BO165" s="66"/>
      <c r="BP165" s="66"/>
    </row>
    <row r="166" spans="1:68" ht="13.2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>
        <f t="shared" ref="AP166:AQ166" si="159">AR166+AT166+AV166</f>
        <v>0</v>
      </c>
      <c r="AQ166" s="75">
        <f t="shared" si="159"/>
        <v>0</v>
      </c>
      <c r="AR166" s="75"/>
      <c r="AS166" s="75"/>
      <c r="AT166" s="75"/>
      <c r="AU166" s="75"/>
      <c r="AV166" s="75"/>
      <c r="AW166" s="75"/>
      <c r="AX166" s="75"/>
      <c r="AY166" s="77">
        <f t="shared" ca="1" si="1"/>
        <v>0</v>
      </c>
      <c r="AZ166" s="75"/>
      <c r="BA166" s="77">
        <f t="shared" ca="1" si="2"/>
        <v>0</v>
      </c>
      <c r="BB166" s="66"/>
      <c r="BC166" s="4"/>
      <c r="BD166" s="67"/>
      <c r="BE166" s="67"/>
      <c r="BF166" s="68"/>
      <c r="BG166" s="69"/>
      <c r="BH166" s="74"/>
      <c r="BI166" s="68"/>
      <c r="BJ166" s="73"/>
      <c r="BK166" s="78"/>
      <c r="BL166" s="78">
        <f t="shared" ca="1" si="3"/>
        <v>0</v>
      </c>
      <c r="BM166" s="78"/>
      <c r="BN166" s="78">
        <f t="shared" ca="1" si="4"/>
        <v>0</v>
      </c>
      <c r="BO166" s="66"/>
      <c r="BP166" s="66"/>
    </row>
    <row r="167" spans="1:68" ht="13.2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>
        <f t="shared" ref="AP167:AQ167" si="160">AR167+AT167+AV167</f>
        <v>0</v>
      </c>
      <c r="AQ167" s="75">
        <f t="shared" si="160"/>
        <v>0</v>
      </c>
      <c r="AR167" s="75"/>
      <c r="AS167" s="75"/>
      <c r="AT167" s="75"/>
      <c r="AU167" s="75"/>
      <c r="AV167" s="75"/>
      <c r="AW167" s="75"/>
      <c r="AX167" s="75"/>
      <c r="AY167" s="77">
        <f t="shared" ca="1" si="1"/>
        <v>0</v>
      </c>
      <c r="AZ167" s="75"/>
      <c r="BA167" s="77">
        <f t="shared" ca="1" si="2"/>
        <v>0</v>
      </c>
      <c r="BB167" s="66"/>
      <c r="BC167" s="4"/>
      <c r="BD167" s="67"/>
      <c r="BE167" s="67"/>
      <c r="BF167" s="68"/>
      <c r="BG167" s="69"/>
      <c r="BH167" s="74"/>
      <c r="BI167" s="68"/>
      <c r="BJ167" s="73"/>
      <c r="BK167" s="78"/>
      <c r="BL167" s="78">
        <f t="shared" ca="1" si="3"/>
        <v>0</v>
      </c>
      <c r="BM167" s="78"/>
      <c r="BN167" s="78">
        <f t="shared" ca="1" si="4"/>
        <v>0</v>
      </c>
      <c r="BO167" s="66"/>
      <c r="BP167" s="66"/>
    </row>
    <row r="168" spans="1:68" ht="13.2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>
        <f t="shared" ref="AP168:AQ168" si="161">AR168+AT168+AV168</f>
        <v>0</v>
      </c>
      <c r="AQ168" s="75">
        <f t="shared" si="161"/>
        <v>0</v>
      </c>
      <c r="AR168" s="75"/>
      <c r="AS168" s="75"/>
      <c r="AT168" s="75"/>
      <c r="AU168" s="75"/>
      <c r="AV168" s="75"/>
      <c r="AW168" s="75"/>
      <c r="AX168" s="75"/>
      <c r="AY168" s="77">
        <f t="shared" ca="1" si="1"/>
        <v>0</v>
      </c>
      <c r="AZ168" s="75"/>
      <c r="BA168" s="77">
        <f t="shared" ca="1" si="2"/>
        <v>0</v>
      </c>
      <c r="BB168" s="66"/>
      <c r="BC168" s="4"/>
      <c r="BD168" s="67"/>
      <c r="BE168" s="67"/>
      <c r="BF168" s="68"/>
      <c r="BG168" s="69"/>
      <c r="BH168" s="74"/>
      <c r="BI168" s="68"/>
      <c r="BJ168" s="73"/>
      <c r="BK168" s="78"/>
      <c r="BL168" s="78">
        <f t="shared" ca="1" si="3"/>
        <v>0</v>
      </c>
      <c r="BM168" s="78"/>
      <c r="BN168" s="78">
        <f t="shared" ca="1" si="4"/>
        <v>0</v>
      </c>
      <c r="BO168" s="66"/>
      <c r="BP168" s="66"/>
    </row>
    <row r="169" spans="1:68" ht="13.2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>
        <f t="shared" ref="AP169:AQ169" si="162">AR169+AT169+AV169</f>
        <v>0</v>
      </c>
      <c r="AQ169" s="75">
        <f t="shared" si="162"/>
        <v>0</v>
      </c>
      <c r="AR169" s="75"/>
      <c r="AS169" s="75"/>
      <c r="AT169" s="75"/>
      <c r="AU169" s="75"/>
      <c r="AV169" s="75"/>
      <c r="AW169" s="75"/>
      <c r="AX169" s="75"/>
      <c r="AY169" s="77">
        <f t="shared" ca="1" si="1"/>
        <v>0</v>
      </c>
      <c r="AZ169" s="75"/>
      <c r="BA169" s="77">
        <f t="shared" ca="1" si="2"/>
        <v>0</v>
      </c>
      <c r="BB169" s="66"/>
      <c r="BC169" s="4"/>
      <c r="BD169" s="67"/>
      <c r="BE169" s="67"/>
      <c r="BF169" s="68"/>
      <c r="BG169" s="69"/>
      <c r="BH169" s="74"/>
      <c r="BI169" s="68"/>
      <c r="BJ169" s="73"/>
      <c r="BK169" s="78"/>
      <c r="BL169" s="78">
        <f t="shared" ca="1" si="3"/>
        <v>0</v>
      </c>
      <c r="BM169" s="78"/>
      <c r="BN169" s="78">
        <f t="shared" ca="1" si="4"/>
        <v>0</v>
      </c>
      <c r="BO169" s="66"/>
      <c r="BP169" s="66"/>
    </row>
    <row r="170" spans="1:68" ht="13.2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>
        <f t="shared" ref="AP170:AQ170" si="163">AR170+AT170+AV170</f>
        <v>0</v>
      </c>
      <c r="AQ170" s="75">
        <f t="shared" si="163"/>
        <v>0</v>
      </c>
      <c r="AR170" s="75"/>
      <c r="AS170" s="75"/>
      <c r="AT170" s="75"/>
      <c r="AU170" s="75"/>
      <c r="AV170" s="75"/>
      <c r="AW170" s="75"/>
      <c r="AX170" s="75"/>
      <c r="AY170" s="77">
        <f t="shared" ca="1" si="1"/>
        <v>0</v>
      </c>
      <c r="AZ170" s="75"/>
      <c r="BA170" s="77">
        <f t="shared" ca="1" si="2"/>
        <v>0</v>
      </c>
      <c r="BB170" s="66"/>
      <c r="BC170" s="4"/>
      <c r="BD170" s="67"/>
      <c r="BE170" s="67"/>
      <c r="BF170" s="68"/>
      <c r="BG170" s="69"/>
      <c r="BH170" s="74"/>
      <c r="BI170" s="68"/>
      <c r="BJ170" s="73"/>
      <c r="BK170" s="78"/>
      <c r="BL170" s="78">
        <f t="shared" ca="1" si="3"/>
        <v>0</v>
      </c>
      <c r="BM170" s="78"/>
      <c r="BN170" s="78">
        <f t="shared" ca="1" si="4"/>
        <v>0</v>
      </c>
      <c r="BO170" s="66"/>
      <c r="BP170" s="66"/>
    </row>
    <row r="171" spans="1:68" ht="13.2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>
        <f t="shared" ref="AP171:AQ171" si="164">AR171+AT171+AV171</f>
        <v>0</v>
      </c>
      <c r="AQ171" s="75">
        <f t="shared" si="164"/>
        <v>0</v>
      </c>
      <c r="AR171" s="75"/>
      <c r="AS171" s="75"/>
      <c r="AT171" s="75"/>
      <c r="AU171" s="75"/>
      <c r="AV171" s="75"/>
      <c r="AW171" s="75"/>
      <c r="AX171" s="75"/>
      <c r="AY171" s="77">
        <f t="shared" ca="1" si="1"/>
        <v>0</v>
      </c>
      <c r="AZ171" s="75"/>
      <c r="BA171" s="77">
        <f t="shared" ca="1" si="2"/>
        <v>0</v>
      </c>
      <c r="BB171" s="66"/>
      <c r="BC171" s="4"/>
      <c r="BD171" s="67"/>
      <c r="BE171" s="67"/>
      <c r="BF171" s="68"/>
      <c r="BG171" s="69"/>
      <c r="BH171" s="74"/>
      <c r="BI171" s="68"/>
      <c r="BJ171" s="73"/>
      <c r="BK171" s="78"/>
      <c r="BL171" s="78">
        <f t="shared" ca="1" si="3"/>
        <v>0</v>
      </c>
      <c r="BM171" s="78"/>
      <c r="BN171" s="78">
        <f t="shared" ca="1" si="4"/>
        <v>0</v>
      </c>
      <c r="BO171" s="66"/>
      <c r="BP171" s="66"/>
    </row>
    <row r="172" spans="1:68" ht="13.2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>
        <f t="shared" ref="AP172:AQ172" si="165">AR172+AT172+AV172</f>
        <v>0</v>
      </c>
      <c r="AQ172" s="75">
        <f t="shared" si="165"/>
        <v>0</v>
      </c>
      <c r="AR172" s="75"/>
      <c r="AS172" s="75"/>
      <c r="AT172" s="75"/>
      <c r="AU172" s="75"/>
      <c r="AV172" s="75"/>
      <c r="AW172" s="75"/>
      <c r="AX172" s="75"/>
      <c r="AY172" s="77">
        <f t="shared" ca="1" si="1"/>
        <v>0</v>
      </c>
      <c r="AZ172" s="75"/>
      <c r="BA172" s="77">
        <f t="shared" ca="1" si="2"/>
        <v>0</v>
      </c>
      <c r="BB172" s="66"/>
      <c r="BC172" s="4"/>
      <c r="BD172" s="67"/>
      <c r="BE172" s="67"/>
      <c r="BF172" s="68"/>
      <c r="BG172" s="69"/>
      <c r="BH172" s="74"/>
      <c r="BI172" s="68"/>
      <c r="BJ172" s="73"/>
      <c r="BK172" s="78"/>
      <c r="BL172" s="78">
        <f t="shared" ca="1" si="3"/>
        <v>0</v>
      </c>
      <c r="BM172" s="78"/>
      <c r="BN172" s="78">
        <f t="shared" ca="1" si="4"/>
        <v>0</v>
      </c>
      <c r="BO172" s="66"/>
      <c r="BP172" s="66"/>
    </row>
    <row r="173" spans="1:68" ht="13.2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>
        <f t="shared" ref="AP173:AQ173" si="166">AR173+AT173+AV173</f>
        <v>0</v>
      </c>
      <c r="AQ173" s="75">
        <f t="shared" si="166"/>
        <v>0</v>
      </c>
      <c r="AR173" s="75"/>
      <c r="AS173" s="75"/>
      <c r="AT173" s="75"/>
      <c r="AU173" s="75"/>
      <c r="AV173" s="75"/>
      <c r="AW173" s="75"/>
      <c r="AX173" s="75"/>
      <c r="AY173" s="77">
        <f t="shared" ca="1" si="1"/>
        <v>0</v>
      </c>
      <c r="AZ173" s="75"/>
      <c r="BA173" s="77">
        <f t="shared" ca="1" si="2"/>
        <v>0</v>
      </c>
      <c r="BB173" s="66"/>
      <c r="BC173" s="4"/>
      <c r="BD173" s="67"/>
      <c r="BE173" s="67"/>
      <c r="BF173" s="68"/>
      <c r="BG173" s="69"/>
      <c r="BH173" s="74"/>
      <c r="BI173" s="68"/>
      <c r="BJ173" s="73"/>
      <c r="BK173" s="78"/>
      <c r="BL173" s="78">
        <f t="shared" ca="1" si="3"/>
        <v>0</v>
      </c>
      <c r="BM173" s="78"/>
      <c r="BN173" s="78">
        <f t="shared" ca="1" si="4"/>
        <v>0</v>
      </c>
      <c r="BO173" s="66"/>
      <c r="BP173" s="66"/>
    </row>
    <row r="174" spans="1:68" ht="13.2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>
        <f t="shared" ref="AP174:AQ174" si="167">AR174+AT174+AV174</f>
        <v>0</v>
      </c>
      <c r="AQ174" s="75">
        <f t="shared" si="167"/>
        <v>0</v>
      </c>
      <c r="AR174" s="75"/>
      <c r="AS174" s="75"/>
      <c r="AT174" s="75"/>
      <c r="AU174" s="75"/>
      <c r="AV174" s="75"/>
      <c r="AW174" s="75"/>
      <c r="AX174" s="75"/>
      <c r="AY174" s="77">
        <f t="shared" ca="1" si="1"/>
        <v>0</v>
      </c>
      <c r="AZ174" s="75"/>
      <c r="BA174" s="77">
        <f t="shared" ca="1" si="2"/>
        <v>0</v>
      </c>
      <c r="BB174" s="66"/>
      <c r="BC174" s="4"/>
      <c r="BD174" s="67"/>
      <c r="BE174" s="67"/>
      <c r="BF174" s="68"/>
      <c r="BG174" s="69"/>
      <c r="BH174" s="74"/>
      <c r="BI174" s="68"/>
      <c r="BJ174" s="73"/>
      <c r="BK174" s="78"/>
      <c r="BL174" s="78">
        <f t="shared" ca="1" si="3"/>
        <v>0</v>
      </c>
      <c r="BM174" s="78"/>
      <c r="BN174" s="78">
        <f t="shared" ca="1" si="4"/>
        <v>0</v>
      </c>
      <c r="BO174" s="66"/>
      <c r="BP174" s="66"/>
    </row>
    <row r="175" spans="1:68" ht="13.2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>
        <f t="shared" ref="AP175:AQ175" si="168">AR175+AT175+AV175</f>
        <v>0</v>
      </c>
      <c r="AQ175" s="75">
        <f t="shared" si="168"/>
        <v>0</v>
      </c>
      <c r="AR175" s="75"/>
      <c r="AS175" s="75"/>
      <c r="AT175" s="75"/>
      <c r="AU175" s="75"/>
      <c r="AV175" s="75"/>
      <c r="AW175" s="75"/>
      <c r="AX175" s="75"/>
      <c r="AY175" s="77">
        <f t="shared" ca="1" si="1"/>
        <v>0</v>
      </c>
      <c r="AZ175" s="75"/>
      <c r="BA175" s="77">
        <f t="shared" ca="1" si="2"/>
        <v>0</v>
      </c>
      <c r="BB175" s="66"/>
      <c r="BC175" s="4"/>
      <c r="BD175" s="67"/>
      <c r="BE175" s="67"/>
      <c r="BF175" s="68"/>
      <c r="BG175" s="69"/>
      <c r="BH175" s="74"/>
      <c r="BI175" s="68"/>
      <c r="BJ175" s="73"/>
      <c r="BK175" s="78"/>
      <c r="BL175" s="78">
        <f t="shared" ca="1" si="3"/>
        <v>0</v>
      </c>
      <c r="BM175" s="78"/>
      <c r="BN175" s="78">
        <f t="shared" ca="1" si="4"/>
        <v>0</v>
      </c>
      <c r="BO175" s="66"/>
      <c r="BP175" s="66"/>
    </row>
    <row r="176" spans="1:68" ht="13.2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>
        <f t="shared" ref="AP176:AQ176" si="169">AR176+AT176+AV176</f>
        <v>0</v>
      </c>
      <c r="AQ176" s="75">
        <f t="shared" si="169"/>
        <v>0</v>
      </c>
      <c r="AR176" s="75"/>
      <c r="AS176" s="75"/>
      <c r="AT176" s="75"/>
      <c r="AU176" s="75"/>
      <c r="AV176" s="75"/>
      <c r="AW176" s="75"/>
      <c r="AX176" s="75"/>
      <c r="AY176" s="77">
        <f t="shared" ca="1" si="1"/>
        <v>0</v>
      </c>
      <c r="AZ176" s="75"/>
      <c r="BA176" s="77">
        <f t="shared" ca="1" si="2"/>
        <v>0</v>
      </c>
      <c r="BB176" s="66"/>
      <c r="BC176" s="4"/>
      <c r="BD176" s="67"/>
      <c r="BE176" s="67"/>
      <c r="BF176" s="68"/>
      <c r="BG176" s="69"/>
      <c r="BH176" s="74"/>
      <c r="BI176" s="68"/>
      <c r="BJ176" s="73"/>
      <c r="BK176" s="78"/>
      <c r="BL176" s="78">
        <f t="shared" ca="1" si="3"/>
        <v>0</v>
      </c>
      <c r="BM176" s="78"/>
      <c r="BN176" s="78">
        <f t="shared" ca="1" si="4"/>
        <v>0</v>
      </c>
      <c r="BO176" s="66"/>
      <c r="BP176" s="66"/>
    </row>
    <row r="177" spans="1:68" ht="13.2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>
        <f t="shared" ref="AP177:AQ177" si="170">AR177+AT177+AV177</f>
        <v>0</v>
      </c>
      <c r="AQ177" s="75">
        <f t="shared" si="170"/>
        <v>0</v>
      </c>
      <c r="AR177" s="75"/>
      <c r="AS177" s="75"/>
      <c r="AT177" s="75"/>
      <c r="AU177" s="75"/>
      <c r="AV177" s="75"/>
      <c r="AW177" s="75"/>
      <c r="AX177" s="75"/>
      <c r="AY177" s="77">
        <f t="shared" ca="1" si="1"/>
        <v>0</v>
      </c>
      <c r="AZ177" s="75"/>
      <c r="BA177" s="77">
        <f t="shared" ca="1" si="2"/>
        <v>0</v>
      </c>
      <c r="BB177" s="66"/>
      <c r="BC177" s="4"/>
      <c r="BD177" s="67"/>
      <c r="BE177" s="67"/>
      <c r="BF177" s="68"/>
      <c r="BG177" s="69"/>
      <c r="BH177" s="74"/>
      <c r="BI177" s="68"/>
      <c r="BJ177" s="73"/>
      <c r="BK177" s="78"/>
      <c r="BL177" s="78">
        <f t="shared" ca="1" si="3"/>
        <v>0</v>
      </c>
      <c r="BM177" s="78"/>
      <c r="BN177" s="78">
        <f t="shared" ca="1" si="4"/>
        <v>0</v>
      </c>
      <c r="BO177" s="66"/>
      <c r="BP177" s="66"/>
    </row>
    <row r="178" spans="1:68" ht="13.2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>
        <f t="shared" ref="AP178:AQ178" si="171">AR178+AT178+AV178</f>
        <v>0</v>
      </c>
      <c r="AQ178" s="75">
        <f t="shared" si="171"/>
        <v>0</v>
      </c>
      <c r="AR178" s="75"/>
      <c r="AS178" s="75"/>
      <c r="AT178" s="75"/>
      <c r="AU178" s="75"/>
      <c r="AV178" s="75"/>
      <c r="AW178" s="75"/>
      <c r="AX178" s="75"/>
      <c r="AY178" s="77">
        <f t="shared" ca="1" si="1"/>
        <v>0</v>
      </c>
      <c r="AZ178" s="75"/>
      <c r="BA178" s="77">
        <f t="shared" ca="1" si="2"/>
        <v>0</v>
      </c>
      <c r="BB178" s="66"/>
      <c r="BC178" s="4"/>
      <c r="BD178" s="67"/>
      <c r="BE178" s="67"/>
      <c r="BF178" s="68"/>
      <c r="BG178" s="69"/>
      <c r="BH178" s="74"/>
      <c r="BI178" s="68"/>
      <c r="BJ178" s="73"/>
      <c r="BK178" s="78"/>
      <c r="BL178" s="78">
        <f t="shared" ca="1" si="3"/>
        <v>0</v>
      </c>
      <c r="BM178" s="78"/>
      <c r="BN178" s="78">
        <f t="shared" ca="1" si="4"/>
        <v>0</v>
      </c>
      <c r="BO178" s="66"/>
      <c r="BP178" s="66"/>
    </row>
    <row r="179" spans="1:68" ht="13.2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>
        <f t="shared" ref="AP179:AQ179" si="172">AR179+AT179+AV179</f>
        <v>0</v>
      </c>
      <c r="AQ179" s="75">
        <f t="shared" si="172"/>
        <v>0</v>
      </c>
      <c r="AR179" s="75"/>
      <c r="AS179" s="75"/>
      <c r="AT179" s="75"/>
      <c r="AU179" s="75"/>
      <c r="AV179" s="75"/>
      <c r="AW179" s="75"/>
      <c r="AX179" s="75"/>
      <c r="AY179" s="77">
        <f t="shared" ca="1" si="1"/>
        <v>0</v>
      </c>
      <c r="AZ179" s="75"/>
      <c r="BA179" s="77">
        <f t="shared" ca="1" si="2"/>
        <v>0</v>
      </c>
      <c r="BB179" s="66"/>
      <c r="BC179" s="4"/>
      <c r="BD179" s="67"/>
      <c r="BE179" s="67"/>
      <c r="BF179" s="68"/>
      <c r="BG179" s="69"/>
      <c r="BH179" s="74"/>
      <c r="BI179" s="68"/>
      <c r="BJ179" s="73"/>
      <c r="BK179" s="78"/>
      <c r="BL179" s="78">
        <f t="shared" ca="1" si="3"/>
        <v>0</v>
      </c>
      <c r="BM179" s="78"/>
      <c r="BN179" s="78">
        <f t="shared" ca="1" si="4"/>
        <v>0</v>
      </c>
      <c r="BO179" s="66"/>
      <c r="BP179" s="66"/>
    </row>
    <row r="180" spans="1:68" ht="13.2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>
        <f t="shared" ref="AP180:AQ180" si="173">AR180+AT180+AV180</f>
        <v>0</v>
      </c>
      <c r="AQ180" s="75">
        <f t="shared" si="173"/>
        <v>0</v>
      </c>
      <c r="AR180" s="75"/>
      <c r="AS180" s="75"/>
      <c r="AT180" s="75"/>
      <c r="AU180" s="75"/>
      <c r="AV180" s="75"/>
      <c r="AW180" s="75"/>
      <c r="AX180" s="75"/>
      <c r="AY180" s="77">
        <f t="shared" ca="1" si="1"/>
        <v>0</v>
      </c>
      <c r="AZ180" s="75"/>
      <c r="BA180" s="77">
        <f t="shared" ca="1" si="2"/>
        <v>0</v>
      </c>
      <c r="BB180" s="66"/>
      <c r="BC180" s="4"/>
      <c r="BD180" s="67"/>
      <c r="BE180" s="67"/>
      <c r="BF180" s="68"/>
      <c r="BG180" s="69"/>
      <c r="BH180" s="74"/>
      <c r="BI180" s="68"/>
      <c r="BJ180" s="73"/>
      <c r="BK180" s="78"/>
      <c r="BL180" s="78">
        <f t="shared" ca="1" si="3"/>
        <v>0</v>
      </c>
      <c r="BM180" s="78"/>
      <c r="BN180" s="78">
        <f t="shared" ca="1" si="4"/>
        <v>0</v>
      </c>
      <c r="BO180" s="66"/>
      <c r="BP180" s="66"/>
    </row>
    <row r="181" spans="1:68" ht="13.2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>
        <f t="shared" ref="AP181:AQ181" si="174">AR181+AT181+AV181</f>
        <v>0</v>
      </c>
      <c r="AQ181" s="75">
        <f t="shared" si="174"/>
        <v>0</v>
      </c>
      <c r="AR181" s="75"/>
      <c r="AS181" s="75"/>
      <c r="AT181" s="75"/>
      <c r="AU181" s="75"/>
      <c r="AV181" s="75"/>
      <c r="AW181" s="75"/>
      <c r="AX181" s="75"/>
      <c r="AY181" s="77">
        <f t="shared" ca="1" si="1"/>
        <v>0</v>
      </c>
      <c r="AZ181" s="75"/>
      <c r="BA181" s="77">
        <f t="shared" ca="1" si="2"/>
        <v>0</v>
      </c>
      <c r="BB181" s="66"/>
      <c r="BC181" s="4"/>
      <c r="BD181" s="67"/>
      <c r="BE181" s="67"/>
      <c r="BF181" s="68"/>
      <c r="BG181" s="69"/>
      <c r="BH181" s="74"/>
      <c r="BI181" s="68"/>
      <c r="BJ181" s="73"/>
      <c r="BK181" s="78"/>
      <c r="BL181" s="78">
        <f t="shared" ca="1" si="3"/>
        <v>0</v>
      </c>
      <c r="BM181" s="78"/>
      <c r="BN181" s="78">
        <f t="shared" ca="1" si="4"/>
        <v>0</v>
      </c>
      <c r="BO181" s="66"/>
      <c r="BP181" s="66"/>
    </row>
    <row r="182" spans="1:68" ht="13.2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>
        <f t="shared" ref="AP182:AQ182" si="175">AR182+AT182+AV182</f>
        <v>0</v>
      </c>
      <c r="AQ182" s="75">
        <f t="shared" si="175"/>
        <v>0</v>
      </c>
      <c r="AR182" s="75"/>
      <c r="AS182" s="75"/>
      <c r="AT182" s="75"/>
      <c r="AU182" s="75"/>
      <c r="AV182" s="75"/>
      <c r="AW182" s="75"/>
      <c r="AX182" s="75"/>
      <c r="AY182" s="77">
        <f t="shared" ca="1" si="1"/>
        <v>0</v>
      </c>
      <c r="AZ182" s="75"/>
      <c r="BA182" s="77">
        <f t="shared" ca="1" si="2"/>
        <v>0</v>
      </c>
      <c r="BB182" s="66"/>
      <c r="BC182" s="4"/>
      <c r="BD182" s="67"/>
      <c r="BE182" s="67"/>
      <c r="BF182" s="68"/>
      <c r="BG182" s="69"/>
      <c r="BH182" s="74"/>
      <c r="BI182" s="68"/>
      <c r="BJ182" s="73"/>
      <c r="BK182" s="78"/>
      <c r="BL182" s="78">
        <f t="shared" ca="1" si="3"/>
        <v>0</v>
      </c>
      <c r="BM182" s="78"/>
      <c r="BN182" s="78">
        <f t="shared" ca="1" si="4"/>
        <v>0</v>
      </c>
      <c r="BO182" s="66"/>
      <c r="BP182" s="66"/>
    </row>
    <row r="183" spans="1:68" ht="13.2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>
        <f t="shared" ref="AP183:AQ183" si="176">AR183+AT183+AV183</f>
        <v>0</v>
      </c>
      <c r="AQ183" s="75">
        <f t="shared" si="176"/>
        <v>0</v>
      </c>
      <c r="AR183" s="75"/>
      <c r="AS183" s="75"/>
      <c r="AT183" s="75"/>
      <c r="AU183" s="75"/>
      <c r="AV183" s="75"/>
      <c r="AW183" s="75"/>
      <c r="AX183" s="75"/>
      <c r="AY183" s="77">
        <f t="shared" ca="1" si="1"/>
        <v>0</v>
      </c>
      <c r="AZ183" s="75"/>
      <c r="BA183" s="77">
        <f t="shared" ca="1" si="2"/>
        <v>0</v>
      </c>
      <c r="BB183" s="66"/>
      <c r="BC183" s="4"/>
      <c r="BD183" s="67"/>
      <c r="BE183" s="67"/>
      <c r="BF183" s="68"/>
      <c r="BG183" s="69"/>
      <c r="BH183" s="74"/>
      <c r="BI183" s="68"/>
      <c r="BJ183" s="73"/>
      <c r="BK183" s="78"/>
      <c r="BL183" s="78">
        <f t="shared" ca="1" si="3"/>
        <v>0</v>
      </c>
      <c r="BM183" s="78"/>
      <c r="BN183" s="78">
        <f t="shared" ca="1" si="4"/>
        <v>0</v>
      </c>
      <c r="BO183" s="66"/>
      <c r="BP183" s="66"/>
    </row>
    <row r="184" spans="1:68" ht="13.2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>
        <f t="shared" ref="AP184:AQ184" si="177">AR184+AT184+AV184</f>
        <v>0</v>
      </c>
      <c r="AQ184" s="75">
        <f t="shared" si="177"/>
        <v>0</v>
      </c>
      <c r="AR184" s="75"/>
      <c r="AS184" s="75"/>
      <c r="AT184" s="75"/>
      <c r="AU184" s="75"/>
      <c r="AV184" s="75"/>
      <c r="AW184" s="75"/>
      <c r="AX184" s="75"/>
      <c r="AY184" s="77">
        <f t="shared" ca="1" si="1"/>
        <v>0</v>
      </c>
      <c r="AZ184" s="75"/>
      <c r="BA184" s="77">
        <f t="shared" ca="1" si="2"/>
        <v>0</v>
      </c>
      <c r="BB184" s="66"/>
      <c r="BC184" s="4"/>
      <c r="BD184" s="67"/>
      <c r="BE184" s="67"/>
      <c r="BF184" s="68"/>
      <c r="BG184" s="69"/>
      <c r="BH184" s="74"/>
      <c r="BI184" s="68"/>
      <c r="BJ184" s="73"/>
      <c r="BK184" s="78"/>
      <c r="BL184" s="78">
        <f t="shared" ca="1" si="3"/>
        <v>0</v>
      </c>
      <c r="BM184" s="78"/>
      <c r="BN184" s="78">
        <f t="shared" ca="1" si="4"/>
        <v>0</v>
      </c>
      <c r="BO184" s="66"/>
      <c r="BP184" s="66"/>
    </row>
    <row r="185" spans="1:68" ht="13.2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>
        <f t="shared" ref="AP185:AQ185" si="178">AR185+AT185+AV185</f>
        <v>0</v>
      </c>
      <c r="AQ185" s="75">
        <f t="shared" si="178"/>
        <v>0</v>
      </c>
      <c r="AR185" s="75"/>
      <c r="AS185" s="75"/>
      <c r="AT185" s="75"/>
      <c r="AU185" s="75"/>
      <c r="AV185" s="75"/>
      <c r="AW185" s="75"/>
      <c r="AX185" s="75"/>
      <c r="AY185" s="77">
        <f t="shared" ca="1" si="1"/>
        <v>0</v>
      </c>
      <c r="AZ185" s="75"/>
      <c r="BA185" s="77">
        <f t="shared" ca="1" si="2"/>
        <v>0</v>
      </c>
      <c r="BB185" s="66"/>
      <c r="BC185" s="4"/>
      <c r="BD185" s="67"/>
      <c r="BE185" s="67"/>
      <c r="BF185" s="68"/>
      <c r="BG185" s="69"/>
      <c r="BH185" s="74"/>
      <c r="BI185" s="68"/>
      <c r="BJ185" s="73"/>
      <c r="BK185" s="78"/>
      <c r="BL185" s="78">
        <f t="shared" ca="1" si="3"/>
        <v>0</v>
      </c>
      <c r="BM185" s="78"/>
      <c r="BN185" s="78">
        <f t="shared" ca="1" si="4"/>
        <v>0</v>
      </c>
      <c r="BO185" s="66"/>
      <c r="BP185" s="66"/>
    </row>
    <row r="186" spans="1:68" ht="13.2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>
        <f t="shared" ref="AP186:AQ186" si="179">AR186+AT186+AV186</f>
        <v>0</v>
      </c>
      <c r="AQ186" s="75">
        <f t="shared" si="179"/>
        <v>0</v>
      </c>
      <c r="AR186" s="75"/>
      <c r="AS186" s="75"/>
      <c r="AT186" s="75"/>
      <c r="AU186" s="75"/>
      <c r="AV186" s="75"/>
      <c r="AW186" s="75"/>
      <c r="AX186" s="75"/>
      <c r="AY186" s="77">
        <f t="shared" ca="1" si="1"/>
        <v>0</v>
      </c>
      <c r="AZ186" s="75"/>
      <c r="BA186" s="77">
        <f t="shared" ca="1" si="2"/>
        <v>0</v>
      </c>
      <c r="BB186" s="66"/>
      <c r="BC186" s="4"/>
      <c r="BD186" s="67"/>
      <c r="BE186" s="67"/>
      <c r="BF186" s="68"/>
      <c r="BG186" s="69"/>
      <c r="BH186" s="74"/>
      <c r="BI186" s="68"/>
      <c r="BJ186" s="73"/>
      <c r="BK186" s="78"/>
      <c r="BL186" s="78">
        <f t="shared" ca="1" si="3"/>
        <v>0</v>
      </c>
      <c r="BM186" s="78"/>
      <c r="BN186" s="78">
        <f t="shared" ca="1" si="4"/>
        <v>0</v>
      </c>
      <c r="BO186" s="66"/>
      <c r="BP186" s="66"/>
    </row>
    <row r="187" spans="1:68" ht="13.2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>
        <f t="shared" ref="AP187:AQ187" si="180">AR187+AT187+AV187</f>
        <v>0</v>
      </c>
      <c r="AQ187" s="75">
        <f t="shared" si="180"/>
        <v>0</v>
      </c>
      <c r="AR187" s="75"/>
      <c r="AS187" s="75"/>
      <c r="AT187" s="75"/>
      <c r="AU187" s="75"/>
      <c r="AV187" s="75"/>
      <c r="AW187" s="75"/>
      <c r="AX187" s="75"/>
      <c r="AY187" s="77">
        <f t="shared" ca="1" si="1"/>
        <v>0</v>
      </c>
      <c r="AZ187" s="75"/>
      <c r="BA187" s="77">
        <f t="shared" ca="1" si="2"/>
        <v>0</v>
      </c>
      <c r="BB187" s="66"/>
      <c r="BC187" s="4"/>
      <c r="BD187" s="67"/>
      <c r="BE187" s="67"/>
      <c r="BF187" s="68"/>
      <c r="BG187" s="69"/>
      <c r="BH187" s="74"/>
      <c r="BI187" s="68"/>
      <c r="BJ187" s="73"/>
      <c r="BK187" s="78"/>
      <c r="BL187" s="78">
        <f t="shared" ca="1" si="3"/>
        <v>0</v>
      </c>
      <c r="BM187" s="78"/>
      <c r="BN187" s="78">
        <f t="shared" ca="1" si="4"/>
        <v>0</v>
      </c>
      <c r="BO187" s="66"/>
      <c r="BP187" s="66"/>
    </row>
    <row r="188" spans="1:68" ht="13.2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>
        <f t="shared" ref="AP188:AQ188" si="181">AR188+AT188+AV188</f>
        <v>0</v>
      </c>
      <c r="AQ188" s="75">
        <f t="shared" si="181"/>
        <v>0</v>
      </c>
      <c r="AR188" s="75"/>
      <c r="AS188" s="75"/>
      <c r="AT188" s="75"/>
      <c r="AU188" s="75"/>
      <c r="AV188" s="75"/>
      <c r="AW188" s="75"/>
      <c r="AX188" s="75"/>
      <c r="AY188" s="77">
        <f t="shared" ca="1" si="1"/>
        <v>0</v>
      </c>
      <c r="AZ188" s="75"/>
      <c r="BA188" s="77">
        <f t="shared" ca="1" si="2"/>
        <v>0</v>
      </c>
      <c r="BB188" s="66"/>
      <c r="BC188" s="4"/>
      <c r="BD188" s="67"/>
      <c r="BE188" s="67"/>
      <c r="BF188" s="68"/>
      <c r="BG188" s="69"/>
      <c r="BH188" s="74"/>
      <c r="BI188" s="68"/>
      <c r="BJ188" s="73"/>
      <c r="BK188" s="78"/>
      <c r="BL188" s="78">
        <f t="shared" ca="1" si="3"/>
        <v>0</v>
      </c>
      <c r="BM188" s="78"/>
      <c r="BN188" s="78">
        <f t="shared" ca="1" si="4"/>
        <v>0</v>
      </c>
      <c r="BO188" s="66"/>
      <c r="BP188" s="66"/>
    </row>
    <row r="189" spans="1:68" ht="13.2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>
        <f t="shared" ref="AP189:AQ189" si="182">AR189+AT189+AV189</f>
        <v>0</v>
      </c>
      <c r="AQ189" s="75">
        <f t="shared" si="182"/>
        <v>0</v>
      </c>
      <c r="AR189" s="75"/>
      <c r="AS189" s="75"/>
      <c r="AT189" s="75"/>
      <c r="AU189" s="75"/>
      <c r="AV189" s="75"/>
      <c r="AW189" s="75"/>
      <c r="AX189" s="75"/>
      <c r="AY189" s="77">
        <f t="shared" ca="1" si="1"/>
        <v>0</v>
      </c>
      <c r="AZ189" s="75"/>
      <c r="BA189" s="77">
        <f t="shared" ca="1" si="2"/>
        <v>0</v>
      </c>
      <c r="BB189" s="66"/>
      <c r="BC189" s="4"/>
      <c r="BD189" s="67"/>
      <c r="BE189" s="67"/>
      <c r="BF189" s="68"/>
      <c r="BG189" s="69"/>
      <c r="BH189" s="74"/>
      <c r="BI189" s="68"/>
      <c r="BJ189" s="73"/>
      <c r="BK189" s="78"/>
      <c r="BL189" s="78">
        <f t="shared" ca="1" si="3"/>
        <v>0</v>
      </c>
      <c r="BM189" s="78"/>
      <c r="BN189" s="78">
        <f t="shared" ca="1" si="4"/>
        <v>0</v>
      </c>
      <c r="BO189" s="66"/>
      <c r="BP189" s="66"/>
    </row>
    <row r="190" spans="1:68" ht="13.2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>
        <f t="shared" ref="AP190:AQ190" si="183">AR190+AT190+AV190</f>
        <v>0</v>
      </c>
      <c r="AQ190" s="75">
        <f t="shared" si="183"/>
        <v>0</v>
      </c>
      <c r="AR190" s="75"/>
      <c r="AS190" s="75"/>
      <c r="AT190" s="75"/>
      <c r="AU190" s="75"/>
      <c r="AV190" s="75"/>
      <c r="AW190" s="75"/>
      <c r="AX190" s="75"/>
      <c r="AY190" s="77">
        <f t="shared" ca="1" si="1"/>
        <v>0</v>
      </c>
      <c r="AZ190" s="75"/>
      <c r="BA190" s="77">
        <f t="shared" ca="1" si="2"/>
        <v>0</v>
      </c>
      <c r="BB190" s="66"/>
      <c r="BC190" s="4"/>
      <c r="BD190" s="67"/>
      <c r="BE190" s="67"/>
      <c r="BF190" s="68"/>
      <c r="BG190" s="69"/>
      <c r="BH190" s="74"/>
      <c r="BI190" s="68"/>
      <c r="BJ190" s="73"/>
      <c r="BK190" s="78"/>
      <c r="BL190" s="78">
        <f t="shared" ca="1" si="3"/>
        <v>0</v>
      </c>
      <c r="BM190" s="78"/>
      <c r="BN190" s="78">
        <f t="shared" ca="1" si="4"/>
        <v>0</v>
      </c>
      <c r="BO190" s="66"/>
      <c r="BP190" s="66"/>
    </row>
    <row r="191" spans="1:68" ht="13.2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>
        <f t="shared" ref="AP191:AQ191" si="184">AR191+AT191+AV191</f>
        <v>0</v>
      </c>
      <c r="AQ191" s="75">
        <f t="shared" si="184"/>
        <v>0</v>
      </c>
      <c r="AR191" s="75"/>
      <c r="AS191" s="75"/>
      <c r="AT191" s="75"/>
      <c r="AU191" s="75"/>
      <c r="AV191" s="75"/>
      <c r="AW191" s="75"/>
      <c r="AX191" s="75"/>
      <c r="AY191" s="77">
        <f t="shared" ca="1" si="1"/>
        <v>0</v>
      </c>
      <c r="AZ191" s="75"/>
      <c r="BA191" s="77">
        <f t="shared" ca="1" si="2"/>
        <v>0</v>
      </c>
      <c r="BB191" s="66"/>
      <c r="BC191" s="4"/>
      <c r="BD191" s="67"/>
      <c r="BE191" s="67"/>
      <c r="BF191" s="68"/>
      <c r="BG191" s="69"/>
      <c r="BH191" s="74"/>
      <c r="BI191" s="68"/>
      <c r="BJ191" s="73"/>
      <c r="BK191" s="78"/>
      <c r="BL191" s="78">
        <f t="shared" ca="1" si="3"/>
        <v>0</v>
      </c>
      <c r="BM191" s="78"/>
      <c r="BN191" s="78">
        <f t="shared" ca="1" si="4"/>
        <v>0</v>
      </c>
      <c r="BO191" s="66"/>
      <c r="BP191" s="66"/>
    </row>
    <row r="192" spans="1:68" ht="13.2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>
        <f t="shared" ref="AP192:AQ192" si="185">AR192+AT192+AV192</f>
        <v>0</v>
      </c>
      <c r="AQ192" s="75">
        <f t="shared" si="185"/>
        <v>0</v>
      </c>
      <c r="AR192" s="75"/>
      <c r="AS192" s="75"/>
      <c r="AT192" s="75"/>
      <c r="AU192" s="75"/>
      <c r="AV192" s="75"/>
      <c r="AW192" s="75"/>
      <c r="AX192" s="75"/>
      <c r="AY192" s="77">
        <f t="shared" ca="1" si="1"/>
        <v>0</v>
      </c>
      <c r="AZ192" s="75"/>
      <c r="BA192" s="77">
        <f t="shared" ca="1" si="2"/>
        <v>0</v>
      </c>
      <c r="BB192" s="66"/>
      <c r="BC192" s="4"/>
      <c r="BD192" s="67"/>
      <c r="BE192" s="67"/>
      <c r="BF192" s="68"/>
      <c r="BG192" s="69"/>
      <c r="BH192" s="74"/>
      <c r="BI192" s="68"/>
      <c r="BJ192" s="73"/>
      <c r="BK192" s="78"/>
      <c r="BL192" s="78">
        <f t="shared" ca="1" si="3"/>
        <v>0</v>
      </c>
      <c r="BM192" s="78"/>
      <c r="BN192" s="78">
        <f t="shared" ca="1" si="4"/>
        <v>0</v>
      </c>
      <c r="BO192" s="66"/>
      <c r="BP192" s="66"/>
    </row>
    <row r="193" spans="1:68" ht="13.2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>
        <f t="shared" ref="AP193:AQ193" si="186">AR193+AT193+AV193</f>
        <v>0</v>
      </c>
      <c r="AQ193" s="75">
        <f t="shared" si="186"/>
        <v>0</v>
      </c>
      <c r="AR193" s="75"/>
      <c r="AS193" s="75"/>
      <c r="AT193" s="75"/>
      <c r="AU193" s="75"/>
      <c r="AV193" s="75"/>
      <c r="AW193" s="75"/>
      <c r="AX193" s="75"/>
      <c r="AY193" s="77">
        <f t="shared" ca="1" si="1"/>
        <v>0</v>
      </c>
      <c r="AZ193" s="75"/>
      <c r="BA193" s="77">
        <f t="shared" ca="1" si="2"/>
        <v>0</v>
      </c>
      <c r="BB193" s="66"/>
      <c r="BC193" s="4"/>
      <c r="BD193" s="67"/>
      <c r="BE193" s="67"/>
      <c r="BF193" s="68"/>
      <c r="BG193" s="69"/>
      <c r="BH193" s="74"/>
      <c r="BI193" s="68"/>
      <c r="BJ193" s="73"/>
      <c r="BK193" s="78"/>
      <c r="BL193" s="78">
        <f t="shared" ca="1" si="3"/>
        <v>0</v>
      </c>
      <c r="BM193" s="78"/>
      <c r="BN193" s="78">
        <f t="shared" ca="1" si="4"/>
        <v>0</v>
      </c>
      <c r="BO193" s="66"/>
      <c r="BP193" s="66"/>
    </row>
    <row r="194" spans="1:68" ht="13.2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>
        <f t="shared" ref="AP194:AQ194" si="187">AR194+AT194+AV194</f>
        <v>0</v>
      </c>
      <c r="AQ194" s="75">
        <f t="shared" si="187"/>
        <v>0</v>
      </c>
      <c r="AR194" s="75"/>
      <c r="AS194" s="75"/>
      <c r="AT194" s="75"/>
      <c r="AU194" s="75"/>
      <c r="AV194" s="75"/>
      <c r="AW194" s="75"/>
      <c r="AX194" s="75"/>
      <c r="AY194" s="77">
        <f t="shared" ca="1" si="1"/>
        <v>0</v>
      </c>
      <c r="AZ194" s="75"/>
      <c r="BA194" s="77">
        <f t="shared" ca="1" si="2"/>
        <v>0</v>
      </c>
      <c r="BB194" s="66"/>
      <c r="BC194" s="4"/>
      <c r="BD194" s="67"/>
      <c r="BE194" s="67"/>
      <c r="BF194" s="68"/>
      <c r="BG194" s="69"/>
      <c r="BH194" s="74"/>
      <c r="BI194" s="68"/>
      <c r="BJ194" s="73"/>
      <c r="BK194" s="78"/>
      <c r="BL194" s="78">
        <f t="shared" ca="1" si="3"/>
        <v>0</v>
      </c>
      <c r="BM194" s="78"/>
      <c r="BN194" s="78">
        <f t="shared" ca="1" si="4"/>
        <v>0</v>
      </c>
      <c r="BO194" s="66"/>
      <c r="BP194" s="66"/>
    </row>
    <row r="195" spans="1:68" ht="13.2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>
        <f t="shared" ref="AP195:AQ195" si="188">AR195+AT195+AV195</f>
        <v>0</v>
      </c>
      <c r="AQ195" s="75">
        <f t="shared" si="188"/>
        <v>0</v>
      </c>
      <c r="AR195" s="75"/>
      <c r="AS195" s="75"/>
      <c r="AT195" s="75"/>
      <c r="AU195" s="75"/>
      <c r="AV195" s="75"/>
      <c r="AW195" s="75"/>
      <c r="AX195" s="75"/>
      <c r="AY195" s="77">
        <f t="shared" ca="1" si="1"/>
        <v>0</v>
      </c>
      <c r="AZ195" s="75"/>
      <c r="BA195" s="77">
        <f t="shared" ca="1" si="2"/>
        <v>0</v>
      </c>
      <c r="BB195" s="66"/>
      <c r="BC195" s="4"/>
      <c r="BD195" s="67"/>
      <c r="BE195" s="67"/>
      <c r="BF195" s="68"/>
      <c r="BG195" s="69"/>
      <c r="BH195" s="74"/>
      <c r="BI195" s="68"/>
      <c r="BJ195" s="73"/>
      <c r="BK195" s="78"/>
      <c r="BL195" s="78">
        <f t="shared" ca="1" si="3"/>
        <v>0</v>
      </c>
      <c r="BM195" s="78"/>
      <c r="BN195" s="78">
        <f t="shared" ca="1" si="4"/>
        <v>0</v>
      </c>
      <c r="BO195" s="66"/>
      <c r="BP195" s="66"/>
    </row>
    <row r="196" spans="1:68" ht="13.2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>
        <f t="shared" ref="AP196:AQ196" si="189">AR196+AT196+AV196</f>
        <v>0</v>
      </c>
      <c r="AQ196" s="75">
        <f t="shared" si="189"/>
        <v>0</v>
      </c>
      <c r="AR196" s="75"/>
      <c r="AS196" s="75"/>
      <c r="AT196" s="75"/>
      <c r="AU196" s="75"/>
      <c r="AV196" s="75"/>
      <c r="AW196" s="75"/>
      <c r="AX196" s="75"/>
      <c r="AY196" s="77">
        <f t="shared" ca="1" si="1"/>
        <v>0</v>
      </c>
      <c r="AZ196" s="75"/>
      <c r="BA196" s="77">
        <f t="shared" ca="1" si="2"/>
        <v>0</v>
      </c>
      <c r="BB196" s="66"/>
      <c r="BC196" s="4"/>
      <c r="BD196" s="67"/>
      <c r="BE196" s="67"/>
      <c r="BF196" s="68"/>
      <c r="BG196" s="69"/>
      <c r="BH196" s="74"/>
      <c r="BI196" s="68"/>
      <c r="BJ196" s="73"/>
      <c r="BK196" s="78"/>
      <c r="BL196" s="78">
        <f t="shared" ca="1" si="3"/>
        <v>0</v>
      </c>
      <c r="BM196" s="78"/>
      <c r="BN196" s="78">
        <f t="shared" ca="1" si="4"/>
        <v>0</v>
      </c>
      <c r="BO196" s="66"/>
      <c r="BP196" s="66"/>
    </row>
    <row r="197" spans="1:68" ht="13.2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>
        <f t="shared" ref="AP197:AQ197" si="190">AR197+AT197+AV197</f>
        <v>0</v>
      </c>
      <c r="AQ197" s="75">
        <f t="shared" si="190"/>
        <v>0</v>
      </c>
      <c r="AR197" s="75"/>
      <c r="AS197" s="75"/>
      <c r="AT197" s="75"/>
      <c r="AU197" s="75"/>
      <c r="AV197" s="75"/>
      <c r="AW197" s="75"/>
      <c r="AX197" s="75"/>
      <c r="AY197" s="77">
        <f t="shared" ca="1" si="1"/>
        <v>0</v>
      </c>
      <c r="AZ197" s="75"/>
      <c r="BA197" s="77">
        <f t="shared" ca="1" si="2"/>
        <v>0</v>
      </c>
      <c r="BB197" s="66"/>
      <c r="BC197" s="4"/>
      <c r="BD197" s="67"/>
      <c r="BE197" s="67"/>
      <c r="BF197" s="68"/>
      <c r="BG197" s="69"/>
      <c r="BH197" s="74"/>
      <c r="BI197" s="68"/>
      <c r="BJ197" s="73"/>
      <c r="BK197" s="78"/>
      <c r="BL197" s="78">
        <f t="shared" ca="1" si="3"/>
        <v>0</v>
      </c>
      <c r="BM197" s="78"/>
      <c r="BN197" s="78">
        <f t="shared" ca="1" si="4"/>
        <v>0</v>
      </c>
      <c r="BO197" s="66"/>
      <c r="BP197" s="66"/>
    </row>
    <row r="198" spans="1:68" ht="13.2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>
        <f t="shared" ref="AP198:AQ198" si="191">AR198+AT198+AV198</f>
        <v>0</v>
      </c>
      <c r="AQ198" s="75">
        <f t="shared" si="191"/>
        <v>0</v>
      </c>
      <c r="AR198" s="75"/>
      <c r="AS198" s="75"/>
      <c r="AT198" s="75"/>
      <c r="AU198" s="75"/>
      <c r="AV198" s="75"/>
      <c r="AW198" s="75"/>
      <c r="AX198" s="75"/>
      <c r="AY198" s="77">
        <f t="shared" ca="1" si="1"/>
        <v>0</v>
      </c>
      <c r="AZ198" s="75"/>
      <c r="BA198" s="77">
        <f t="shared" ca="1" si="2"/>
        <v>0</v>
      </c>
      <c r="BB198" s="66"/>
      <c r="BC198" s="4"/>
      <c r="BD198" s="67"/>
      <c r="BE198" s="67"/>
      <c r="BF198" s="68"/>
      <c r="BG198" s="69"/>
      <c r="BH198" s="74"/>
      <c r="BI198" s="68"/>
      <c r="BJ198" s="73"/>
      <c r="BK198" s="78"/>
      <c r="BL198" s="78">
        <f t="shared" ca="1" si="3"/>
        <v>0</v>
      </c>
      <c r="BM198" s="78"/>
      <c r="BN198" s="78">
        <f t="shared" ca="1" si="4"/>
        <v>0</v>
      </c>
      <c r="BO198" s="66"/>
      <c r="BP198" s="66"/>
    </row>
    <row r="199" spans="1:68" ht="13.2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>
        <f t="shared" ref="AP199:AQ199" si="192">AR199+AT199+AV199</f>
        <v>0</v>
      </c>
      <c r="AQ199" s="75">
        <f t="shared" si="192"/>
        <v>0</v>
      </c>
      <c r="AR199" s="75"/>
      <c r="AS199" s="75"/>
      <c r="AT199" s="75"/>
      <c r="AU199" s="75"/>
      <c r="AV199" s="75"/>
      <c r="AW199" s="75"/>
      <c r="AX199" s="75"/>
      <c r="AY199" s="77">
        <f t="shared" ca="1" si="1"/>
        <v>0</v>
      </c>
      <c r="AZ199" s="75"/>
      <c r="BA199" s="77">
        <f t="shared" ca="1" si="2"/>
        <v>0</v>
      </c>
      <c r="BB199" s="66"/>
      <c r="BC199" s="4"/>
      <c r="BD199" s="67"/>
      <c r="BE199" s="67"/>
      <c r="BF199" s="68"/>
      <c r="BG199" s="69"/>
      <c r="BH199" s="74"/>
      <c r="BI199" s="68"/>
      <c r="BJ199" s="73"/>
      <c r="BK199" s="78"/>
      <c r="BL199" s="78">
        <f t="shared" ca="1" si="3"/>
        <v>0</v>
      </c>
      <c r="BM199" s="78"/>
      <c r="BN199" s="78">
        <f t="shared" ca="1" si="4"/>
        <v>0</v>
      </c>
      <c r="BO199" s="66"/>
      <c r="BP199" s="66"/>
    </row>
    <row r="200" spans="1:68" ht="13.2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>
        <f t="shared" ref="AP200:AQ200" si="193">AR200+AT200+AV200</f>
        <v>0</v>
      </c>
      <c r="AQ200" s="75">
        <f t="shared" si="193"/>
        <v>0</v>
      </c>
      <c r="AR200" s="75"/>
      <c r="AS200" s="75"/>
      <c r="AT200" s="75"/>
      <c r="AU200" s="75"/>
      <c r="AV200" s="75"/>
      <c r="AW200" s="75"/>
      <c r="AX200" s="75"/>
      <c r="AY200" s="77">
        <f t="shared" ca="1" si="1"/>
        <v>0</v>
      </c>
      <c r="AZ200" s="75"/>
      <c r="BA200" s="77">
        <f t="shared" ca="1" si="2"/>
        <v>0</v>
      </c>
      <c r="BB200" s="66"/>
      <c r="BC200" s="4"/>
      <c r="BD200" s="67"/>
      <c r="BE200" s="67"/>
      <c r="BF200" s="68"/>
      <c r="BG200" s="69"/>
      <c r="BH200" s="74"/>
      <c r="BI200" s="68"/>
      <c r="BJ200" s="73"/>
      <c r="BK200" s="78"/>
      <c r="BL200" s="78">
        <f t="shared" ca="1" si="3"/>
        <v>0</v>
      </c>
      <c r="BM200" s="78"/>
      <c r="BN200" s="78">
        <f t="shared" ca="1" si="4"/>
        <v>0</v>
      </c>
      <c r="BO200" s="66"/>
      <c r="BP200" s="66"/>
    </row>
    <row r="201" spans="1:68" ht="13.2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>
        <f t="shared" ref="AP201:AQ201" si="194">AR201+AT201+AV201</f>
        <v>0</v>
      </c>
      <c r="AQ201" s="75">
        <f t="shared" si="194"/>
        <v>0</v>
      </c>
      <c r="AR201" s="75"/>
      <c r="AS201" s="75"/>
      <c r="AT201" s="75"/>
      <c r="AU201" s="75"/>
      <c r="AV201" s="75"/>
      <c r="AW201" s="75"/>
      <c r="AX201" s="75"/>
      <c r="AY201" s="77">
        <f t="shared" ca="1" si="1"/>
        <v>0</v>
      </c>
      <c r="AZ201" s="75"/>
      <c r="BA201" s="77">
        <f t="shared" ca="1" si="2"/>
        <v>0</v>
      </c>
      <c r="BB201" s="66"/>
      <c r="BC201" s="4"/>
      <c r="BD201" s="67"/>
      <c r="BE201" s="67"/>
      <c r="BF201" s="68"/>
      <c r="BG201" s="69"/>
      <c r="BH201" s="74"/>
      <c r="BI201" s="68"/>
      <c r="BJ201" s="73"/>
      <c r="BK201" s="78"/>
      <c r="BL201" s="78">
        <f t="shared" ca="1" si="3"/>
        <v>0</v>
      </c>
      <c r="BM201" s="78"/>
      <c r="BN201" s="78">
        <f t="shared" ca="1" si="4"/>
        <v>0</v>
      </c>
      <c r="BO201" s="66"/>
      <c r="BP201" s="66"/>
    </row>
    <row r="202" spans="1:68" ht="13.2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>
        <f t="shared" ref="AP202:AQ202" si="195">AR202+AT202+AV202</f>
        <v>0</v>
      </c>
      <c r="AQ202" s="75">
        <f t="shared" si="195"/>
        <v>0</v>
      </c>
      <c r="AR202" s="75"/>
      <c r="AS202" s="75"/>
      <c r="AT202" s="75"/>
      <c r="AU202" s="75"/>
      <c r="AV202" s="75"/>
      <c r="AW202" s="75"/>
      <c r="AX202" s="75"/>
      <c r="AY202" s="77">
        <f t="shared" ca="1" si="1"/>
        <v>0</v>
      </c>
      <c r="AZ202" s="75"/>
      <c r="BA202" s="77">
        <f t="shared" ca="1" si="2"/>
        <v>0</v>
      </c>
      <c r="BB202" s="66"/>
      <c r="BC202" s="4"/>
      <c r="BD202" s="67"/>
      <c r="BE202" s="67"/>
      <c r="BF202" s="68"/>
      <c r="BG202" s="69"/>
      <c r="BH202" s="74"/>
      <c r="BI202" s="68"/>
      <c r="BJ202" s="73"/>
      <c r="BK202" s="78"/>
      <c r="BL202" s="78">
        <f t="shared" ca="1" si="3"/>
        <v>0</v>
      </c>
      <c r="BM202" s="78"/>
      <c r="BN202" s="78">
        <f t="shared" ca="1" si="4"/>
        <v>0</v>
      </c>
      <c r="BO202" s="66"/>
      <c r="BP202" s="66"/>
    </row>
    <row r="203" spans="1:68" ht="13.2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>
        <f t="shared" ref="AP203:AQ203" si="196">AR203+AT203+AV203</f>
        <v>0</v>
      </c>
      <c r="AQ203" s="75">
        <f t="shared" si="196"/>
        <v>0</v>
      </c>
      <c r="AR203" s="75"/>
      <c r="AS203" s="75"/>
      <c r="AT203" s="75"/>
      <c r="AU203" s="75"/>
      <c r="AV203" s="75"/>
      <c r="AW203" s="75"/>
      <c r="AX203" s="75"/>
      <c r="AY203" s="77">
        <f t="shared" ca="1" si="1"/>
        <v>0</v>
      </c>
      <c r="AZ203" s="75"/>
      <c r="BA203" s="77">
        <f t="shared" ca="1" si="2"/>
        <v>0</v>
      </c>
      <c r="BB203" s="66"/>
      <c r="BC203" s="4"/>
      <c r="BD203" s="67"/>
      <c r="BE203" s="67"/>
      <c r="BF203" s="68"/>
      <c r="BG203" s="69"/>
      <c r="BH203" s="74"/>
      <c r="BI203" s="68"/>
      <c r="BJ203" s="73"/>
      <c r="BK203" s="78"/>
      <c r="BL203" s="78">
        <f t="shared" ca="1" si="3"/>
        <v>0</v>
      </c>
      <c r="BM203" s="78"/>
      <c r="BN203" s="78">
        <f t="shared" ca="1" si="4"/>
        <v>0</v>
      </c>
      <c r="BO203" s="66"/>
      <c r="BP203" s="66"/>
    </row>
    <row r="204" spans="1:68" ht="13.2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>
        <f t="shared" ref="AP204:AQ204" si="197">AR204+AT204+AV204</f>
        <v>0</v>
      </c>
      <c r="AQ204" s="75">
        <f t="shared" si="197"/>
        <v>0</v>
      </c>
      <c r="AR204" s="75"/>
      <c r="AS204" s="75"/>
      <c r="AT204" s="75"/>
      <c r="AU204" s="75"/>
      <c r="AV204" s="75"/>
      <c r="AW204" s="75"/>
      <c r="AX204" s="75"/>
      <c r="AY204" s="77">
        <f t="shared" ca="1" si="1"/>
        <v>0</v>
      </c>
      <c r="AZ204" s="75"/>
      <c r="BA204" s="77">
        <f t="shared" ca="1" si="2"/>
        <v>0</v>
      </c>
      <c r="BB204" s="66"/>
      <c r="BC204" s="4"/>
      <c r="BD204" s="67"/>
      <c r="BE204" s="67"/>
      <c r="BF204" s="68"/>
      <c r="BG204" s="69"/>
      <c r="BH204" s="74"/>
      <c r="BI204" s="68"/>
      <c r="BJ204" s="73"/>
      <c r="BK204" s="78"/>
      <c r="BL204" s="78">
        <f t="shared" ca="1" si="3"/>
        <v>0</v>
      </c>
      <c r="BM204" s="78"/>
      <c r="BN204" s="78">
        <f t="shared" ca="1" si="4"/>
        <v>0</v>
      </c>
      <c r="BO204" s="66"/>
      <c r="BP204" s="66"/>
    </row>
    <row r="205" spans="1:68" ht="13.2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>
        <f t="shared" ref="AP205:AQ205" si="198">AR205+AT205+AV205</f>
        <v>0</v>
      </c>
      <c r="AQ205" s="75">
        <f t="shared" si="198"/>
        <v>0</v>
      </c>
      <c r="AR205" s="75"/>
      <c r="AS205" s="75"/>
      <c r="AT205" s="75"/>
      <c r="AU205" s="75"/>
      <c r="AV205" s="75"/>
      <c r="AW205" s="75"/>
      <c r="AX205" s="75"/>
      <c r="AY205" s="77">
        <f t="shared" ca="1" si="1"/>
        <v>0</v>
      </c>
      <c r="AZ205" s="75"/>
      <c r="BA205" s="77">
        <f t="shared" ca="1" si="2"/>
        <v>0</v>
      </c>
      <c r="BB205" s="66"/>
      <c r="BC205" s="4"/>
      <c r="BD205" s="67"/>
      <c r="BE205" s="67"/>
      <c r="BF205" s="68"/>
      <c r="BG205" s="69"/>
      <c r="BH205" s="74"/>
      <c r="BI205" s="68"/>
      <c r="BJ205" s="73"/>
      <c r="BK205" s="78"/>
      <c r="BL205" s="78">
        <f t="shared" ca="1" si="3"/>
        <v>0</v>
      </c>
      <c r="BM205" s="78"/>
      <c r="BN205" s="78">
        <f t="shared" ca="1" si="4"/>
        <v>0</v>
      </c>
      <c r="BO205" s="66"/>
      <c r="BP205" s="66"/>
    </row>
    <row r="206" spans="1:68" ht="13.2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>
        <f t="shared" ref="AP206:AQ206" si="199">AR206+AT206+AV206</f>
        <v>0</v>
      </c>
      <c r="AQ206" s="75">
        <f t="shared" si="199"/>
        <v>0</v>
      </c>
      <c r="AR206" s="75"/>
      <c r="AS206" s="75"/>
      <c r="AT206" s="75"/>
      <c r="AU206" s="75"/>
      <c r="AV206" s="75"/>
      <c r="AW206" s="75"/>
      <c r="AX206" s="75"/>
      <c r="AY206" s="77">
        <f t="shared" ca="1" si="1"/>
        <v>0</v>
      </c>
      <c r="AZ206" s="75"/>
      <c r="BA206" s="77">
        <f t="shared" ca="1" si="2"/>
        <v>0</v>
      </c>
      <c r="BB206" s="66"/>
      <c r="BC206" s="4"/>
      <c r="BD206" s="67"/>
      <c r="BE206" s="67"/>
      <c r="BF206" s="68"/>
      <c r="BG206" s="69"/>
      <c r="BH206" s="74"/>
      <c r="BI206" s="68"/>
      <c r="BJ206" s="73"/>
      <c r="BK206" s="78"/>
      <c r="BL206" s="78">
        <f t="shared" ca="1" si="3"/>
        <v>0</v>
      </c>
      <c r="BM206" s="78"/>
      <c r="BN206" s="78">
        <f t="shared" ca="1" si="4"/>
        <v>0</v>
      </c>
      <c r="BO206" s="66"/>
      <c r="BP206" s="66"/>
    </row>
    <row r="207" spans="1:68" ht="13.2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>
        <f t="shared" ref="AP207:AQ207" si="200">AR207+AT207+AV207</f>
        <v>0</v>
      </c>
      <c r="AQ207" s="75">
        <f t="shared" si="200"/>
        <v>0</v>
      </c>
      <c r="AR207" s="75"/>
      <c r="AS207" s="75"/>
      <c r="AT207" s="75"/>
      <c r="AU207" s="75"/>
      <c r="AV207" s="75"/>
      <c r="AW207" s="75"/>
      <c r="AX207" s="75"/>
      <c r="AY207" s="77">
        <f t="shared" ca="1" si="1"/>
        <v>0</v>
      </c>
      <c r="AZ207" s="75"/>
      <c r="BA207" s="77">
        <f t="shared" ca="1" si="2"/>
        <v>0</v>
      </c>
      <c r="BB207" s="66"/>
      <c r="BC207" s="4"/>
      <c r="BD207" s="67"/>
      <c r="BE207" s="67"/>
      <c r="BF207" s="68"/>
      <c r="BG207" s="69"/>
      <c r="BH207" s="74"/>
      <c r="BI207" s="68"/>
      <c r="BJ207" s="73"/>
      <c r="BK207" s="78"/>
      <c r="BL207" s="78">
        <f t="shared" ca="1" si="3"/>
        <v>0</v>
      </c>
      <c r="BM207" s="78"/>
      <c r="BN207" s="78">
        <f t="shared" ca="1" si="4"/>
        <v>0</v>
      </c>
      <c r="BO207" s="66"/>
      <c r="BP207" s="66"/>
    </row>
    <row r="208" spans="1:68" ht="13.2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>
        <f t="shared" ref="AP208:AQ208" si="201">AR208+AT208+AV208</f>
        <v>0</v>
      </c>
      <c r="AQ208" s="75">
        <f t="shared" si="201"/>
        <v>0</v>
      </c>
      <c r="AR208" s="75"/>
      <c r="AS208" s="75"/>
      <c r="AT208" s="75"/>
      <c r="AU208" s="75"/>
      <c r="AV208" s="75"/>
      <c r="AW208" s="75"/>
      <c r="AX208" s="75"/>
      <c r="AY208" s="77">
        <f t="shared" ca="1" si="1"/>
        <v>0</v>
      </c>
      <c r="AZ208" s="75"/>
      <c r="BA208" s="77">
        <f t="shared" ca="1" si="2"/>
        <v>0</v>
      </c>
      <c r="BB208" s="66"/>
      <c r="BC208" s="4"/>
      <c r="BD208" s="67"/>
      <c r="BE208" s="67"/>
      <c r="BF208" s="68"/>
      <c r="BG208" s="69"/>
      <c r="BH208" s="74"/>
      <c r="BI208" s="68"/>
      <c r="BJ208" s="73"/>
      <c r="BK208" s="78"/>
      <c r="BL208" s="78">
        <f t="shared" ca="1" si="3"/>
        <v>0</v>
      </c>
      <c r="BM208" s="78"/>
      <c r="BN208" s="78">
        <f t="shared" ca="1" si="4"/>
        <v>0</v>
      </c>
      <c r="BO208" s="66"/>
      <c r="BP208" s="66"/>
    </row>
    <row r="209" spans="1:68" ht="13.2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>
        <f t="shared" ref="AP209:AQ209" si="202">AR209+AT209+AV209</f>
        <v>0</v>
      </c>
      <c r="AQ209" s="75">
        <f t="shared" si="202"/>
        <v>0</v>
      </c>
      <c r="AR209" s="75"/>
      <c r="AS209" s="75"/>
      <c r="AT209" s="75"/>
      <c r="AU209" s="75"/>
      <c r="AV209" s="75"/>
      <c r="AW209" s="75"/>
      <c r="AX209" s="75"/>
      <c r="AY209" s="77">
        <f t="shared" ca="1" si="1"/>
        <v>0</v>
      </c>
      <c r="AZ209" s="75"/>
      <c r="BA209" s="77">
        <f t="shared" ca="1" si="2"/>
        <v>0</v>
      </c>
      <c r="BB209" s="66"/>
      <c r="BC209" s="4"/>
      <c r="BD209" s="67"/>
      <c r="BE209" s="67"/>
      <c r="BF209" s="68"/>
      <c r="BG209" s="69"/>
      <c r="BH209" s="74"/>
      <c r="BI209" s="68"/>
      <c r="BJ209" s="73"/>
      <c r="BK209" s="78"/>
      <c r="BL209" s="78">
        <f t="shared" ca="1" si="3"/>
        <v>0</v>
      </c>
      <c r="BM209" s="78"/>
      <c r="BN209" s="78">
        <f t="shared" ca="1" si="4"/>
        <v>0</v>
      </c>
      <c r="BO209" s="66"/>
      <c r="BP209" s="66"/>
    </row>
    <row r="210" spans="1:68" ht="13.2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>
        <f t="shared" ref="AP210:AQ210" si="203">AR210+AT210+AV210</f>
        <v>0</v>
      </c>
      <c r="AQ210" s="75">
        <f t="shared" si="203"/>
        <v>0</v>
      </c>
      <c r="AR210" s="75"/>
      <c r="AS210" s="75"/>
      <c r="AT210" s="75"/>
      <c r="AU210" s="75"/>
      <c r="AV210" s="75"/>
      <c r="AW210" s="75"/>
      <c r="AX210" s="75"/>
      <c r="AY210" s="77">
        <f t="shared" ca="1" si="1"/>
        <v>0</v>
      </c>
      <c r="AZ210" s="75"/>
      <c r="BA210" s="77">
        <f t="shared" ca="1" si="2"/>
        <v>0</v>
      </c>
      <c r="BB210" s="66"/>
      <c r="BC210" s="4"/>
      <c r="BD210" s="67"/>
      <c r="BE210" s="67"/>
      <c r="BF210" s="68"/>
      <c r="BG210" s="69"/>
      <c r="BH210" s="74"/>
      <c r="BI210" s="68"/>
      <c r="BJ210" s="73"/>
      <c r="BK210" s="78"/>
      <c r="BL210" s="78">
        <f t="shared" ca="1" si="3"/>
        <v>0</v>
      </c>
      <c r="BM210" s="78"/>
      <c r="BN210" s="78">
        <f t="shared" ca="1" si="4"/>
        <v>0</v>
      </c>
      <c r="BO210" s="66"/>
      <c r="BP210" s="66"/>
    </row>
    <row r="211" spans="1:68" ht="13.2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>
        <f t="shared" ref="AP211:AQ211" si="204">AR211+AT211+AV211</f>
        <v>0</v>
      </c>
      <c r="AQ211" s="75">
        <f t="shared" si="204"/>
        <v>0</v>
      </c>
      <c r="AR211" s="75"/>
      <c r="AS211" s="75"/>
      <c r="AT211" s="75"/>
      <c r="AU211" s="75"/>
      <c r="AV211" s="75"/>
      <c r="AW211" s="75"/>
      <c r="AX211" s="75"/>
      <c r="AY211" s="77">
        <f t="shared" ca="1" si="1"/>
        <v>0</v>
      </c>
      <c r="AZ211" s="75"/>
      <c r="BA211" s="77">
        <f t="shared" ca="1" si="2"/>
        <v>0</v>
      </c>
      <c r="BB211" s="66"/>
      <c r="BC211" s="4"/>
      <c r="BD211" s="67"/>
      <c r="BE211" s="67"/>
      <c r="BF211" s="68"/>
      <c r="BG211" s="69"/>
      <c r="BH211" s="74"/>
      <c r="BI211" s="68"/>
      <c r="BJ211" s="73"/>
      <c r="BK211" s="78"/>
      <c r="BL211" s="78">
        <f t="shared" ca="1" si="3"/>
        <v>0</v>
      </c>
      <c r="BM211" s="78"/>
      <c r="BN211" s="78">
        <f t="shared" ca="1" si="4"/>
        <v>0</v>
      </c>
      <c r="BO211" s="66"/>
      <c r="BP211" s="66"/>
    </row>
    <row r="212" spans="1:68" ht="13.2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>
        <f t="shared" ref="AP212:AQ212" si="205">AR212+AT212+AV212</f>
        <v>0</v>
      </c>
      <c r="AQ212" s="75">
        <f t="shared" si="205"/>
        <v>0</v>
      </c>
      <c r="AR212" s="75"/>
      <c r="AS212" s="75"/>
      <c r="AT212" s="75"/>
      <c r="AU212" s="75"/>
      <c r="AV212" s="75"/>
      <c r="AW212" s="75"/>
      <c r="AX212" s="75"/>
      <c r="AY212" s="77">
        <f t="shared" ca="1" si="1"/>
        <v>0</v>
      </c>
      <c r="AZ212" s="75"/>
      <c r="BA212" s="77">
        <f t="shared" ca="1" si="2"/>
        <v>0</v>
      </c>
      <c r="BB212" s="66"/>
      <c r="BC212" s="4"/>
      <c r="BD212" s="67"/>
      <c r="BE212" s="67"/>
      <c r="BF212" s="68"/>
      <c r="BG212" s="69"/>
      <c r="BH212" s="74"/>
      <c r="BI212" s="68"/>
      <c r="BJ212" s="73"/>
      <c r="BK212" s="78"/>
      <c r="BL212" s="78">
        <f t="shared" ca="1" si="3"/>
        <v>0</v>
      </c>
      <c r="BM212" s="78"/>
      <c r="BN212" s="78">
        <f t="shared" ca="1" si="4"/>
        <v>0</v>
      </c>
      <c r="BO212" s="66"/>
      <c r="BP212" s="66"/>
    </row>
    <row r="213" spans="1:68" ht="13.2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>
        <f t="shared" ref="AP213:AQ213" si="206">AR213+AT213+AV213</f>
        <v>0</v>
      </c>
      <c r="AQ213" s="75">
        <f t="shared" si="206"/>
        <v>0</v>
      </c>
      <c r="AR213" s="75"/>
      <c r="AS213" s="75"/>
      <c r="AT213" s="75"/>
      <c r="AU213" s="75"/>
      <c r="AV213" s="75"/>
      <c r="AW213" s="75"/>
      <c r="AX213" s="75"/>
      <c r="AY213" s="77">
        <f t="shared" ca="1" si="1"/>
        <v>0</v>
      </c>
      <c r="AZ213" s="75"/>
      <c r="BA213" s="77">
        <f t="shared" ca="1" si="2"/>
        <v>0</v>
      </c>
      <c r="BB213" s="66"/>
      <c r="BC213" s="4"/>
      <c r="BD213" s="67"/>
      <c r="BE213" s="67"/>
      <c r="BF213" s="68"/>
      <c r="BG213" s="69"/>
      <c r="BH213" s="74"/>
      <c r="BI213" s="68"/>
      <c r="BJ213" s="73"/>
      <c r="BK213" s="78"/>
      <c r="BL213" s="78">
        <f t="shared" ca="1" si="3"/>
        <v>0</v>
      </c>
      <c r="BM213" s="78"/>
      <c r="BN213" s="78">
        <f t="shared" ca="1" si="4"/>
        <v>0</v>
      </c>
      <c r="BO213" s="66"/>
      <c r="BP213" s="66"/>
    </row>
    <row r="214" spans="1:68" ht="13.2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>
        <f t="shared" ref="AP214:AQ214" si="207">AR214+AT214+AV214</f>
        <v>0</v>
      </c>
      <c r="AQ214" s="75">
        <f t="shared" si="207"/>
        <v>0</v>
      </c>
      <c r="AR214" s="75"/>
      <c r="AS214" s="75"/>
      <c r="AT214" s="75"/>
      <c r="AU214" s="75"/>
      <c r="AV214" s="75"/>
      <c r="AW214" s="75"/>
      <c r="AX214" s="75"/>
      <c r="AY214" s="77">
        <f t="shared" ca="1" si="1"/>
        <v>0</v>
      </c>
      <c r="AZ214" s="75"/>
      <c r="BA214" s="77">
        <f t="shared" ca="1" si="2"/>
        <v>0</v>
      </c>
      <c r="BB214" s="66"/>
      <c r="BC214" s="4"/>
      <c r="BD214" s="67"/>
      <c r="BE214" s="67"/>
      <c r="BF214" s="68"/>
      <c r="BG214" s="69"/>
      <c r="BH214" s="74"/>
      <c r="BI214" s="68"/>
      <c r="BJ214" s="73"/>
      <c r="BK214" s="78"/>
      <c r="BL214" s="78">
        <f t="shared" ca="1" si="3"/>
        <v>0</v>
      </c>
      <c r="BM214" s="78"/>
      <c r="BN214" s="78">
        <f t="shared" ca="1" si="4"/>
        <v>0</v>
      </c>
      <c r="BO214" s="66"/>
      <c r="BP214" s="66"/>
    </row>
    <row r="215" spans="1:68" ht="13.2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>
        <f t="shared" ref="AP215:AQ215" si="208">AR215+AT215+AV215</f>
        <v>0</v>
      </c>
      <c r="AQ215" s="75">
        <f t="shared" si="208"/>
        <v>0</v>
      </c>
      <c r="AR215" s="75"/>
      <c r="AS215" s="75"/>
      <c r="AT215" s="75"/>
      <c r="AU215" s="75"/>
      <c r="AV215" s="75"/>
      <c r="AW215" s="75"/>
      <c r="AX215" s="75"/>
      <c r="AY215" s="77">
        <f t="shared" ca="1" si="1"/>
        <v>0</v>
      </c>
      <c r="AZ215" s="75"/>
      <c r="BA215" s="77">
        <f t="shared" ca="1" si="2"/>
        <v>0</v>
      </c>
      <c r="BB215" s="66"/>
      <c r="BC215" s="4"/>
      <c r="BD215" s="67"/>
      <c r="BE215" s="67"/>
      <c r="BF215" s="68"/>
      <c r="BG215" s="69"/>
      <c r="BH215" s="74"/>
      <c r="BI215" s="68"/>
      <c r="BJ215" s="73"/>
      <c r="BK215" s="78"/>
      <c r="BL215" s="78">
        <f t="shared" ca="1" si="3"/>
        <v>0</v>
      </c>
      <c r="BM215" s="78"/>
      <c r="BN215" s="78">
        <f t="shared" ca="1" si="4"/>
        <v>0</v>
      </c>
      <c r="BO215" s="66"/>
      <c r="BP215" s="66"/>
    </row>
    <row r="216" spans="1:68" ht="13.2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>
        <f t="shared" ref="AP216:AQ216" si="209">AR216+AT216+AV216</f>
        <v>0</v>
      </c>
      <c r="AQ216" s="75">
        <f t="shared" si="209"/>
        <v>0</v>
      </c>
      <c r="AR216" s="75"/>
      <c r="AS216" s="75"/>
      <c r="AT216" s="75"/>
      <c r="AU216" s="75"/>
      <c r="AV216" s="75"/>
      <c r="AW216" s="75"/>
      <c r="AX216" s="75"/>
      <c r="AY216" s="77">
        <f t="shared" ca="1" si="1"/>
        <v>0</v>
      </c>
      <c r="AZ216" s="75"/>
      <c r="BA216" s="77">
        <f t="shared" ca="1" si="2"/>
        <v>0</v>
      </c>
      <c r="BB216" s="66"/>
      <c r="BC216" s="4"/>
      <c r="BD216" s="67"/>
      <c r="BE216" s="67"/>
      <c r="BF216" s="68"/>
      <c r="BG216" s="69"/>
      <c r="BH216" s="84"/>
      <c r="BI216" s="70"/>
      <c r="BJ216" s="73"/>
      <c r="BK216" s="78"/>
      <c r="BL216" s="78">
        <f t="shared" ca="1" si="3"/>
        <v>0</v>
      </c>
      <c r="BM216" s="78"/>
      <c r="BN216" s="78">
        <f t="shared" ca="1" si="4"/>
        <v>0</v>
      </c>
      <c r="BO216" s="66"/>
      <c r="BP216" s="66"/>
    </row>
    <row r="217" spans="1:68" ht="13.2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>
        <f t="shared" ref="AP217:AQ217" si="210">AR217+AT217+AV217</f>
        <v>0</v>
      </c>
      <c r="AQ217" s="75">
        <f t="shared" si="210"/>
        <v>0</v>
      </c>
      <c r="AR217" s="75"/>
      <c r="AS217" s="75"/>
      <c r="AT217" s="75"/>
      <c r="AU217" s="75"/>
      <c r="AV217" s="75"/>
      <c r="AW217" s="75"/>
      <c r="AX217" s="75"/>
      <c r="AY217" s="77">
        <f t="shared" ca="1" si="1"/>
        <v>0</v>
      </c>
      <c r="AZ217" s="75"/>
      <c r="BA217" s="77">
        <f t="shared" ca="1" si="2"/>
        <v>0</v>
      </c>
      <c r="BB217" s="66"/>
      <c r="BC217" s="4"/>
      <c r="BD217" s="67"/>
      <c r="BE217" s="67"/>
      <c r="BF217" s="68"/>
      <c r="BG217" s="69"/>
      <c r="BH217" s="84"/>
      <c r="BI217" s="70"/>
      <c r="BJ217" s="73"/>
      <c r="BK217" s="78"/>
      <c r="BL217" s="78">
        <f t="shared" ca="1" si="3"/>
        <v>0</v>
      </c>
      <c r="BM217" s="78"/>
      <c r="BN217" s="78">
        <f t="shared" ca="1" si="4"/>
        <v>0</v>
      </c>
      <c r="BO217" s="66"/>
      <c r="BP217" s="66"/>
    </row>
    <row r="218" spans="1:68" ht="13.2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>
        <f t="shared" ref="AP218:AQ218" si="211">AR218+AT218+AV218</f>
        <v>0</v>
      </c>
      <c r="AQ218" s="75">
        <f t="shared" si="211"/>
        <v>0</v>
      </c>
      <c r="AR218" s="75"/>
      <c r="AS218" s="75"/>
      <c r="AT218" s="75"/>
      <c r="AU218" s="75"/>
      <c r="AV218" s="75"/>
      <c r="AW218" s="75"/>
      <c r="AX218" s="75"/>
      <c r="AY218" s="77">
        <f t="shared" ca="1" si="1"/>
        <v>0</v>
      </c>
      <c r="AZ218" s="75"/>
      <c r="BA218" s="77">
        <f t="shared" ca="1" si="2"/>
        <v>0</v>
      </c>
      <c r="BB218" s="66"/>
      <c r="BC218" s="4"/>
      <c r="BD218" s="67"/>
      <c r="BE218" s="67"/>
      <c r="BF218" s="68"/>
      <c r="BG218" s="69"/>
      <c r="BH218" s="84"/>
      <c r="BI218" s="70"/>
      <c r="BJ218" s="73"/>
      <c r="BK218" s="78"/>
      <c r="BL218" s="78">
        <f t="shared" ca="1" si="3"/>
        <v>0</v>
      </c>
      <c r="BM218" s="78"/>
      <c r="BN218" s="78">
        <f t="shared" ca="1" si="4"/>
        <v>0</v>
      </c>
      <c r="BO218" s="66"/>
      <c r="BP218" s="66"/>
    </row>
    <row r="219" spans="1:68" ht="13.2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>
        <f t="shared" ref="AP219:AQ219" si="212">AR219+AT219+AV219</f>
        <v>0</v>
      </c>
      <c r="AQ219" s="75">
        <f t="shared" si="212"/>
        <v>0</v>
      </c>
      <c r="AR219" s="75"/>
      <c r="AS219" s="75"/>
      <c r="AT219" s="75"/>
      <c r="AU219" s="75"/>
      <c r="AV219" s="75"/>
      <c r="AW219" s="75"/>
      <c r="AX219" s="75"/>
      <c r="AY219" s="77">
        <f t="shared" ca="1" si="1"/>
        <v>0</v>
      </c>
      <c r="AZ219" s="75"/>
      <c r="BA219" s="77">
        <f t="shared" ca="1" si="2"/>
        <v>0</v>
      </c>
      <c r="BB219" s="66"/>
      <c r="BC219" s="4"/>
      <c r="BD219" s="67"/>
      <c r="BE219" s="67"/>
      <c r="BF219" s="68"/>
      <c r="BG219" s="69"/>
      <c r="BH219" s="84"/>
      <c r="BI219" s="70"/>
      <c r="BJ219" s="73"/>
      <c r="BK219" s="78"/>
      <c r="BL219" s="78">
        <f t="shared" ca="1" si="3"/>
        <v>0</v>
      </c>
      <c r="BM219" s="78"/>
      <c r="BN219" s="78">
        <f t="shared" ca="1" si="4"/>
        <v>0</v>
      </c>
      <c r="BO219" s="66"/>
      <c r="BP219" s="66"/>
    </row>
    <row r="220" spans="1:68" ht="13.2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>
        <f t="shared" ref="AP220:AQ220" si="213">AR220+AT220+AV220</f>
        <v>0</v>
      </c>
      <c r="AQ220" s="75">
        <f t="shared" si="213"/>
        <v>0</v>
      </c>
      <c r="AR220" s="75"/>
      <c r="AS220" s="75"/>
      <c r="AT220" s="75"/>
      <c r="AU220" s="75"/>
      <c r="AV220" s="75"/>
      <c r="AW220" s="75"/>
      <c r="AX220" s="75"/>
      <c r="AY220" s="77">
        <f t="shared" ca="1" si="1"/>
        <v>0</v>
      </c>
      <c r="AZ220" s="75"/>
      <c r="BA220" s="77">
        <f t="shared" ca="1" si="2"/>
        <v>0</v>
      </c>
      <c r="BB220" s="66"/>
      <c r="BC220" s="4"/>
      <c r="BD220" s="67"/>
      <c r="BE220" s="67"/>
      <c r="BF220" s="68"/>
      <c r="BG220" s="69"/>
      <c r="BH220" s="84"/>
      <c r="BI220" s="70"/>
      <c r="BJ220" s="73"/>
      <c r="BK220" s="78"/>
      <c r="BL220" s="78">
        <f t="shared" ca="1" si="3"/>
        <v>0</v>
      </c>
      <c r="BM220" s="78"/>
      <c r="BN220" s="78">
        <f t="shared" ca="1" si="4"/>
        <v>0</v>
      </c>
      <c r="BO220" s="66"/>
      <c r="BP220" s="66"/>
    </row>
    <row r="221" spans="1:68" ht="13.2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>
        <f t="shared" ref="AP221:AQ221" si="214">AR221+AT221+AV221</f>
        <v>0</v>
      </c>
      <c r="AQ221" s="75">
        <f t="shared" si="214"/>
        <v>0</v>
      </c>
      <c r="AR221" s="75"/>
      <c r="AS221" s="75"/>
      <c r="AT221" s="75"/>
      <c r="AU221" s="75"/>
      <c r="AV221" s="75"/>
      <c r="AW221" s="75"/>
      <c r="AX221" s="75"/>
      <c r="AY221" s="77">
        <f t="shared" ca="1" si="1"/>
        <v>0</v>
      </c>
      <c r="AZ221" s="75"/>
      <c r="BA221" s="77">
        <f t="shared" ca="1" si="2"/>
        <v>0</v>
      </c>
      <c r="BB221" s="66"/>
      <c r="BC221" s="4"/>
      <c r="BD221" s="67"/>
      <c r="BE221" s="67"/>
      <c r="BF221" s="68"/>
      <c r="BG221" s="69"/>
      <c r="BH221" s="84"/>
      <c r="BI221" s="70"/>
      <c r="BJ221" s="73"/>
      <c r="BK221" s="78"/>
      <c r="BL221" s="78">
        <f t="shared" ca="1" si="3"/>
        <v>0</v>
      </c>
      <c r="BM221" s="78"/>
      <c r="BN221" s="78">
        <f t="shared" ca="1" si="4"/>
        <v>0</v>
      </c>
      <c r="BO221" s="66"/>
      <c r="BP221" s="66"/>
    </row>
    <row r="222" spans="1:68" ht="13.2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>
        <f t="shared" ref="AP222:AQ222" si="215">AR222+AT222+AV222</f>
        <v>0</v>
      </c>
      <c r="AQ222" s="75">
        <f t="shared" si="215"/>
        <v>0</v>
      </c>
      <c r="AR222" s="75"/>
      <c r="AS222" s="75"/>
      <c r="AT222" s="75"/>
      <c r="AU222" s="75"/>
      <c r="AV222" s="75"/>
      <c r="AW222" s="75"/>
      <c r="AX222" s="75"/>
      <c r="AY222" s="77">
        <f t="shared" ca="1" si="1"/>
        <v>0</v>
      </c>
      <c r="AZ222" s="75"/>
      <c r="BA222" s="77">
        <f t="shared" ca="1" si="2"/>
        <v>0</v>
      </c>
      <c r="BB222" s="66"/>
      <c r="BC222" s="4"/>
      <c r="BD222" s="67"/>
      <c r="BE222" s="67"/>
      <c r="BF222" s="68"/>
      <c r="BG222" s="69"/>
      <c r="BH222" s="84"/>
      <c r="BI222" s="70"/>
      <c r="BJ222" s="73"/>
      <c r="BK222" s="78"/>
      <c r="BL222" s="78">
        <f t="shared" ca="1" si="3"/>
        <v>0</v>
      </c>
      <c r="BM222" s="78"/>
      <c r="BN222" s="78">
        <f t="shared" ca="1" si="4"/>
        <v>0</v>
      </c>
      <c r="BO222" s="66"/>
      <c r="BP222" s="66"/>
    </row>
    <row r="223" spans="1:68" ht="13.2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>
        <f t="shared" ref="AP223:AQ223" si="216">AR223+AT223+AV223</f>
        <v>0</v>
      </c>
      <c r="AQ223" s="75">
        <f t="shared" si="216"/>
        <v>0</v>
      </c>
      <c r="AR223" s="75"/>
      <c r="AS223" s="75"/>
      <c r="AT223" s="75"/>
      <c r="AU223" s="75"/>
      <c r="AV223" s="75"/>
      <c r="AW223" s="75"/>
      <c r="AX223" s="75"/>
      <c r="AY223" s="77">
        <f t="shared" ca="1" si="1"/>
        <v>0</v>
      </c>
      <c r="AZ223" s="75"/>
      <c r="BA223" s="77">
        <f t="shared" ca="1" si="2"/>
        <v>0</v>
      </c>
      <c r="BB223" s="66"/>
      <c r="BC223" s="4"/>
      <c r="BD223" s="67"/>
      <c r="BE223" s="67"/>
      <c r="BF223" s="68"/>
      <c r="BG223" s="69"/>
      <c r="BH223" s="84"/>
      <c r="BI223" s="70"/>
      <c r="BJ223" s="73"/>
      <c r="BK223" s="78"/>
      <c r="BL223" s="78">
        <f t="shared" ca="1" si="3"/>
        <v>0</v>
      </c>
      <c r="BM223" s="78"/>
      <c r="BN223" s="78">
        <f t="shared" ca="1" si="4"/>
        <v>0</v>
      </c>
      <c r="BO223" s="66"/>
      <c r="BP223" s="66"/>
    </row>
    <row r="224" spans="1:68" ht="13.2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>
        <f t="shared" ref="AP224:AQ224" si="217">AR224+AT224+AV224</f>
        <v>0</v>
      </c>
      <c r="AQ224" s="75">
        <f t="shared" si="217"/>
        <v>0</v>
      </c>
      <c r="AR224" s="75"/>
      <c r="AS224" s="75"/>
      <c r="AT224" s="75"/>
      <c r="AU224" s="75"/>
      <c r="AV224" s="75"/>
      <c r="AW224" s="75"/>
      <c r="AX224" s="75"/>
      <c r="AY224" s="77">
        <f t="shared" ca="1" si="1"/>
        <v>0</v>
      </c>
      <c r="AZ224" s="75"/>
      <c r="BA224" s="77">
        <f t="shared" ca="1" si="2"/>
        <v>0</v>
      </c>
      <c r="BB224" s="66"/>
      <c r="BC224" s="4"/>
      <c r="BD224" s="67"/>
      <c r="BE224" s="67"/>
      <c r="BF224" s="68"/>
      <c r="BG224" s="69"/>
      <c r="BH224" s="84"/>
      <c r="BI224" s="70"/>
      <c r="BJ224" s="73"/>
      <c r="BK224" s="78"/>
      <c r="BL224" s="78">
        <f t="shared" ca="1" si="3"/>
        <v>0</v>
      </c>
      <c r="BM224" s="78"/>
      <c r="BN224" s="78">
        <f t="shared" ca="1" si="4"/>
        <v>0</v>
      </c>
      <c r="BO224" s="66"/>
      <c r="BP224" s="66"/>
    </row>
    <row r="225" spans="1:68" ht="13.2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>
        <f t="shared" ref="AP225:AQ225" si="218">AR225+AT225+AV225</f>
        <v>0</v>
      </c>
      <c r="AQ225" s="75">
        <f t="shared" si="218"/>
        <v>0</v>
      </c>
      <c r="AR225" s="75"/>
      <c r="AS225" s="75"/>
      <c r="AT225" s="75"/>
      <c r="AU225" s="75"/>
      <c r="AV225" s="75"/>
      <c r="AW225" s="75"/>
      <c r="AX225" s="75"/>
      <c r="AY225" s="77">
        <f t="shared" ca="1" si="1"/>
        <v>0</v>
      </c>
      <c r="AZ225" s="75"/>
      <c r="BA225" s="77">
        <f t="shared" ca="1" si="2"/>
        <v>0</v>
      </c>
      <c r="BB225" s="66"/>
      <c r="BC225" s="4"/>
      <c r="BD225" s="67"/>
      <c r="BE225" s="67"/>
      <c r="BF225" s="68"/>
      <c r="BG225" s="69"/>
      <c r="BH225" s="84"/>
      <c r="BI225" s="70"/>
      <c r="BJ225" s="73"/>
      <c r="BK225" s="78"/>
      <c r="BL225" s="78">
        <f t="shared" ca="1" si="3"/>
        <v>0</v>
      </c>
      <c r="BM225" s="78"/>
      <c r="BN225" s="78">
        <f t="shared" ca="1" si="4"/>
        <v>0</v>
      </c>
      <c r="BO225" s="66"/>
      <c r="BP225" s="66"/>
    </row>
    <row r="226" spans="1:68" ht="13.2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>
        <f t="shared" ref="AP226:AQ226" si="219">AR226+AT226+AV226</f>
        <v>0</v>
      </c>
      <c r="AQ226" s="75">
        <f t="shared" si="219"/>
        <v>0</v>
      </c>
      <c r="AR226" s="75"/>
      <c r="AS226" s="75"/>
      <c r="AT226" s="75"/>
      <c r="AU226" s="75"/>
      <c r="AV226" s="75"/>
      <c r="AW226" s="75"/>
      <c r="AX226" s="75"/>
      <c r="AY226" s="77">
        <f t="shared" ca="1" si="1"/>
        <v>0</v>
      </c>
      <c r="AZ226" s="75"/>
      <c r="BA226" s="77">
        <f t="shared" ca="1" si="2"/>
        <v>0</v>
      </c>
      <c r="BB226" s="66"/>
      <c r="BC226" s="4"/>
      <c r="BD226" s="67"/>
      <c r="BE226" s="67"/>
      <c r="BF226" s="68"/>
      <c r="BG226" s="69"/>
      <c r="BH226" s="84"/>
      <c r="BI226" s="70"/>
      <c r="BJ226" s="73"/>
      <c r="BK226" s="78"/>
      <c r="BL226" s="78">
        <f t="shared" ca="1" si="3"/>
        <v>0</v>
      </c>
      <c r="BM226" s="78"/>
      <c r="BN226" s="78">
        <f t="shared" ca="1" si="4"/>
        <v>0</v>
      </c>
      <c r="BO226" s="66"/>
      <c r="BP226" s="66"/>
    </row>
    <row r="227" spans="1:68" ht="13.2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>
        <f t="shared" ref="AP227:AQ227" si="220">AR227+AT227+AV227</f>
        <v>0</v>
      </c>
      <c r="AQ227" s="75">
        <f t="shared" si="220"/>
        <v>0</v>
      </c>
      <c r="AR227" s="75"/>
      <c r="AS227" s="75"/>
      <c r="AT227" s="75"/>
      <c r="AU227" s="75"/>
      <c r="AV227" s="75"/>
      <c r="AW227" s="75"/>
      <c r="AX227" s="75"/>
      <c r="AY227" s="77">
        <f t="shared" ca="1" si="1"/>
        <v>0</v>
      </c>
      <c r="AZ227" s="75"/>
      <c r="BA227" s="77">
        <f t="shared" ca="1" si="2"/>
        <v>0</v>
      </c>
      <c r="BB227" s="66"/>
      <c r="BC227" s="4"/>
      <c r="BD227" s="67"/>
      <c r="BE227" s="67"/>
      <c r="BF227" s="68"/>
      <c r="BG227" s="69"/>
      <c r="BH227" s="84"/>
      <c r="BI227" s="70"/>
      <c r="BJ227" s="73"/>
      <c r="BK227" s="78"/>
      <c r="BL227" s="78">
        <f t="shared" ca="1" si="3"/>
        <v>0</v>
      </c>
      <c r="BM227" s="78"/>
      <c r="BN227" s="78">
        <f t="shared" ca="1" si="4"/>
        <v>0</v>
      </c>
      <c r="BO227" s="66"/>
      <c r="BP227" s="66"/>
    </row>
    <row r="228" spans="1:68" ht="13.2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>
        <f t="shared" ref="AP228:AQ228" si="221">AR228+AT228+AV228</f>
        <v>0</v>
      </c>
      <c r="AQ228" s="75">
        <f t="shared" si="221"/>
        <v>0</v>
      </c>
      <c r="AR228" s="75"/>
      <c r="AS228" s="75"/>
      <c r="AT228" s="75"/>
      <c r="AU228" s="75"/>
      <c r="AV228" s="75"/>
      <c r="AW228" s="75"/>
      <c r="AX228" s="75"/>
      <c r="AY228" s="77">
        <f t="shared" ca="1" si="1"/>
        <v>0</v>
      </c>
      <c r="AZ228" s="75"/>
      <c r="BA228" s="77">
        <f t="shared" ca="1" si="2"/>
        <v>0</v>
      </c>
      <c r="BB228" s="66"/>
      <c r="BC228" s="4"/>
      <c r="BD228" s="67"/>
      <c r="BE228" s="67"/>
      <c r="BF228" s="68"/>
      <c r="BG228" s="69"/>
      <c r="BH228" s="84"/>
      <c r="BI228" s="70"/>
      <c r="BJ228" s="73"/>
      <c r="BK228" s="78"/>
      <c r="BL228" s="78">
        <f t="shared" ca="1" si="3"/>
        <v>0</v>
      </c>
      <c r="BM228" s="78"/>
      <c r="BN228" s="78">
        <f t="shared" ca="1" si="4"/>
        <v>0</v>
      </c>
      <c r="BO228" s="66"/>
      <c r="BP228" s="66"/>
    </row>
    <row r="229" spans="1:68" ht="13.2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>
        <f t="shared" ref="AP229:AQ229" si="222">AR229+AT229+AV229</f>
        <v>0</v>
      </c>
      <c r="AQ229" s="75">
        <f t="shared" si="222"/>
        <v>0</v>
      </c>
      <c r="AR229" s="75"/>
      <c r="AS229" s="75"/>
      <c r="AT229" s="75"/>
      <c r="AU229" s="75"/>
      <c r="AV229" s="75"/>
      <c r="AW229" s="75"/>
      <c r="AX229" s="75"/>
      <c r="AY229" s="77">
        <f t="shared" ca="1" si="1"/>
        <v>0</v>
      </c>
      <c r="AZ229" s="75"/>
      <c r="BA229" s="77">
        <f t="shared" ca="1" si="2"/>
        <v>0</v>
      </c>
      <c r="BB229" s="66"/>
      <c r="BC229" s="4"/>
      <c r="BD229" s="67"/>
      <c r="BE229" s="67"/>
      <c r="BF229" s="68"/>
      <c r="BG229" s="69"/>
      <c r="BH229" s="84"/>
      <c r="BI229" s="70"/>
      <c r="BJ229" s="73"/>
      <c r="BK229" s="78"/>
      <c r="BL229" s="78">
        <f t="shared" ca="1" si="3"/>
        <v>0</v>
      </c>
      <c r="BM229" s="78"/>
      <c r="BN229" s="78">
        <f t="shared" ca="1" si="4"/>
        <v>0</v>
      </c>
      <c r="BO229" s="66"/>
      <c r="BP229" s="66"/>
    </row>
    <row r="230" spans="1:68" ht="13.2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>
        <f t="shared" ref="AP230:AQ230" si="223">AR230+AT230+AV230</f>
        <v>0</v>
      </c>
      <c r="AQ230" s="75">
        <f t="shared" si="223"/>
        <v>0</v>
      </c>
      <c r="AR230" s="75"/>
      <c r="AS230" s="75"/>
      <c r="AT230" s="75"/>
      <c r="AU230" s="75"/>
      <c r="AV230" s="75"/>
      <c r="AW230" s="75"/>
      <c r="AX230" s="75"/>
      <c r="AY230" s="77">
        <f t="shared" ca="1" si="1"/>
        <v>0</v>
      </c>
      <c r="AZ230" s="75"/>
      <c r="BA230" s="77">
        <f t="shared" ca="1" si="2"/>
        <v>0</v>
      </c>
      <c r="BB230" s="66"/>
      <c r="BC230" s="4"/>
      <c r="BD230" s="86"/>
      <c r="BE230" s="86"/>
      <c r="BF230" s="68"/>
      <c r="BG230" s="87"/>
      <c r="BH230" s="70"/>
      <c r="BI230" s="84"/>
      <c r="BJ230" s="79"/>
      <c r="BK230" s="78"/>
      <c r="BL230" s="78">
        <f t="shared" ca="1" si="3"/>
        <v>0</v>
      </c>
      <c r="BM230" s="78"/>
      <c r="BN230" s="78">
        <f t="shared" ca="1" si="4"/>
        <v>0</v>
      </c>
      <c r="BO230" s="66"/>
      <c r="BP230" s="66"/>
    </row>
    <row r="231" spans="1:68" ht="13.2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>
        <f t="shared" ref="AP231:AQ231" si="224">AR231+AT231+AV231</f>
        <v>0</v>
      </c>
      <c r="AQ231" s="75">
        <f t="shared" si="224"/>
        <v>0</v>
      </c>
      <c r="AR231" s="75"/>
      <c r="AS231" s="75"/>
      <c r="AT231" s="75"/>
      <c r="AU231" s="75"/>
      <c r="AV231" s="75"/>
      <c r="AW231" s="75"/>
      <c r="AX231" s="75"/>
      <c r="AY231" s="77">
        <f t="shared" ca="1" si="1"/>
        <v>0</v>
      </c>
      <c r="AZ231" s="75"/>
      <c r="BA231" s="77">
        <f t="shared" ca="1" si="2"/>
        <v>0</v>
      </c>
      <c r="BB231" s="66"/>
      <c r="BC231" s="4"/>
      <c r="BD231" s="86"/>
      <c r="BE231" s="86"/>
      <c r="BF231" s="68"/>
      <c r="BG231" s="87"/>
      <c r="BH231" s="70"/>
      <c r="BI231" s="84"/>
      <c r="BJ231" s="79"/>
      <c r="BK231" s="78"/>
      <c r="BL231" s="78">
        <f t="shared" ca="1" si="3"/>
        <v>0</v>
      </c>
      <c r="BM231" s="78"/>
      <c r="BN231" s="78">
        <f t="shared" ca="1" si="4"/>
        <v>0</v>
      </c>
      <c r="BO231" s="66"/>
      <c r="BP231" s="66"/>
    </row>
    <row r="232" spans="1:68" ht="13.2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>
        <f t="shared" ref="AP232:AQ232" si="225">AR232+AT232+AV232</f>
        <v>0</v>
      </c>
      <c r="AQ232" s="75">
        <f t="shared" si="225"/>
        <v>0</v>
      </c>
      <c r="AR232" s="75"/>
      <c r="AS232" s="75"/>
      <c r="AT232" s="75"/>
      <c r="AU232" s="75"/>
      <c r="AV232" s="75"/>
      <c r="AW232" s="75"/>
      <c r="AX232" s="75"/>
      <c r="AY232" s="77">
        <f t="shared" ca="1" si="1"/>
        <v>0</v>
      </c>
      <c r="AZ232" s="75"/>
      <c r="BA232" s="77">
        <f t="shared" ca="1" si="2"/>
        <v>0</v>
      </c>
      <c r="BB232" s="66"/>
      <c r="BC232" s="4"/>
      <c r="BD232" s="86"/>
      <c r="BE232" s="86"/>
      <c r="BF232" s="68"/>
      <c r="BG232" s="69"/>
      <c r="BH232" s="70"/>
      <c r="BI232" s="70"/>
      <c r="BJ232" s="68"/>
      <c r="BK232" s="78"/>
      <c r="BL232" s="78">
        <f t="shared" ca="1" si="3"/>
        <v>0</v>
      </c>
      <c r="BM232" s="78"/>
      <c r="BN232" s="78">
        <f t="shared" ca="1" si="4"/>
        <v>0</v>
      </c>
      <c r="BO232" s="66"/>
      <c r="BP232" s="66"/>
    </row>
    <row r="233" spans="1:68" ht="13.2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>
        <f t="shared" ref="AP233:AQ233" si="226">AR233+AT233+AV233</f>
        <v>0</v>
      </c>
      <c r="AQ233" s="75">
        <f t="shared" si="226"/>
        <v>0</v>
      </c>
      <c r="AR233" s="75"/>
      <c r="AS233" s="75"/>
      <c r="AT233" s="75"/>
      <c r="AU233" s="75"/>
      <c r="AV233" s="75"/>
      <c r="AW233" s="75"/>
      <c r="AX233" s="75"/>
      <c r="AY233" s="77">
        <f t="shared" ca="1" si="1"/>
        <v>0</v>
      </c>
      <c r="AZ233" s="75"/>
      <c r="BA233" s="77">
        <f t="shared" ca="1" si="2"/>
        <v>0</v>
      </c>
      <c r="BB233" s="66"/>
      <c r="BC233" s="4"/>
      <c r="BD233" s="86"/>
      <c r="BE233" s="86"/>
      <c r="BF233" s="68"/>
      <c r="BG233" s="69"/>
      <c r="BH233" s="70"/>
      <c r="BI233" s="70"/>
      <c r="BJ233" s="68"/>
      <c r="BK233" s="78"/>
      <c r="BL233" s="78">
        <f t="shared" ca="1" si="3"/>
        <v>0</v>
      </c>
      <c r="BM233" s="78"/>
      <c r="BN233" s="78">
        <f t="shared" ca="1" si="4"/>
        <v>0</v>
      </c>
      <c r="BO233" s="66"/>
      <c r="BP233" s="66"/>
    </row>
    <row r="234" spans="1:68" ht="13.2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>
        <f t="shared" ref="AP234:AQ234" si="227">AR234+AT234+AV234</f>
        <v>0</v>
      </c>
      <c r="AQ234" s="75">
        <f t="shared" si="227"/>
        <v>0</v>
      </c>
      <c r="AR234" s="75"/>
      <c r="AS234" s="75"/>
      <c r="AT234" s="75"/>
      <c r="AU234" s="75"/>
      <c r="AV234" s="75"/>
      <c r="AW234" s="75"/>
      <c r="AX234" s="75"/>
      <c r="AY234" s="77">
        <f t="shared" ca="1" si="1"/>
        <v>0</v>
      </c>
      <c r="AZ234" s="75"/>
      <c r="BA234" s="77">
        <f t="shared" ca="1" si="2"/>
        <v>0</v>
      </c>
      <c r="BB234" s="66"/>
      <c r="BC234" s="4"/>
      <c r="BD234" s="86"/>
      <c r="BE234" s="86"/>
      <c r="BF234" s="68"/>
      <c r="BG234" s="69"/>
      <c r="BH234" s="70"/>
      <c r="BI234" s="70"/>
      <c r="BJ234" s="68"/>
      <c r="BK234" s="78"/>
      <c r="BL234" s="78">
        <f t="shared" ca="1" si="3"/>
        <v>0</v>
      </c>
      <c r="BM234" s="78"/>
      <c r="BN234" s="78">
        <f t="shared" ca="1" si="4"/>
        <v>0</v>
      </c>
      <c r="BO234" s="66"/>
      <c r="BP234" s="66"/>
    </row>
    <row r="235" spans="1:68" ht="13.2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>
        <f t="shared" ref="AP235:AQ235" si="228">AR235+AT235+AV235</f>
        <v>0</v>
      </c>
      <c r="AQ235" s="75">
        <f t="shared" si="228"/>
        <v>0</v>
      </c>
      <c r="AR235" s="75"/>
      <c r="AS235" s="75"/>
      <c r="AT235" s="75"/>
      <c r="AU235" s="75"/>
      <c r="AV235" s="75"/>
      <c r="AW235" s="75"/>
      <c r="AX235" s="75"/>
      <c r="AY235" s="77">
        <f t="shared" ca="1" si="1"/>
        <v>0</v>
      </c>
      <c r="AZ235" s="75"/>
      <c r="BA235" s="77">
        <f t="shared" ca="1" si="2"/>
        <v>0</v>
      </c>
      <c r="BB235" s="66"/>
      <c r="BC235" s="4"/>
      <c r="BD235" s="86"/>
      <c r="BE235" s="86"/>
      <c r="BF235" s="68"/>
      <c r="BG235" s="69"/>
      <c r="BH235" s="70"/>
      <c r="BI235" s="70"/>
      <c r="BJ235" s="73"/>
      <c r="BK235" s="78"/>
      <c r="BL235" s="78">
        <f t="shared" ca="1" si="3"/>
        <v>0</v>
      </c>
      <c r="BM235" s="78"/>
      <c r="BN235" s="78">
        <f t="shared" ca="1" si="4"/>
        <v>0</v>
      </c>
      <c r="BO235" s="66"/>
      <c r="BP235" s="66"/>
    </row>
    <row r="236" spans="1:68" ht="13.2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>
        <f t="shared" ref="AP236:AQ236" si="229">AR236+AT236+AV236</f>
        <v>0</v>
      </c>
      <c r="AQ236" s="75">
        <f t="shared" si="229"/>
        <v>0</v>
      </c>
      <c r="AR236" s="75"/>
      <c r="AS236" s="75"/>
      <c r="AT236" s="75"/>
      <c r="AU236" s="75"/>
      <c r="AV236" s="75"/>
      <c r="AW236" s="75"/>
      <c r="AX236" s="75"/>
      <c r="AY236" s="77">
        <f t="shared" ca="1" si="1"/>
        <v>0</v>
      </c>
      <c r="AZ236" s="75"/>
      <c r="BA236" s="77">
        <f t="shared" ca="1" si="2"/>
        <v>0</v>
      </c>
      <c r="BB236" s="66"/>
      <c r="BC236" s="4"/>
      <c r="BD236" s="86"/>
      <c r="BE236" s="86"/>
      <c r="BF236" s="68"/>
      <c r="BG236" s="69"/>
      <c r="BH236" s="70"/>
      <c r="BI236" s="70"/>
      <c r="BJ236" s="73"/>
      <c r="BK236" s="78"/>
      <c r="BL236" s="78">
        <f t="shared" ca="1" si="3"/>
        <v>0</v>
      </c>
      <c r="BM236" s="78"/>
      <c r="BN236" s="78">
        <f t="shared" ca="1" si="4"/>
        <v>0</v>
      </c>
      <c r="BO236" s="66"/>
      <c r="BP236" s="66"/>
    </row>
    <row r="237" spans="1:68" ht="13.2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>
        <f t="shared" ref="AP237:AQ237" si="230">AR237+AT237+AV237</f>
        <v>0</v>
      </c>
      <c r="AQ237" s="75">
        <f t="shared" si="230"/>
        <v>0</v>
      </c>
      <c r="AR237" s="75"/>
      <c r="AS237" s="75"/>
      <c r="AT237" s="75"/>
      <c r="AU237" s="75"/>
      <c r="AV237" s="75"/>
      <c r="AW237" s="75"/>
      <c r="AX237" s="75"/>
      <c r="AY237" s="77">
        <f t="shared" ca="1" si="1"/>
        <v>0</v>
      </c>
      <c r="AZ237" s="75"/>
      <c r="BA237" s="77">
        <f t="shared" ca="1" si="2"/>
        <v>0</v>
      </c>
      <c r="BB237" s="66"/>
      <c r="BC237" s="4"/>
      <c r="BD237" s="67"/>
      <c r="BE237" s="67"/>
      <c r="BF237" s="68"/>
      <c r="BG237" s="69"/>
      <c r="BH237" s="70"/>
      <c r="BI237" s="70"/>
      <c r="BJ237" s="73"/>
      <c r="BK237" s="78"/>
      <c r="BL237" s="78">
        <f t="shared" ca="1" si="3"/>
        <v>0</v>
      </c>
      <c r="BM237" s="78"/>
      <c r="BN237" s="78">
        <f t="shared" ca="1" si="4"/>
        <v>0</v>
      </c>
      <c r="BO237" s="66"/>
      <c r="BP237" s="66"/>
    </row>
    <row r="238" spans="1:68" ht="13.2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>
        <f t="shared" ref="AP238:AQ238" si="231">AR238+AT238+AV238</f>
        <v>0</v>
      </c>
      <c r="AQ238" s="75">
        <f t="shared" si="231"/>
        <v>0</v>
      </c>
      <c r="AR238" s="75"/>
      <c r="AS238" s="75"/>
      <c r="AT238" s="75"/>
      <c r="AU238" s="75"/>
      <c r="AV238" s="75"/>
      <c r="AW238" s="75"/>
      <c r="AX238" s="75"/>
      <c r="AY238" s="77">
        <f t="shared" ca="1" si="1"/>
        <v>0</v>
      </c>
      <c r="AZ238" s="75"/>
      <c r="BA238" s="77">
        <f t="shared" ca="1" si="2"/>
        <v>0</v>
      </c>
      <c r="BB238" s="66"/>
      <c r="BC238" s="4"/>
      <c r="BD238" s="67"/>
      <c r="BE238" s="67"/>
      <c r="BF238" s="68"/>
      <c r="BG238" s="69"/>
      <c r="BH238" s="70"/>
      <c r="BI238" s="70"/>
      <c r="BJ238" s="73"/>
      <c r="BK238" s="78"/>
      <c r="BL238" s="78">
        <f t="shared" ca="1" si="3"/>
        <v>0</v>
      </c>
      <c r="BM238" s="78"/>
      <c r="BN238" s="78">
        <f t="shared" ca="1" si="4"/>
        <v>0</v>
      </c>
      <c r="BO238" s="66"/>
      <c r="BP238" s="66"/>
    </row>
    <row r="239" spans="1:68" ht="13.2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>
        <f t="shared" ref="AP239:AQ239" si="232">AR239+AT239+AV239</f>
        <v>0</v>
      </c>
      <c r="AQ239" s="75">
        <f t="shared" si="232"/>
        <v>0</v>
      </c>
      <c r="AR239" s="75"/>
      <c r="AS239" s="75"/>
      <c r="AT239" s="75"/>
      <c r="AU239" s="75"/>
      <c r="AV239" s="75"/>
      <c r="AW239" s="75"/>
      <c r="AX239" s="75"/>
      <c r="AY239" s="77">
        <f t="shared" ca="1" si="1"/>
        <v>0</v>
      </c>
      <c r="AZ239" s="75"/>
      <c r="BA239" s="77">
        <f t="shared" ca="1" si="2"/>
        <v>0</v>
      </c>
      <c r="BB239" s="66"/>
      <c r="BC239" s="4"/>
      <c r="BD239" s="67"/>
      <c r="BE239" s="67"/>
      <c r="BF239" s="68"/>
      <c r="BG239" s="69"/>
      <c r="BH239" s="70"/>
      <c r="BI239" s="70"/>
      <c r="BJ239" s="73"/>
      <c r="BK239" s="78"/>
      <c r="BL239" s="78">
        <f t="shared" ca="1" si="3"/>
        <v>0</v>
      </c>
      <c r="BM239" s="78"/>
      <c r="BN239" s="78">
        <f t="shared" ca="1" si="4"/>
        <v>0</v>
      </c>
      <c r="BO239" s="66"/>
      <c r="BP239" s="66"/>
    </row>
    <row r="240" spans="1:68" ht="13.2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>
        <f t="shared" ref="AP240:AQ240" si="233">AR240+AT240+AV240</f>
        <v>0</v>
      </c>
      <c r="AQ240" s="75">
        <f t="shared" si="233"/>
        <v>0</v>
      </c>
      <c r="AR240" s="75"/>
      <c r="AS240" s="75"/>
      <c r="AT240" s="75"/>
      <c r="AU240" s="75"/>
      <c r="AV240" s="75"/>
      <c r="AW240" s="75"/>
      <c r="AX240" s="75"/>
      <c r="AY240" s="77">
        <f t="shared" ca="1" si="1"/>
        <v>0</v>
      </c>
      <c r="AZ240" s="75"/>
      <c r="BA240" s="77">
        <f t="shared" ca="1" si="2"/>
        <v>0</v>
      </c>
      <c r="BB240" s="66"/>
      <c r="BC240" s="4"/>
      <c r="BD240" s="67"/>
      <c r="BE240" s="67"/>
      <c r="BF240" s="68"/>
      <c r="BG240" s="69"/>
      <c r="BH240" s="70"/>
      <c r="BI240" s="70"/>
      <c r="BJ240" s="73"/>
      <c r="BK240" s="78"/>
      <c r="BL240" s="78">
        <f t="shared" ca="1" si="3"/>
        <v>0</v>
      </c>
      <c r="BM240" s="78"/>
      <c r="BN240" s="78">
        <f t="shared" ca="1" si="4"/>
        <v>0</v>
      </c>
      <c r="BO240" s="66"/>
      <c r="BP240" s="66"/>
    </row>
    <row r="241" spans="1:68" ht="13.2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>
        <f t="shared" ref="AP241:AQ241" si="234">AR241+AT241+AV241</f>
        <v>0</v>
      </c>
      <c r="AQ241" s="75">
        <f t="shared" si="234"/>
        <v>0</v>
      </c>
      <c r="AR241" s="75"/>
      <c r="AS241" s="75"/>
      <c r="AT241" s="75"/>
      <c r="AU241" s="75"/>
      <c r="AV241" s="75"/>
      <c r="AW241" s="75"/>
      <c r="AX241" s="75"/>
      <c r="AY241" s="77">
        <f t="shared" ca="1" si="1"/>
        <v>0</v>
      </c>
      <c r="AZ241" s="75"/>
      <c r="BA241" s="77">
        <f t="shared" ca="1" si="2"/>
        <v>0</v>
      </c>
      <c r="BB241" s="66"/>
      <c r="BC241" s="4"/>
      <c r="BD241" s="67"/>
      <c r="BE241" s="67"/>
      <c r="BF241" s="68"/>
      <c r="BG241" s="69"/>
      <c r="BH241" s="70"/>
      <c r="BI241" s="70"/>
      <c r="BJ241" s="73"/>
      <c r="BK241" s="78"/>
      <c r="BL241" s="78">
        <f t="shared" ca="1" si="3"/>
        <v>0</v>
      </c>
      <c r="BM241" s="78"/>
      <c r="BN241" s="78">
        <f t="shared" ca="1" si="4"/>
        <v>0</v>
      </c>
      <c r="BO241" s="66"/>
      <c r="BP241" s="66"/>
    </row>
    <row r="242" spans="1:68" ht="13.2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>
        <f t="shared" ref="AP242:AQ242" si="235">AR242+AT242+AV242</f>
        <v>0</v>
      </c>
      <c r="AQ242" s="75">
        <f t="shared" si="235"/>
        <v>0</v>
      </c>
      <c r="AR242" s="75"/>
      <c r="AS242" s="75"/>
      <c r="AT242" s="75"/>
      <c r="AU242" s="75"/>
      <c r="AV242" s="75"/>
      <c r="AW242" s="75"/>
      <c r="AX242" s="75"/>
      <c r="AY242" s="77">
        <f t="shared" ca="1" si="1"/>
        <v>0</v>
      </c>
      <c r="AZ242" s="75"/>
      <c r="BA242" s="77">
        <f t="shared" ca="1" si="2"/>
        <v>0</v>
      </c>
      <c r="BB242" s="66"/>
      <c r="BC242" s="4"/>
      <c r="BD242" s="67"/>
      <c r="BE242" s="67"/>
      <c r="BF242" s="68"/>
      <c r="BG242" s="69"/>
      <c r="BH242" s="70"/>
      <c r="BI242" s="70"/>
      <c r="BJ242" s="73"/>
      <c r="BK242" s="78"/>
      <c r="BL242" s="78">
        <f t="shared" ca="1" si="3"/>
        <v>0</v>
      </c>
      <c r="BM242" s="78"/>
      <c r="BN242" s="78">
        <f t="shared" ca="1" si="4"/>
        <v>0</v>
      </c>
      <c r="BO242" s="66"/>
      <c r="BP242" s="66"/>
    </row>
    <row r="243" spans="1:68" ht="13.2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>
        <f t="shared" ref="AP243:AQ243" si="236">AR243+AT243+AV243</f>
        <v>0</v>
      </c>
      <c r="AQ243" s="75">
        <f t="shared" si="236"/>
        <v>0</v>
      </c>
      <c r="AR243" s="75"/>
      <c r="AS243" s="75"/>
      <c r="AT243" s="75"/>
      <c r="AU243" s="75"/>
      <c r="AV243" s="75"/>
      <c r="AW243" s="75"/>
      <c r="AX243" s="75"/>
      <c r="AY243" s="77">
        <f t="shared" ca="1" si="1"/>
        <v>0</v>
      </c>
      <c r="AZ243" s="75"/>
      <c r="BA243" s="77">
        <f t="shared" ca="1" si="2"/>
        <v>0</v>
      </c>
      <c r="BB243" s="66"/>
      <c r="BC243" s="4"/>
      <c r="BD243" s="67"/>
      <c r="BE243" s="67"/>
      <c r="BF243" s="68"/>
      <c r="BG243" s="69"/>
      <c r="BH243" s="70"/>
      <c r="BI243" s="70"/>
      <c r="BJ243" s="73"/>
      <c r="BK243" s="78"/>
      <c r="BL243" s="78">
        <f t="shared" ca="1" si="3"/>
        <v>0</v>
      </c>
      <c r="BM243" s="78"/>
      <c r="BN243" s="78">
        <f t="shared" ca="1" si="4"/>
        <v>0</v>
      </c>
      <c r="BO243" s="66"/>
      <c r="BP243" s="66"/>
    </row>
    <row r="244" spans="1:68" ht="13.2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>
        <f t="shared" ref="AP244:AQ244" si="237">AR244+AT244+AV244</f>
        <v>0</v>
      </c>
      <c r="AQ244" s="75">
        <f t="shared" si="237"/>
        <v>0</v>
      </c>
      <c r="AR244" s="75"/>
      <c r="AS244" s="75"/>
      <c r="AT244" s="75"/>
      <c r="AU244" s="75"/>
      <c r="AV244" s="75"/>
      <c r="AW244" s="75"/>
      <c r="AX244" s="75"/>
      <c r="AY244" s="77">
        <f t="shared" ca="1" si="1"/>
        <v>0</v>
      </c>
      <c r="AZ244" s="75"/>
      <c r="BA244" s="77">
        <f t="shared" ca="1" si="2"/>
        <v>0</v>
      </c>
      <c r="BB244" s="66"/>
      <c r="BC244" s="4"/>
      <c r="BD244" s="67"/>
      <c r="BE244" s="67"/>
      <c r="BF244" s="68"/>
      <c r="BG244" s="69"/>
      <c r="BH244" s="70"/>
      <c r="BI244" s="70"/>
      <c r="BJ244" s="73"/>
      <c r="BK244" s="78"/>
      <c r="BL244" s="78">
        <f t="shared" ca="1" si="3"/>
        <v>0</v>
      </c>
      <c r="BM244" s="78"/>
      <c r="BN244" s="78">
        <f t="shared" ca="1" si="4"/>
        <v>0</v>
      </c>
      <c r="BO244" s="66"/>
      <c r="BP244" s="66"/>
    </row>
    <row r="245" spans="1:68" ht="13.2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>
        <f t="shared" ref="AP245:AQ245" si="238">AR245+AT245+AV245</f>
        <v>0</v>
      </c>
      <c r="AQ245" s="75">
        <f t="shared" si="238"/>
        <v>0</v>
      </c>
      <c r="AR245" s="75"/>
      <c r="AS245" s="75"/>
      <c r="AT245" s="75"/>
      <c r="AU245" s="75"/>
      <c r="AV245" s="75"/>
      <c r="AW245" s="75"/>
      <c r="AX245" s="75"/>
      <c r="AY245" s="77">
        <f t="shared" ca="1" si="1"/>
        <v>0</v>
      </c>
      <c r="AZ245" s="75"/>
      <c r="BA245" s="77">
        <f t="shared" ca="1" si="2"/>
        <v>0</v>
      </c>
      <c r="BB245" s="66"/>
      <c r="BC245" s="4"/>
      <c r="BD245" s="67"/>
      <c r="BE245" s="67"/>
      <c r="BF245" s="68"/>
      <c r="BG245" s="69"/>
      <c r="BH245" s="70"/>
      <c r="BI245" s="70"/>
      <c r="BJ245" s="73"/>
      <c r="BK245" s="78"/>
      <c r="BL245" s="78">
        <f t="shared" ca="1" si="3"/>
        <v>0</v>
      </c>
      <c r="BM245" s="78"/>
      <c r="BN245" s="78">
        <f t="shared" ca="1" si="4"/>
        <v>0</v>
      </c>
      <c r="BO245" s="66"/>
      <c r="BP245" s="66"/>
    </row>
    <row r="246" spans="1:68" ht="13.2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>
        <f t="shared" ref="AP246:AQ246" si="239">AR246+AT246+AV246</f>
        <v>0</v>
      </c>
      <c r="AQ246" s="75">
        <f t="shared" si="239"/>
        <v>0</v>
      </c>
      <c r="AR246" s="75"/>
      <c r="AS246" s="75"/>
      <c r="AT246" s="75"/>
      <c r="AU246" s="75"/>
      <c r="AV246" s="75"/>
      <c r="AW246" s="75"/>
      <c r="AX246" s="75"/>
      <c r="AY246" s="77">
        <f t="shared" ca="1" si="1"/>
        <v>0</v>
      </c>
      <c r="AZ246" s="75"/>
      <c r="BA246" s="77">
        <f t="shared" ca="1" si="2"/>
        <v>0</v>
      </c>
      <c r="BB246" s="66"/>
      <c r="BC246" s="4"/>
      <c r="BD246" s="67"/>
      <c r="BE246" s="67"/>
      <c r="BF246" s="68"/>
      <c r="BG246" s="69"/>
      <c r="BH246" s="84"/>
      <c r="BI246" s="70"/>
      <c r="BJ246" s="73"/>
      <c r="BK246" s="78"/>
      <c r="BL246" s="78">
        <f t="shared" ca="1" si="3"/>
        <v>0</v>
      </c>
      <c r="BM246" s="78"/>
      <c r="BN246" s="78">
        <f t="shared" ca="1" si="4"/>
        <v>0</v>
      </c>
      <c r="BO246" s="66"/>
      <c r="BP246" s="66"/>
    </row>
    <row r="247" spans="1:68" ht="13.2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>
        <f t="shared" ref="AP247:AQ247" si="240">AR247+AT247+AV247</f>
        <v>0</v>
      </c>
      <c r="AQ247" s="75">
        <f t="shared" si="240"/>
        <v>0</v>
      </c>
      <c r="AR247" s="75"/>
      <c r="AS247" s="75"/>
      <c r="AT247" s="75"/>
      <c r="AU247" s="75"/>
      <c r="AV247" s="75"/>
      <c r="AW247" s="75"/>
      <c r="AX247" s="75"/>
      <c r="AY247" s="77">
        <f t="shared" ca="1" si="1"/>
        <v>0</v>
      </c>
      <c r="AZ247" s="75"/>
      <c r="BA247" s="77">
        <f t="shared" ca="1" si="2"/>
        <v>0</v>
      </c>
      <c r="BB247" s="66"/>
      <c r="BC247" s="4"/>
      <c r="BD247" s="67"/>
      <c r="BE247" s="67"/>
      <c r="BF247" s="68"/>
      <c r="BG247" s="69"/>
      <c r="BH247" s="84"/>
      <c r="BI247" s="70"/>
      <c r="BJ247" s="73"/>
      <c r="BK247" s="78"/>
      <c r="BL247" s="78">
        <f t="shared" ca="1" si="3"/>
        <v>0</v>
      </c>
      <c r="BM247" s="78"/>
      <c r="BN247" s="78">
        <f t="shared" ca="1" si="4"/>
        <v>0</v>
      </c>
      <c r="BO247" s="66"/>
      <c r="BP247" s="66"/>
    </row>
    <row r="248" spans="1:68" ht="13.2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>
        <f t="shared" ref="AP248:AQ248" si="241">AR248+AT248+AV248</f>
        <v>0</v>
      </c>
      <c r="AQ248" s="75">
        <f t="shared" si="241"/>
        <v>0</v>
      </c>
      <c r="AR248" s="75"/>
      <c r="AS248" s="75"/>
      <c r="AT248" s="75"/>
      <c r="AU248" s="75"/>
      <c r="AV248" s="75"/>
      <c r="AW248" s="75"/>
      <c r="AX248" s="75"/>
      <c r="AY248" s="77">
        <f t="shared" ca="1" si="1"/>
        <v>0</v>
      </c>
      <c r="AZ248" s="75"/>
      <c r="BA248" s="77">
        <f t="shared" ca="1" si="2"/>
        <v>0</v>
      </c>
      <c r="BB248" s="66"/>
      <c r="BC248" s="4"/>
      <c r="BD248" s="67"/>
      <c r="BE248" s="67"/>
      <c r="BF248" s="68"/>
      <c r="BG248" s="69"/>
      <c r="BH248" s="84"/>
      <c r="BI248" s="70"/>
      <c r="BJ248" s="73"/>
      <c r="BK248" s="78"/>
      <c r="BL248" s="78">
        <f t="shared" ca="1" si="3"/>
        <v>0</v>
      </c>
      <c r="BM248" s="78"/>
      <c r="BN248" s="78">
        <f t="shared" ca="1" si="4"/>
        <v>0</v>
      </c>
      <c r="BO248" s="66"/>
      <c r="BP248" s="66"/>
    </row>
    <row r="249" spans="1:68" ht="13.2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>
        <f t="shared" ref="AP249:AQ249" si="242">AR249+AT249+AV249</f>
        <v>0</v>
      </c>
      <c r="AQ249" s="75">
        <f t="shared" si="242"/>
        <v>0</v>
      </c>
      <c r="AR249" s="75"/>
      <c r="AS249" s="75"/>
      <c r="AT249" s="75"/>
      <c r="AU249" s="75"/>
      <c r="AV249" s="75"/>
      <c r="AW249" s="75"/>
      <c r="AX249" s="75"/>
      <c r="AY249" s="77">
        <f t="shared" ca="1" si="1"/>
        <v>0</v>
      </c>
      <c r="AZ249" s="75"/>
      <c r="BA249" s="77">
        <f t="shared" ca="1" si="2"/>
        <v>0</v>
      </c>
      <c r="BB249" s="66"/>
      <c r="BC249" s="4"/>
      <c r="BD249" s="67"/>
      <c r="BE249" s="67"/>
      <c r="BF249" s="68"/>
      <c r="BG249" s="69"/>
      <c r="BH249" s="84"/>
      <c r="BI249" s="70"/>
      <c r="BJ249" s="73"/>
      <c r="BK249" s="78"/>
      <c r="BL249" s="78">
        <f t="shared" ca="1" si="3"/>
        <v>0</v>
      </c>
      <c r="BM249" s="78"/>
      <c r="BN249" s="78">
        <f t="shared" ca="1" si="4"/>
        <v>0</v>
      </c>
      <c r="BO249" s="66"/>
      <c r="BP249" s="66"/>
    </row>
    <row r="250" spans="1:68" ht="13.2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>
        <f t="shared" ref="AP250:AQ250" si="243">AR250+AT250+AV250</f>
        <v>0</v>
      </c>
      <c r="AQ250" s="75">
        <f t="shared" si="243"/>
        <v>0</v>
      </c>
      <c r="AR250" s="75"/>
      <c r="AS250" s="75"/>
      <c r="AT250" s="75"/>
      <c r="AU250" s="75"/>
      <c r="AV250" s="75"/>
      <c r="AW250" s="75"/>
      <c r="AX250" s="75"/>
      <c r="AY250" s="77">
        <f t="shared" ca="1" si="1"/>
        <v>0</v>
      </c>
      <c r="AZ250" s="75"/>
      <c r="BA250" s="77">
        <f t="shared" ca="1" si="2"/>
        <v>0</v>
      </c>
      <c r="BB250" s="66"/>
      <c r="BC250" s="4"/>
      <c r="BD250" s="67"/>
      <c r="BE250" s="67"/>
      <c r="BF250" s="68"/>
      <c r="BG250" s="69"/>
      <c r="BH250" s="84"/>
      <c r="BI250" s="70"/>
      <c r="BJ250" s="73"/>
      <c r="BK250" s="78"/>
      <c r="BL250" s="78">
        <f t="shared" ca="1" si="3"/>
        <v>0</v>
      </c>
      <c r="BM250" s="78"/>
      <c r="BN250" s="78">
        <f t="shared" ca="1" si="4"/>
        <v>0</v>
      </c>
      <c r="BO250" s="66"/>
      <c r="BP250" s="66"/>
    </row>
    <row r="251" spans="1:68" ht="13.2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>
        <f t="shared" ref="AP251:AQ251" si="244">AR251+AT251+AV251</f>
        <v>0</v>
      </c>
      <c r="AQ251" s="75">
        <f t="shared" si="244"/>
        <v>0</v>
      </c>
      <c r="AR251" s="75"/>
      <c r="AS251" s="75"/>
      <c r="AT251" s="75"/>
      <c r="AU251" s="75"/>
      <c r="AV251" s="75"/>
      <c r="AW251" s="75"/>
      <c r="AX251" s="75"/>
      <c r="AY251" s="77">
        <f t="shared" ca="1" si="1"/>
        <v>0</v>
      </c>
      <c r="AZ251" s="75"/>
      <c r="BA251" s="77">
        <f t="shared" ca="1" si="2"/>
        <v>0</v>
      </c>
      <c r="BB251" s="66"/>
      <c r="BC251" s="4"/>
      <c r="BD251" s="67"/>
      <c r="BE251" s="67"/>
      <c r="BF251" s="68"/>
      <c r="BG251" s="69"/>
      <c r="BH251" s="84"/>
      <c r="BI251" s="70"/>
      <c r="BJ251" s="73"/>
      <c r="BK251" s="78"/>
      <c r="BL251" s="78">
        <f t="shared" ca="1" si="3"/>
        <v>0</v>
      </c>
      <c r="BM251" s="78"/>
      <c r="BN251" s="78">
        <f t="shared" ca="1" si="4"/>
        <v>0</v>
      </c>
      <c r="BO251" s="66"/>
      <c r="BP251" s="66"/>
    </row>
    <row r="252" spans="1:68" ht="13.2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>
        <f t="shared" ref="AP252:AQ252" si="245">AR252+AT252+AV252</f>
        <v>0</v>
      </c>
      <c r="AQ252" s="75">
        <f t="shared" si="245"/>
        <v>0</v>
      </c>
      <c r="AR252" s="75"/>
      <c r="AS252" s="75"/>
      <c r="AT252" s="75"/>
      <c r="AU252" s="75"/>
      <c r="AV252" s="75"/>
      <c r="AW252" s="75"/>
      <c r="AX252" s="75"/>
      <c r="AY252" s="77">
        <f t="shared" ca="1" si="1"/>
        <v>0</v>
      </c>
      <c r="AZ252" s="75"/>
      <c r="BA252" s="77">
        <f t="shared" ca="1" si="2"/>
        <v>0</v>
      </c>
      <c r="BB252" s="66"/>
      <c r="BC252" s="4"/>
      <c r="BD252" s="67"/>
      <c r="BE252" s="67"/>
      <c r="BF252" s="68"/>
      <c r="BG252" s="69"/>
      <c r="BH252" s="84"/>
      <c r="BI252" s="70"/>
      <c r="BJ252" s="73"/>
      <c r="BK252" s="78"/>
      <c r="BL252" s="78">
        <f t="shared" ca="1" si="3"/>
        <v>0</v>
      </c>
      <c r="BM252" s="78"/>
      <c r="BN252" s="78">
        <f t="shared" ca="1" si="4"/>
        <v>0</v>
      </c>
      <c r="BO252" s="66"/>
      <c r="BP252" s="66"/>
    </row>
    <row r="253" spans="1:68" ht="13.2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>
        <f t="shared" ref="AP253:AQ253" si="246">AR253+AT253+AV253</f>
        <v>0</v>
      </c>
      <c r="AQ253" s="75">
        <f t="shared" si="246"/>
        <v>0</v>
      </c>
      <c r="AR253" s="75"/>
      <c r="AS253" s="75"/>
      <c r="AT253" s="75"/>
      <c r="AU253" s="75"/>
      <c r="AV253" s="75"/>
      <c r="AW253" s="75"/>
      <c r="AX253" s="75"/>
      <c r="AY253" s="77">
        <f t="shared" ca="1" si="1"/>
        <v>0</v>
      </c>
      <c r="AZ253" s="75"/>
      <c r="BA253" s="77">
        <f t="shared" ca="1" si="2"/>
        <v>0</v>
      </c>
      <c r="BB253" s="66"/>
      <c r="BC253" s="4"/>
      <c r="BD253" s="67"/>
      <c r="BE253" s="67"/>
      <c r="BF253" s="68"/>
      <c r="BG253" s="69"/>
      <c r="BH253" s="84"/>
      <c r="BI253" s="70"/>
      <c r="BJ253" s="73"/>
      <c r="BK253" s="78"/>
      <c r="BL253" s="78">
        <f t="shared" ca="1" si="3"/>
        <v>0</v>
      </c>
      <c r="BM253" s="78"/>
      <c r="BN253" s="78">
        <f t="shared" ca="1" si="4"/>
        <v>0</v>
      </c>
      <c r="BO253" s="66"/>
      <c r="BP253" s="66"/>
    </row>
    <row r="254" spans="1:68" ht="13.2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>
        <f t="shared" ref="AP254:AQ254" si="247">AR254+AT254+AV254</f>
        <v>0</v>
      </c>
      <c r="AQ254" s="75">
        <f t="shared" si="247"/>
        <v>0</v>
      </c>
      <c r="AR254" s="75"/>
      <c r="AS254" s="75"/>
      <c r="AT254" s="75"/>
      <c r="AU254" s="75"/>
      <c r="AV254" s="75"/>
      <c r="AW254" s="75"/>
      <c r="AX254" s="75"/>
      <c r="AY254" s="77">
        <f t="shared" ca="1" si="1"/>
        <v>0</v>
      </c>
      <c r="AZ254" s="75"/>
      <c r="BA254" s="77">
        <f t="shared" ca="1" si="2"/>
        <v>0</v>
      </c>
      <c r="BB254" s="66"/>
      <c r="BC254" s="4"/>
      <c r="BD254" s="67"/>
      <c r="BE254" s="67"/>
      <c r="BF254" s="68"/>
      <c r="BG254" s="69"/>
      <c r="BH254" s="84"/>
      <c r="BI254" s="70"/>
      <c r="BJ254" s="73"/>
      <c r="BK254" s="78"/>
      <c r="BL254" s="78">
        <f t="shared" ca="1" si="3"/>
        <v>0</v>
      </c>
      <c r="BM254" s="78"/>
      <c r="BN254" s="78">
        <f t="shared" ca="1" si="4"/>
        <v>0</v>
      </c>
      <c r="BO254" s="66"/>
      <c r="BP254" s="66"/>
    </row>
    <row r="255" spans="1:68" ht="13.2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>
        <f t="shared" ref="AP255:AQ255" si="248">AR255+AT255+AV255</f>
        <v>0</v>
      </c>
      <c r="AQ255" s="75">
        <f t="shared" si="248"/>
        <v>0</v>
      </c>
      <c r="AR255" s="75"/>
      <c r="AS255" s="75"/>
      <c r="AT255" s="75"/>
      <c r="AU255" s="75"/>
      <c r="AV255" s="75"/>
      <c r="AW255" s="75"/>
      <c r="AX255" s="75"/>
      <c r="AY255" s="77">
        <f t="shared" ca="1" si="1"/>
        <v>0</v>
      </c>
      <c r="AZ255" s="75"/>
      <c r="BA255" s="77">
        <f t="shared" ca="1" si="2"/>
        <v>0</v>
      </c>
      <c r="BB255" s="66"/>
      <c r="BC255" s="4"/>
      <c r="BD255" s="67"/>
      <c r="BE255" s="67"/>
      <c r="BF255" s="68"/>
      <c r="BG255" s="69"/>
      <c r="BH255" s="84"/>
      <c r="BI255" s="70"/>
      <c r="BJ255" s="73"/>
      <c r="BK255" s="78"/>
      <c r="BL255" s="78">
        <f t="shared" ca="1" si="3"/>
        <v>0</v>
      </c>
      <c r="BM255" s="78"/>
      <c r="BN255" s="78">
        <f t="shared" ca="1" si="4"/>
        <v>0</v>
      </c>
      <c r="BO255" s="66"/>
      <c r="BP255" s="66"/>
    </row>
    <row r="256" spans="1:68" ht="13.2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>
        <f t="shared" ref="AP256:AQ256" si="249">AR256+AT256+AV256</f>
        <v>0</v>
      </c>
      <c r="AQ256" s="75">
        <f t="shared" si="249"/>
        <v>0</v>
      </c>
      <c r="AR256" s="75"/>
      <c r="AS256" s="75"/>
      <c r="AT256" s="75"/>
      <c r="AU256" s="75"/>
      <c r="AV256" s="75"/>
      <c r="AW256" s="75"/>
      <c r="AX256" s="75"/>
      <c r="AY256" s="77">
        <f t="shared" ca="1" si="1"/>
        <v>0</v>
      </c>
      <c r="AZ256" s="75"/>
      <c r="BA256" s="77">
        <f t="shared" ca="1" si="2"/>
        <v>0</v>
      </c>
      <c r="BB256" s="66"/>
      <c r="BC256" s="4"/>
      <c r="BD256" s="67"/>
      <c r="BE256" s="67"/>
      <c r="BF256" s="68"/>
      <c r="BG256" s="69"/>
      <c r="BH256" s="84"/>
      <c r="BI256" s="70"/>
      <c r="BJ256" s="73"/>
      <c r="BK256" s="78"/>
      <c r="BL256" s="78">
        <f t="shared" ca="1" si="3"/>
        <v>0</v>
      </c>
      <c r="BM256" s="78"/>
      <c r="BN256" s="78">
        <f t="shared" ca="1" si="4"/>
        <v>0</v>
      </c>
      <c r="BO256" s="66"/>
      <c r="BP256" s="66"/>
    </row>
    <row r="257" spans="1:68" ht="13.2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>
        <f t="shared" ref="AP257:AQ257" si="250">AR257+AT257+AV257</f>
        <v>0</v>
      </c>
      <c r="AQ257" s="75">
        <f t="shared" si="250"/>
        <v>0</v>
      </c>
      <c r="AR257" s="75"/>
      <c r="AS257" s="75"/>
      <c r="AT257" s="75"/>
      <c r="AU257" s="75"/>
      <c r="AV257" s="75"/>
      <c r="AW257" s="75"/>
      <c r="AX257" s="75"/>
      <c r="AY257" s="77">
        <f t="shared" ca="1" si="1"/>
        <v>0</v>
      </c>
      <c r="AZ257" s="75"/>
      <c r="BA257" s="77">
        <f t="shared" ca="1" si="2"/>
        <v>0</v>
      </c>
      <c r="BB257" s="66"/>
      <c r="BC257" s="4"/>
      <c r="BD257" s="67"/>
      <c r="BE257" s="67"/>
      <c r="BF257" s="68"/>
      <c r="BG257" s="69"/>
      <c r="BH257" s="84"/>
      <c r="BI257" s="70"/>
      <c r="BJ257" s="73"/>
      <c r="BK257" s="78"/>
      <c r="BL257" s="78">
        <f t="shared" ca="1" si="3"/>
        <v>0</v>
      </c>
      <c r="BM257" s="78"/>
      <c r="BN257" s="78">
        <f t="shared" ca="1" si="4"/>
        <v>0</v>
      </c>
      <c r="BO257" s="66"/>
      <c r="BP257" s="66"/>
    </row>
    <row r="258" spans="1:68" ht="13.2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>
        <f t="shared" ref="AP258:AQ258" si="251">AR258+AT258+AV258</f>
        <v>0</v>
      </c>
      <c r="AQ258" s="75">
        <f t="shared" si="251"/>
        <v>0</v>
      </c>
      <c r="AR258" s="75"/>
      <c r="AS258" s="75"/>
      <c r="AT258" s="75"/>
      <c r="AU258" s="75"/>
      <c r="AV258" s="75"/>
      <c r="AW258" s="75"/>
      <c r="AX258" s="75"/>
      <c r="AY258" s="77">
        <f t="shared" ca="1" si="1"/>
        <v>0</v>
      </c>
      <c r="AZ258" s="75"/>
      <c r="BA258" s="77">
        <f t="shared" ca="1" si="2"/>
        <v>0</v>
      </c>
      <c r="BB258" s="66"/>
      <c r="BC258" s="4"/>
      <c r="BD258" s="67"/>
      <c r="BE258" s="67"/>
      <c r="BF258" s="68"/>
      <c r="BG258" s="69"/>
      <c r="BH258" s="84"/>
      <c r="BI258" s="70"/>
      <c r="BJ258" s="73"/>
      <c r="BK258" s="78"/>
      <c r="BL258" s="78">
        <f t="shared" ca="1" si="3"/>
        <v>0</v>
      </c>
      <c r="BM258" s="78"/>
      <c r="BN258" s="78">
        <f t="shared" ca="1" si="4"/>
        <v>0</v>
      </c>
      <c r="BO258" s="66"/>
      <c r="BP258" s="66"/>
    </row>
    <row r="259" spans="1:68" ht="13.2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>
        <f t="shared" ref="AP259:AQ259" si="252">AR259+AT259+AV259</f>
        <v>0</v>
      </c>
      <c r="AQ259" s="75">
        <f t="shared" si="252"/>
        <v>0</v>
      </c>
      <c r="AR259" s="75"/>
      <c r="AS259" s="75"/>
      <c r="AT259" s="75"/>
      <c r="AU259" s="75"/>
      <c r="AV259" s="75"/>
      <c r="AW259" s="75"/>
      <c r="AX259" s="75"/>
      <c r="AY259" s="77">
        <f t="shared" ca="1" si="1"/>
        <v>0</v>
      </c>
      <c r="AZ259" s="75"/>
      <c r="BA259" s="77">
        <f t="shared" ca="1" si="2"/>
        <v>0</v>
      </c>
      <c r="BB259" s="66"/>
      <c r="BC259" s="4"/>
      <c r="BD259" s="67"/>
      <c r="BE259" s="67"/>
      <c r="BF259" s="68"/>
      <c r="BG259" s="69"/>
      <c r="BH259" s="84"/>
      <c r="BI259" s="70"/>
      <c r="BJ259" s="73"/>
      <c r="BK259" s="78"/>
      <c r="BL259" s="78">
        <f t="shared" ca="1" si="3"/>
        <v>0</v>
      </c>
      <c r="BM259" s="78"/>
      <c r="BN259" s="78">
        <f t="shared" ca="1" si="4"/>
        <v>0</v>
      </c>
      <c r="BO259" s="66"/>
      <c r="BP259" s="66"/>
    </row>
    <row r="260" spans="1:68" ht="13.2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>
        <f t="shared" ref="AP260:AQ260" si="253">AR260+AT260+AV260</f>
        <v>0</v>
      </c>
      <c r="AQ260" s="75">
        <f t="shared" si="253"/>
        <v>0</v>
      </c>
      <c r="AR260" s="75"/>
      <c r="AS260" s="75"/>
      <c r="AT260" s="75"/>
      <c r="AU260" s="75"/>
      <c r="AV260" s="75"/>
      <c r="AW260" s="75"/>
      <c r="AX260" s="75"/>
      <c r="AY260" s="77">
        <f t="shared" ca="1" si="1"/>
        <v>0</v>
      </c>
      <c r="AZ260" s="75"/>
      <c r="BA260" s="77">
        <f t="shared" ca="1" si="2"/>
        <v>0</v>
      </c>
      <c r="BB260" s="66"/>
      <c r="BC260" s="4"/>
      <c r="BD260" s="67"/>
      <c r="BE260" s="67"/>
      <c r="BF260" s="68"/>
      <c r="BG260" s="69"/>
      <c r="BH260" s="84"/>
      <c r="BI260" s="70"/>
      <c r="BJ260" s="73"/>
      <c r="BK260" s="78"/>
      <c r="BL260" s="78">
        <f t="shared" ca="1" si="3"/>
        <v>0</v>
      </c>
      <c r="BM260" s="78"/>
      <c r="BN260" s="78">
        <f t="shared" ca="1" si="4"/>
        <v>0</v>
      </c>
      <c r="BO260" s="66"/>
      <c r="BP260" s="66"/>
    </row>
    <row r="261" spans="1:68" ht="13.2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>
        <f t="shared" ref="AP261:AQ261" si="254">AR261+AT261+AV261</f>
        <v>0</v>
      </c>
      <c r="AQ261" s="75">
        <f t="shared" si="254"/>
        <v>0</v>
      </c>
      <c r="AR261" s="75"/>
      <c r="AS261" s="75"/>
      <c r="AT261" s="75"/>
      <c r="AU261" s="75"/>
      <c r="AV261" s="75"/>
      <c r="AW261" s="75"/>
      <c r="AX261" s="75"/>
      <c r="AY261" s="77">
        <f t="shared" ca="1" si="1"/>
        <v>0</v>
      </c>
      <c r="AZ261" s="75"/>
      <c r="BA261" s="77">
        <f t="shared" ca="1" si="2"/>
        <v>0</v>
      </c>
      <c r="BB261" s="66"/>
      <c r="BC261" s="4"/>
      <c r="BD261" s="67"/>
      <c r="BE261" s="67"/>
      <c r="BF261" s="68"/>
      <c r="BG261" s="69"/>
      <c r="BH261" s="84"/>
      <c r="BI261" s="70"/>
      <c r="BJ261" s="73"/>
      <c r="BK261" s="78"/>
      <c r="BL261" s="78">
        <f t="shared" ca="1" si="3"/>
        <v>0</v>
      </c>
      <c r="BM261" s="78"/>
      <c r="BN261" s="78">
        <f t="shared" ca="1" si="4"/>
        <v>0</v>
      </c>
      <c r="BO261" s="66"/>
      <c r="BP261" s="66"/>
    </row>
    <row r="262" spans="1:68" ht="13.2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>
        <f t="shared" ref="AP262:AQ262" si="255">AR262+AT262+AV262</f>
        <v>0</v>
      </c>
      <c r="AQ262" s="75">
        <f t="shared" si="255"/>
        <v>0</v>
      </c>
      <c r="AR262" s="75"/>
      <c r="AS262" s="75"/>
      <c r="AT262" s="75"/>
      <c r="AU262" s="75"/>
      <c r="AV262" s="75"/>
      <c r="AW262" s="75"/>
      <c r="AX262" s="75"/>
      <c r="AY262" s="77">
        <f t="shared" ca="1" si="1"/>
        <v>0</v>
      </c>
      <c r="AZ262" s="75"/>
      <c r="BA262" s="77">
        <f t="shared" ca="1" si="2"/>
        <v>0</v>
      </c>
      <c r="BB262" s="66"/>
      <c r="BC262" s="4"/>
      <c r="BD262" s="67"/>
      <c r="BE262" s="67"/>
      <c r="BF262" s="68"/>
      <c r="BG262" s="69"/>
      <c r="BH262" s="84"/>
      <c r="BI262" s="70"/>
      <c r="BJ262" s="73"/>
      <c r="BK262" s="78"/>
      <c r="BL262" s="78">
        <f t="shared" ca="1" si="3"/>
        <v>0</v>
      </c>
      <c r="BM262" s="78"/>
      <c r="BN262" s="78">
        <f t="shared" ca="1" si="4"/>
        <v>0</v>
      </c>
      <c r="BO262" s="66"/>
      <c r="BP262" s="66"/>
    </row>
    <row r="263" spans="1:68" ht="13.2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>
        <f t="shared" ref="AP263:AQ263" si="256">AR263+AT263+AV263</f>
        <v>0</v>
      </c>
      <c r="AQ263" s="75">
        <f t="shared" si="256"/>
        <v>0</v>
      </c>
      <c r="AR263" s="75"/>
      <c r="AS263" s="75"/>
      <c r="AT263" s="75"/>
      <c r="AU263" s="75"/>
      <c r="AV263" s="75"/>
      <c r="AW263" s="75"/>
      <c r="AX263" s="75"/>
      <c r="AY263" s="77">
        <f t="shared" ca="1" si="1"/>
        <v>0</v>
      </c>
      <c r="AZ263" s="75"/>
      <c r="BA263" s="77">
        <f t="shared" ca="1" si="2"/>
        <v>0</v>
      </c>
      <c r="BB263" s="66"/>
      <c r="BC263" s="4"/>
      <c r="BD263" s="67"/>
      <c r="BE263" s="67"/>
      <c r="BF263" s="68"/>
      <c r="BG263" s="69"/>
      <c r="BH263" s="84"/>
      <c r="BI263" s="70"/>
      <c r="BJ263" s="73"/>
      <c r="BK263" s="78"/>
      <c r="BL263" s="78">
        <f t="shared" ca="1" si="3"/>
        <v>0</v>
      </c>
      <c r="BM263" s="78"/>
      <c r="BN263" s="78">
        <f t="shared" ca="1" si="4"/>
        <v>0</v>
      </c>
      <c r="BO263" s="66"/>
      <c r="BP263" s="66"/>
    </row>
    <row r="264" spans="1:68" ht="13.2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>
        <f t="shared" ref="AP264:AQ264" si="257">AR264+AT264+AV264</f>
        <v>0</v>
      </c>
      <c r="AQ264" s="75">
        <f t="shared" si="257"/>
        <v>0</v>
      </c>
      <c r="AR264" s="75"/>
      <c r="AS264" s="75"/>
      <c r="AT264" s="75"/>
      <c r="AU264" s="75"/>
      <c r="AV264" s="75"/>
      <c r="AW264" s="75"/>
      <c r="AX264" s="75"/>
      <c r="AY264" s="77">
        <f t="shared" ca="1" si="1"/>
        <v>0</v>
      </c>
      <c r="AZ264" s="75"/>
      <c r="BA264" s="77">
        <f t="shared" ca="1" si="2"/>
        <v>0</v>
      </c>
      <c r="BB264" s="66"/>
      <c r="BC264" s="4"/>
      <c r="BD264" s="67"/>
      <c r="BE264" s="67"/>
      <c r="BF264" s="68"/>
      <c r="BG264" s="69"/>
      <c r="BH264" s="84"/>
      <c r="BI264" s="70"/>
      <c r="BJ264" s="73"/>
      <c r="BK264" s="78"/>
      <c r="BL264" s="78">
        <f t="shared" ca="1" si="3"/>
        <v>0</v>
      </c>
      <c r="BM264" s="78"/>
      <c r="BN264" s="78">
        <f t="shared" ca="1" si="4"/>
        <v>0</v>
      </c>
      <c r="BO264" s="66"/>
      <c r="BP264" s="66"/>
    </row>
    <row r="265" spans="1:68" ht="13.2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>
        <f t="shared" ref="AP265:AQ265" si="258">AR265+AT265+AV265</f>
        <v>0</v>
      </c>
      <c r="AQ265" s="75">
        <f t="shared" si="258"/>
        <v>0</v>
      </c>
      <c r="AR265" s="75"/>
      <c r="AS265" s="75"/>
      <c r="AT265" s="75"/>
      <c r="AU265" s="75"/>
      <c r="AV265" s="75"/>
      <c r="AW265" s="75"/>
      <c r="AX265" s="75"/>
      <c r="AY265" s="77">
        <f t="shared" ca="1" si="1"/>
        <v>0</v>
      </c>
      <c r="AZ265" s="75"/>
      <c r="BA265" s="77">
        <f t="shared" ca="1" si="2"/>
        <v>0</v>
      </c>
      <c r="BB265" s="66"/>
      <c r="BC265" s="4"/>
      <c r="BD265" s="67"/>
      <c r="BE265" s="67"/>
      <c r="BF265" s="68"/>
      <c r="BG265" s="69"/>
      <c r="BH265" s="84"/>
      <c r="BI265" s="70"/>
      <c r="BJ265" s="73"/>
      <c r="BK265" s="78"/>
      <c r="BL265" s="78">
        <f t="shared" ca="1" si="3"/>
        <v>0</v>
      </c>
      <c r="BM265" s="78"/>
      <c r="BN265" s="78">
        <f t="shared" ca="1" si="4"/>
        <v>0</v>
      </c>
      <c r="BO265" s="66"/>
      <c r="BP265" s="66"/>
    </row>
    <row r="266" spans="1:68" ht="13.2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>
        <f t="shared" ref="AP266:AQ266" si="259">AR266+AT266+AV266</f>
        <v>0</v>
      </c>
      <c r="AQ266" s="75">
        <f t="shared" si="259"/>
        <v>0</v>
      </c>
      <c r="AR266" s="75"/>
      <c r="AS266" s="75"/>
      <c r="AT266" s="75"/>
      <c r="AU266" s="75"/>
      <c r="AV266" s="75"/>
      <c r="AW266" s="75"/>
      <c r="AX266" s="75"/>
      <c r="AY266" s="77">
        <f t="shared" ca="1" si="1"/>
        <v>0</v>
      </c>
      <c r="AZ266" s="75"/>
      <c r="BA266" s="77">
        <f t="shared" ca="1" si="2"/>
        <v>0</v>
      </c>
      <c r="BB266" s="66"/>
      <c r="BC266" s="4"/>
      <c r="BD266" s="67"/>
      <c r="BE266" s="67"/>
      <c r="BF266" s="68"/>
      <c r="BG266" s="69"/>
      <c r="BH266" s="84"/>
      <c r="BI266" s="70"/>
      <c r="BJ266" s="73"/>
      <c r="BK266" s="78"/>
      <c r="BL266" s="78">
        <f t="shared" ca="1" si="3"/>
        <v>0</v>
      </c>
      <c r="BM266" s="78"/>
      <c r="BN266" s="78">
        <f t="shared" ca="1" si="4"/>
        <v>0</v>
      </c>
      <c r="BO266" s="66"/>
      <c r="BP266" s="66"/>
    </row>
    <row r="267" spans="1:68" ht="13.2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>
        <f t="shared" ref="AP267:AQ267" si="260">AR267+AT267+AV267</f>
        <v>0</v>
      </c>
      <c r="AQ267" s="75">
        <f t="shared" si="260"/>
        <v>0</v>
      </c>
      <c r="AR267" s="75"/>
      <c r="AS267" s="75"/>
      <c r="AT267" s="75"/>
      <c r="AU267" s="75"/>
      <c r="AV267" s="75"/>
      <c r="AW267" s="75"/>
      <c r="AX267" s="75"/>
      <c r="AY267" s="77">
        <f t="shared" ca="1" si="1"/>
        <v>0</v>
      </c>
      <c r="AZ267" s="75"/>
      <c r="BA267" s="77">
        <f t="shared" ca="1" si="2"/>
        <v>0</v>
      </c>
      <c r="BB267" s="66"/>
      <c r="BC267" s="4"/>
      <c r="BD267" s="67"/>
      <c r="BE267" s="67"/>
      <c r="BF267" s="68"/>
      <c r="BG267" s="69"/>
      <c r="BH267" s="84"/>
      <c r="BI267" s="70"/>
      <c r="BJ267" s="73"/>
      <c r="BK267" s="78"/>
      <c r="BL267" s="78">
        <f t="shared" ca="1" si="3"/>
        <v>0</v>
      </c>
      <c r="BM267" s="78"/>
      <c r="BN267" s="78">
        <f t="shared" ca="1" si="4"/>
        <v>0</v>
      </c>
      <c r="BO267" s="66"/>
      <c r="BP267" s="66"/>
    </row>
    <row r="268" spans="1:68" ht="13.2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>
        <f t="shared" ref="AP268:AQ268" si="261">AR268+AT268+AV268</f>
        <v>0</v>
      </c>
      <c r="AQ268" s="75">
        <f t="shared" si="261"/>
        <v>0</v>
      </c>
      <c r="AR268" s="75"/>
      <c r="AS268" s="75"/>
      <c r="AT268" s="75"/>
      <c r="AU268" s="75"/>
      <c r="AV268" s="75"/>
      <c r="AW268" s="75"/>
      <c r="AX268" s="75"/>
      <c r="AY268" s="77">
        <f t="shared" ca="1" si="1"/>
        <v>0</v>
      </c>
      <c r="AZ268" s="75"/>
      <c r="BA268" s="77">
        <f t="shared" ca="1" si="2"/>
        <v>0</v>
      </c>
      <c r="BB268" s="66"/>
      <c r="BC268" s="4"/>
      <c r="BD268" s="67"/>
      <c r="BE268" s="67"/>
      <c r="BF268" s="68"/>
      <c r="BG268" s="69"/>
      <c r="BH268" s="84"/>
      <c r="BI268" s="70"/>
      <c r="BJ268" s="73"/>
      <c r="BK268" s="78"/>
      <c r="BL268" s="78">
        <f t="shared" ca="1" si="3"/>
        <v>0</v>
      </c>
      <c r="BM268" s="78"/>
      <c r="BN268" s="78">
        <f t="shared" ca="1" si="4"/>
        <v>0</v>
      </c>
      <c r="BO268" s="66"/>
      <c r="BP268" s="66"/>
    </row>
    <row r="269" spans="1:68" ht="13.2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>
        <f t="shared" ref="AP269:AQ269" si="262">AR269+AT269+AV269</f>
        <v>0</v>
      </c>
      <c r="AQ269" s="75">
        <f t="shared" si="262"/>
        <v>0</v>
      </c>
      <c r="AR269" s="75"/>
      <c r="AS269" s="75"/>
      <c r="AT269" s="75"/>
      <c r="AU269" s="75"/>
      <c r="AV269" s="75"/>
      <c r="AW269" s="75"/>
      <c r="AX269" s="75"/>
      <c r="AY269" s="77">
        <f t="shared" ca="1" si="1"/>
        <v>0</v>
      </c>
      <c r="AZ269" s="75"/>
      <c r="BA269" s="77">
        <f t="shared" ca="1" si="2"/>
        <v>0</v>
      </c>
      <c r="BB269" s="66"/>
      <c r="BC269" s="4"/>
      <c r="BD269" s="67"/>
      <c r="BE269" s="67"/>
      <c r="BF269" s="68"/>
      <c r="BG269" s="69"/>
      <c r="BH269" s="84"/>
      <c r="BI269" s="70"/>
      <c r="BJ269" s="73"/>
      <c r="BK269" s="78"/>
      <c r="BL269" s="78">
        <f t="shared" ca="1" si="3"/>
        <v>0</v>
      </c>
      <c r="BM269" s="78"/>
      <c r="BN269" s="78">
        <f t="shared" ca="1" si="4"/>
        <v>0</v>
      </c>
      <c r="BO269" s="66"/>
      <c r="BP269" s="66"/>
    </row>
    <row r="270" spans="1:68" ht="13.2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>
        <f t="shared" ref="AP270:AQ270" si="263">AR270+AT270+AV270</f>
        <v>0</v>
      </c>
      <c r="AQ270" s="75">
        <f t="shared" si="263"/>
        <v>0</v>
      </c>
      <c r="AR270" s="75"/>
      <c r="AS270" s="75"/>
      <c r="AT270" s="75"/>
      <c r="AU270" s="75"/>
      <c r="AV270" s="75"/>
      <c r="AW270" s="75"/>
      <c r="AX270" s="75"/>
      <c r="AY270" s="77">
        <f t="shared" ca="1" si="1"/>
        <v>0</v>
      </c>
      <c r="AZ270" s="75"/>
      <c r="BA270" s="77">
        <f t="shared" ca="1" si="2"/>
        <v>0</v>
      </c>
      <c r="BB270" s="66"/>
      <c r="BC270" s="4"/>
      <c r="BD270" s="67"/>
      <c r="BE270" s="67"/>
      <c r="BF270" s="68"/>
      <c r="BG270" s="69"/>
      <c r="BH270" s="84"/>
      <c r="BI270" s="70"/>
      <c r="BJ270" s="73"/>
      <c r="BK270" s="78"/>
      <c r="BL270" s="78">
        <f t="shared" ca="1" si="3"/>
        <v>0</v>
      </c>
      <c r="BM270" s="78"/>
      <c r="BN270" s="78">
        <f t="shared" ca="1" si="4"/>
        <v>0</v>
      </c>
      <c r="BO270" s="66"/>
      <c r="BP270" s="66"/>
    </row>
    <row r="271" spans="1:68" ht="13.2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>
        <f t="shared" ref="AP271:AQ271" si="264">AR271+AT271+AV271</f>
        <v>0</v>
      </c>
      <c r="AQ271" s="75">
        <f t="shared" si="264"/>
        <v>0</v>
      </c>
      <c r="AR271" s="75"/>
      <c r="AS271" s="75"/>
      <c r="AT271" s="75"/>
      <c r="AU271" s="75"/>
      <c r="AV271" s="75"/>
      <c r="AW271" s="75"/>
      <c r="AX271" s="75"/>
      <c r="AY271" s="77">
        <f t="shared" ca="1" si="1"/>
        <v>0</v>
      </c>
      <c r="AZ271" s="75"/>
      <c r="BA271" s="77">
        <f t="shared" ca="1" si="2"/>
        <v>0</v>
      </c>
      <c r="BB271" s="66"/>
      <c r="BC271" s="4"/>
      <c r="BD271" s="67"/>
      <c r="BE271" s="67"/>
      <c r="BF271" s="68"/>
      <c r="BG271" s="69"/>
      <c r="BH271" s="84"/>
      <c r="BI271" s="70"/>
      <c r="BJ271" s="73"/>
      <c r="BK271" s="78"/>
      <c r="BL271" s="78">
        <f t="shared" ca="1" si="3"/>
        <v>0</v>
      </c>
      <c r="BM271" s="78"/>
      <c r="BN271" s="78">
        <f t="shared" ca="1" si="4"/>
        <v>0</v>
      </c>
      <c r="BO271" s="66"/>
      <c r="BP271" s="66"/>
    </row>
    <row r="272" spans="1:68" ht="13.2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>
        <f t="shared" ref="AP272:AQ272" si="265">AR272+AT272+AV272</f>
        <v>0</v>
      </c>
      <c r="AQ272" s="75">
        <f t="shared" si="265"/>
        <v>0</v>
      </c>
      <c r="AR272" s="75"/>
      <c r="AS272" s="75"/>
      <c r="AT272" s="75"/>
      <c r="AU272" s="75"/>
      <c r="AV272" s="75"/>
      <c r="AW272" s="75"/>
      <c r="AX272" s="75"/>
      <c r="AY272" s="77">
        <f t="shared" ca="1" si="1"/>
        <v>0</v>
      </c>
      <c r="AZ272" s="75"/>
      <c r="BA272" s="77">
        <f t="shared" ca="1" si="2"/>
        <v>0</v>
      </c>
      <c r="BB272" s="66"/>
      <c r="BC272" s="4"/>
      <c r="BD272" s="67"/>
      <c r="BE272" s="67"/>
      <c r="BF272" s="68"/>
      <c r="BG272" s="69"/>
      <c r="BH272" s="84"/>
      <c r="BI272" s="70"/>
      <c r="BJ272" s="73"/>
      <c r="BK272" s="78"/>
      <c r="BL272" s="78">
        <f t="shared" ca="1" si="3"/>
        <v>0</v>
      </c>
      <c r="BM272" s="78"/>
      <c r="BN272" s="78">
        <f t="shared" ca="1" si="4"/>
        <v>0</v>
      </c>
      <c r="BO272" s="66"/>
      <c r="BP272" s="66"/>
    </row>
    <row r="273" spans="1:68" ht="13.2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>
        <f t="shared" ref="AP273:AQ273" si="266">AR273+AT273+AV273</f>
        <v>0</v>
      </c>
      <c r="AQ273" s="75">
        <f t="shared" si="266"/>
        <v>0</v>
      </c>
      <c r="AR273" s="75"/>
      <c r="AS273" s="75"/>
      <c r="AT273" s="75"/>
      <c r="AU273" s="75"/>
      <c r="AV273" s="75"/>
      <c r="AW273" s="75"/>
      <c r="AX273" s="75"/>
      <c r="AY273" s="77">
        <f t="shared" ca="1" si="1"/>
        <v>0</v>
      </c>
      <c r="AZ273" s="75"/>
      <c r="BA273" s="77">
        <f t="shared" ca="1" si="2"/>
        <v>0</v>
      </c>
      <c r="BB273" s="66"/>
      <c r="BC273" s="4"/>
      <c r="BD273" s="67"/>
      <c r="BE273" s="67"/>
      <c r="BF273" s="68"/>
      <c r="BG273" s="69"/>
      <c r="BH273" s="84"/>
      <c r="BI273" s="70"/>
      <c r="BJ273" s="73"/>
      <c r="BK273" s="78"/>
      <c r="BL273" s="78">
        <f t="shared" ca="1" si="3"/>
        <v>0</v>
      </c>
      <c r="BM273" s="78"/>
      <c r="BN273" s="78">
        <f t="shared" ca="1" si="4"/>
        <v>0</v>
      </c>
      <c r="BO273" s="66"/>
      <c r="BP273" s="66"/>
    </row>
    <row r="274" spans="1:68" ht="13.2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>
        <f t="shared" ref="AP274:AQ274" si="267">AR274+AT274+AV274</f>
        <v>0</v>
      </c>
      <c r="AQ274" s="75">
        <f t="shared" si="267"/>
        <v>0</v>
      </c>
      <c r="AR274" s="75"/>
      <c r="AS274" s="75"/>
      <c r="AT274" s="75"/>
      <c r="AU274" s="75"/>
      <c r="AV274" s="75"/>
      <c r="AW274" s="75"/>
      <c r="AX274" s="75"/>
      <c r="AY274" s="77">
        <f t="shared" ca="1" si="1"/>
        <v>0</v>
      </c>
      <c r="AZ274" s="75"/>
      <c r="BA274" s="77">
        <f t="shared" ca="1" si="2"/>
        <v>0</v>
      </c>
      <c r="BB274" s="66"/>
      <c r="BC274" s="4"/>
      <c r="BD274" s="67"/>
      <c r="BE274" s="67"/>
      <c r="BF274" s="68"/>
      <c r="BG274" s="69"/>
      <c r="BH274" s="84"/>
      <c r="BI274" s="70"/>
      <c r="BJ274" s="73"/>
      <c r="BK274" s="78"/>
      <c r="BL274" s="78">
        <f t="shared" ca="1" si="3"/>
        <v>0</v>
      </c>
      <c r="BM274" s="78"/>
      <c r="BN274" s="78">
        <f t="shared" ca="1" si="4"/>
        <v>0</v>
      </c>
      <c r="BO274" s="66"/>
      <c r="BP274" s="66"/>
    </row>
    <row r="275" spans="1:68" ht="13.2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>
        <f t="shared" ref="AP275:AQ275" si="268">AR275+AT275+AV275</f>
        <v>0</v>
      </c>
      <c r="AQ275" s="75">
        <f t="shared" si="268"/>
        <v>0</v>
      </c>
      <c r="AR275" s="75"/>
      <c r="AS275" s="75"/>
      <c r="AT275" s="75"/>
      <c r="AU275" s="75"/>
      <c r="AV275" s="75"/>
      <c r="AW275" s="75"/>
      <c r="AX275" s="75"/>
      <c r="AY275" s="77">
        <f t="shared" ca="1" si="1"/>
        <v>0</v>
      </c>
      <c r="AZ275" s="75"/>
      <c r="BA275" s="77">
        <f t="shared" ca="1" si="2"/>
        <v>0</v>
      </c>
      <c r="BB275" s="66"/>
      <c r="BC275" s="4"/>
      <c r="BD275" s="67"/>
      <c r="BE275" s="67"/>
      <c r="BF275" s="68"/>
      <c r="BG275" s="69"/>
      <c r="BH275" s="84"/>
      <c r="BI275" s="70"/>
      <c r="BJ275" s="73"/>
      <c r="BK275" s="78"/>
      <c r="BL275" s="78">
        <f t="shared" ca="1" si="3"/>
        <v>0</v>
      </c>
      <c r="BM275" s="78"/>
      <c r="BN275" s="78">
        <f t="shared" ca="1" si="4"/>
        <v>0</v>
      </c>
      <c r="BO275" s="66"/>
      <c r="BP275" s="66"/>
    </row>
    <row r="276" spans="1:68" ht="13.2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>
        <f t="shared" ref="AP276:AQ276" si="269">AR276+AT276+AV276</f>
        <v>0</v>
      </c>
      <c r="AQ276" s="75">
        <f t="shared" si="269"/>
        <v>0</v>
      </c>
      <c r="AR276" s="75"/>
      <c r="AS276" s="75"/>
      <c r="AT276" s="75"/>
      <c r="AU276" s="75"/>
      <c r="AV276" s="75"/>
      <c r="AW276" s="75"/>
      <c r="AX276" s="75"/>
      <c r="AY276" s="77">
        <f t="shared" ca="1" si="1"/>
        <v>0</v>
      </c>
      <c r="AZ276" s="75"/>
      <c r="BA276" s="77">
        <f t="shared" ca="1" si="2"/>
        <v>0</v>
      </c>
      <c r="BB276" s="66"/>
      <c r="BC276" s="4"/>
      <c r="BD276" s="67"/>
      <c r="BE276" s="67"/>
      <c r="BF276" s="68"/>
      <c r="BG276" s="69"/>
      <c r="BH276" s="84"/>
      <c r="BI276" s="70"/>
      <c r="BJ276" s="73"/>
      <c r="BK276" s="78"/>
      <c r="BL276" s="78">
        <f t="shared" ca="1" si="3"/>
        <v>0</v>
      </c>
      <c r="BM276" s="78"/>
      <c r="BN276" s="78">
        <f t="shared" ca="1" si="4"/>
        <v>0</v>
      </c>
      <c r="BO276" s="66"/>
      <c r="BP276" s="66"/>
    </row>
    <row r="277" spans="1:68" ht="13.2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>
        <f t="shared" ref="AP277:AQ277" si="270">AR277+AT277+AV277</f>
        <v>0</v>
      </c>
      <c r="AQ277" s="75">
        <f t="shared" si="270"/>
        <v>0</v>
      </c>
      <c r="AR277" s="75"/>
      <c r="AS277" s="75"/>
      <c r="AT277" s="75"/>
      <c r="AU277" s="75"/>
      <c r="AV277" s="75"/>
      <c r="AW277" s="75"/>
      <c r="AX277" s="75"/>
      <c r="AY277" s="77">
        <f t="shared" ca="1" si="1"/>
        <v>0</v>
      </c>
      <c r="AZ277" s="75"/>
      <c r="BA277" s="77">
        <f t="shared" ca="1" si="2"/>
        <v>0</v>
      </c>
      <c r="BB277" s="66"/>
      <c r="BC277" s="4"/>
      <c r="BD277" s="67"/>
      <c r="BE277" s="67"/>
      <c r="BF277" s="68"/>
      <c r="BG277" s="69"/>
      <c r="BH277" s="84"/>
      <c r="BI277" s="70"/>
      <c r="BJ277" s="73"/>
      <c r="BK277" s="78"/>
      <c r="BL277" s="78">
        <f t="shared" ca="1" si="3"/>
        <v>0</v>
      </c>
      <c r="BM277" s="78"/>
      <c r="BN277" s="78">
        <f t="shared" ca="1" si="4"/>
        <v>0</v>
      </c>
      <c r="BO277" s="66"/>
      <c r="BP277" s="66"/>
    </row>
    <row r="278" spans="1:68" ht="13.2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>
        <f t="shared" ref="AP278:AQ278" si="271">AR278+AT278+AV278</f>
        <v>0</v>
      </c>
      <c r="AQ278" s="75">
        <f t="shared" si="271"/>
        <v>0</v>
      </c>
      <c r="AR278" s="75"/>
      <c r="AS278" s="75"/>
      <c r="AT278" s="75"/>
      <c r="AU278" s="75"/>
      <c r="AV278" s="75"/>
      <c r="AW278" s="75"/>
      <c r="AX278" s="75"/>
      <c r="AY278" s="77">
        <f t="shared" ca="1" si="1"/>
        <v>0</v>
      </c>
      <c r="AZ278" s="75"/>
      <c r="BA278" s="77">
        <f t="shared" ca="1" si="2"/>
        <v>0</v>
      </c>
      <c r="BB278" s="66"/>
      <c r="BC278" s="4"/>
      <c r="BD278" s="67"/>
      <c r="BE278" s="67"/>
      <c r="BF278" s="68"/>
      <c r="BG278" s="69"/>
      <c r="BH278" s="84"/>
      <c r="BI278" s="70"/>
      <c r="BJ278" s="73"/>
      <c r="BK278" s="78"/>
      <c r="BL278" s="78">
        <f t="shared" ca="1" si="3"/>
        <v>0</v>
      </c>
      <c r="BM278" s="78"/>
      <c r="BN278" s="78">
        <f t="shared" ca="1" si="4"/>
        <v>0</v>
      </c>
      <c r="BO278" s="66"/>
      <c r="BP278" s="66"/>
    </row>
    <row r="279" spans="1:68" ht="13.2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>
        <f t="shared" ref="AP279:AQ279" si="272">AR279+AT279+AV279</f>
        <v>0</v>
      </c>
      <c r="AQ279" s="75">
        <f t="shared" si="272"/>
        <v>0</v>
      </c>
      <c r="AR279" s="75"/>
      <c r="AS279" s="75"/>
      <c r="AT279" s="75"/>
      <c r="AU279" s="75"/>
      <c r="AV279" s="75"/>
      <c r="AW279" s="75"/>
      <c r="AX279" s="75"/>
      <c r="AY279" s="77">
        <f t="shared" ca="1" si="1"/>
        <v>0</v>
      </c>
      <c r="AZ279" s="75"/>
      <c r="BA279" s="77">
        <f t="shared" ca="1" si="2"/>
        <v>0</v>
      </c>
      <c r="BB279" s="66"/>
      <c r="BC279" s="4"/>
      <c r="BD279" s="67"/>
      <c r="BE279" s="67"/>
      <c r="BF279" s="68"/>
      <c r="BG279" s="69"/>
      <c r="BH279" s="84"/>
      <c r="BI279" s="70"/>
      <c r="BJ279" s="73"/>
      <c r="BK279" s="78"/>
      <c r="BL279" s="78">
        <f t="shared" ca="1" si="3"/>
        <v>0</v>
      </c>
      <c r="BM279" s="78"/>
      <c r="BN279" s="78">
        <f t="shared" ca="1" si="4"/>
        <v>0</v>
      </c>
      <c r="BO279" s="66"/>
      <c r="BP279" s="66"/>
    </row>
    <row r="280" spans="1:68" ht="13.2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>
        <f t="shared" ref="AP280:AQ280" si="273">AR280+AT280+AV280</f>
        <v>0</v>
      </c>
      <c r="AQ280" s="75">
        <f t="shared" si="273"/>
        <v>0</v>
      </c>
      <c r="AR280" s="75"/>
      <c r="AS280" s="75"/>
      <c r="AT280" s="75"/>
      <c r="AU280" s="75"/>
      <c r="AV280" s="75"/>
      <c r="AW280" s="75"/>
      <c r="AX280" s="75"/>
      <c r="AY280" s="77">
        <f t="shared" ca="1" si="1"/>
        <v>0</v>
      </c>
      <c r="AZ280" s="75"/>
      <c r="BA280" s="77">
        <f t="shared" ca="1" si="2"/>
        <v>0</v>
      </c>
      <c r="BB280" s="66"/>
      <c r="BC280" s="4"/>
      <c r="BD280" s="67"/>
      <c r="BE280" s="67"/>
      <c r="BF280" s="68"/>
      <c r="BG280" s="69"/>
      <c r="BH280" s="84"/>
      <c r="BI280" s="70"/>
      <c r="BJ280" s="73"/>
      <c r="BK280" s="78"/>
      <c r="BL280" s="78">
        <f t="shared" ca="1" si="3"/>
        <v>0</v>
      </c>
      <c r="BM280" s="78"/>
      <c r="BN280" s="78">
        <f t="shared" ca="1" si="4"/>
        <v>0</v>
      </c>
      <c r="BO280" s="66"/>
      <c r="BP280" s="66"/>
    </row>
    <row r="281" spans="1:68" ht="13.2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>
        <f t="shared" ref="AP281:AQ281" si="274">AR281+AT281+AV281</f>
        <v>0</v>
      </c>
      <c r="AQ281" s="75">
        <f t="shared" si="274"/>
        <v>0</v>
      </c>
      <c r="AR281" s="75"/>
      <c r="AS281" s="75"/>
      <c r="AT281" s="75"/>
      <c r="AU281" s="75"/>
      <c r="AV281" s="75"/>
      <c r="AW281" s="75"/>
      <c r="AX281" s="75"/>
      <c r="AY281" s="77">
        <f t="shared" ca="1" si="1"/>
        <v>0</v>
      </c>
      <c r="AZ281" s="75"/>
      <c r="BA281" s="77">
        <f t="shared" ca="1" si="2"/>
        <v>0</v>
      </c>
      <c r="BB281" s="66"/>
      <c r="BC281" s="4"/>
      <c r="BD281" s="67"/>
      <c r="BE281" s="67"/>
      <c r="BF281" s="68"/>
      <c r="BG281" s="69"/>
      <c r="BH281" s="84"/>
      <c r="BI281" s="70"/>
      <c r="BJ281" s="73"/>
      <c r="BK281" s="78"/>
      <c r="BL281" s="78">
        <f t="shared" ca="1" si="3"/>
        <v>0</v>
      </c>
      <c r="BM281" s="78"/>
      <c r="BN281" s="78">
        <f t="shared" ca="1" si="4"/>
        <v>0</v>
      </c>
      <c r="BO281" s="66"/>
      <c r="BP281" s="66"/>
    </row>
    <row r="282" spans="1:68" ht="13.2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>
        <f t="shared" ref="AP282:AQ282" si="275">AR282+AT282+AV282</f>
        <v>0</v>
      </c>
      <c r="AQ282" s="75">
        <f t="shared" si="275"/>
        <v>0</v>
      </c>
      <c r="AR282" s="75"/>
      <c r="AS282" s="75"/>
      <c r="AT282" s="75"/>
      <c r="AU282" s="75"/>
      <c r="AV282" s="75"/>
      <c r="AW282" s="75"/>
      <c r="AX282" s="75"/>
      <c r="AY282" s="77">
        <f t="shared" ca="1" si="1"/>
        <v>0</v>
      </c>
      <c r="AZ282" s="75"/>
      <c r="BA282" s="77">
        <f t="shared" ca="1" si="2"/>
        <v>0</v>
      </c>
      <c r="BB282" s="66"/>
      <c r="BC282" s="4"/>
      <c r="BD282" s="67"/>
      <c r="BE282" s="67"/>
      <c r="BF282" s="68"/>
      <c r="BG282" s="69"/>
      <c r="BH282" s="84"/>
      <c r="BI282" s="70"/>
      <c r="BJ282" s="73"/>
      <c r="BK282" s="78"/>
      <c r="BL282" s="78">
        <f t="shared" ca="1" si="3"/>
        <v>0</v>
      </c>
      <c r="BM282" s="78"/>
      <c r="BN282" s="78">
        <f t="shared" ca="1" si="4"/>
        <v>0</v>
      </c>
      <c r="BO282" s="66"/>
      <c r="BP282" s="66"/>
    </row>
    <row r="283" spans="1:68" ht="13.2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>
        <f t="shared" ref="AP283:AQ283" si="276">AR283+AT283+AV283</f>
        <v>0</v>
      </c>
      <c r="AQ283" s="75">
        <f t="shared" si="276"/>
        <v>0</v>
      </c>
      <c r="AR283" s="75"/>
      <c r="AS283" s="75"/>
      <c r="AT283" s="75"/>
      <c r="AU283" s="75"/>
      <c r="AV283" s="75"/>
      <c r="AW283" s="75"/>
      <c r="AX283" s="75"/>
      <c r="AY283" s="77">
        <f t="shared" ca="1" si="1"/>
        <v>0</v>
      </c>
      <c r="AZ283" s="75"/>
      <c r="BA283" s="77">
        <f t="shared" ca="1" si="2"/>
        <v>0</v>
      </c>
      <c r="BB283" s="66"/>
      <c r="BC283" s="4"/>
      <c r="BD283" s="67"/>
      <c r="BE283" s="67"/>
      <c r="BF283" s="68"/>
      <c r="BG283" s="69"/>
      <c r="BH283" s="84"/>
      <c r="BI283" s="70"/>
      <c r="BJ283" s="73"/>
      <c r="BK283" s="78"/>
      <c r="BL283" s="78">
        <f t="shared" ca="1" si="3"/>
        <v>0</v>
      </c>
      <c r="BM283" s="78"/>
      <c r="BN283" s="78">
        <f t="shared" ca="1" si="4"/>
        <v>0</v>
      </c>
      <c r="BO283" s="66"/>
      <c r="BP283" s="66"/>
    </row>
    <row r="284" spans="1:68" ht="13.2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>
        <f t="shared" ref="AP284:AQ284" si="277">AR284+AT284+AV284</f>
        <v>0</v>
      </c>
      <c r="AQ284" s="75">
        <f t="shared" si="277"/>
        <v>0</v>
      </c>
      <c r="AR284" s="75"/>
      <c r="AS284" s="75"/>
      <c r="AT284" s="75"/>
      <c r="AU284" s="75"/>
      <c r="AV284" s="75"/>
      <c r="AW284" s="75"/>
      <c r="AX284" s="75"/>
      <c r="AY284" s="77">
        <f t="shared" ca="1" si="1"/>
        <v>0</v>
      </c>
      <c r="AZ284" s="75"/>
      <c r="BA284" s="77">
        <f t="shared" ca="1" si="2"/>
        <v>0</v>
      </c>
      <c r="BB284" s="66"/>
      <c r="BC284" s="4"/>
      <c r="BD284" s="67"/>
      <c r="BE284" s="67"/>
      <c r="BF284" s="68"/>
      <c r="BG284" s="69"/>
      <c r="BH284" s="84"/>
      <c r="BI284" s="70"/>
      <c r="BJ284" s="73"/>
      <c r="BK284" s="78"/>
      <c r="BL284" s="78">
        <f t="shared" ca="1" si="3"/>
        <v>0</v>
      </c>
      <c r="BM284" s="78"/>
      <c r="BN284" s="78">
        <f t="shared" ca="1" si="4"/>
        <v>0</v>
      </c>
      <c r="BO284" s="66"/>
      <c r="BP284" s="66"/>
    </row>
    <row r="285" spans="1:68" ht="13.2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>
        <f t="shared" ref="AP285:AQ285" si="278">AR285+AT285+AV285</f>
        <v>0</v>
      </c>
      <c r="AQ285" s="75">
        <f t="shared" si="278"/>
        <v>0</v>
      </c>
      <c r="AR285" s="75"/>
      <c r="AS285" s="75"/>
      <c r="AT285" s="75"/>
      <c r="AU285" s="75"/>
      <c r="AV285" s="75"/>
      <c r="AW285" s="75"/>
      <c r="AX285" s="75"/>
      <c r="AY285" s="77">
        <f t="shared" ca="1" si="1"/>
        <v>0</v>
      </c>
      <c r="AZ285" s="75"/>
      <c r="BA285" s="77">
        <f t="shared" ca="1" si="2"/>
        <v>0</v>
      </c>
      <c r="BB285" s="66"/>
      <c r="BC285" s="4"/>
      <c r="BD285" s="67"/>
      <c r="BE285" s="67"/>
      <c r="BF285" s="68"/>
      <c r="BG285" s="69"/>
      <c r="BH285" s="84"/>
      <c r="BI285" s="70"/>
      <c r="BJ285" s="73"/>
      <c r="BK285" s="78"/>
      <c r="BL285" s="78">
        <f t="shared" ca="1" si="3"/>
        <v>0</v>
      </c>
      <c r="BM285" s="78"/>
      <c r="BN285" s="78">
        <f t="shared" ca="1" si="4"/>
        <v>0</v>
      </c>
      <c r="BO285" s="66"/>
      <c r="BP285" s="66"/>
    </row>
    <row r="286" spans="1:68" ht="13.2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>
        <f t="shared" ref="AP286:AQ286" si="279">AR286+AT286+AV286</f>
        <v>0</v>
      </c>
      <c r="AQ286" s="75">
        <f t="shared" si="279"/>
        <v>0</v>
      </c>
      <c r="AR286" s="75"/>
      <c r="AS286" s="75"/>
      <c r="AT286" s="75"/>
      <c r="AU286" s="75"/>
      <c r="AV286" s="75"/>
      <c r="AW286" s="75"/>
      <c r="AX286" s="75"/>
      <c r="AY286" s="77">
        <f t="shared" ca="1" si="1"/>
        <v>0</v>
      </c>
      <c r="AZ286" s="75"/>
      <c r="BA286" s="77">
        <f t="shared" ca="1" si="2"/>
        <v>0</v>
      </c>
      <c r="BB286" s="66"/>
      <c r="BC286" s="4"/>
      <c r="BD286" s="67"/>
      <c r="BE286" s="67"/>
      <c r="BF286" s="68"/>
      <c r="BG286" s="69"/>
      <c r="BH286" s="84"/>
      <c r="BI286" s="70"/>
      <c r="BJ286" s="73"/>
      <c r="BK286" s="78"/>
      <c r="BL286" s="78">
        <f t="shared" ca="1" si="3"/>
        <v>0</v>
      </c>
      <c r="BM286" s="78"/>
      <c r="BN286" s="78">
        <f t="shared" ca="1" si="4"/>
        <v>0</v>
      </c>
      <c r="BO286" s="66"/>
      <c r="BP286" s="66"/>
    </row>
    <row r="287" spans="1:68" ht="13.2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>
        <f t="shared" ref="AP287:AQ287" si="280">AR287+AT287+AV287</f>
        <v>0</v>
      </c>
      <c r="AQ287" s="75">
        <f t="shared" si="280"/>
        <v>0</v>
      </c>
      <c r="AR287" s="75"/>
      <c r="AS287" s="75"/>
      <c r="AT287" s="75"/>
      <c r="AU287" s="75"/>
      <c r="AV287" s="75"/>
      <c r="AW287" s="75"/>
      <c r="AX287" s="75"/>
      <c r="AY287" s="77">
        <f t="shared" ca="1" si="1"/>
        <v>0</v>
      </c>
      <c r="AZ287" s="75"/>
      <c r="BA287" s="77">
        <f t="shared" ca="1" si="2"/>
        <v>0</v>
      </c>
      <c r="BB287" s="66"/>
      <c r="BC287" s="4"/>
      <c r="BD287" s="67"/>
      <c r="BE287" s="67"/>
      <c r="BF287" s="68"/>
      <c r="BG287" s="69"/>
      <c r="BH287" s="84"/>
      <c r="BI287" s="70"/>
      <c r="BJ287" s="73"/>
      <c r="BK287" s="78"/>
      <c r="BL287" s="78">
        <f t="shared" ca="1" si="3"/>
        <v>0</v>
      </c>
      <c r="BM287" s="78"/>
      <c r="BN287" s="78">
        <f t="shared" ca="1" si="4"/>
        <v>0</v>
      </c>
      <c r="BO287" s="66"/>
      <c r="BP287" s="66"/>
    </row>
    <row r="288" spans="1:68" ht="13.2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>
        <f t="shared" ref="AP288:AQ288" si="281">AR288+AT288+AV288</f>
        <v>0</v>
      </c>
      <c r="AQ288" s="75">
        <f t="shared" si="281"/>
        <v>0</v>
      </c>
      <c r="AR288" s="75"/>
      <c r="AS288" s="75"/>
      <c r="AT288" s="75"/>
      <c r="AU288" s="75"/>
      <c r="AV288" s="75"/>
      <c r="AW288" s="75"/>
      <c r="AX288" s="75"/>
      <c r="AY288" s="77">
        <f t="shared" ca="1" si="1"/>
        <v>0</v>
      </c>
      <c r="AZ288" s="75"/>
      <c r="BA288" s="77">
        <f t="shared" ca="1" si="2"/>
        <v>0</v>
      </c>
      <c r="BB288" s="66"/>
      <c r="BC288" s="4"/>
      <c r="BD288" s="67"/>
      <c r="BE288" s="67"/>
      <c r="BF288" s="68"/>
      <c r="BG288" s="69"/>
      <c r="BH288" s="84"/>
      <c r="BI288" s="70"/>
      <c r="BJ288" s="73"/>
      <c r="BK288" s="78"/>
      <c r="BL288" s="78">
        <f t="shared" ca="1" si="3"/>
        <v>0</v>
      </c>
      <c r="BM288" s="78"/>
      <c r="BN288" s="78">
        <f t="shared" ca="1" si="4"/>
        <v>0</v>
      </c>
      <c r="BO288" s="66"/>
      <c r="BP288" s="66"/>
    </row>
    <row r="289" spans="1:68" ht="13.2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>
        <f t="shared" ref="AP289:AQ289" si="282">AR289+AT289+AV289</f>
        <v>0</v>
      </c>
      <c r="AQ289" s="75">
        <f t="shared" si="282"/>
        <v>0</v>
      </c>
      <c r="AR289" s="75"/>
      <c r="AS289" s="75"/>
      <c r="AT289" s="75"/>
      <c r="AU289" s="75"/>
      <c r="AV289" s="75"/>
      <c r="AW289" s="75"/>
      <c r="AX289" s="75"/>
      <c r="AY289" s="77">
        <f t="shared" ca="1" si="1"/>
        <v>0</v>
      </c>
      <c r="AZ289" s="75"/>
      <c r="BA289" s="77">
        <f t="shared" ca="1" si="2"/>
        <v>0</v>
      </c>
      <c r="BB289" s="66"/>
      <c r="BC289" s="4"/>
      <c r="BD289" s="67"/>
      <c r="BE289" s="67"/>
      <c r="BF289" s="68"/>
      <c r="BG289" s="69"/>
      <c r="BH289" s="84"/>
      <c r="BI289" s="70"/>
      <c r="BJ289" s="73"/>
      <c r="BK289" s="78"/>
      <c r="BL289" s="78">
        <f t="shared" ca="1" si="3"/>
        <v>0</v>
      </c>
      <c r="BM289" s="78"/>
      <c r="BN289" s="78">
        <f t="shared" ca="1" si="4"/>
        <v>0</v>
      </c>
      <c r="BO289" s="66"/>
      <c r="BP289" s="66"/>
    </row>
    <row r="290" spans="1:68" ht="13.2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>
        <f t="shared" ref="AP290:AQ290" si="283">AR290+AT290+AV290</f>
        <v>0</v>
      </c>
      <c r="AQ290" s="75">
        <f t="shared" si="283"/>
        <v>0</v>
      </c>
      <c r="AR290" s="75"/>
      <c r="AS290" s="75"/>
      <c r="AT290" s="75"/>
      <c r="AU290" s="75"/>
      <c r="AV290" s="75"/>
      <c r="AW290" s="75"/>
      <c r="AX290" s="75"/>
      <c r="AY290" s="77">
        <f t="shared" ca="1" si="1"/>
        <v>0</v>
      </c>
      <c r="AZ290" s="75"/>
      <c r="BA290" s="77">
        <f t="shared" ca="1" si="2"/>
        <v>0</v>
      </c>
      <c r="BB290" s="66"/>
      <c r="BC290" s="4"/>
      <c r="BD290" s="67"/>
      <c r="BE290" s="67"/>
      <c r="BF290" s="68"/>
      <c r="BG290" s="69"/>
      <c r="BH290" s="84"/>
      <c r="BI290" s="70"/>
      <c r="BJ290" s="73"/>
      <c r="BK290" s="78"/>
      <c r="BL290" s="78">
        <f t="shared" ca="1" si="3"/>
        <v>0</v>
      </c>
      <c r="BM290" s="78"/>
      <c r="BN290" s="78">
        <f t="shared" ca="1" si="4"/>
        <v>0</v>
      </c>
      <c r="BO290" s="66"/>
      <c r="BP290" s="66"/>
    </row>
    <row r="291" spans="1:68" ht="13.2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>
        <f t="shared" ref="AP291:AQ291" si="284">AR291+AT291+AV291</f>
        <v>0</v>
      </c>
      <c r="AQ291" s="75">
        <f t="shared" si="284"/>
        <v>0</v>
      </c>
      <c r="AR291" s="75"/>
      <c r="AS291" s="75"/>
      <c r="AT291" s="75"/>
      <c r="AU291" s="75"/>
      <c r="AV291" s="75"/>
      <c r="AW291" s="75"/>
      <c r="AX291" s="75"/>
      <c r="AY291" s="77">
        <f t="shared" ca="1" si="1"/>
        <v>0</v>
      </c>
      <c r="AZ291" s="75"/>
      <c r="BA291" s="77">
        <f t="shared" ca="1" si="2"/>
        <v>0</v>
      </c>
      <c r="BB291" s="66"/>
      <c r="BC291" s="4"/>
      <c r="BD291" s="67"/>
      <c r="BE291" s="67"/>
      <c r="BF291" s="68"/>
      <c r="BG291" s="69"/>
      <c r="BH291" s="84"/>
      <c r="BI291" s="70"/>
      <c r="BJ291" s="73"/>
      <c r="BK291" s="78"/>
      <c r="BL291" s="78">
        <f t="shared" ca="1" si="3"/>
        <v>0</v>
      </c>
      <c r="BM291" s="78"/>
      <c r="BN291" s="78">
        <f t="shared" ca="1" si="4"/>
        <v>0</v>
      </c>
      <c r="BO291" s="66"/>
      <c r="BP291" s="66"/>
    </row>
    <row r="292" spans="1:68" ht="13.2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>
        <f t="shared" ref="AP292:AQ292" si="285">AR292+AT292+AV292</f>
        <v>0</v>
      </c>
      <c r="AQ292" s="75">
        <f t="shared" si="285"/>
        <v>0</v>
      </c>
      <c r="AR292" s="75"/>
      <c r="AS292" s="75"/>
      <c r="AT292" s="75"/>
      <c r="AU292" s="75"/>
      <c r="AV292" s="75"/>
      <c r="AW292" s="75"/>
      <c r="AX292" s="75"/>
      <c r="AY292" s="77">
        <f t="shared" ca="1" si="1"/>
        <v>0</v>
      </c>
      <c r="AZ292" s="75"/>
      <c r="BA292" s="77">
        <f t="shared" ca="1" si="2"/>
        <v>0</v>
      </c>
      <c r="BB292" s="66"/>
      <c r="BC292" s="4"/>
      <c r="BD292" s="67"/>
      <c r="BE292" s="67"/>
      <c r="BF292" s="68"/>
      <c r="BG292" s="69"/>
      <c r="BH292" s="84"/>
      <c r="BI292" s="70"/>
      <c r="BJ292" s="73"/>
      <c r="BK292" s="78"/>
      <c r="BL292" s="78">
        <f t="shared" ca="1" si="3"/>
        <v>0</v>
      </c>
      <c r="BM292" s="78"/>
      <c r="BN292" s="78">
        <f t="shared" ca="1" si="4"/>
        <v>0</v>
      </c>
      <c r="BO292" s="66"/>
      <c r="BP292" s="66"/>
    </row>
    <row r="293" spans="1:68" ht="13.2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>
        <f t="shared" ref="AP293:AQ293" si="286">AR293+AT293+AV293</f>
        <v>0</v>
      </c>
      <c r="AQ293" s="75">
        <f t="shared" si="286"/>
        <v>0</v>
      </c>
      <c r="AR293" s="75"/>
      <c r="AS293" s="75"/>
      <c r="AT293" s="75"/>
      <c r="AU293" s="75"/>
      <c r="AV293" s="75"/>
      <c r="AW293" s="75"/>
      <c r="AX293" s="75"/>
      <c r="AY293" s="77">
        <f t="shared" ca="1" si="1"/>
        <v>0</v>
      </c>
      <c r="AZ293" s="75"/>
      <c r="BA293" s="77">
        <f t="shared" ca="1" si="2"/>
        <v>0</v>
      </c>
      <c r="BB293" s="66"/>
      <c r="BC293" s="4"/>
      <c r="BD293" s="67"/>
      <c r="BE293" s="67"/>
      <c r="BF293" s="68"/>
      <c r="BG293" s="69"/>
      <c r="BH293" s="84"/>
      <c r="BI293" s="70"/>
      <c r="BJ293" s="73"/>
      <c r="BK293" s="78"/>
      <c r="BL293" s="78">
        <f t="shared" ca="1" si="3"/>
        <v>0</v>
      </c>
      <c r="BM293" s="78"/>
      <c r="BN293" s="78">
        <f t="shared" ca="1" si="4"/>
        <v>0</v>
      </c>
      <c r="BO293" s="66"/>
      <c r="BP293" s="66"/>
    </row>
    <row r="294" spans="1:68" ht="13.2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>
        <f t="shared" ref="AP294:AQ294" si="287">AR294+AT294+AV294</f>
        <v>0</v>
      </c>
      <c r="AQ294" s="75">
        <f t="shared" si="287"/>
        <v>0</v>
      </c>
      <c r="AR294" s="75"/>
      <c r="AS294" s="75"/>
      <c r="AT294" s="75"/>
      <c r="AU294" s="75"/>
      <c r="AV294" s="75"/>
      <c r="AW294" s="75"/>
      <c r="AX294" s="75"/>
      <c r="AY294" s="77">
        <f t="shared" ca="1" si="1"/>
        <v>0</v>
      </c>
      <c r="AZ294" s="75"/>
      <c r="BA294" s="77">
        <f t="shared" ca="1" si="2"/>
        <v>0</v>
      </c>
      <c r="BB294" s="66"/>
      <c r="BC294" s="4"/>
      <c r="BD294" s="67"/>
      <c r="BE294" s="67"/>
      <c r="BF294" s="68"/>
      <c r="BG294" s="69"/>
      <c r="BH294" s="84"/>
      <c r="BI294" s="70"/>
      <c r="BJ294" s="73"/>
      <c r="BK294" s="78"/>
      <c r="BL294" s="78">
        <f t="shared" ca="1" si="3"/>
        <v>0</v>
      </c>
      <c r="BM294" s="78"/>
      <c r="BN294" s="78">
        <f t="shared" ca="1" si="4"/>
        <v>0</v>
      </c>
      <c r="BO294" s="66"/>
      <c r="BP294" s="66"/>
    </row>
    <row r="295" spans="1:68" ht="13.2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>
        <f t="shared" ref="AP295:AQ295" si="288">AR295+AT295+AV295</f>
        <v>0</v>
      </c>
      <c r="AQ295" s="75">
        <f t="shared" si="288"/>
        <v>0</v>
      </c>
      <c r="AR295" s="75"/>
      <c r="AS295" s="75"/>
      <c r="AT295" s="75"/>
      <c r="AU295" s="75"/>
      <c r="AV295" s="75"/>
      <c r="AW295" s="75"/>
      <c r="AX295" s="75"/>
      <c r="AY295" s="77">
        <f t="shared" ca="1" si="1"/>
        <v>0</v>
      </c>
      <c r="AZ295" s="75"/>
      <c r="BA295" s="77">
        <f t="shared" ca="1" si="2"/>
        <v>0</v>
      </c>
      <c r="BB295" s="66"/>
      <c r="BC295" s="4"/>
      <c r="BD295" s="67"/>
      <c r="BE295" s="67"/>
      <c r="BF295" s="68"/>
      <c r="BG295" s="69"/>
      <c r="BH295" s="84"/>
      <c r="BI295" s="70"/>
      <c r="BJ295" s="73"/>
      <c r="BK295" s="78"/>
      <c r="BL295" s="78">
        <f t="shared" ca="1" si="3"/>
        <v>0</v>
      </c>
      <c r="BM295" s="78"/>
      <c r="BN295" s="78">
        <f t="shared" ca="1" si="4"/>
        <v>0</v>
      </c>
      <c r="BO295" s="66"/>
      <c r="BP295" s="66"/>
    </row>
    <row r="296" spans="1:68" ht="13.2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>
        <f t="shared" ref="AP296:AQ296" si="289">AR296+AT296+AV296</f>
        <v>0</v>
      </c>
      <c r="AQ296" s="75">
        <f t="shared" si="289"/>
        <v>0</v>
      </c>
      <c r="AR296" s="75"/>
      <c r="AS296" s="75"/>
      <c r="AT296" s="75"/>
      <c r="AU296" s="75"/>
      <c r="AV296" s="75"/>
      <c r="AW296" s="75"/>
      <c r="AX296" s="75"/>
      <c r="AY296" s="77">
        <f t="shared" ca="1" si="1"/>
        <v>0</v>
      </c>
      <c r="AZ296" s="75"/>
      <c r="BA296" s="77">
        <f t="shared" ca="1" si="2"/>
        <v>0</v>
      </c>
      <c r="BB296" s="66"/>
      <c r="BC296" s="4"/>
      <c r="BD296" s="67"/>
      <c r="BE296" s="67"/>
      <c r="BF296" s="68"/>
      <c r="BG296" s="69"/>
      <c r="BH296" s="84"/>
      <c r="BI296" s="70"/>
      <c r="BJ296" s="73"/>
      <c r="BK296" s="78"/>
      <c r="BL296" s="78">
        <f t="shared" ca="1" si="3"/>
        <v>0</v>
      </c>
      <c r="BM296" s="78"/>
      <c r="BN296" s="78">
        <f t="shared" ca="1" si="4"/>
        <v>0</v>
      </c>
      <c r="BO296" s="66"/>
      <c r="BP296" s="66"/>
    </row>
    <row r="297" spans="1:68" ht="13.2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>
        <f t="shared" ref="AP297:AQ297" si="290">AR297+AT297+AV297</f>
        <v>0</v>
      </c>
      <c r="AQ297" s="75">
        <f t="shared" si="290"/>
        <v>0</v>
      </c>
      <c r="AR297" s="75"/>
      <c r="AS297" s="75"/>
      <c r="AT297" s="75"/>
      <c r="AU297" s="75"/>
      <c r="AV297" s="75"/>
      <c r="AW297" s="75"/>
      <c r="AX297" s="75"/>
      <c r="AY297" s="77">
        <f t="shared" ca="1" si="1"/>
        <v>0</v>
      </c>
      <c r="AZ297" s="75"/>
      <c r="BA297" s="77">
        <f t="shared" ca="1" si="2"/>
        <v>0</v>
      </c>
      <c r="BB297" s="66"/>
      <c r="BC297" s="4"/>
      <c r="BD297" s="67"/>
      <c r="BE297" s="67"/>
      <c r="BF297" s="68"/>
      <c r="BG297" s="69"/>
      <c r="BH297" s="84"/>
      <c r="BI297" s="70"/>
      <c r="BJ297" s="73"/>
      <c r="BK297" s="78"/>
      <c r="BL297" s="78">
        <f t="shared" ca="1" si="3"/>
        <v>0</v>
      </c>
      <c r="BM297" s="78"/>
      <c r="BN297" s="78">
        <f t="shared" ca="1" si="4"/>
        <v>0</v>
      </c>
      <c r="BO297" s="66"/>
      <c r="BP297" s="66"/>
    </row>
    <row r="298" spans="1:68" ht="13.2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>
        <f t="shared" ref="AP298:AQ298" si="291">AR298+AT298+AV298</f>
        <v>0</v>
      </c>
      <c r="AQ298" s="75">
        <f t="shared" si="291"/>
        <v>0</v>
      </c>
      <c r="AR298" s="75"/>
      <c r="AS298" s="75"/>
      <c r="AT298" s="75"/>
      <c r="AU298" s="75"/>
      <c r="AV298" s="75"/>
      <c r="AW298" s="75"/>
      <c r="AX298" s="75"/>
      <c r="AY298" s="77">
        <f t="shared" ca="1" si="1"/>
        <v>0</v>
      </c>
      <c r="AZ298" s="75"/>
      <c r="BA298" s="77">
        <f t="shared" ca="1" si="2"/>
        <v>0</v>
      </c>
      <c r="BB298" s="66"/>
      <c r="BC298" s="4"/>
      <c r="BD298" s="67"/>
      <c r="BE298" s="67"/>
      <c r="BF298" s="68"/>
      <c r="BG298" s="69"/>
      <c r="BH298" s="84"/>
      <c r="BI298" s="70"/>
      <c r="BJ298" s="73"/>
      <c r="BK298" s="78"/>
      <c r="BL298" s="78">
        <f t="shared" ca="1" si="3"/>
        <v>0</v>
      </c>
      <c r="BM298" s="78"/>
      <c r="BN298" s="78">
        <f t="shared" ca="1" si="4"/>
        <v>0</v>
      </c>
      <c r="BO298" s="66"/>
      <c r="BP298" s="66"/>
    </row>
    <row r="299" spans="1:68" ht="13.2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>
        <f t="shared" ref="AP299:AQ299" si="292">AR299+AT299+AV299</f>
        <v>0</v>
      </c>
      <c r="AQ299" s="75">
        <f t="shared" si="292"/>
        <v>0</v>
      </c>
      <c r="AR299" s="75"/>
      <c r="AS299" s="75"/>
      <c r="AT299" s="75"/>
      <c r="AU299" s="75"/>
      <c r="AV299" s="75"/>
      <c r="AW299" s="75"/>
      <c r="AX299" s="75"/>
      <c r="AY299" s="77">
        <f t="shared" ca="1" si="1"/>
        <v>0</v>
      </c>
      <c r="AZ299" s="75"/>
      <c r="BA299" s="77">
        <f t="shared" ca="1" si="2"/>
        <v>0</v>
      </c>
      <c r="BB299" s="66"/>
      <c r="BC299" s="4"/>
      <c r="BD299" s="67"/>
      <c r="BE299" s="67"/>
      <c r="BF299" s="68"/>
      <c r="BG299" s="69"/>
      <c r="BH299" s="84"/>
      <c r="BI299" s="70"/>
      <c r="BJ299" s="73"/>
      <c r="BK299" s="78"/>
      <c r="BL299" s="78">
        <f t="shared" ca="1" si="3"/>
        <v>0</v>
      </c>
      <c r="BM299" s="78"/>
      <c r="BN299" s="78">
        <f t="shared" ca="1" si="4"/>
        <v>0</v>
      </c>
      <c r="BO299" s="66"/>
      <c r="BP299" s="66"/>
    </row>
    <row r="300" spans="1:68" ht="13.2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>
        <f t="shared" ref="AP300:AQ300" si="293">AR300+AT300+AV300</f>
        <v>0</v>
      </c>
      <c r="AQ300" s="75">
        <f t="shared" si="293"/>
        <v>0</v>
      </c>
      <c r="AR300" s="75"/>
      <c r="AS300" s="75"/>
      <c r="AT300" s="75"/>
      <c r="AU300" s="75"/>
      <c r="AV300" s="75"/>
      <c r="AW300" s="75"/>
      <c r="AX300" s="75"/>
      <c r="AY300" s="77">
        <f t="shared" ca="1" si="1"/>
        <v>0</v>
      </c>
      <c r="AZ300" s="75"/>
      <c r="BA300" s="77">
        <f t="shared" ca="1" si="2"/>
        <v>0</v>
      </c>
      <c r="BB300" s="66"/>
      <c r="BC300" s="4"/>
      <c r="BD300" s="67"/>
      <c r="BE300" s="67"/>
      <c r="BF300" s="68"/>
      <c r="BG300" s="69"/>
      <c r="BH300" s="84"/>
      <c r="BI300" s="70"/>
      <c r="BJ300" s="73"/>
      <c r="BK300" s="78"/>
      <c r="BL300" s="78">
        <f t="shared" ca="1" si="3"/>
        <v>0</v>
      </c>
      <c r="BM300" s="78"/>
      <c r="BN300" s="78">
        <f t="shared" ca="1" si="4"/>
        <v>0</v>
      </c>
      <c r="BO300" s="66"/>
      <c r="BP300" s="66"/>
    </row>
    <row r="301" spans="1:68" ht="13.2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>
        <f t="shared" ref="AP301:AQ301" si="294">AR301+AT301+AV301</f>
        <v>0</v>
      </c>
      <c r="AQ301" s="75">
        <f t="shared" si="294"/>
        <v>0</v>
      </c>
      <c r="AR301" s="75"/>
      <c r="AS301" s="75"/>
      <c r="AT301" s="75"/>
      <c r="AU301" s="75"/>
      <c r="AV301" s="75"/>
      <c r="AW301" s="75"/>
      <c r="AX301" s="75"/>
      <c r="AY301" s="77">
        <f t="shared" ca="1" si="1"/>
        <v>0</v>
      </c>
      <c r="AZ301" s="75"/>
      <c r="BA301" s="77">
        <f t="shared" ca="1" si="2"/>
        <v>0</v>
      </c>
      <c r="BB301" s="66"/>
      <c r="BC301" s="4"/>
      <c r="BD301" s="67"/>
      <c r="BE301" s="67"/>
      <c r="BF301" s="68"/>
      <c r="BG301" s="69"/>
      <c r="BH301" s="84"/>
      <c r="BI301" s="70"/>
      <c r="BJ301" s="73"/>
      <c r="BK301" s="78"/>
      <c r="BL301" s="78">
        <f t="shared" ca="1" si="3"/>
        <v>0</v>
      </c>
      <c r="BM301" s="78"/>
      <c r="BN301" s="78">
        <f t="shared" ca="1" si="4"/>
        <v>0</v>
      </c>
      <c r="BO301" s="66"/>
      <c r="BP301" s="66"/>
    </row>
    <row r="302" spans="1:68" ht="13.2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>
        <f t="shared" ref="AP302:AQ302" si="295">AR302+AT302+AV302</f>
        <v>0</v>
      </c>
      <c r="AQ302" s="75">
        <f t="shared" si="295"/>
        <v>0</v>
      </c>
      <c r="AR302" s="75"/>
      <c r="AS302" s="75"/>
      <c r="AT302" s="75"/>
      <c r="AU302" s="75"/>
      <c r="AV302" s="75"/>
      <c r="AW302" s="75"/>
      <c r="AX302" s="75"/>
      <c r="AY302" s="77">
        <f t="shared" ca="1" si="1"/>
        <v>0</v>
      </c>
      <c r="AZ302" s="75"/>
      <c r="BA302" s="77">
        <f t="shared" ca="1" si="2"/>
        <v>0</v>
      </c>
      <c r="BB302" s="66"/>
      <c r="BC302" s="4"/>
      <c r="BD302" s="67"/>
      <c r="BE302" s="67"/>
      <c r="BF302" s="68"/>
      <c r="BG302" s="69"/>
      <c r="BH302" s="84"/>
      <c r="BI302" s="70"/>
      <c r="BJ302" s="73"/>
      <c r="BK302" s="78"/>
      <c r="BL302" s="78">
        <f t="shared" ca="1" si="3"/>
        <v>0</v>
      </c>
      <c r="BM302" s="78"/>
      <c r="BN302" s="78">
        <f t="shared" ca="1" si="4"/>
        <v>0</v>
      </c>
      <c r="BO302" s="66"/>
      <c r="BP302" s="66"/>
    </row>
    <row r="303" spans="1:68" ht="13.2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>
        <f t="shared" ref="AP303:AQ303" si="296">AR303+AT303+AV303</f>
        <v>0</v>
      </c>
      <c r="AQ303" s="75">
        <f t="shared" si="296"/>
        <v>0</v>
      </c>
      <c r="AR303" s="75"/>
      <c r="AS303" s="75"/>
      <c r="AT303" s="75"/>
      <c r="AU303" s="75"/>
      <c r="AV303" s="75"/>
      <c r="AW303" s="75"/>
      <c r="AX303" s="75"/>
      <c r="AY303" s="77">
        <f t="shared" ca="1" si="1"/>
        <v>0</v>
      </c>
      <c r="AZ303" s="75"/>
      <c r="BA303" s="77">
        <f t="shared" ca="1" si="2"/>
        <v>0</v>
      </c>
      <c r="BB303" s="66"/>
      <c r="BC303" s="4"/>
      <c r="BD303" s="67"/>
      <c r="BE303" s="67"/>
      <c r="BF303" s="68"/>
      <c r="BG303" s="69"/>
      <c r="BH303" s="84"/>
      <c r="BI303" s="70"/>
      <c r="BJ303" s="73"/>
      <c r="BK303" s="78"/>
      <c r="BL303" s="78">
        <f t="shared" ca="1" si="3"/>
        <v>0</v>
      </c>
      <c r="BM303" s="78"/>
      <c r="BN303" s="78">
        <f t="shared" ca="1" si="4"/>
        <v>0</v>
      </c>
      <c r="BO303" s="66"/>
      <c r="BP303" s="66"/>
    </row>
    <row r="304" spans="1:68" ht="13.2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>
        <f t="shared" ref="AP304:AQ304" si="297">AR304+AT304+AV304</f>
        <v>0</v>
      </c>
      <c r="AQ304" s="75">
        <f t="shared" si="297"/>
        <v>0</v>
      </c>
      <c r="AR304" s="75"/>
      <c r="AS304" s="75"/>
      <c r="AT304" s="75"/>
      <c r="AU304" s="75"/>
      <c r="AV304" s="75"/>
      <c r="AW304" s="75"/>
      <c r="AX304" s="75"/>
      <c r="AY304" s="77">
        <f t="shared" ca="1" si="1"/>
        <v>0</v>
      </c>
      <c r="AZ304" s="75"/>
      <c r="BA304" s="77">
        <f t="shared" ca="1" si="2"/>
        <v>0</v>
      </c>
      <c r="BB304" s="66"/>
      <c r="BC304" s="4"/>
      <c r="BD304" s="67"/>
      <c r="BE304" s="67"/>
      <c r="BF304" s="68"/>
      <c r="BG304" s="69"/>
      <c r="BH304" s="84"/>
      <c r="BI304" s="70"/>
      <c r="BJ304" s="73"/>
      <c r="BK304" s="78"/>
      <c r="BL304" s="78">
        <f t="shared" ca="1" si="3"/>
        <v>0</v>
      </c>
      <c r="BM304" s="78"/>
      <c r="BN304" s="78">
        <f t="shared" ca="1" si="4"/>
        <v>0</v>
      </c>
      <c r="BO304" s="66"/>
      <c r="BP304" s="66"/>
    </row>
    <row r="305" spans="1:68" ht="13.2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>
        <f t="shared" ref="AP305:AQ305" si="298">AR305+AT305+AV305</f>
        <v>0</v>
      </c>
      <c r="AQ305" s="75">
        <f t="shared" si="298"/>
        <v>0</v>
      </c>
      <c r="AR305" s="75"/>
      <c r="AS305" s="75"/>
      <c r="AT305" s="75"/>
      <c r="AU305" s="75"/>
      <c r="AV305" s="75"/>
      <c r="AW305" s="75"/>
      <c r="AX305" s="75"/>
      <c r="AY305" s="77">
        <f t="shared" ca="1" si="1"/>
        <v>0</v>
      </c>
      <c r="AZ305" s="75"/>
      <c r="BA305" s="77">
        <f t="shared" ca="1" si="2"/>
        <v>0</v>
      </c>
      <c r="BB305" s="66"/>
      <c r="BC305" s="4"/>
      <c r="BD305" s="67"/>
      <c r="BE305" s="67"/>
      <c r="BF305" s="68"/>
      <c r="BG305" s="69"/>
      <c r="BH305" s="84"/>
      <c r="BI305" s="70"/>
      <c r="BJ305" s="73"/>
      <c r="BK305" s="78"/>
      <c r="BL305" s="78">
        <f t="shared" ca="1" si="3"/>
        <v>0</v>
      </c>
      <c r="BM305" s="78"/>
      <c r="BN305" s="78">
        <f t="shared" ca="1" si="4"/>
        <v>0</v>
      </c>
      <c r="BO305" s="66"/>
      <c r="BP305" s="66"/>
    </row>
    <row r="306" spans="1:68" ht="13.2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>
        <f t="shared" ref="AP306:AQ306" si="299">AR306+AT306+AV306</f>
        <v>0</v>
      </c>
      <c r="AQ306" s="75">
        <f t="shared" si="299"/>
        <v>0</v>
      </c>
      <c r="AR306" s="75"/>
      <c r="AS306" s="75"/>
      <c r="AT306" s="75"/>
      <c r="AU306" s="75"/>
      <c r="AV306" s="75"/>
      <c r="AW306" s="75"/>
      <c r="AX306" s="75"/>
      <c r="AY306" s="77">
        <f t="shared" ca="1" si="1"/>
        <v>0</v>
      </c>
      <c r="AZ306" s="75"/>
      <c r="BA306" s="77">
        <f t="shared" ca="1" si="2"/>
        <v>0</v>
      </c>
      <c r="BB306" s="66"/>
      <c r="BC306" s="4"/>
      <c r="BD306" s="67"/>
      <c r="BE306" s="67"/>
      <c r="BF306" s="68"/>
      <c r="BG306" s="69"/>
      <c r="BH306" s="84"/>
      <c r="BI306" s="70"/>
      <c r="BJ306" s="73"/>
      <c r="BK306" s="78"/>
      <c r="BL306" s="78">
        <f t="shared" ca="1" si="3"/>
        <v>0</v>
      </c>
      <c r="BM306" s="78"/>
      <c r="BN306" s="78">
        <f t="shared" ca="1" si="4"/>
        <v>0</v>
      </c>
      <c r="BO306" s="66"/>
      <c r="BP306" s="66"/>
    </row>
    <row r="307" spans="1:68" ht="13.2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>
        <f t="shared" ref="AP307:AQ307" si="300">AR307+AT307+AV307</f>
        <v>0</v>
      </c>
      <c r="AQ307" s="75">
        <f t="shared" si="300"/>
        <v>0</v>
      </c>
      <c r="AR307" s="75"/>
      <c r="AS307" s="75"/>
      <c r="AT307" s="75"/>
      <c r="AU307" s="75"/>
      <c r="AV307" s="75"/>
      <c r="AW307" s="75"/>
      <c r="AX307" s="75"/>
      <c r="AY307" s="77">
        <f t="shared" ca="1" si="1"/>
        <v>0</v>
      </c>
      <c r="AZ307" s="75"/>
      <c r="BA307" s="77">
        <f t="shared" ca="1" si="2"/>
        <v>0</v>
      </c>
      <c r="BB307" s="66"/>
      <c r="BC307" s="4"/>
      <c r="BD307" s="67"/>
      <c r="BE307" s="67"/>
      <c r="BF307" s="68"/>
      <c r="BG307" s="69"/>
      <c r="BH307" s="84"/>
      <c r="BI307" s="70"/>
      <c r="BJ307" s="73"/>
      <c r="BK307" s="78"/>
      <c r="BL307" s="78">
        <f t="shared" ca="1" si="3"/>
        <v>0</v>
      </c>
      <c r="BM307" s="78"/>
      <c r="BN307" s="78">
        <f t="shared" ca="1" si="4"/>
        <v>0</v>
      </c>
      <c r="BO307" s="66"/>
      <c r="BP307" s="66"/>
    </row>
    <row r="308" spans="1:68" ht="13.2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>
        <f t="shared" ref="AP308:AQ308" si="301">AR308+AT308+AV308</f>
        <v>0</v>
      </c>
      <c r="AQ308" s="75">
        <f t="shared" si="301"/>
        <v>0</v>
      </c>
      <c r="AR308" s="75"/>
      <c r="AS308" s="75"/>
      <c r="AT308" s="75"/>
      <c r="AU308" s="75"/>
      <c r="AV308" s="75"/>
      <c r="AW308" s="75"/>
      <c r="AX308" s="75"/>
      <c r="AY308" s="77">
        <f t="shared" ca="1" si="1"/>
        <v>0</v>
      </c>
      <c r="AZ308" s="75"/>
      <c r="BA308" s="77">
        <f t="shared" ca="1" si="2"/>
        <v>0</v>
      </c>
      <c r="BB308" s="66"/>
      <c r="BC308" s="4"/>
      <c r="BD308" s="67"/>
      <c r="BE308" s="67"/>
      <c r="BF308" s="68"/>
      <c r="BG308" s="69"/>
      <c r="BH308" s="84"/>
      <c r="BI308" s="70"/>
      <c r="BJ308" s="73"/>
      <c r="BK308" s="78"/>
      <c r="BL308" s="78">
        <f t="shared" ca="1" si="3"/>
        <v>0</v>
      </c>
      <c r="BM308" s="78"/>
      <c r="BN308" s="78">
        <f t="shared" ca="1" si="4"/>
        <v>0</v>
      </c>
      <c r="BO308" s="66"/>
      <c r="BP308" s="66"/>
    </row>
    <row r="309" spans="1:68" ht="13.2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>
        <f t="shared" ref="AP309:AQ309" si="302">AR309+AT309+AV309</f>
        <v>0</v>
      </c>
      <c r="AQ309" s="75">
        <f t="shared" si="302"/>
        <v>0</v>
      </c>
      <c r="AR309" s="75"/>
      <c r="AS309" s="75"/>
      <c r="AT309" s="75"/>
      <c r="AU309" s="75"/>
      <c r="AV309" s="75"/>
      <c r="AW309" s="75"/>
      <c r="AX309" s="75"/>
      <c r="AY309" s="77">
        <f t="shared" ca="1" si="1"/>
        <v>0</v>
      </c>
      <c r="AZ309" s="75"/>
      <c r="BA309" s="77">
        <f t="shared" ca="1" si="2"/>
        <v>0</v>
      </c>
      <c r="BB309" s="66"/>
      <c r="BC309" s="4"/>
      <c r="BD309" s="67"/>
      <c r="BE309" s="67"/>
      <c r="BF309" s="68"/>
      <c r="BG309" s="69"/>
      <c r="BH309" s="84"/>
      <c r="BI309" s="70"/>
      <c r="BJ309" s="73"/>
      <c r="BK309" s="78"/>
      <c r="BL309" s="78">
        <f t="shared" ca="1" si="3"/>
        <v>0</v>
      </c>
      <c r="BM309" s="78"/>
      <c r="BN309" s="78">
        <f t="shared" ca="1" si="4"/>
        <v>0</v>
      </c>
      <c r="BO309" s="66"/>
      <c r="BP309" s="66"/>
    </row>
    <row r="310" spans="1:68" ht="13.2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>
        <f t="shared" ref="AP310:AQ310" si="303">AR310+AT310+AV310</f>
        <v>0</v>
      </c>
      <c r="AQ310" s="75">
        <f t="shared" si="303"/>
        <v>0</v>
      </c>
      <c r="AR310" s="75"/>
      <c r="AS310" s="75"/>
      <c r="AT310" s="75"/>
      <c r="AU310" s="75"/>
      <c r="AV310" s="75"/>
      <c r="AW310" s="75"/>
      <c r="AX310" s="75"/>
      <c r="AY310" s="77">
        <f t="shared" ca="1" si="1"/>
        <v>0</v>
      </c>
      <c r="AZ310" s="75"/>
      <c r="BA310" s="77">
        <f t="shared" ca="1" si="2"/>
        <v>0</v>
      </c>
      <c r="BB310" s="66"/>
      <c r="BC310" s="4"/>
      <c r="BD310" s="67"/>
      <c r="BE310" s="67"/>
      <c r="BF310" s="68"/>
      <c r="BG310" s="69"/>
      <c r="BH310" s="84"/>
      <c r="BI310" s="70"/>
      <c r="BJ310" s="73"/>
      <c r="BK310" s="78"/>
      <c r="BL310" s="78">
        <f t="shared" ca="1" si="3"/>
        <v>0</v>
      </c>
      <c r="BM310" s="78"/>
      <c r="BN310" s="78">
        <f t="shared" ca="1" si="4"/>
        <v>0</v>
      </c>
      <c r="BO310" s="66"/>
      <c r="BP310" s="66"/>
    </row>
    <row r="311" spans="1:68" ht="13.2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>
        <f t="shared" ref="AP311:AQ311" si="304">AR311+AT311+AV311</f>
        <v>0</v>
      </c>
      <c r="AQ311" s="75">
        <f t="shared" si="304"/>
        <v>0</v>
      </c>
      <c r="AR311" s="75"/>
      <c r="AS311" s="75"/>
      <c r="AT311" s="75"/>
      <c r="AU311" s="75"/>
      <c r="AV311" s="75"/>
      <c r="AW311" s="75"/>
      <c r="AX311" s="75"/>
      <c r="AY311" s="77">
        <f t="shared" ca="1" si="1"/>
        <v>0</v>
      </c>
      <c r="AZ311" s="75"/>
      <c r="BA311" s="77">
        <f t="shared" ca="1" si="2"/>
        <v>0</v>
      </c>
      <c r="BB311" s="66"/>
      <c r="BC311" s="4"/>
      <c r="BD311" s="67"/>
      <c r="BE311" s="67"/>
      <c r="BF311" s="68"/>
      <c r="BG311" s="69"/>
      <c r="BH311" s="84"/>
      <c r="BI311" s="70"/>
      <c r="BJ311" s="73"/>
      <c r="BK311" s="78"/>
      <c r="BL311" s="78">
        <f t="shared" ca="1" si="3"/>
        <v>0</v>
      </c>
      <c r="BM311" s="78"/>
      <c r="BN311" s="78">
        <f t="shared" ca="1" si="4"/>
        <v>0</v>
      </c>
      <c r="BO311" s="66"/>
      <c r="BP311" s="66"/>
    </row>
    <row r="312" spans="1:68" ht="13.2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>
        <f t="shared" ref="AP312:AQ312" si="305">AR312+AT312+AV312</f>
        <v>0</v>
      </c>
      <c r="AQ312" s="75">
        <f t="shared" si="305"/>
        <v>0</v>
      </c>
      <c r="AR312" s="75"/>
      <c r="AS312" s="75"/>
      <c r="AT312" s="75"/>
      <c r="AU312" s="75"/>
      <c r="AV312" s="75"/>
      <c r="AW312" s="75"/>
      <c r="AX312" s="75"/>
      <c r="AY312" s="77">
        <f t="shared" ca="1" si="1"/>
        <v>0</v>
      </c>
      <c r="AZ312" s="75"/>
      <c r="BA312" s="77">
        <f t="shared" ca="1" si="2"/>
        <v>0</v>
      </c>
      <c r="BB312" s="66"/>
      <c r="BC312" s="4"/>
      <c r="BD312" s="67"/>
      <c r="BE312" s="67"/>
      <c r="BF312" s="68"/>
      <c r="BG312" s="69"/>
      <c r="BH312" s="84"/>
      <c r="BI312" s="70"/>
      <c r="BJ312" s="73"/>
      <c r="BK312" s="78"/>
      <c r="BL312" s="78">
        <f t="shared" ca="1" si="3"/>
        <v>0</v>
      </c>
      <c r="BM312" s="78"/>
      <c r="BN312" s="78">
        <f t="shared" ca="1" si="4"/>
        <v>0</v>
      </c>
      <c r="BO312" s="66"/>
      <c r="BP312" s="66"/>
    </row>
    <row r="313" spans="1:68" ht="13.2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>
        <f t="shared" ref="AP313:AQ313" si="306">AR313+AT313+AV313</f>
        <v>0</v>
      </c>
      <c r="AQ313" s="75">
        <f t="shared" si="306"/>
        <v>0</v>
      </c>
      <c r="AR313" s="75"/>
      <c r="AS313" s="75"/>
      <c r="AT313" s="75"/>
      <c r="AU313" s="75"/>
      <c r="AV313" s="75"/>
      <c r="AW313" s="75"/>
      <c r="AX313" s="75"/>
      <c r="AY313" s="77">
        <f t="shared" ca="1" si="1"/>
        <v>0</v>
      </c>
      <c r="AZ313" s="75"/>
      <c r="BA313" s="77">
        <f t="shared" ca="1" si="2"/>
        <v>0</v>
      </c>
      <c r="BB313" s="66"/>
      <c r="BC313" s="4"/>
      <c r="BD313" s="67"/>
      <c r="BE313" s="67"/>
      <c r="BF313" s="68"/>
      <c r="BG313" s="69"/>
      <c r="BH313" s="84"/>
      <c r="BI313" s="70"/>
      <c r="BJ313" s="73"/>
      <c r="BK313" s="78"/>
      <c r="BL313" s="78">
        <f t="shared" ca="1" si="3"/>
        <v>0</v>
      </c>
      <c r="BM313" s="78"/>
      <c r="BN313" s="78">
        <f t="shared" ca="1" si="4"/>
        <v>0</v>
      </c>
      <c r="BO313" s="66"/>
      <c r="BP313" s="66"/>
    </row>
    <row r="314" spans="1:68" ht="13.2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>
        <f t="shared" ref="AP314:AQ314" si="307">AR314+AT314+AV314</f>
        <v>0</v>
      </c>
      <c r="AQ314" s="75">
        <f t="shared" si="307"/>
        <v>0</v>
      </c>
      <c r="AR314" s="75"/>
      <c r="AS314" s="75"/>
      <c r="AT314" s="75"/>
      <c r="AU314" s="75"/>
      <c r="AV314" s="75"/>
      <c r="AW314" s="75"/>
      <c r="AX314" s="75"/>
      <c r="AY314" s="77">
        <f t="shared" ca="1" si="1"/>
        <v>0</v>
      </c>
      <c r="AZ314" s="75"/>
      <c r="BA314" s="77">
        <f t="shared" ca="1" si="2"/>
        <v>0</v>
      </c>
      <c r="BB314" s="66"/>
      <c r="BC314" s="4"/>
      <c r="BD314" s="67"/>
      <c r="BE314" s="67"/>
      <c r="BF314" s="68"/>
      <c r="BG314" s="69"/>
      <c r="BH314" s="84"/>
      <c r="BI314" s="70"/>
      <c r="BJ314" s="73"/>
      <c r="BK314" s="78"/>
      <c r="BL314" s="78">
        <f t="shared" ca="1" si="3"/>
        <v>0</v>
      </c>
      <c r="BM314" s="78"/>
      <c r="BN314" s="78">
        <f t="shared" ca="1" si="4"/>
        <v>0</v>
      </c>
      <c r="BO314" s="66"/>
      <c r="BP314" s="66"/>
    </row>
    <row r="315" spans="1:68" ht="13.2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>
        <f t="shared" ref="AP315:AQ315" si="308">AR315+AT315+AV315</f>
        <v>0</v>
      </c>
      <c r="AQ315" s="75">
        <f t="shared" si="308"/>
        <v>0</v>
      </c>
      <c r="AR315" s="75"/>
      <c r="AS315" s="75"/>
      <c r="AT315" s="75"/>
      <c r="AU315" s="75"/>
      <c r="AV315" s="75"/>
      <c r="AW315" s="75"/>
      <c r="AX315" s="75"/>
      <c r="AY315" s="77">
        <f t="shared" ca="1" si="1"/>
        <v>0</v>
      </c>
      <c r="AZ315" s="75"/>
      <c r="BA315" s="77">
        <f t="shared" ca="1" si="2"/>
        <v>0</v>
      </c>
      <c r="BB315" s="66"/>
      <c r="BC315" s="4"/>
      <c r="BD315" s="67"/>
      <c r="BE315" s="67"/>
      <c r="BF315" s="68"/>
      <c r="BG315" s="69"/>
      <c r="BH315" s="84"/>
      <c r="BI315" s="70"/>
      <c r="BJ315" s="73"/>
      <c r="BK315" s="78"/>
      <c r="BL315" s="78">
        <f t="shared" ca="1" si="3"/>
        <v>0</v>
      </c>
      <c r="BM315" s="78"/>
      <c r="BN315" s="78">
        <f t="shared" ca="1" si="4"/>
        <v>0</v>
      </c>
      <c r="BO315" s="66"/>
      <c r="BP315" s="66"/>
    </row>
    <row r="316" spans="1:68" ht="13.2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>
        <f t="shared" ref="AP316:AQ316" si="309">AR316+AT316+AV316</f>
        <v>0</v>
      </c>
      <c r="AQ316" s="75">
        <f t="shared" si="309"/>
        <v>0</v>
      </c>
      <c r="AR316" s="75"/>
      <c r="AS316" s="75"/>
      <c r="AT316" s="75"/>
      <c r="AU316" s="75"/>
      <c r="AV316" s="75"/>
      <c r="AW316" s="75"/>
      <c r="AX316" s="75"/>
      <c r="AY316" s="77">
        <f t="shared" ca="1" si="1"/>
        <v>0</v>
      </c>
      <c r="AZ316" s="75"/>
      <c r="BA316" s="77">
        <f t="shared" ca="1" si="2"/>
        <v>0</v>
      </c>
      <c r="BB316" s="66"/>
      <c r="BC316" s="4"/>
      <c r="BD316" s="67"/>
      <c r="BE316" s="67"/>
      <c r="BF316" s="68"/>
      <c r="BG316" s="69"/>
      <c r="BH316" s="84"/>
      <c r="BI316" s="70"/>
      <c r="BJ316" s="73"/>
      <c r="BK316" s="78"/>
      <c r="BL316" s="78">
        <f t="shared" ca="1" si="3"/>
        <v>0</v>
      </c>
      <c r="BM316" s="78"/>
      <c r="BN316" s="78">
        <f t="shared" ca="1" si="4"/>
        <v>0</v>
      </c>
      <c r="BO316" s="66"/>
      <c r="BP316" s="66"/>
    </row>
    <row r="317" spans="1:68" ht="13.2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>
        <f t="shared" ref="AP317:AQ317" si="310">AR317+AT317+AV317</f>
        <v>0</v>
      </c>
      <c r="AQ317" s="75">
        <f t="shared" si="310"/>
        <v>0</v>
      </c>
      <c r="AR317" s="75"/>
      <c r="AS317" s="75"/>
      <c r="AT317" s="75"/>
      <c r="AU317" s="75"/>
      <c r="AV317" s="75"/>
      <c r="AW317" s="75"/>
      <c r="AX317" s="75"/>
      <c r="AY317" s="77">
        <f t="shared" ca="1" si="1"/>
        <v>0</v>
      </c>
      <c r="AZ317" s="75"/>
      <c r="BA317" s="77">
        <f t="shared" ca="1" si="2"/>
        <v>0</v>
      </c>
      <c r="BB317" s="66"/>
      <c r="BC317" s="4"/>
      <c r="BD317" s="67"/>
      <c r="BE317" s="67"/>
      <c r="BF317" s="68"/>
      <c r="BG317" s="69"/>
      <c r="BH317" s="84"/>
      <c r="BI317" s="70"/>
      <c r="BJ317" s="73"/>
      <c r="BK317" s="78"/>
      <c r="BL317" s="78">
        <f t="shared" ca="1" si="3"/>
        <v>0</v>
      </c>
      <c r="BM317" s="78"/>
      <c r="BN317" s="78">
        <f t="shared" ca="1" si="4"/>
        <v>0</v>
      </c>
      <c r="BO317" s="66"/>
      <c r="BP317" s="66"/>
    </row>
    <row r="318" spans="1:68" ht="13.2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>
        <f t="shared" ref="AP318:AQ318" si="311">AR318+AT318+AV318</f>
        <v>0</v>
      </c>
      <c r="AQ318" s="75">
        <f t="shared" si="311"/>
        <v>0</v>
      </c>
      <c r="AR318" s="75"/>
      <c r="AS318" s="75"/>
      <c r="AT318" s="75"/>
      <c r="AU318" s="75"/>
      <c r="AV318" s="75"/>
      <c r="AW318" s="75"/>
      <c r="AX318" s="75"/>
      <c r="AY318" s="77">
        <f t="shared" ca="1" si="1"/>
        <v>0</v>
      </c>
      <c r="AZ318" s="75"/>
      <c r="BA318" s="77">
        <f t="shared" ca="1" si="2"/>
        <v>0</v>
      </c>
      <c r="BB318" s="66"/>
      <c r="BC318" s="4"/>
      <c r="BD318" s="67"/>
      <c r="BE318" s="67"/>
      <c r="BF318" s="68"/>
      <c r="BG318" s="69"/>
      <c r="BH318" s="84"/>
      <c r="BI318" s="70"/>
      <c r="BJ318" s="73"/>
      <c r="BK318" s="78"/>
      <c r="BL318" s="78">
        <f t="shared" ca="1" si="3"/>
        <v>0</v>
      </c>
      <c r="BM318" s="78"/>
      <c r="BN318" s="78">
        <f t="shared" ca="1" si="4"/>
        <v>0</v>
      </c>
      <c r="BO318" s="66"/>
      <c r="BP318" s="66"/>
    </row>
    <row r="319" spans="1:68" ht="13.2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>
        <f t="shared" ref="AP319:AQ319" si="312">AR319+AT319+AV319</f>
        <v>0</v>
      </c>
      <c r="AQ319" s="75">
        <f t="shared" si="312"/>
        <v>0</v>
      </c>
      <c r="AR319" s="75"/>
      <c r="AS319" s="75"/>
      <c r="AT319" s="75"/>
      <c r="AU319" s="75"/>
      <c r="AV319" s="75"/>
      <c r="AW319" s="75"/>
      <c r="AX319" s="75"/>
      <c r="AY319" s="77">
        <f t="shared" ca="1" si="1"/>
        <v>0</v>
      </c>
      <c r="AZ319" s="75"/>
      <c r="BA319" s="77">
        <f t="shared" ca="1" si="2"/>
        <v>0</v>
      </c>
      <c r="BB319" s="66"/>
      <c r="BC319" s="4"/>
      <c r="BD319" s="67"/>
      <c r="BE319" s="67"/>
      <c r="BF319" s="68"/>
      <c r="BG319" s="69"/>
      <c r="BH319" s="84"/>
      <c r="BI319" s="70"/>
      <c r="BJ319" s="73"/>
      <c r="BK319" s="78"/>
      <c r="BL319" s="78">
        <f t="shared" ca="1" si="3"/>
        <v>0</v>
      </c>
      <c r="BM319" s="78"/>
      <c r="BN319" s="78">
        <f t="shared" ca="1" si="4"/>
        <v>0</v>
      </c>
      <c r="BO319" s="66"/>
      <c r="BP319" s="66"/>
    </row>
    <row r="320" spans="1:68" ht="13.2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>
        <f t="shared" ref="AP320:AQ320" si="313">AR320+AT320+AV320</f>
        <v>0</v>
      </c>
      <c r="AQ320" s="75">
        <f t="shared" si="313"/>
        <v>0</v>
      </c>
      <c r="AR320" s="75"/>
      <c r="AS320" s="75"/>
      <c r="AT320" s="75"/>
      <c r="AU320" s="75"/>
      <c r="AV320" s="75"/>
      <c r="AW320" s="75"/>
      <c r="AX320" s="75"/>
      <c r="AY320" s="77">
        <f t="shared" ca="1" si="1"/>
        <v>0</v>
      </c>
      <c r="AZ320" s="75"/>
      <c r="BA320" s="77">
        <f t="shared" ca="1" si="2"/>
        <v>0</v>
      </c>
      <c r="BB320" s="66"/>
      <c r="BC320" s="4"/>
      <c r="BD320" s="67"/>
      <c r="BE320" s="67"/>
      <c r="BF320" s="68"/>
      <c r="BG320" s="69"/>
      <c r="BH320" s="84"/>
      <c r="BI320" s="70"/>
      <c r="BJ320" s="73"/>
      <c r="BK320" s="78"/>
      <c r="BL320" s="78">
        <f t="shared" ca="1" si="3"/>
        <v>0</v>
      </c>
      <c r="BM320" s="78"/>
      <c r="BN320" s="78">
        <f t="shared" ca="1" si="4"/>
        <v>0</v>
      </c>
      <c r="BO320" s="66"/>
      <c r="BP320" s="66"/>
    </row>
    <row r="321" spans="1:68" ht="13.2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>
        <f t="shared" ref="AP321:AQ321" si="314">AR321+AT321+AV321</f>
        <v>0</v>
      </c>
      <c r="AQ321" s="75">
        <f t="shared" si="314"/>
        <v>0</v>
      </c>
      <c r="AR321" s="75"/>
      <c r="AS321" s="75"/>
      <c r="AT321" s="75"/>
      <c r="AU321" s="75"/>
      <c r="AV321" s="75"/>
      <c r="AW321" s="75"/>
      <c r="AX321" s="75"/>
      <c r="AY321" s="77">
        <f t="shared" ca="1" si="1"/>
        <v>0</v>
      </c>
      <c r="AZ321" s="75"/>
      <c r="BA321" s="77">
        <f t="shared" ca="1" si="2"/>
        <v>0</v>
      </c>
      <c r="BB321" s="66"/>
      <c r="BC321" s="4"/>
      <c r="BD321" s="67"/>
      <c r="BE321" s="67"/>
      <c r="BF321" s="68"/>
      <c r="BG321" s="69"/>
      <c r="BH321" s="84"/>
      <c r="BI321" s="70"/>
      <c r="BJ321" s="73"/>
      <c r="BK321" s="78"/>
      <c r="BL321" s="78">
        <f t="shared" ca="1" si="3"/>
        <v>0</v>
      </c>
      <c r="BM321" s="78"/>
      <c r="BN321" s="78">
        <f t="shared" ca="1" si="4"/>
        <v>0</v>
      </c>
      <c r="BO321" s="66"/>
      <c r="BP321" s="66"/>
    </row>
    <row r="322" spans="1:68" ht="13.2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>
        <f t="shared" ref="AP322:AQ322" si="315">AR322+AT322+AV322</f>
        <v>0</v>
      </c>
      <c r="AQ322" s="75">
        <f t="shared" si="315"/>
        <v>0</v>
      </c>
      <c r="AR322" s="75"/>
      <c r="AS322" s="75"/>
      <c r="AT322" s="75"/>
      <c r="AU322" s="75"/>
      <c r="AV322" s="75"/>
      <c r="AW322" s="75"/>
      <c r="AX322" s="75"/>
      <c r="AY322" s="77">
        <f t="shared" ca="1" si="1"/>
        <v>0</v>
      </c>
      <c r="AZ322" s="75"/>
      <c r="BA322" s="77">
        <f t="shared" ca="1" si="2"/>
        <v>0</v>
      </c>
      <c r="BB322" s="66"/>
      <c r="BC322" s="4"/>
      <c r="BD322" s="67"/>
      <c r="BE322" s="67"/>
      <c r="BF322" s="68"/>
      <c r="BG322" s="69"/>
      <c r="BH322" s="84"/>
      <c r="BI322" s="70"/>
      <c r="BJ322" s="73"/>
      <c r="BK322" s="78"/>
      <c r="BL322" s="78">
        <f t="shared" ca="1" si="3"/>
        <v>0</v>
      </c>
      <c r="BM322" s="78"/>
      <c r="BN322" s="78">
        <f t="shared" ca="1" si="4"/>
        <v>0</v>
      </c>
      <c r="BO322" s="66"/>
      <c r="BP322" s="66"/>
    </row>
    <row r="323" spans="1:68" ht="13.2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>
        <f t="shared" ref="AP323:AQ323" si="316">AR323+AT323+AV323</f>
        <v>0</v>
      </c>
      <c r="AQ323" s="75">
        <f t="shared" si="316"/>
        <v>0</v>
      </c>
      <c r="AR323" s="75"/>
      <c r="AS323" s="75"/>
      <c r="AT323" s="75"/>
      <c r="AU323" s="75"/>
      <c r="AV323" s="75"/>
      <c r="AW323" s="75"/>
      <c r="AX323" s="75"/>
      <c r="AY323" s="77">
        <f t="shared" ca="1" si="1"/>
        <v>0</v>
      </c>
      <c r="AZ323" s="75"/>
      <c r="BA323" s="77">
        <f t="shared" ca="1" si="2"/>
        <v>0</v>
      </c>
      <c r="BB323" s="66"/>
      <c r="BC323" s="4"/>
      <c r="BD323" s="67"/>
      <c r="BE323" s="67"/>
      <c r="BF323" s="68"/>
      <c r="BG323" s="69"/>
      <c r="BH323" s="84"/>
      <c r="BI323" s="70"/>
      <c r="BJ323" s="73"/>
      <c r="BK323" s="78"/>
      <c r="BL323" s="78">
        <f t="shared" ca="1" si="3"/>
        <v>0</v>
      </c>
      <c r="BM323" s="78"/>
      <c r="BN323" s="78">
        <f t="shared" ca="1" si="4"/>
        <v>0</v>
      </c>
      <c r="BO323" s="66"/>
      <c r="BP323" s="66"/>
    </row>
    <row r="324" spans="1:68" ht="13.2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>
        <f t="shared" ref="AP324:AQ324" si="317">AR324+AT324+AV324</f>
        <v>0</v>
      </c>
      <c r="AQ324" s="75">
        <f t="shared" si="317"/>
        <v>0</v>
      </c>
      <c r="AR324" s="75"/>
      <c r="AS324" s="75"/>
      <c r="AT324" s="75"/>
      <c r="AU324" s="75"/>
      <c r="AV324" s="75"/>
      <c r="AW324" s="75"/>
      <c r="AX324" s="75"/>
      <c r="AY324" s="77">
        <f t="shared" ca="1" si="1"/>
        <v>0</v>
      </c>
      <c r="AZ324" s="75"/>
      <c r="BA324" s="77">
        <f t="shared" ca="1" si="2"/>
        <v>0</v>
      </c>
      <c r="BB324" s="66"/>
      <c r="BC324" s="4"/>
      <c r="BD324" s="67"/>
      <c r="BE324" s="67"/>
      <c r="BF324" s="68"/>
      <c r="BG324" s="69"/>
      <c r="BH324" s="84"/>
      <c r="BI324" s="70"/>
      <c r="BJ324" s="73"/>
      <c r="BK324" s="78"/>
      <c r="BL324" s="78">
        <f t="shared" ca="1" si="3"/>
        <v>0</v>
      </c>
      <c r="BM324" s="78"/>
      <c r="BN324" s="78">
        <f t="shared" ca="1" si="4"/>
        <v>0</v>
      </c>
      <c r="BO324" s="66"/>
      <c r="BP324" s="66"/>
    </row>
    <row r="325" spans="1:68" ht="13.2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>
        <f t="shared" ref="AP325:AQ325" si="318">AR325+AT325+AV325</f>
        <v>0</v>
      </c>
      <c r="AQ325" s="75">
        <f t="shared" si="318"/>
        <v>0</v>
      </c>
      <c r="AR325" s="75"/>
      <c r="AS325" s="75"/>
      <c r="AT325" s="75"/>
      <c r="AU325" s="75"/>
      <c r="AV325" s="75"/>
      <c r="AW325" s="75"/>
      <c r="AX325" s="75"/>
      <c r="AY325" s="77">
        <f t="shared" ca="1" si="1"/>
        <v>0</v>
      </c>
      <c r="AZ325" s="75"/>
      <c r="BA325" s="77">
        <f t="shared" ca="1" si="2"/>
        <v>0</v>
      </c>
      <c r="BB325" s="66"/>
      <c r="BC325" s="4"/>
      <c r="BD325" s="67"/>
      <c r="BE325" s="67"/>
      <c r="BF325" s="68"/>
      <c r="BG325" s="69"/>
      <c r="BH325" s="74"/>
      <c r="BI325" s="68"/>
      <c r="BJ325" s="73"/>
      <c r="BK325" s="78"/>
      <c r="BL325" s="78">
        <f t="shared" ca="1" si="3"/>
        <v>0</v>
      </c>
      <c r="BM325" s="78"/>
      <c r="BN325" s="78">
        <f t="shared" ca="1" si="4"/>
        <v>0</v>
      </c>
      <c r="BO325" s="66"/>
      <c r="BP325" s="66"/>
    </row>
    <row r="326" spans="1:68" ht="13.2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>
        <f t="shared" ref="AP326:AQ326" si="319">AR326+AT326+AV326</f>
        <v>0</v>
      </c>
      <c r="AQ326" s="75">
        <f t="shared" si="319"/>
        <v>0</v>
      </c>
      <c r="AR326" s="75"/>
      <c r="AS326" s="75"/>
      <c r="AT326" s="75"/>
      <c r="AU326" s="75"/>
      <c r="AV326" s="75"/>
      <c r="AW326" s="75"/>
      <c r="AX326" s="75"/>
      <c r="AY326" s="77">
        <f t="shared" ca="1" si="1"/>
        <v>0</v>
      </c>
      <c r="AZ326" s="75"/>
      <c r="BA326" s="77">
        <f t="shared" ca="1" si="2"/>
        <v>0</v>
      </c>
      <c r="BB326" s="66"/>
      <c r="BC326" s="4"/>
      <c r="BD326" s="67"/>
      <c r="BE326" s="67"/>
      <c r="BF326" s="68"/>
      <c r="BG326" s="69"/>
      <c r="BH326" s="74"/>
      <c r="BI326" s="68"/>
      <c r="BJ326" s="73"/>
      <c r="BK326" s="78"/>
      <c r="BL326" s="78">
        <f t="shared" ca="1" si="3"/>
        <v>0</v>
      </c>
      <c r="BM326" s="78"/>
      <c r="BN326" s="78">
        <f t="shared" ca="1" si="4"/>
        <v>0</v>
      </c>
      <c r="BO326" s="66"/>
      <c r="BP326" s="66"/>
    </row>
    <row r="327" spans="1:68" ht="13.2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>
        <f t="shared" ref="AP327:AQ327" si="320">AR327+AT327+AV327</f>
        <v>0</v>
      </c>
      <c r="AQ327" s="75">
        <f t="shared" si="320"/>
        <v>0</v>
      </c>
      <c r="AR327" s="75"/>
      <c r="AS327" s="75"/>
      <c r="AT327" s="75"/>
      <c r="AU327" s="75"/>
      <c r="AV327" s="75"/>
      <c r="AW327" s="75"/>
      <c r="AX327" s="75"/>
      <c r="AY327" s="77">
        <f t="shared" ca="1" si="1"/>
        <v>0</v>
      </c>
      <c r="AZ327" s="75"/>
      <c r="BA327" s="77">
        <f t="shared" ca="1" si="2"/>
        <v>0</v>
      </c>
      <c r="BB327" s="66"/>
      <c r="BC327" s="4"/>
      <c r="BD327" s="67"/>
      <c r="BE327" s="67"/>
      <c r="BF327" s="68"/>
      <c r="BG327" s="69"/>
      <c r="BH327" s="74"/>
      <c r="BI327" s="68"/>
      <c r="BJ327" s="73"/>
      <c r="BK327" s="78"/>
      <c r="BL327" s="78">
        <f t="shared" ca="1" si="3"/>
        <v>0</v>
      </c>
      <c r="BM327" s="78"/>
      <c r="BN327" s="78">
        <f t="shared" ca="1" si="4"/>
        <v>0</v>
      </c>
      <c r="BO327" s="66"/>
      <c r="BP327" s="66"/>
    </row>
    <row r="328" spans="1:68" ht="13.2">
      <c r="A328" s="66"/>
      <c r="B328" s="67"/>
      <c r="C328" s="67"/>
      <c r="D328" s="68"/>
      <c r="E328" s="87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>
        <f t="shared" ref="AP328:AQ328" si="321">AR328+AT328+AV328</f>
        <v>0</v>
      </c>
      <c r="AQ328" s="75">
        <f t="shared" si="321"/>
        <v>0</v>
      </c>
      <c r="AR328" s="75"/>
      <c r="AS328" s="75"/>
      <c r="AT328" s="75"/>
      <c r="AU328" s="75"/>
      <c r="AV328" s="75"/>
      <c r="AW328" s="75"/>
      <c r="AX328" s="75"/>
      <c r="AY328" s="77">
        <f t="shared" ca="1" si="1"/>
        <v>0</v>
      </c>
      <c r="AZ328" s="75"/>
      <c r="BA328" s="77">
        <f t="shared" ca="1" si="2"/>
        <v>0</v>
      </c>
      <c r="BB328" s="66"/>
      <c r="BC328" s="4"/>
      <c r="BD328" s="67"/>
      <c r="BE328" s="67"/>
      <c r="BF328" s="68"/>
      <c r="BG328" s="69"/>
      <c r="BH328" s="74"/>
      <c r="BI328" s="68"/>
      <c r="BJ328" s="73"/>
      <c r="BK328" s="78"/>
      <c r="BL328" s="78">
        <f t="shared" ca="1" si="3"/>
        <v>0</v>
      </c>
      <c r="BM328" s="78"/>
      <c r="BN328" s="78">
        <f t="shared" ca="1" si="4"/>
        <v>0</v>
      </c>
      <c r="BO328" s="66"/>
      <c r="BP328" s="66"/>
    </row>
    <row r="329" spans="1:68" ht="13.2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>
        <f t="shared" ref="AP329:AQ329" si="322">AR329+AT329+AV329</f>
        <v>0</v>
      </c>
      <c r="AQ329" s="75">
        <f t="shared" si="322"/>
        <v>0</v>
      </c>
      <c r="AR329" s="75"/>
      <c r="AS329" s="75"/>
      <c r="AT329" s="75"/>
      <c r="AU329" s="75"/>
      <c r="AV329" s="75"/>
      <c r="AW329" s="75"/>
      <c r="AX329" s="75"/>
      <c r="AY329" s="77">
        <f t="shared" ca="1" si="1"/>
        <v>0</v>
      </c>
      <c r="AZ329" s="75"/>
      <c r="BA329" s="77">
        <f t="shared" ca="1" si="2"/>
        <v>0</v>
      </c>
      <c r="BB329" s="66"/>
      <c r="BC329" s="4"/>
      <c r="BD329" s="67"/>
      <c r="BE329" s="67"/>
      <c r="BF329" s="68"/>
      <c r="BG329" s="69"/>
      <c r="BH329" s="74"/>
      <c r="BI329" s="68"/>
      <c r="BJ329" s="73"/>
      <c r="BK329" s="78"/>
      <c r="BL329" s="78">
        <f t="shared" ca="1" si="3"/>
        <v>0</v>
      </c>
      <c r="BM329" s="78"/>
      <c r="BN329" s="78">
        <f t="shared" ca="1" si="4"/>
        <v>0</v>
      </c>
      <c r="BO329" s="66"/>
      <c r="BP329" s="66"/>
    </row>
    <row r="330" spans="1:68" ht="13.2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>
        <f t="shared" ref="AP330:AQ330" si="323">AR330+AT330+AV330</f>
        <v>0</v>
      </c>
      <c r="AQ330" s="75">
        <f t="shared" si="323"/>
        <v>0</v>
      </c>
      <c r="AR330" s="75"/>
      <c r="AS330" s="75"/>
      <c r="AT330" s="75"/>
      <c r="AU330" s="75"/>
      <c r="AV330" s="75"/>
      <c r="AW330" s="75"/>
      <c r="AX330" s="75"/>
      <c r="AY330" s="77">
        <f t="shared" ca="1" si="1"/>
        <v>0</v>
      </c>
      <c r="AZ330" s="75"/>
      <c r="BA330" s="77">
        <f t="shared" ca="1" si="2"/>
        <v>0</v>
      </c>
      <c r="BB330" s="66"/>
      <c r="BC330" s="4"/>
      <c r="BD330" s="67"/>
      <c r="BE330" s="67"/>
      <c r="BF330" s="68"/>
      <c r="BG330" s="69"/>
      <c r="BH330" s="74"/>
      <c r="BI330" s="68"/>
      <c r="BJ330" s="73"/>
      <c r="BK330" s="78"/>
      <c r="BL330" s="78">
        <f t="shared" ca="1" si="3"/>
        <v>0</v>
      </c>
      <c r="BM330" s="78"/>
      <c r="BN330" s="78">
        <f t="shared" ca="1" si="4"/>
        <v>0</v>
      </c>
      <c r="BO330" s="66"/>
      <c r="BP330" s="66"/>
    </row>
    <row r="331" spans="1:68" ht="13.2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>
        <f t="shared" ref="AP331:AQ331" si="324">AR331+AT331+AV331</f>
        <v>0</v>
      </c>
      <c r="AQ331" s="75">
        <f t="shared" si="324"/>
        <v>0</v>
      </c>
      <c r="AR331" s="75"/>
      <c r="AS331" s="75"/>
      <c r="AT331" s="75"/>
      <c r="AU331" s="75"/>
      <c r="AV331" s="75"/>
      <c r="AW331" s="75"/>
      <c r="AX331" s="75"/>
      <c r="AY331" s="77">
        <f t="shared" ca="1" si="1"/>
        <v>0</v>
      </c>
      <c r="AZ331" s="75"/>
      <c r="BA331" s="77">
        <f t="shared" ca="1" si="2"/>
        <v>0</v>
      </c>
      <c r="BB331" s="66"/>
      <c r="BC331" s="4"/>
      <c r="BD331" s="67"/>
      <c r="BE331" s="67"/>
      <c r="BF331" s="68"/>
      <c r="BG331" s="69"/>
      <c r="BH331" s="74"/>
      <c r="BI331" s="68"/>
      <c r="BJ331" s="73"/>
      <c r="BK331" s="78"/>
      <c r="BL331" s="78">
        <f t="shared" ca="1" si="3"/>
        <v>0</v>
      </c>
      <c r="BM331" s="78"/>
      <c r="BN331" s="78">
        <f t="shared" ca="1" si="4"/>
        <v>0</v>
      </c>
      <c r="BO331" s="66"/>
      <c r="BP331" s="66"/>
    </row>
    <row r="332" spans="1:68" ht="13.2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>
        <f t="shared" ref="AP332:AQ332" si="325">AR332+AT332+AV332</f>
        <v>0</v>
      </c>
      <c r="AQ332" s="75">
        <f t="shared" si="325"/>
        <v>0</v>
      </c>
      <c r="AR332" s="75"/>
      <c r="AS332" s="75"/>
      <c r="AT332" s="75"/>
      <c r="AU332" s="75"/>
      <c r="AV332" s="75"/>
      <c r="AW332" s="75"/>
      <c r="AX332" s="75"/>
      <c r="AY332" s="77">
        <f t="shared" ca="1" si="1"/>
        <v>0</v>
      </c>
      <c r="AZ332" s="75"/>
      <c r="BA332" s="77">
        <f t="shared" ca="1" si="2"/>
        <v>0</v>
      </c>
      <c r="BB332" s="66"/>
      <c r="BC332" s="4"/>
      <c r="BD332" s="67"/>
      <c r="BE332" s="67"/>
      <c r="BF332" s="68"/>
      <c r="BG332" s="69"/>
      <c r="BH332" s="84"/>
      <c r="BI332" s="70"/>
      <c r="BJ332" s="73"/>
      <c r="BK332" s="78"/>
      <c r="BL332" s="78">
        <f t="shared" ca="1" si="3"/>
        <v>0</v>
      </c>
      <c r="BM332" s="78"/>
      <c r="BN332" s="78">
        <f t="shared" ca="1" si="4"/>
        <v>0</v>
      </c>
      <c r="BO332" s="66"/>
      <c r="BP332" s="66"/>
    </row>
    <row r="333" spans="1:68" ht="13.2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>
        <f t="shared" ref="AP333:AQ333" si="326">AR333+AT333+AV333</f>
        <v>0</v>
      </c>
      <c r="AQ333" s="75">
        <f t="shared" si="326"/>
        <v>0</v>
      </c>
      <c r="AR333" s="75"/>
      <c r="AS333" s="75"/>
      <c r="AT333" s="75"/>
      <c r="AU333" s="75"/>
      <c r="AV333" s="75"/>
      <c r="AW333" s="75"/>
      <c r="AX333" s="75"/>
      <c r="AY333" s="77">
        <f t="shared" ca="1" si="1"/>
        <v>0</v>
      </c>
      <c r="AZ333" s="75"/>
      <c r="BA333" s="77">
        <f t="shared" ca="1" si="2"/>
        <v>0</v>
      </c>
      <c r="BB333" s="66"/>
      <c r="BC333" s="4"/>
      <c r="BD333" s="67"/>
      <c r="BE333" s="67"/>
      <c r="BF333" s="68"/>
      <c r="BG333" s="69"/>
      <c r="BH333" s="84"/>
      <c r="BI333" s="70"/>
      <c r="BJ333" s="73"/>
      <c r="BK333" s="78"/>
      <c r="BL333" s="78">
        <f t="shared" ca="1" si="3"/>
        <v>0</v>
      </c>
      <c r="BM333" s="78"/>
      <c r="BN333" s="78">
        <f t="shared" ca="1" si="4"/>
        <v>0</v>
      </c>
      <c r="BO333" s="66"/>
      <c r="BP333" s="66"/>
    </row>
    <row r="334" spans="1:68" ht="13.2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>
        <f t="shared" ref="AP334:AQ334" si="327">AR334+AT334+AV334</f>
        <v>0</v>
      </c>
      <c r="AQ334" s="75">
        <f t="shared" si="327"/>
        <v>0</v>
      </c>
      <c r="AR334" s="75"/>
      <c r="AS334" s="75"/>
      <c r="AT334" s="75"/>
      <c r="AU334" s="75"/>
      <c r="AV334" s="75"/>
      <c r="AW334" s="75"/>
      <c r="AX334" s="75"/>
      <c r="AY334" s="77">
        <f t="shared" ca="1" si="1"/>
        <v>0</v>
      </c>
      <c r="AZ334" s="75"/>
      <c r="BA334" s="77">
        <f t="shared" ca="1" si="2"/>
        <v>0</v>
      </c>
      <c r="BB334" s="66"/>
      <c r="BC334" s="4"/>
      <c r="BD334" s="67"/>
      <c r="BE334" s="67"/>
      <c r="BF334" s="68"/>
      <c r="BG334" s="69"/>
      <c r="BH334" s="84"/>
      <c r="BI334" s="70"/>
      <c r="BJ334" s="73"/>
      <c r="BK334" s="78"/>
      <c r="BL334" s="78">
        <f t="shared" ca="1" si="3"/>
        <v>0</v>
      </c>
      <c r="BM334" s="78"/>
      <c r="BN334" s="78">
        <f t="shared" ca="1" si="4"/>
        <v>0</v>
      </c>
      <c r="BO334" s="66"/>
      <c r="BP334" s="66"/>
    </row>
    <row r="335" spans="1:68" ht="13.2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>
        <f t="shared" ref="AP335:AQ335" si="328">AR335+AT335+AV335</f>
        <v>0</v>
      </c>
      <c r="AQ335" s="75">
        <f t="shared" si="328"/>
        <v>0</v>
      </c>
      <c r="AR335" s="75"/>
      <c r="AS335" s="75"/>
      <c r="AT335" s="75"/>
      <c r="AU335" s="75"/>
      <c r="AV335" s="75"/>
      <c r="AW335" s="75"/>
      <c r="AX335" s="75"/>
      <c r="AY335" s="77">
        <f t="shared" ca="1" si="1"/>
        <v>0</v>
      </c>
      <c r="AZ335" s="75"/>
      <c r="BA335" s="77">
        <f t="shared" ca="1" si="2"/>
        <v>0</v>
      </c>
      <c r="BB335" s="66"/>
      <c r="BC335" s="4"/>
      <c r="BD335" s="67"/>
      <c r="BE335" s="67"/>
      <c r="BF335" s="68"/>
      <c r="BG335" s="69"/>
      <c r="BH335" s="84"/>
      <c r="BI335" s="70"/>
      <c r="BJ335" s="73"/>
      <c r="BK335" s="78"/>
      <c r="BL335" s="78">
        <f t="shared" ca="1" si="3"/>
        <v>0</v>
      </c>
      <c r="BM335" s="78"/>
      <c r="BN335" s="78">
        <f t="shared" ca="1" si="4"/>
        <v>0</v>
      </c>
      <c r="BO335" s="66"/>
      <c r="BP335" s="66"/>
    </row>
    <row r="336" spans="1:68" ht="13.2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>
        <f t="shared" ref="AP336:AQ336" si="329">AR336+AT336+AV336</f>
        <v>0</v>
      </c>
      <c r="AQ336" s="75">
        <f t="shared" si="329"/>
        <v>0</v>
      </c>
      <c r="AR336" s="75"/>
      <c r="AS336" s="75"/>
      <c r="AT336" s="75"/>
      <c r="AU336" s="75"/>
      <c r="AV336" s="75"/>
      <c r="AW336" s="75"/>
      <c r="AX336" s="75"/>
      <c r="AY336" s="77">
        <f t="shared" ca="1" si="1"/>
        <v>0</v>
      </c>
      <c r="AZ336" s="75"/>
      <c r="BA336" s="77">
        <f t="shared" ca="1" si="2"/>
        <v>0</v>
      </c>
      <c r="BB336" s="66"/>
      <c r="BC336" s="4"/>
      <c r="BD336" s="67"/>
      <c r="BE336" s="67"/>
      <c r="BF336" s="68"/>
      <c r="BG336" s="69"/>
      <c r="BH336" s="84"/>
      <c r="BI336" s="70"/>
      <c r="BJ336" s="73"/>
      <c r="BK336" s="78"/>
      <c r="BL336" s="78">
        <f t="shared" ca="1" si="3"/>
        <v>0</v>
      </c>
      <c r="BM336" s="78"/>
      <c r="BN336" s="78">
        <f t="shared" ca="1" si="4"/>
        <v>0</v>
      </c>
      <c r="BO336" s="66"/>
      <c r="BP336" s="66"/>
    </row>
    <row r="337" spans="1:68" ht="13.2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>
        <f t="shared" ref="AP337:AQ337" si="330">AR337+AT337+AV337</f>
        <v>0</v>
      </c>
      <c r="AQ337" s="75">
        <f t="shared" si="330"/>
        <v>0</v>
      </c>
      <c r="AR337" s="75"/>
      <c r="AS337" s="75"/>
      <c r="AT337" s="75"/>
      <c r="AU337" s="75"/>
      <c r="AV337" s="75"/>
      <c r="AW337" s="75"/>
      <c r="AX337" s="75"/>
      <c r="AY337" s="77">
        <f t="shared" ca="1" si="1"/>
        <v>0</v>
      </c>
      <c r="AZ337" s="75"/>
      <c r="BA337" s="77">
        <f t="shared" ca="1" si="2"/>
        <v>0</v>
      </c>
      <c r="BB337" s="66"/>
      <c r="BC337" s="4"/>
      <c r="BD337" s="67"/>
      <c r="BE337" s="67"/>
      <c r="BF337" s="68"/>
      <c r="BG337" s="69"/>
      <c r="BH337" s="84"/>
      <c r="BI337" s="70"/>
      <c r="BJ337" s="73"/>
      <c r="BK337" s="78"/>
      <c r="BL337" s="78">
        <f t="shared" ca="1" si="3"/>
        <v>0</v>
      </c>
      <c r="BM337" s="78"/>
      <c r="BN337" s="78">
        <f t="shared" ca="1" si="4"/>
        <v>0</v>
      </c>
      <c r="BO337" s="66"/>
      <c r="BP337" s="66"/>
    </row>
    <row r="338" spans="1:68" ht="13.2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>
        <f t="shared" ref="AP338:AQ338" si="331">AR338+AT338+AV338</f>
        <v>0</v>
      </c>
      <c r="AQ338" s="75">
        <f t="shared" si="331"/>
        <v>0</v>
      </c>
      <c r="AR338" s="75"/>
      <c r="AS338" s="75"/>
      <c r="AT338" s="75"/>
      <c r="AU338" s="75"/>
      <c r="AV338" s="75"/>
      <c r="AW338" s="75"/>
      <c r="AX338" s="75"/>
      <c r="AY338" s="77">
        <f t="shared" ca="1" si="1"/>
        <v>0</v>
      </c>
      <c r="AZ338" s="75"/>
      <c r="BA338" s="77">
        <f t="shared" ca="1" si="2"/>
        <v>0</v>
      </c>
      <c r="BB338" s="66"/>
      <c r="BC338" s="4"/>
      <c r="BD338" s="67"/>
      <c r="BE338" s="67"/>
      <c r="BF338" s="68"/>
      <c r="BG338" s="69"/>
      <c r="BH338" s="84"/>
      <c r="BI338" s="70"/>
      <c r="BJ338" s="73"/>
      <c r="BK338" s="78"/>
      <c r="BL338" s="78">
        <f t="shared" ca="1" si="3"/>
        <v>0</v>
      </c>
      <c r="BM338" s="78"/>
      <c r="BN338" s="78">
        <f t="shared" ca="1" si="4"/>
        <v>0</v>
      </c>
      <c r="BO338" s="66"/>
      <c r="BP338" s="66"/>
    </row>
    <row r="339" spans="1:68" ht="13.2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>
        <f t="shared" ref="AP339:AQ339" si="332">AR339+AT339+AV339</f>
        <v>0</v>
      </c>
      <c r="AQ339" s="75">
        <f t="shared" si="332"/>
        <v>0</v>
      </c>
      <c r="AR339" s="75"/>
      <c r="AS339" s="75"/>
      <c r="AT339" s="75"/>
      <c r="AU339" s="75"/>
      <c r="AV339" s="75"/>
      <c r="AW339" s="75"/>
      <c r="AX339" s="75"/>
      <c r="AY339" s="77">
        <f t="shared" ca="1" si="1"/>
        <v>0</v>
      </c>
      <c r="AZ339" s="75"/>
      <c r="BA339" s="77">
        <f t="shared" ca="1" si="2"/>
        <v>0</v>
      </c>
      <c r="BB339" s="66"/>
      <c r="BC339" s="4"/>
      <c r="BD339" s="67"/>
      <c r="BE339" s="67"/>
      <c r="BF339" s="68"/>
      <c r="BG339" s="69"/>
      <c r="BH339" s="84"/>
      <c r="BI339" s="70"/>
      <c r="BJ339" s="73"/>
      <c r="BK339" s="78"/>
      <c r="BL339" s="78">
        <f t="shared" ca="1" si="3"/>
        <v>0</v>
      </c>
      <c r="BM339" s="78"/>
      <c r="BN339" s="78">
        <f t="shared" ca="1" si="4"/>
        <v>0</v>
      </c>
      <c r="BO339" s="66"/>
      <c r="BP339" s="66"/>
    </row>
    <row r="340" spans="1:68" ht="13.2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>
        <f t="shared" ref="AP340:AQ340" si="333">AR340+AT340+AV340</f>
        <v>0</v>
      </c>
      <c r="AQ340" s="75">
        <f t="shared" si="333"/>
        <v>0</v>
      </c>
      <c r="AR340" s="75"/>
      <c r="AS340" s="75"/>
      <c r="AT340" s="75"/>
      <c r="AU340" s="75"/>
      <c r="AV340" s="75"/>
      <c r="AW340" s="75"/>
      <c r="AX340" s="75"/>
      <c r="AY340" s="77">
        <f t="shared" ca="1" si="1"/>
        <v>0</v>
      </c>
      <c r="AZ340" s="75"/>
      <c r="BA340" s="77">
        <f t="shared" ca="1" si="2"/>
        <v>0</v>
      </c>
      <c r="BB340" s="66"/>
      <c r="BC340" s="4"/>
      <c r="BD340" s="67"/>
      <c r="BE340" s="67"/>
      <c r="BF340" s="68"/>
      <c r="BG340" s="69"/>
      <c r="BH340" s="84"/>
      <c r="BI340" s="70"/>
      <c r="BJ340" s="73"/>
      <c r="BK340" s="78"/>
      <c r="BL340" s="78">
        <f t="shared" ca="1" si="3"/>
        <v>0</v>
      </c>
      <c r="BM340" s="78"/>
      <c r="BN340" s="78">
        <f t="shared" ca="1" si="4"/>
        <v>0</v>
      </c>
      <c r="BO340" s="66"/>
      <c r="BP340" s="66"/>
    </row>
    <row r="341" spans="1:68" ht="13.2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>
        <f t="shared" ref="AP341:AQ341" si="334">AR341+AT341+AV341</f>
        <v>0</v>
      </c>
      <c r="AQ341" s="75">
        <f t="shared" si="334"/>
        <v>0</v>
      </c>
      <c r="AR341" s="75"/>
      <c r="AS341" s="75"/>
      <c r="AT341" s="75"/>
      <c r="AU341" s="75"/>
      <c r="AV341" s="75"/>
      <c r="AW341" s="75"/>
      <c r="AX341" s="75"/>
      <c r="AY341" s="77">
        <f t="shared" ca="1" si="1"/>
        <v>0</v>
      </c>
      <c r="AZ341" s="75"/>
      <c r="BA341" s="77">
        <f t="shared" ca="1" si="2"/>
        <v>0</v>
      </c>
      <c r="BB341" s="66"/>
      <c r="BC341" s="4"/>
      <c r="BD341" s="67"/>
      <c r="BE341" s="67"/>
      <c r="BF341" s="68"/>
      <c r="BG341" s="69"/>
      <c r="BH341" s="84"/>
      <c r="BI341" s="70"/>
      <c r="BJ341" s="73"/>
      <c r="BK341" s="78"/>
      <c r="BL341" s="78">
        <f t="shared" ca="1" si="3"/>
        <v>0</v>
      </c>
      <c r="BM341" s="78"/>
      <c r="BN341" s="78">
        <f t="shared" ca="1" si="4"/>
        <v>0</v>
      </c>
      <c r="BO341" s="66"/>
      <c r="BP341" s="66"/>
    </row>
    <row r="342" spans="1:68" ht="13.2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>
        <f t="shared" ref="AP342:AQ342" si="335">AR342+AT342+AV342</f>
        <v>0</v>
      </c>
      <c r="AQ342" s="75">
        <f t="shared" si="335"/>
        <v>0</v>
      </c>
      <c r="AR342" s="75"/>
      <c r="AS342" s="75"/>
      <c r="AT342" s="75"/>
      <c r="AU342" s="75"/>
      <c r="AV342" s="75"/>
      <c r="AW342" s="75"/>
      <c r="AX342" s="75"/>
      <c r="AY342" s="77">
        <f t="shared" ca="1" si="1"/>
        <v>0</v>
      </c>
      <c r="AZ342" s="75"/>
      <c r="BA342" s="77">
        <f t="shared" ca="1" si="2"/>
        <v>0</v>
      </c>
      <c r="BB342" s="66"/>
      <c r="BC342" s="4"/>
      <c r="BD342" s="67"/>
      <c r="BE342" s="67"/>
      <c r="BF342" s="68"/>
      <c r="BG342" s="69"/>
      <c r="BH342" s="84"/>
      <c r="BI342" s="70"/>
      <c r="BJ342" s="73"/>
      <c r="BK342" s="78"/>
      <c r="BL342" s="78">
        <f t="shared" ca="1" si="3"/>
        <v>0</v>
      </c>
      <c r="BM342" s="78"/>
      <c r="BN342" s="78">
        <f t="shared" ca="1" si="4"/>
        <v>0</v>
      </c>
      <c r="BO342" s="66"/>
      <c r="BP342" s="66"/>
    </row>
    <row r="343" spans="1:68" ht="13.2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>
        <f t="shared" ref="AP343:AQ343" si="336">AR343+AT343+AV343</f>
        <v>0</v>
      </c>
      <c r="AQ343" s="75">
        <f t="shared" si="336"/>
        <v>0</v>
      </c>
      <c r="AR343" s="75"/>
      <c r="AS343" s="75"/>
      <c r="AT343" s="75"/>
      <c r="AU343" s="75"/>
      <c r="AV343" s="75"/>
      <c r="AW343" s="75"/>
      <c r="AX343" s="75"/>
      <c r="AY343" s="77">
        <f t="shared" ca="1" si="1"/>
        <v>0</v>
      </c>
      <c r="AZ343" s="75"/>
      <c r="BA343" s="77">
        <f t="shared" ca="1" si="2"/>
        <v>0</v>
      </c>
      <c r="BB343" s="66"/>
      <c r="BC343" s="4"/>
      <c r="BD343" s="67"/>
      <c r="BE343" s="67"/>
      <c r="BF343" s="68"/>
      <c r="BG343" s="69"/>
      <c r="BH343" s="84"/>
      <c r="BI343" s="70"/>
      <c r="BJ343" s="73"/>
      <c r="BK343" s="78"/>
      <c r="BL343" s="78">
        <f t="shared" ca="1" si="3"/>
        <v>0</v>
      </c>
      <c r="BM343" s="78"/>
      <c r="BN343" s="78">
        <f t="shared" ca="1" si="4"/>
        <v>0</v>
      </c>
      <c r="BO343" s="66"/>
      <c r="BP343" s="66"/>
    </row>
    <row r="344" spans="1:68" ht="13.2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>
        <f t="shared" ref="AP344:AQ344" si="337">AR344+AT344+AV344</f>
        <v>0</v>
      </c>
      <c r="AQ344" s="75">
        <f t="shared" si="337"/>
        <v>0</v>
      </c>
      <c r="AR344" s="75"/>
      <c r="AS344" s="75"/>
      <c r="AT344" s="75"/>
      <c r="AU344" s="75"/>
      <c r="AV344" s="75"/>
      <c r="AW344" s="75"/>
      <c r="AX344" s="75"/>
      <c r="AY344" s="77">
        <f t="shared" ca="1" si="1"/>
        <v>0</v>
      </c>
      <c r="AZ344" s="75"/>
      <c r="BA344" s="77">
        <f t="shared" ca="1" si="2"/>
        <v>0</v>
      </c>
      <c r="BB344" s="66"/>
      <c r="BC344" s="4"/>
      <c r="BD344" s="67"/>
      <c r="BE344" s="67"/>
      <c r="BF344" s="68"/>
      <c r="BG344" s="69"/>
      <c r="BH344" s="84"/>
      <c r="BI344" s="70"/>
      <c r="BJ344" s="73"/>
      <c r="BK344" s="78"/>
      <c r="BL344" s="78">
        <f t="shared" ca="1" si="3"/>
        <v>0</v>
      </c>
      <c r="BM344" s="78"/>
      <c r="BN344" s="78">
        <f t="shared" ca="1" si="4"/>
        <v>0</v>
      </c>
      <c r="BO344" s="66"/>
      <c r="BP344" s="66"/>
    </row>
    <row r="345" spans="1:68" ht="13.2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>
        <f t="shared" ref="AP345:AQ345" si="338">AR345+AT345+AV345</f>
        <v>0</v>
      </c>
      <c r="AQ345" s="75">
        <f t="shared" si="338"/>
        <v>0</v>
      </c>
      <c r="AR345" s="75"/>
      <c r="AS345" s="75"/>
      <c r="AT345" s="75"/>
      <c r="AU345" s="75"/>
      <c r="AV345" s="75"/>
      <c r="AW345" s="75"/>
      <c r="AX345" s="75"/>
      <c r="AY345" s="77">
        <f t="shared" ca="1" si="1"/>
        <v>0</v>
      </c>
      <c r="AZ345" s="75"/>
      <c r="BA345" s="77">
        <f t="shared" ca="1" si="2"/>
        <v>0</v>
      </c>
      <c r="BB345" s="66"/>
      <c r="BC345" s="4"/>
      <c r="BD345" s="67"/>
      <c r="BE345" s="67"/>
      <c r="BF345" s="68"/>
      <c r="BG345" s="69"/>
      <c r="BH345" s="74"/>
      <c r="BI345" s="68"/>
      <c r="BJ345" s="73"/>
      <c r="BK345" s="78"/>
      <c r="BL345" s="78">
        <f t="shared" ca="1" si="3"/>
        <v>0</v>
      </c>
      <c r="BM345" s="78"/>
      <c r="BN345" s="78">
        <f t="shared" ca="1" si="4"/>
        <v>0</v>
      </c>
      <c r="BO345" s="66"/>
      <c r="BP345" s="66"/>
    </row>
    <row r="346" spans="1:68" ht="13.2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>
        <f t="shared" ref="AP346:AQ346" si="339">AR346+AT346+AV346</f>
        <v>0</v>
      </c>
      <c r="AQ346" s="75">
        <f t="shared" si="339"/>
        <v>0</v>
      </c>
      <c r="AR346" s="75"/>
      <c r="AS346" s="75"/>
      <c r="AT346" s="75"/>
      <c r="AU346" s="75"/>
      <c r="AV346" s="75"/>
      <c r="AW346" s="75"/>
      <c r="AX346" s="75"/>
      <c r="AY346" s="77">
        <f t="shared" ca="1" si="1"/>
        <v>0</v>
      </c>
      <c r="AZ346" s="75"/>
      <c r="BA346" s="77">
        <f t="shared" ca="1" si="2"/>
        <v>0</v>
      </c>
      <c r="BB346" s="66"/>
      <c r="BC346" s="4"/>
      <c r="BD346" s="67"/>
      <c r="BE346" s="67"/>
      <c r="BF346" s="68"/>
      <c r="BG346" s="69"/>
      <c r="BH346" s="74"/>
      <c r="BI346" s="68"/>
      <c r="BJ346" s="73"/>
      <c r="BK346" s="78"/>
      <c r="BL346" s="78">
        <f t="shared" ca="1" si="3"/>
        <v>0</v>
      </c>
      <c r="BM346" s="78"/>
      <c r="BN346" s="78">
        <f t="shared" ca="1" si="4"/>
        <v>0</v>
      </c>
      <c r="BO346" s="66"/>
      <c r="BP346" s="66"/>
    </row>
    <row r="347" spans="1:68" ht="13.2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>
        <f t="shared" ref="AP347:AQ347" si="340">AR347+AT347+AV347</f>
        <v>0</v>
      </c>
      <c r="AQ347" s="75">
        <f t="shared" si="340"/>
        <v>0</v>
      </c>
      <c r="AR347" s="75"/>
      <c r="AS347" s="75"/>
      <c r="AT347" s="75"/>
      <c r="AU347" s="75"/>
      <c r="AV347" s="75"/>
      <c r="AW347" s="75"/>
      <c r="AX347" s="75"/>
      <c r="AY347" s="77">
        <f t="shared" ca="1" si="1"/>
        <v>0</v>
      </c>
      <c r="AZ347" s="75"/>
      <c r="BA347" s="77">
        <f t="shared" ca="1" si="2"/>
        <v>0</v>
      </c>
      <c r="BB347" s="66"/>
      <c r="BC347" s="4"/>
      <c r="BD347" s="67"/>
      <c r="BE347" s="67"/>
      <c r="BF347" s="68"/>
      <c r="BG347" s="69"/>
      <c r="BH347" s="84"/>
      <c r="BI347" s="70"/>
      <c r="BJ347" s="73"/>
      <c r="BK347" s="78"/>
      <c r="BL347" s="78">
        <f t="shared" ca="1" si="3"/>
        <v>0</v>
      </c>
      <c r="BM347" s="78"/>
      <c r="BN347" s="78">
        <f t="shared" ca="1" si="4"/>
        <v>0</v>
      </c>
      <c r="BO347" s="66"/>
      <c r="BP347" s="66"/>
    </row>
    <row r="348" spans="1:68" ht="13.2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>
        <f t="shared" ref="AP348:AQ348" si="341">AR348+AT348+AV348</f>
        <v>0</v>
      </c>
      <c r="AQ348" s="75">
        <f t="shared" si="341"/>
        <v>0</v>
      </c>
      <c r="AR348" s="75"/>
      <c r="AS348" s="75"/>
      <c r="AT348" s="75"/>
      <c r="AU348" s="75"/>
      <c r="AV348" s="75"/>
      <c r="AW348" s="75"/>
      <c r="AX348" s="75"/>
      <c r="AY348" s="77">
        <f t="shared" ca="1" si="1"/>
        <v>0</v>
      </c>
      <c r="AZ348" s="75"/>
      <c r="BA348" s="77">
        <f t="shared" ca="1" si="2"/>
        <v>0</v>
      </c>
      <c r="BB348" s="66"/>
      <c r="BC348" s="4"/>
      <c r="BD348" s="67"/>
      <c r="BE348" s="67"/>
      <c r="BF348" s="68"/>
      <c r="BG348" s="69"/>
      <c r="BH348" s="84"/>
      <c r="BI348" s="70"/>
      <c r="BJ348" s="73"/>
      <c r="BK348" s="78"/>
      <c r="BL348" s="78">
        <f t="shared" ca="1" si="3"/>
        <v>0</v>
      </c>
      <c r="BM348" s="78"/>
      <c r="BN348" s="78">
        <f t="shared" ca="1" si="4"/>
        <v>0</v>
      </c>
      <c r="BO348" s="66"/>
      <c r="BP348" s="66"/>
    </row>
    <row r="349" spans="1:68" ht="13.2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>
        <f t="shared" ref="AP349:AQ349" si="342">AR349+AT349+AV349</f>
        <v>0</v>
      </c>
      <c r="AQ349" s="75">
        <f t="shared" si="342"/>
        <v>0</v>
      </c>
      <c r="AR349" s="75"/>
      <c r="AS349" s="75"/>
      <c r="AT349" s="75"/>
      <c r="AU349" s="75"/>
      <c r="AV349" s="75"/>
      <c r="AW349" s="75"/>
      <c r="AX349" s="75"/>
      <c r="AY349" s="77">
        <f t="shared" ca="1" si="1"/>
        <v>0</v>
      </c>
      <c r="AZ349" s="75"/>
      <c r="BA349" s="77">
        <f t="shared" ca="1" si="2"/>
        <v>0</v>
      </c>
      <c r="BB349" s="66"/>
      <c r="BC349" s="4"/>
      <c r="BD349" s="67"/>
      <c r="BE349" s="67"/>
      <c r="BF349" s="68"/>
      <c r="BG349" s="69"/>
      <c r="BH349" s="84"/>
      <c r="BI349" s="70"/>
      <c r="BJ349" s="73"/>
      <c r="BK349" s="78"/>
      <c r="BL349" s="78">
        <f t="shared" ca="1" si="3"/>
        <v>0</v>
      </c>
      <c r="BM349" s="78"/>
      <c r="BN349" s="78">
        <f t="shared" ca="1" si="4"/>
        <v>0</v>
      </c>
      <c r="BO349" s="66"/>
      <c r="BP349" s="66"/>
    </row>
    <row r="350" spans="1:68" ht="13.2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>
        <f t="shared" ref="AP350:AQ350" si="343">AR350+AT350+AV350</f>
        <v>0</v>
      </c>
      <c r="AQ350" s="75">
        <f t="shared" si="343"/>
        <v>0</v>
      </c>
      <c r="AR350" s="75"/>
      <c r="AS350" s="75"/>
      <c r="AT350" s="75"/>
      <c r="AU350" s="75"/>
      <c r="AV350" s="75"/>
      <c r="AW350" s="75"/>
      <c r="AX350" s="75"/>
      <c r="AY350" s="77">
        <f t="shared" ca="1" si="1"/>
        <v>0</v>
      </c>
      <c r="AZ350" s="75"/>
      <c r="BA350" s="77">
        <f t="shared" ca="1" si="2"/>
        <v>0</v>
      </c>
      <c r="BB350" s="66"/>
      <c r="BC350" s="4"/>
      <c r="BD350" s="67"/>
      <c r="BE350" s="67"/>
      <c r="BF350" s="68"/>
      <c r="BG350" s="69"/>
      <c r="BH350" s="84"/>
      <c r="BI350" s="70"/>
      <c r="BJ350" s="73"/>
      <c r="BK350" s="78"/>
      <c r="BL350" s="78">
        <f t="shared" ca="1" si="3"/>
        <v>0</v>
      </c>
      <c r="BM350" s="78"/>
      <c r="BN350" s="78">
        <f t="shared" ca="1" si="4"/>
        <v>0</v>
      </c>
      <c r="BO350" s="66"/>
      <c r="BP350" s="66"/>
    </row>
    <row r="351" spans="1:68" ht="13.2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>
        <f t="shared" ref="AP351:AQ351" si="344">AR351+AT351+AV351</f>
        <v>0</v>
      </c>
      <c r="AQ351" s="75">
        <f t="shared" si="344"/>
        <v>0</v>
      </c>
      <c r="AR351" s="75"/>
      <c r="AS351" s="75"/>
      <c r="AT351" s="75"/>
      <c r="AU351" s="75"/>
      <c r="AV351" s="75"/>
      <c r="AW351" s="75"/>
      <c r="AX351" s="75"/>
      <c r="AY351" s="77">
        <f t="shared" ca="1" si="1"/>
        <v>0</v>
      </c>
      <c r="AZ351" s="75"/>
      <c r="BA351" s="77">
        <f t="shared" ca="1" si="2"/>
        <v>0</v>
      </c>
      <c r="BB351" s="66"/>
      <c r="BC351" s="4"/>
      <c r="BD351" s="67"/>
      <c r="BE351" s="67"/>
      <c r="BF351" s="68"/>
      <c r="BG351" s="69"/>
      <c r="BH351" s="84"/>
      <c r="BI351" s="70"/>
      <c r="BJ351" s="73"/>
      <c r="BK351" s="78"/>
      <c r="BL351" s="78">
        <f t="shared" ca="1" si="3"/>
        <v>0</v>
      </c>
      <c r="BM351" s="78"/>
      <c r="BN351" s="78">
        <f t="shared" ca="1" si="4"/>
        <v>0</v>
      </c>
      <c r="BO351" s="66"/>
      <c r="BP351" s="66"/>
    </row>
    <row r="352" spans="1:68" ht="13.2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>
        <f t="shared" ref="AP352:AQ352" si="345">AR352+AT352+AV352</f>
        <v>0</v>
      </c>
      <c r="AQ352" s="75">
        <f t="shared" si="345"/>
        <v>0</v>
      </c>
      <c r="AR352" s="75"/>
      <c r="AS352" s="75"/>
      <c r="AT352" s="75"/>
      <c r="AU352" s="75"/>
      <c r="AV352" s="75"/>
      <c r="AW352" s="75"/>
      <c r="AX352" s="75"/>
      <c r="AY352" s="77">
        <f t="shared" ca="1" si="1"/>
        <v>0</v>
      </c>
      <c r="AZ352" s="75"/>
      <c r="BA352" s="77">
        <f t="shared" ca="1" si="2"/>
        <v>0</v>
      </c>
      <c r="BB352" s="66"/>
      <c r="BC352" s="4"/>
      <c r="BD352" s="67"/>
      <c r="BE352" s="67"/>
      <c r="BF352" s="68"/>
      <c r="BG352" s="69"/>
      <c r="BH352" s="84"/>
      <c r="BI352" s="70"/>
      <c r="BJ352" s="73"/>
      <c r="BK352" s="78"/>
      <c r="BL352" s="78">
        <f t="shared" ca="1" si="3"/>
        <v>0</v>
      </c>
      <c r="BM352" s="78"/>
      <c r="BN352" s="78">
        <f t="shared" ca="1" si="4"/>
        <v>0</v>
      </c>
      <c r="BO352" s="66"/>
      <c r="BP352" s="66"/>
    </row>
    <row r="353" spans="1:68" ht="13.2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>
        <f t="shared" ref="AP353:AQ353" si="346">AR353+AT353+AV353</f>
        <v>0</v>
      </c>
      <c r="AQ353" s="75">
        <f t="shared" si="346"/>
        <v>0</v>
      </c>
      <c r="AR353" s="75"/>
      <c r="AS353" s="75"/>
      <c r="AT353" s="75"/>
      <c r="AU353" s="75"/>
      <c r="AV353" s="75"/>
      <c r="AW353" s="75"/>
      <c r="AX353" s="75"/>
      <c r="AY353" s="77">
        <f t="shared" ca="1" si="1"/>
        <v>0</v>
      </c>
      <c r="AZ353" s="75"/>
      <c r="BA353" s="77">
        <f t="shared" ca="1" si="2"/>
        <v>0</v>
      </c>
      <c r="BB353" s="66"/>
      <c r="BC353" s="4"/>
      <c r="BD353" s="67"/>
      <c r="BE353" s="67"/>
      <c r="BF353" s="68"/>
      <c r="BG353" s="69"/>
      <c r="BH353" s="84"/>
      <c r="BI353" s="70"/>
      <c r="BJ353" s="73"/>
      <c r="BK353" s="78"/>
      <c r="BL353" s="78">
        <f t="shared" ca="1" si="3"/>
        <v>0</v>
      </c>
      <c r="BM353" s="78"/>
      <c r="BN353" s="78">
        <f t="shared" ca="1" si="4"/>
        <v>0</v>
      </c>
      <c r="BO353" s="66"/>
      <c r="BP353" s="66"/>
    </row>
    <row r="354" spans="1:68" ht="13.2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>
        <f t="shared" ref="AP354:AQ354" si="347">AR354+AT354+AV354</f>
        <v>0</v>
      </c>
      <c r="AQ354" s="75">
        <f t="shared" si="347"/>
        <v>0</v>
      </c>
      <c r="AR354" s="75"/>
      <c r="AS354" s="75"/>
      <c r="AT354" s="75"/>
      <c r="AU354" s="75"/>
      <c r="AV354" s="75"/>
      <c r="AW354" s="75"/>
      <c r="AX354" s="75"/>
      <c r="AY354" s="77">
        <f t="shared" ca="1" si="1"/>
        <v>0</v>
      </c>
      <c r="AZ354" s="75"/>
      <c r="BA354" s="77">
        <f t="shared" ca="1" si="2"/>
        <v>0</v>
      </c>
      <c r="BB354" s="66"/>
      <c r="BC354" s="4"/>
      <c r="BD354" s="67"/>
      <c r="BE354" s="67"/>
      <c r="BF354" s="68"/>
      <c r="BG354" s="69"/>
      <c r="BH354" s="84"/>
      <c r="BI354" s="70"/>
      <c r="BJ354" s="73"/>
      <c r="BK354" s="78"/>
      <c r="BL354" s="78">
        <f t="shared" ca="1" si="3"/>
        <v>0</v>
      </c>
      <c r="BM354" s="78"/>
      <c r="BN354" s="78">
        <f t="shared" ca="1" si="4"/>
        <v>0</v>
      </c>
      <c r="BO354" s="66"/>
      <c r="BP354" s="66"/>
    </row>
    <row r="355" spans="1:68" ht="13.2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>
        <f t="shared" ref="AP355:AQ355" si="348">AR355+AT355+AV355</f>
        <v>0</v>
      </c>
      <c r="AQ355" s="75">
        <f t="shared" si="348"/>
        <v>0</v>
      </c>
      <c r="AR355" s="75"/>
      <c r="AS355" s="75"/>
      <c r="AT355" s="75"/>
      <c r="AU355" s="75"/>
      <c r="AV355" s="75"/>
      <c r="AW355" s="75"/>
      <c r="AX355" s="75"/>
      <c r="AY355" s="77">
        <f t="shared" ca="1" si="1"/>
        <v>0</v>
      </c>
      <c r="AZ355" s="75"/>
      <c r="BA355" s="77">
        <f t="shared" ca="1" si="2"/>
        <v>0</v>
      </c>
      <c r="BB355" s="66"/>
      <c r="BC355" s="4"/>
      <c r="BD355" s="67"/>
      <c r="BE355" s="67"/>
      <c r="BF355" s="68"/>
      <c r="BG355" s="69"/>
      <c r="BH355" s="74"/>
      <c r="BI355" s="68"/>
      <c r="BJ355" s="73"/>
      <c r="BK355" s="78"/>
      <c r="BL355" s="78">
        <f t="shared" ca="1" si="3"/>
        <v>0</v>
      </c>
      <c r="BM355" s="78"/>
      <c r="BN355" s="78">
        <f t="shared" ca="1" si="4"/>
        <v>0</v>
      </c>
      <c r="BO355" s="66"/>
      <c r="BP355" s="66"/>
    </row>
    <row r="356" spans="1:68" ht="13.2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>
        <f t="shared" ref="AP356:AQ356" si="349">AR356+AT356+AV356</f>
        <v>0</v>
      </c>
      <c r="AQ356" s="75">
        <f t="shared" si="349"/>
        <v>0</v>
      </c>
      <c r="AR356" s="75"/>
      <c r="AS356" s="75"/>
      <c r="AT356" s="75"/>
      <c r="AU356" s="75"/>
      <c r="AV356" s="75"/>
      <c r="AW356" s="75"/>
      <c r="AX356" s="75"/>
      <c r="AY356" s="77">
        <f t="shared" ca="1" si="1"/>
        <v>0</v>
      </c>
      <c r="AZ356" s="75"/>
      <c r="BA356" s="77">
        <f t="shared" ca="1" si="2"/>
        <v>0</v>
      </c>
      <c r="BB356" s="66"/>
      <c r="BC356" s="4"/>
      <c r="BD356" s="67"/>
      <c r="BE356" s="67"/>
      <c r="BF356" s="68"/>
      <c r="BG356" s="69"/>
      <c r="BH356" s="84"/>
      <c r="BI356" s="70"/>
      <c r="BJ356" s="73"/>
      <c r="BK356" s="78"/>
      <c r="BL356" s="78">
        <f t="shared" ca="1" si="3"/>
        <v>0</v>
      </c>
      <c r="BM356" s="78"/>
      <c r="BN356" s="78">
        <f t="shared" ca="1" si="4"/>
        <v>0</v>
      </c>
      <c r="BO356" s="66"/>
      <c r="BP356" s="66"/>
    </row>
    <row r="357" spans="1:68" ht="13.2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>
        <f t="shared" ref="AP357:AQ357" si="350">AR357+AT357+AV357</f>
        <v>0</v>
      </c>
      <c r="AQ357" s="75">
        <f t="shared" si="350"/>
        <v>0</v>
      </c>
      <c r="AR357" s="75"/>
      <c r="AS357" s="75"/>
      <c r="AT357" s="75"/>
      <c r="AU357" s="75"/>
      <c r="AV357" s="75"/>
      <c r="AW357" s="75"/>
      <c r="AX357" s="75"/>
      <c r="AY357" s="77">
        <f t="shared" ca="1" si="1"/>
        <v>0</v>
      </c>
      <c r="AZ357" s="75"/>
      <c r="BA357" s="77">
        <f t="shared" ca="1" si="2"/>
        <v>0</v>
      </c>
      <c r="BB357" s="66"/>
      <c r="BC357" s="4"/>
      <c r="BD357" s="67"/>
      <c r="BE357" s="67"/>
      <c r="BF357" s="68"/>
      <c r="BG357" s="69"/>
      <c r="BH357" s="84"/>
      <c r="BI357" s="70"/>
      <c r="BJ357" s="73"/>
      <c r="BK357" s="78"/>
      <c r="BL357" s="78">
        <f t="shared" ca="1" si="3"/>
        <v>0</v>
      </c>
      <c r="BM357" s="78"/>
      <c r="BN357" s="78">
        <f t="shared" ca="1" si="4"/>
        <v>0</v>
      </c>
      <c r="BO357" s="66"/>
      <c r="BP357" s="66"/>
    </row>
    <row r="358" spans="1:68" ht="13.2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>
        <f t="shared" ref="AP358:AQ358" si="351">AR358+AT358+AV358</f>
        <v>0</v>
      </c>
      <c r="AQ358" s="75">
        <f t="shared" si="351"/>
        <v>0</v>
      </c>
      <c r="AR358" s="75"/>
      <c r="AS358" s="75"/>
      <c r="AT358" s="75"/>
      <c r="AU358" s="75"/>
      <c r="AV358" s="75"/>
      <c r="AW358" s="75"/>
      <c r="AX358" s="75"/>
      <c r="AY358" s="77">
        <f t="shared" ca="1" si="1"/>
        <v>0</v>
      </c>
      <c r="AZ358" s="75"/>
      <c r="BA358" s="77">
        <f t="shared" ca="1" si="2"/>
        <v>0</v>
      </c>
      <c r="BB358" s="66"/>
      <c r="BC358" s="4"/>
      <c r="BD358" s="67"/>
      <c r="BE358" s="67"/>
      <c r="BF358" s="68"/>
      <c r="BG358" s="69"/>
      <c r="BH358" s="84"/>
      <c r="BI358" s="70"/>
      <c r="BJ358" s="73"/>
      <c r="BK358" s="78"/>
      <c r="BL358" s="78">
        <f t="shared" ca="1" si="3"/>
        <v>0</v>
      </c>
      <c r="BM358" s="78"/>
      <c r="BN358" s="78">
        <f t="shared" ca="1" si="4"/>
        <v>0</v>
      </c>
      <c r="BO358" s="66"/>
      <c r="BP358" s="66"/>
    </row>
    <row r="359" spans="1:68" ht="13.2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>
        <f t="shared" ref="AP359:AQ359" si="352">AR359+AT359+AV359</f>
        <v>0</v>
      </c>
      <c r="AQ359" s="75">
        <f t="shared" si="352"/>
        <v>0</v>
      </c>
      <c r="AR359" s="75"/>
      <c r="AS359" s="75"/>
      <c r="AT359" s="75"/>
      <c r="AU359" s="75"/>
      <c r="AV359" s="75"/>
      <c r="AW359" s="75"/>
      <c r="AX359" s="75"/>
      <c r="AY359" s="77">
        <f t="shared" ca="1" si="1"/>
        <v>0</v>
      </c>
      <c r="AZ359" s="75"/>
      <c r="BA359" s="77">
        <f t="shared" ca="1" si="2"/>
        <v>0</v>
      </c>
      <c r="BB359" s="66"/>
      <c r="BC359" s="4"/>
      <c r="BD359" s="67"/>
      <c r="BE359" s="67"/>
      <c r="BF359" s="68"/>
      <c r="BG359" s="69"/>
      <c r="BH359" s="84"/>
      <c r="BI359" s="70"/>
      <c r="BJ359" s="73"/>
      <c r="BK359" s="78"/>
      <c r="BL359" s="78">
        <f t="shared" ca="1" si="3"/>
        <v>0</v>
      </c>
      <c r="BM359" s="78"/>
      <c r="BN359" s="78">
        <f t="shared" ca="1" si="4"/>
        <v>0</v>
      </c>
      <c r="BO359" s="66"/>
      <c r="BP359" s="66"/>
    </row>
    <row r="360" spans="1:68" ht="13.2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>
        <f t="shared" ref="AP360:AQ360" si="353">AR360+AT360+AV360</f>
        <v>0</v>
      </c>
      <c r="AQ360" s="75">
        <f t="shared" si="353"/>
        <v>0</v>
      </c>
      <c r="AR360" s="75"/>
      <c r="AS360" s="75"/>
      <c r="AT360" s="75"/>
      <c r="AU360" s="75"/>
      <c r="AV360" s="75"/>
      <c r="AW360" s="75"/>
      <c r="AX360" s="75"/>
      <c r="AY360" s="77">
        <f t="shared" ca="1" si="1"/>
        <v>0</v>
      </c>
      <c r="AZ360" s="75"/>
      <c r="BA360" s="77">
        <f t="shared" ca="1" si="2"/>
        <v>0</v>
      </c>
      <c r="BB360" s="66"/>
      <c r="BC360" s="4"/>
      <c r="BD360" s="67"/>
      <c r="BE360" s="67"/>
      <c r="BF360" s="68"/>
      <c r="BG360" s="69"/>
      <c r="BH360" s="84"/>
      <c r="BI360" s="70"/>
      <c r="BJ360" s="73"/>
      <c r="BK360" s="78"/>
      <c r="BL360" s="78">
        <f t="shared" ca="1" si="3"/>
        <v>0</v>
      </c>
      <c r="BM360" s="78"/>
      <c r="BN360" s="78">
        <f t="shared" ca="1" si="4"/>
        <v>0</v>
      </c>
      <c r="BO360" s="66"/>
      <c r="BP360" s="66"/>
    </row>
    <row r="361" spans="1:68" ht="13.2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>
        <f t="shared" ref="AP361:AQ361" si="354">AR361+AT361+AV361</f>
        <v>0</v>
      </c>
      <c r="AQ361" s="75">
        <f t="shared" si="354"/>
        <v>0</v>
      </c>
      <c r="AR361" s="75"/>
      <c r="AS361" s="75"/>
      <c r="AT361" s="75"/>
      <c r="AU361" s="75"/>
      <c r="AV361" s="75"/>
      <c r="AW361" s="75"/>
      <c r="AX361" s="75"/>
      <c r="AY361" s="77">
        <f t="shared" ca="1" si="1"/>
        <v>0</v>
      </c>
      <c r="AZ361" s="75"/>
      <c r="BA361" s="77">
        <f t="shared" ca="1" si="2"/>
        <v>0</v>
      </c>
      <c r="BB361" s="66"/>
      <c r="BC361" s="4"/>
      <c r="BD361" s="67"/>
      <c r="BE361" s="67"/>
      <c r="BF361" s="68"/>
      <c r="BG361" s="69"/>
      <c r="BH361" s="84"/>
      <c r="BI361" s="70"/>
      <c r="BJ361" s="73"/>
      <c r="BK361" s="78"/>
      <c r="BL361" s="78">
        <f t="shared" ca="1" si="3"/>
        <v>0</v>
      </c>
      <c r="BM361" s="78"/>
      <c r="BN361" s="78">
        <f t="shared" ca="1" si="4"/>
        <v>0</v>
      </c>
      <c r="BO361" s="66"/>
      <c r="BP361" s="66"/>
    </row>
    <row r="362" spans="1:68" ht="13.2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>
        <f t="shared" ref="AP362:AQ362" si="355">AR362+AT362+AV362</f>
        <v>0</v>
      </c>
      <c r="AQ362" s="75">
        <f t="shared" si="355"/>
        <v>0</v>
      </c>
      <c r="AR362" s="75"/>
      <c r="AS362" s="75"/>
      <c r="AT362" s="75"/>
      <c r="AU362" s="75"/>
      <c r="AV362" s="75"/>
      <c r="AW362" s="75"/>
      <c r="AX362" s="75"/>
      <c r="AY362" s="77">
        <f t="shared" ca="1" si="1"/>
        <v>0</v>
      </c>
      <c r="AZ362" s="75"/>
      <c r="BA362" s="77">
        <f t="shared" ca="1" si="2"/>
        <v>0</v>
      </c>
      <c r="BB362" s="66"/>
      <c r="BC362" s="4"/>
      <c r="BD362" s="67"/>
      <c r="BE362" s="67"/>
      <c r="BF362" s="68"/>
      <c r="BG362" s="69"/>
      <c r="BH362" s="84"/>
      <c r="BI362" s="70"/>
      <c r="BJ362" s="73"/>
      <c r="BK362" s="78"/>
      <c r="BL362" s="78">
        <f t="shared" ca="1" si="3"/>
        <v>0</v>
      </c>
      <c r="BM362" s="78"/>
      <c r="BN362" s="78">
        <f t="shared" ca="1" si="4"/>
        <v>0</v>
      </c>
      <c r="BO362" s="66"/>
      <c r="BP362" s="66"/>
    </row>
    <row r="363" spans="1:68" ht="13.2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>
        <f t="shared" ref="AP363:AQ363" si="356">AR363+AT363+AV363</f>
        <v>0</v>
      </c>
      <c r="AQ363" s="75">
        <f t="shared" si="356"/>
        <v>0</v>
      </c>
      <c r="AR363" s="75"/>
      <c r="AS363" s="75"/>
      <c r="AT363" s="75"/>
      <c r="AU363" s="75"/>
      <c r="AV363" s="75"/>
      <c r="AW363" s="75"/>
      <c r="AX363" s="75"/>
      <c r="AY363" s="77">
        <f t="shared" ca="1" si="1"/>
        <v>0</v>
      </c>
      <c r="AZ363" s="75"/>
      <c r="BA363" s="77">
        <f t="shared" ca="1" si="2"/>
        <v>0</v>
      </c>
      <c r="BB363" s="66"/>
      <c r="BC363" s="4"/>
      <c r="BD363" s="67"/>
      <c r="BE363" s="67"/>
      <c r="BF363" s="68"/>
      <c r="BG363" s="69"/>
      <c r="BH363" s="74"/>
      <c r="BI363" s="68"/>
      <c r="BJ363" s="73"/>
      <c r="BK363" s="78"/>
      <c r="BL363" s="78">
        <f t="shared" ca="1" si="3"/>
        <v>0</v>
      </c>
      <c r="BM363" s="78"/>
      <c r="BN363" s="78">
        <f t="shared" ca="1" si="4"/>
        <v>0</v>
      </c>
      <c r="BO363" s="66"/>
      <c r="BP363" s="66"/>
    </row>
    <row r="364" spans="1:68" ht="13.2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>
        <f t="shared" ref="AP364:AQ364" si="357">AR364+AT364+AV364</f>
        <v>0</v>
      </c>
      <c r="AQ364" s="75">
        <f t="shared" si="357"/>
        <v>0</v>
      </c>
      <c r="AR364" s="75"/>
      <c r="AS364" s="75"/>
      <c r="AT364" s="75"/>
      <c r="AU364" s="75"/>
      <c r="AV364" s="75"/>
      <c r="AW364" s="75"/>
      <c r="AX364" s="75"/>
      <c r="AY364" s="77">
        <f t="shared" ca="1" si="1"/>
        <v>0</v>
      </c>
      <c r="AZ364" s="75"/>
      <c r="BA364" s="77">
        <f t="shared" ca="1" si="2"/>
        <v>0</v>
      </c>
      <c r="BB364" s="66"/>
      <c r="BC364" s="4"/>
      <c r="BD364" s="67"/>
      <c r="BE364" s="67"/>
      <c r="BF364" s="68"/>
      <c r="BG364" s="69"/>
      <c r="BH364" s="84"/>
      <c r="BI364" s="70"/>
      <c r="BJ364" s="73"/>
      <c r="BK364" s="78"/>
      <c r="BL364" s="78">
        <f t="shared" ca="1" si="3"/>
        <v>0</v>
      </c>
      <c r="BM364" s="78"/>
      <c r="BN364" s="78">
        <f t="shared" ca="1" si="4"/>
        <v>0</v>
      </c>
      <c r="BO364" s="66"/>
      <c r="BP364" s="66"/>
    </row>
    <row r="365" spans="1:68" ht="13.2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>
        <f t="shared" ref="AP365:AQ365" si="358">AR365+AT365+AV365</f>
        <v>0</v>
      </c>
      <c r="AQ365" s="75">
        <f t="shared" si="358"/>
        <v>0</v>
      </c>
      <c r="AR365" s="75"/>
      <c r="AS365" s="75"/>
      <c r="AT365" s="75"/>
      <c r="AU365" s="75"/>
      <c r="AV365" s="75"/>
      <c r="AW365" s="75"/>
      <c r="AX365" s="75"/>
      <c r="AY365" s="77">
        <f t="shared" ca="1" si="1"/>
        <v>0</v>
      </c>
      <c r="AZ365" s="75"/>
      <c r="BA365" s="77">
        <f t="shared" ca="1" si="2"/>
        <v>0</v>
      </c>
      <c r="BB365" s="66"/>
      <c r="BC365" s="4"/>
      <c r="BD365" s="67"/>
      <c r="BE365" s="67"/>
      <c r="BF365" s="68"/>
      <c r="BG365" s="69"/>
      <c r="BH365" s="84"/>
      <c r="BI365" s="70"/>
      <c r="BJ365" s="73"/>
      <c r="BK365" s="78"/>
      <c r="BL365" s="78">
        <f t="shared" ca="1" si="3"/>
        <v>0</v>
      </c>
      <c r="BM365" s="78"/>
      <c r="BN365" s="78">
        <f t="shared" ca="1" si="4"/>
        <v>0</v>
      </c>
      <c r="BO365" s="66"/>
      <c r="BP365" s="66"/>
    </row>
    <row r="366" spans="1:68" ht="13.2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>
        <f t="shared" ref="AP366:AQ366" si="359">AR366+AT366+AV366</f>
        <v>0</v>
      </c>
      <c r="AQ366" s="75">
        <f t="shared" si="359"/>
        <v>0</v>
      </c>
      <c r="AR366" s="75"/>
      <c r="AS366" s="75"/>
      <c r="AT366" s="75"/>
      <c r="AU366" s="75"/>
      <c r="AV366" s="75"/>
      <c r="AW366" s="75"/>
      <c r="AX366" s="75"/>
      <c r="AY366" s="77">
        <f t="shared" ca="1" si="1"/>
        <v>0</v>
      </c>
      <c r="AZ366" s="75"/>
      <c r="BA366" s="77">
        <f t="shared" ca="1" si="2"/>
        <v>0</v>
      </c>
      <c r="BB366" s="66"/>
      <c r="BC366" s="4"/>
      <c r="BD366" s="67"/>
      <c r="BE366" s="67"/>
      <c r="BF366" s="68"/>
      <c r="BG366" s="69"/>
      <c r="BH366" s="84"/>
      <c r="BI366" s="70"/>
      <c r="BJ366" s="73"/>
      <c r="BK366" s="78"/>
      <c r="BL366" s="78">
        <f t="shared" ca="1" si="3"/>
        <v>0</v>
      </c>
      <c r="BM366" s="78"/>
      <c r="BN366" s="78">
        <f t="shared" ca="1" si="4"/>
        <v>0</v>
      </c>
      <c r="BO366" s="66"/>
      <c r="BP366" s="66"/>
    </row>
    <row r="367" spans="1:68" ht="13.2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>
        <f t="shared" ref="AP367:AQ367" si="360">AR367+AT367+AV367</f>
        <v>0</v>
      </c>
      <c r="AQ367" s="75">
        <f t="shared" si="360"/>
        <v>0</v>
      </c>
      <c r="AR367" s="75"/>
      <c r="AS367" s="75"/>
      <c r="AT367" s="75"/>
      <c r="AU367" s="75"/>
      <c r="AV367" s="75"/>
      <c r="AW367" s="75"/>
      <c r="AX367" s="75"/>
      <c r="AY367" s="77">
        <f t="shared" ca="1" si="1"/>
        <v>0</v>
      </c>
      <c r="AZ367" s="75"/>
      <c r="BA367" s="77">
        <f t="shared" ca="1" si="2"/>
        <v>0</v>
      </c>
      <c r="BB367" s="66"/>
      <c r="BC367" s="4"/>
      <c r="BD367" s="67"/>
      <c r="BE367" s="67"/>
      <c r="BF367" s="68"/>
      <c r="BG367" s="69"/>
      <c r="BH367" s="84"/>
      <c r="BI367" s="70"/>
      <c r="BJ367" s="73"/>
      <c r="BK367" s="78"/>
      <c r="BL367" s="78">
        <f t="shared" ca="1" si="3"/>
        <v>0</v>
      </c>
      <c r="BM367" s="78"/>
      <c r="BN367" s="78">
        <f t="shared" ca="1" si="4"/>
        <v>0</v>
      </c>
      <c r="BO367" s="66"/>
      <c r="BP367" s="66"/>
    </row>
    <row r="368" spans="1:68" ht="13.2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>
        <f t="shared" ref="AP368:AQ368" si="361">AR368+AT368+AV368</f>
        <v>0</v>
      </c>
      <c r="AQ368" s="75">
        <f t="shared" si="361"/>
        <v>0</v>
      </c>
      <c r="AR368" s="75"/>
      <c r="AS368" s="75"/>
      <c r="AT368" s="75"/>
      <c r="AU368" s="75"/>
      <c r="AV368" s="75"/>
      <c r="AW368" s="75"/>
      <c r="AX368" s="75"/>
      <c r="AY368" s="77">
        <f t="shared" ca="1" si="1"/>
        <v>0</v>
      </c>
      <c r="AZ368" s="75"/>
      <c r="BA368" s="77">
        <f t="shared" ca="1" si="2"/>
        <v>0</v>
      </c>
      <c r="BB368" s="66"/>
      <c r="BC368" s="4"/>
      <c r="BD368" s="67"/>
      <c r="BE368" s="67"/>
      <c r="BF368" s="68"/>
      <c r="BG368" s="69"/>
      <c r="BH368" s="84"/>
      <c r="BI368" s="70"/>
      <c r="BJ368" s="73"/>
      <c r="BK368" s="78"/>
      <c r="BL368" s="78">
        <f t="shared" ca="1" si="3"/>
        <v>0</v>
      </c>
      <c r="BM368" s="78"/>
      <c r="BN368" s="78">
        <f t="shared" ca="1" si="4"/>
        <v>0</v>
      </c>
      <c r="BO368" s="66"/>
      <c r="BP368" s="66"/>
    </row>
    <row r="369" spans="1:68" ht="13.2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>
        <f t="shared" ref="AP369:AQ369" si="362">AR369+AT369+AV369</f>
        <v>0</v>
      </c>
      <c r="AQ369" s="75">
        <f t="shared" si="362"/>
        <v>0</v>
      </c>
      <c r="AR369" s="75"/>
      <c r="AS369" s="75"/>
      <c r="AT369" s="75"/>
      <c r="AU369" s="75"/>
      <c r="AV369" s="75"/>
      <c r="AW369" s="75"/>
      <c r="AX369" s="75"/>
      <c r="AY369" s="77">
        <f t="shared" ca="1" si="1"/>
        <v>0</v>
      </c>
      <c r="AZ369" s="75"/>
      <c r="BA369" s="77">
        <f t="shared" ca="1" si="2"/>
        <v>0</v>
      </c>
      <c r="BB369" s="66"/>
      <c r="BC369" s="4"/>
      <c r="BD369" s="67"/>
      <c r="BE369" s="67"/>
      <c r="BF369" s="68"/>
      <c r="BG369" s="69"/>
      <c r="BH369" s="84"/>
      <c r="BI369" s="70"/>
      <c r="BJ369" s="73"/>
      <c r="BK369" s="78"/>
      <c r="BL369" s="78">
        <f t="shared" ca="1" si="3"/>
        <v>0</v>
      </c>
      <c r="BM369" s="78"/>
      <c r="BN369" s="78">
        <f t="shared" ca="1" si="4"/>
        <v>0</v>
      </c>
      <c r="BO369" s="66"/>
      <c r="BP369" s="66"/>
    </row>
    <row r="370" spans="1:68" ht="13.2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>
        <f t="shared" ref="AP370:AQ370" si="363">AR370+AT370+AV370</f>
        <v>0</v>
      </c>
      <c r="AQ370" s="75">
        <f t="shared" si="363"/>
        <v>0</v>
      </c>
      <c r="AR370" s="75"/>
      <c r="AS370" s="75"/>
      <c r="AT370" s="75"/>
      <c r="AU370" s="75"/>
      <c r="AV370" s="75"/>
      <c r="AW370" s="75"/>
      <c r="AX370" s="75"/>
      <c r="AY370" s="77">
        <f t="shared" ca="1" si="1"/>
        <v>0</v>
      </c>
      <c r="AZ370" s="75"/>
      <c r="BA370" s="77">
        <f t="shared" ca="1" si="2"/>
        <v>0</v>
      </c>
      <c r="BB370" s="66"/>
      <c r="BC370" s="4"/>
      <c r="BD370" s="67"/>
      <c r="BE370" s="67"/>
      <c r="BF370" s="68"/>
      <c r="BG370" s="69"/>
      <c r="BH370" s="74"/>
      <c r="BI370" s="68"/>
      <c r="BJ370" s="73"/>
      <c r="BK370" s="78"/>
      <c r="BL370" s="78">
        <f t="shared" ca="1" si="3"/>
        <v>0</v>
      </c>
      <c r="BM370" s="78"/>
      <c r="BN370" s="78">
        <f t="shared" ca="1" si="4"/>
        <v>0</v>
      </c>
      <c r="BO370" s="66"/>
      <c r="BP370" s="66"/>
    </row>
    <row r="371" spans="1:68" ht="13.2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>
        <f t="shared" ref="AP371:AQ371" si="364">AR371+AT371+AV371</f>
        <v>0</v>
      </c>
      <c r="AQ371" s="75">
        <f t="shared" si="364"/>
        <v>0</v>
      </c>
      <c r="AR371" s="75"/>
      <c r="AS371" s="75"/>
      <c r="AT371" s="75"/>
      <c r="AU371" s="75"/>
      <c r="AV371" s="75"/>
      <c r="AW371" s="75"/>
      <c r="AX371" s="75"/>
      <c r="AY371" s="77">
        <f t="shared" ca="1" si="1"/>
        <v>0</v>
      </c>
      <c r="AZ371" s="75"/>
      <c r="BA371" s="77">
        <f t="shared" ca="1" si="2"/>
        <v>0</v>
      </c>
      <c r="BB371" s="66"/>
      <c r="BC371" s="4"/>
      <c r="BD371" s="67"/>
      <c r="BE371" s="67"/>
      <c r="BF371" s="68"/>
      <c r="BG371" s="69"/>
      <c r="BH371" s="74"/>
      <c r="BI371" s="68"/>
      <c r="BJ371" s="73"/>
      <c r="BK371" s="78"/>
      <c r="BL371" s="78">
        <f t="shared" ca="1" si="3"/>
        <v>0</v>
      </c>
      <c r="BM371" s="78"/>
      <c r="BN371" s="78">
        <f t="shared" ca="1" si="4"/>
        <v>0</v>
      </c>
      <c r="BO371" s="66"/>
      <c r="BP371" s="66"/>
    </row>
    <row r="372" spans="1:68" ht="13.2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>
        <f t="shared" ref="AP372:AQ372" si="365">AR372+AT372+AV372</f>
        <v>0</v>
      </c>
      <c r="AQ372" s="75">
        <f t="shared" si="365"/>
        <v>0</v>
      </c>
      <c r="AR372" s="75"/>
      <c r="AS372" s="75"/>
      <c r="AT372" s="75"/>
      <c r="AU372" s="75"/>
      <c r="AV372" s="75"/>
      <c r="AW372" s="75"/>
      <c r="AX372" s="75"/>
      <c r="AY372" s="77">
        <f t="shared" ca="1" si="1"/>
        <v>0</v>
      </c>
      <c r="AZ372" s="75"/>
      <c r="BA372" s="77">
        <f t="shared" ca="1" si="2"/>
        <v>0</v>
      </c>
      <c r="BB372" s="66"/>
      <c r="BC372" s="4"/>
      <c r="BD372" s="67"/>
      <c r="BE372" s="67"/>
      <c r="BF372" s="68"/>
      <c r="BG372" s="69"/>
      <c r="BH372" s="74"/>
      <c r="BI372" s="68"/>
      <c r="BJ372" s="73"/>
      <c r="BK372" s="78"/>
      <c r="BL372" s="78">
        <f t="shared" ca="1" si="3"/>
        <v>0</v>
      </c>
      <c r="BM372" s="78"/>
      <c r="BN372" s="78">
        <f t="shared" ca="1" si="4"/>
        <v>0</v>
      </c>
      <c r="BO372" s="66"/>
      <c r="BP372" s="66"/>
    </row>
    <row r="373" spans="1:68" ht="13.2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>
        <f t="shared" ref="AP373:AQ373" si="366">AR373+AT373+AV373</f>
        <v>0</v>
      </c>
      <c r="AQ373" s="75">
        <f t="shared" si="366"/>
        <v>0</v>
      </c>
      <c r="AR373" s="75"/>
      <c r="AS373" s="75"/>
      <c r="AT373" s="75"/>
      <c r="AU373" s="75"/>
      <c r="AV373" s="75"/>
      <c r="AW373" s="75"/>
      <c r="AX373" s="75"/>
      <c r="AY373" s="77">
        <f t="shared" ca="1" si="1"/>
        <v>0</v>
      </c>
      <c r="AZ373" s="75"/>
      <c r="BA373" s="77">
        <f t="shared" ca="1" si="2"/>
        <v>0</v>
      </c>
      <c r="BB373" s="66"/>
      <c r="BC373" s="4"/>
      <c r="BD373" s="67"/>
      <c r="BE373" s="67"/>
      <c r="BF373" s="68"/>
      <c r="BG373" s="69"/>
      <c r="BH373" s="74"/>
      <c r="BI373" s="68"/>
      <c r="BJ373" s="73"/>
      <c r="BK373" s="78"/>
      <c r="BL373" s="78">
        <f t="shared" ca="1" si="3"/>
        <v>0</v>
      </c>
      <c r="BM373" s="78"/>
      <c r="BN373" s="78">
        <f t="shared" ca="1" si="4"/>
        <v>0</v>
      </c>
      <c r="BO373" s="66"/>
      <c r="BP373" s="66"/>
    </row>
    <row r="374" spans="1:68" ht="13.2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>
        <f t="shared" ref="AP374:AQ374" si="367">AR374+AT374+AV374</f>
        <v>0</v>
      </c>
      <c r="AQ374" s="75">
        <f t="shared" si="367"/>
        <v>0</v>
      </c>
      <c r="AR374" s="75"/>
      <c r="AS374" s="75"/>
      <c r="AT374" s="75"/>
      <c r="AU374" s="75"/>
      <c r="AV374" s="75"/>
      <c r="AW374" s="75"/>
      <c r="AX374" s="75"/>
      <c r="AY374" s="77">
        <f t="shared" ca="1" si="1"/>
        <v>0</v>
      </c>
      <c r="AZ374" s="75"/>
      <c r="BA374" s="77">
        <f t="shared" ca="1" si="2"/>
        <v>0</v>
      </c>
      <c r="BB374" s="66"/>
      <c r="BC374" s="4"/>
      <c r="BD374" s="67"/>
      <c r="BE374" s="67"/>
      <c r="BF374" s="68"/>
      <c r="BG374" s="69"/>
      <c r="BH374" s="74"/>
      <c r="BI374" s="68"/>
      <c r="BJ374" s="73"/>
      <c r="BK374" s="78"/>
      <c r="BL374" s="78">
        <f t="shared" ca="1" si="3"/>
        <v>0</v>
      </c>
      <c r="BM374" s="78"/>
      <c r="BN374" s="78">
        <f t="shared" ca="1" si="4"/>
        <v>0</v>
      </c>
      <c r="BO374" s="66"/>
      <c r="BP374" s="66"/>
    </row>
    <row r="375" spans="1:68" ht="13.2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>
        <f t="shared" ref="AP375:AQ375" si="368">AR375+AT375+AV375</f>
        <v>0</v>
      </c>
      <c r="AQ375" s="75">
        <f t="shared" si="368"/>
        <v>0</v>
      </c>
      <c r="AR375" s="75"/>
      <c r="AS375" s="75"/>
      <c r="AT375" s="75"/>
      <c r="AU375" s="75"/>
      <c r="AV375" s="75"/>
      <c r="AW375" s="75"/>
      <c r="AX375" s="75"/>
      <c r="AY375" s="77">
        <f t="shared" ca="1" si="1"/>
        <v>0</v>
      </c>
      <c r="AZ375" s="75"/>
      <c r="BA375" s="77">
        <f t="shared" ca="1" si="2"/>
        <v>0</v>
      </c>
      <c r="BB375" s="66"/>
      <c r="BC375" s="4"/>
      <c r="BD375" s="67"/>
      <c r="BE375" s="67"/>
      <c r="BF375" s="68"/>
      <c r="BG375" s="69"/>
      <c r="BH375" s="84"/>
      <c r="BI375" s="70"/>
      <c r="BJ375" s="73"/>
      <c r="BK375" s="78"/>
      <c r="BL375" s="78">
        <f t="shared" ca="1" si="3"/>
        <v>0</v>
      </c>
      <c r="BM375" s="78"/>
      <c r="BN375" s="78">
        <f t="shared" ca="1" si="4"/>
        <v>0</v>
      </c>
      <c r="BO375" s="66"/>
      <c r="BP375" s="66"/>
    </row>
    <row r="376" spans="1:68" ht="13.2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>
        <f t="shared" ref="AP376:AQ376" si="369">AR376+AT376+AV376</f>
        <v>0</v>
      </c>
      <c r="AQ376" s="75">
        <f t="shared" si="369"/>
        <v>0</v>
      </c>
      <c r="AR376" s="75"/>
      <c r="AS376" s="75"/>
      <c r="AT376" s="75"/>
      <c r="AU376" s="75"/>
      <c r="AV376" s="75"/>
      <c r="AW376" s="75"/>
      <c r="AX376" s="75"/>
      <c r="AY376" s="77">
        <f t="shared" ca="1" si="1"/>
        <v>0</v>
      </c>
      <c r="AZ376" s="75"/>
      <c r="BA376" s="77">
        <f t="shared" ca="1" si="2"/>
        <v>0</v>
      </c>
      <c r="BB376" s="66"/>
      <c r="BC376" s="4"/>
      <c r="BD376" s="67"/>
      <c r="BE376" s="67"/>
      <c r="BF376" s="68"/>
      <c r="BG376" s="69"/>
      <c r="BH376" s="84"/>
      <c r="BI376" s="70"/>
      <c r="BJ376" s="73"/>
      <c r="BK376" s="78"/>
      <c r="BL376" s="78">
        <f t="shared" ca="1" si="3"/>
        <v>0</v>
      </c>
      <c r="BM376" s="78"/>
      <c r="BN376" s="78">
        <f t="shared" ca="1" si="4"/>
        <v>0</v>
      </c>
      <c r="BO376" s="66"/>
      <c r="BP376" s="66"/>
    </row>
    <row r="377" spans="1:68" ht="13.2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>
        <f t="shared" ref="AP377:AQ377" si="370">AR377+AT377+AV377</f>
        <v>0</v>
      </c>
      <c r="AQ377" s="75">
        <f t="shared" si="370"/>
        <v>0</v>
      </c>
      <c r="AR377" s="75"/>
      <c r="AS377" s="75"/>
      <c r="AT377" s="75"/>
      <c r="AU377" s="75"/>
      <c r="AV377" s="75"/>
      <c r="AW377" s="75"/>
      <c r="AX377" s="75"/>
      <c r="AY377" s="77">
        <f t="shared" ca="1" si="1"/>
        <v>0</v>
      </c>
      <c r="AZ377" s="75"/>
      <c r="BA377" s="77">
        <f t="shared" ca="1" si="2"/>
        <v>0</v>
      </c>
      <c r="BB377" s="66"/>
      <c r="BC377" s="4"/>
      <c r="BD377" s="67"/>
      <c r="BE377" s="67"/>
      <c r="BF377" s="68"/>
      <c r="BG377" s="69"/>
      <c r="BH377" s="84"/>
      <c r="BI377" s="70"/>
      <c r="BJ377" s="73"/>
      <c r="BK377" s="78"/>
      <c r="BL377" s="78">
        <f t="shared" ca="1" si="3"/>
        <v>0</v>
      </c>
      <c r="BM377" s="78"/>
      <c r="BN377" s="78">
        <f t="shared" ca="1" si="4"/>
        <v>0</v>
      </c>
      <c r="BO377" s="66"/>
      <c r="BP377" s="66"/>
    </row>
    <row r="378" spans="1:68" ht="13.2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>
        <f t="shared" ref="AP378:AQ378" si="371">AR378+AT378+AV378</f>
        <v>0</v>
      </c>
      <c r="AQ378" s="75">
        <f t="shared" si="371"/>
        <v>0</v>
      </c>
      <c r="AR378" s="75"/>
      <c r="AS378" s="75"/>
      <c r="AT378" s="75"/>
      <c r="AU378" s="75"/>
      <c r="AV378" s="75"/>
      <c r="AW378" s="75"/>
      <c r="AX378" s="75"/>
      <c r="AY378" s="77">
        <f t="shared" ca="1" si="1"/>
        <v>0</v>
      </c>
      <c r="AZ378" s="75"/>
      <c r="BA378" s="77">
        <f t="shared" ca="1" si="2"/>
        <v>0</v>
      </c>
      <c r="BB378" s="66"/>
      <c r="BC378" s="4"/>
      <c r="BD378" s="67"/>
      <c r="BE378" s="67"/>
      <c r="BF378" s="68"/>
      <c r="BG378" s="69"/>
      <c r="BH378" s="74"/>
      <c r="BI378" s="68"/>
      <c r="BJ378" s="73"/>
      <c r="BK378" s="78"/>
      <c r="BL378" s="78">
        <f t="shared" ca="1" si="3"/>
        <v>0</v>
      </c>
      <c r="BM378" s="78"/>
      <c r="BN378" s="78">
        <f t="shared" ca="1" si="4"/>
        <v>0</v>
      </c>
      <c r="BO378" s="66"/>
      <c r="BP378" s="66"/>
    </row>
    <row r="379" spans="1:68" ht="13.2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>
        <f t="shared" ref="AP379:AQ379" si="372">AR379+AT379+AV379</f>
        <v>0</v>
      </c>
      <c r="AQ379" s="75">
        <f t="shared" si="372"/>
        <v>0</v>
      </c>
      <c r="AR379" s="75"/>
      <c r="AS379" s="75"/>
      <c r="AT379" s="75"/>
      <c r="AU379" s="75"/>
      <c r="AV379" s="75"/>
      <c r="AW379" s="75"/>
      <c r="AX379" s="75"/>
      <c r="AY379" s="77">
        <f t="shared" ca="1" si="1"/>
        <v>0</v>
      </c>
      <c r="AZ379" s="75"/>
      <c r="BA379" s="77">
        <f t="shared" ca="1" si="2"/>
        <v>0</v>
      </c>
      <c r="BB379" s="66"/>
      <c r="BC379" s="4"/>
      <c r="BD379" s="67"/>
      <c r="BE379" s="67"/>
      <c r="BF379" s="68"/>
      <c r="BG379" s="69"/>
      <c r="BH379" s="74"/>
      <c r="BI379" s="68"/>
      <c r="BJ379" s="73"/>
      <c r="BK379" s="78"/>
      <c r="BL379" s="78">
        <f t="shared" ca="1" si="3"/>
        <v>0</v>
      </c>
      <c r="BM379" s="78"/>
      <c r="BN379" s="78">
        <f t="shared" ca="1" si="4"/>
        <v>0</v>
      </c>
      <c r="BO379" s="66"/>
      <c r="BP379" s="66"/>
    </row>
    <row r="380" spans="1:68" ht="13.2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>
        <f t="shared" ref="AP380:AQ380" si="373">AR380+AT380+AV380</f>
        <v>0</v>
      </c>
      <c r="AQ380" s="75">
        <f t="shared" si="373"/>
        <v>0</v>
      </c>
      <c r="AR380" s="75"/>
      <c r="AS380" s="75"/>
      <c r="AT380" s="75"/>
      <c r="AU380" s="75"/>
      <c r="AV380" s="75"/>
      <c r="AW380" s="75"/>
      <c r="AX380" s="75"/>
      <c r="AY380" s="77">
        <f t="shared" ca="1" si="1"/>
        <v>0</v>
      </c>
      <c r="AZ380" s="75"/>
      <c r="BA380" s="77">
        <f t="shared" ca="1" si="2"/>
        <v>0</v>
      </c>
      <c r="BB380" s="66"/>
      <c r="BC380" s="4"/>
      <c r="BD380" s="67"/>
      <c r="BE380" s="67"/>
      <c r="BF380" s="68"/>
      <c r="BG380" s="69"/>
      <c r="BH380" s="74"/>
      <c r="BI380" s="68"/>
      <c r="BJ380" s="73"/>
      <c r="BK380" s="78"/>
      <c r="BL380" s="78">
        <f t="shared" ca="1" si="3"/>
        <v>0</v>
      </c>
      <c r="BM380" s="78"/>
      <c r="BN380" s="78">
        <f t="shared" ca="1" si="4"/>
        <v>0</v>
      </c>
      <c r="BO380" s="66"/>
      <c r="BP380" s="66"/>
    </row>
    <row r="381" spans="1:68" ht="13.2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>
        <f t="shared" ref="AP381:AQ381" si="374">AR381+AT381+AV381</f>
        <v>0</v>
      </c>
      <c r="AQ381" s="75">
        <f t="shared" si="374"/>
        <v>0</v>
      </c>
      <c r="AR381" s="75"/>
      <c r="AS381" s="75"/>
      <c r="AT381" s="75"/>
      <c r="AU381" s="75"/>
      <c r="AV381" s="75"/>
      <c r="AW381" s="75"/>
      <c r="AX381" s="75"/>
      <c r="AY381" s="77">
        <f t="shared" ca="1" si="1"/>
        <v>0</v>
      </c>
      <c r="AZ381" s="75"/>
      <c r="BA381" s="77">
        <f t="shared" ca="1" si="2"/>
        <v>0</v>
      </c>
      <c r="BB381" s="66"/>
      <c r="BC381" s="4"/>
      <c r="BD381" s="67"/>
      <c r="BE381" s="67"/>
      <c r="BF381" s="68"/>
      <c r="BG381" s="69"/>
      <c r="BH381" s="74"/>
      <c r="BI381" s="68"/>
      <c r="BJ381" s="73"/>
      <c r="BK381" s="78"/>
      <c r="BL381" s="78">
        <f t="shared" ca="1" si="3"/>
        <v>0</v>
      </c>
      <c r="BM381" s="78"/>
      <c r="BN381" s="78">
        <f t="shared" ca="1" si="4"/>
        <v>0</v>
      </c>
      <c r="BO381" s="66"/>
      <c r="BP381" s="66"/>
    </row>
    <row r="382" spans="1:68" ht="13.2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>
        <f t="shared" ref="AP382:AQ382" si="375">AR382+AT382+AV382</f>
        <v>0</v>
      </c>
      <c r="AQ382" s="75">
        <f t="shared" si="375"/>
        <v>0</v>
      </c>
      <c r="AR382" s="75"/>
      <c r="AS382" s="75"/>
      <c r="AT382" s="75"/>
      <c r="AU382" s="75"/>
      <c r="AV382" s="75"/>
      <c r="AW382" s="75"/>
      <c r="AX382" s="75"/>
      <c r="AY382" s="77">
        <f t="shared" ca="1" si="1"/>
        <v>0</v>
      </c>
      <c r="AZ382" s="75"/>
      <c r="BA382" s="77">
        <f t="shared" ca="1" si="2"/>
        <v>0</v>
      </c>
      <c r="BB382" s="66"/>
      <c r="BC382" s="4"/>
      <c r="BD382" s="67"/>
      <c r="BE382" s="67"/>
      <c r="BF382" s="68"/>
      <c r="BG382" s="69"/>
      <c r="BH382" s="74"/>
      <c r="BI382" s="68"/>
      <c r="BJ382" s="73"/>
      <c r="BK382" s="78"/>
      <c r="BL382" s="78">
        <f t="shared" ca="1" si="3"/>
        <v>0</v>
      </c>
      <c r="BM382" s="78"/>
      <c r="BN382" s="78">
        <f t="shared" ca="1" si="4"/>
        <v>0</v>
      </c>
      <c r="BO382" s="66"/>
      <c r="BP382" s="66"/>
    </row>
    <row r="383" spans="1:68" ht="13.2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>
        <f t="shared" ref="AP383:AQ383" si="376">AR383+AT383+AV383</f>
        <v>0</v>
      </c>
      <c r="AQ383" s="75">
        <f t="shared" si="376"/>
        <v>0</v>
      </c>
      <c r="AR383" s="75"/>
      <c r="AS383" s="75"/>
      <c r="AT383" s="75"/>
      <c r="AU383" s="75"/>
      <c r="AV383" s="75"/>
      <c r="AW383" s="75"/>
      <c r="AX383" s="75"/>
      <c r="AY383" s="77">
        <f t="shared" ca="1" si="1"/>
        <v>0</v>
      </c>
      <c r="AZ383" s="75"/>
      <c r="BA383" s="77">
        <f t="shared" ca="1" si="2"/>
        <v>0</v>
      </c>
      <c r="BB383" s="66"/>
      <c r="BC383" s="4"/>
      <c r="BD383" s="67"/>
      <c r="BE383" s="67"/>
      <c r="BF383" s="68"/>
      <c r="BG383" s="69"/>
      <c r="BH383" s="84"/>
      <c r="BI383" s="70"/>
      <c r="BJ383" s="73"/>
      <c r="BK383" s="78"/>
      <c r="BL383" s="78">
        <f t="shared" ca="1" si="3"/>
        <v>0</v>
      </c>
      <c r="BM383" s="78"/>
      <c r="BN383" s="78">
        <f t="shared" ca="1" si="4"/>
        <v>0</v>
      </c>
      <c r="BO383" s="66"/>
      <c r="BP383" s="66"/>
    </row>
    <row r="384" spans="1:68" ht="13.2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>
        <f t="shared" ref="AP384:AQ384" si="377">AR384+AT384+AV384</f>
        <v>0</v>
      </c>
      <c r="AQ384" s="75">
        <f t="shared" si="377"/>
        <v>0</v>
      </c>
      <c r="AR384" s="75"/>
      <c r="AS384" s="75"/>
      <c r="AT384" s="75"/>
      <c r="AU384" s="75"/>
      <c r="AV384" s="75"/>
      <c r="AW384" s="75"/>
      <c r="AX384" s="75"/>
      <c r="AY384" s="77">
        <f t="shared" ca="1" si="1"/>
        <v>0</v>
      </c>
      <c r="AZ384" s="75"/>
      <c r="BA384" s="77">
        <f t="shared" ca="1" si="2"/>
        <v>0</v>
      </c>
      <c r="BB384" s="66"/>
      <c r="BC384" s="4"/>
      <c r="BD384" s="67"/>
      <c r="BE384" s="67"/>
      <c r="BF384" s="68"/>
      <c r="BG384" s="69"/>
      <c r="BH384" s="84"/>
      <c r="BI384" s="70"/>
      <c r="BJ384" s="73"/>
      <c r="BK384" s="78"/>
      <c r="BL384" s="78">
        <f t="shared" ca="1" si="3"/>
        <v>0</v>
      </c>
      <c r="BM384" s="78"/>
      <c r="BN384" s="78">
        <f t="shared" ca="1" si="4"/>
        <v>0</v>
      </c>
      <c r="BO384" s="66"/>
      <c r="BP384" s="66"/>
    </row>
    <row r="385" spans="1:68" ht="13.2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>
        <f t="shared" ref="AP385:AQ385" si="378">AR385+AT385+AV385</f>
        <v>0</v>
      </c>
      <c r="AQ385" s="75">
        <f t="shared" si="378"/>
        <v>0</v>
      </c>
      <c r="AR385" s="75"/>
      <c r="AS385" s="75"/>
      <c r="AT385" s="75"/>
      <c r="AU385" s="75"/>
      <c r="AV385" s="75"/>
      <c r="AW385" s="75"/>
      <c r="AX385" s="75"/>
      <c r="AY385" s="77">
        <f t="shared" ca="1" si="1"/>
        <v>0</v>
      </c>
      <c r="AZ385" s="75"/>
      <c r="BA385" s="77">
        <f t="shared" ca="1" si="2"/>
        <v>0</v>
      </c>
      <c r="BB385" s="66"/>
      <c r="BC385" s="4"/>
      <c r="BD385" s="67"/>
      <c r="BE385" s="67"/>
      <c r="BF385" s="68"/>
      <c r="BG385" s="69"/>
      <c r="BH385" s="84"/>
      <c r="BI385" s="70"/>
      <c r="BJ385" s="73"/>
      <c r="BK385" s="78"/>
      <c r="BL385" s="78">
        <f t="shared" ca="1" si="3"/>
        <v>0</v>
      </c>
      <c r="BM385" s="78"/>
      <c r="BN385" s="78">
        <f t="shared" ca="1" si="4"/>
        <v>0</v>
      </c>
      <c r="BO385" s="66"/>
      <c r="BP385" s="66"/>
    </row>
    <row r="386" spans="1:68" ht="13.2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>
        <f t="shared" ref="AP386:AQ386" si="379">AR386+AT386+AV386</f>
        <v>0</v>
      </c>
      <c r="AQ386" s="75">
        <f t="shared" si="379"/>
        <v>0</v>
      </c>
      <c r="AR386" s="75"/>
      <c r="AS386" s="75"/>
      <c r="AT386" s="75"/>
      <c r="AU386" s="75"/>
      <c r="AV386" s="75"/>
      <c r="AW386" s="75"/>
      <c r="AX386" s="75"/>
      <c r="AY386" s="77">
        <f t="shared" ca="1" si="1"/>
        <v>0</v>
      </c>
      <c r="AZ386" s="75"/>
      <c r="BA386" s="77">
        <f t="shared" ca="1" si="2"/>
        <v>0</v>
      </c>
      <c r="BB386" s="66"/>
      <c r="BC386" s="4"/>
      <c r="BD386" s="67"/>
      <c r="BE386" s="67"/>
      <c r="BF386" s="68"/>
      <c r="BG386" s="69"/>
      <c r="BH386" s="84"/>
      <c r="BI386" s="70"/>
      <c r="BJ386" s="73"/>
      <c r="BK386" s="78"/>
      <c r="BL386" s="78">
        <f t="shared" ca="1" si="3"/>
        <v>0</v>
      </c>
      <c r="BM386" s="78"/>
      <c r="BN386" s="78">
        <f t="shared" ca="1" si="4"/>
        <v>0</v>
      </c>
      <c r="BO386" s="66"/>
      <c r="BP386" s="66"/>
    </row>
    <row r="387" spans="1:68" ht="13.2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>
        <f t="shared" ref="AP387:AQ387" si="380">AR387+AT387+AV387</f>
        <v>0</v>
      </c>
      <c r="AQ387" s="75">
        <f t="shared" si="380"/>
        <v>0</v>
      </c>
      <c r="AR387" s="75"/>
      <c r="AS387" s="75"/>
      <c r="AT387" s="75"/>
      <c r="AU387" s="75"/>
      <c r="AV387" s="75"/>
      <c r="AW387" s="75"/>
      <c r="AX387" s="75"/>
      <c r="AY387" s="77">
        <f t="shared" ca="1" si="1"/>
        <v>0</v>
      </c>
      <c r="AZ387" s="75"/>
      <c r="BA387" s="77">
        <f t="shared" ca="1" si="2"/>
        <v>0</v>
      </c>
      <c r="BB387" s="66"/>
      <c r="BC387" s="4"/>
      <c r="BD387" s="67"/>
      <c r="BE387" s="67"/>
      <c r="BF387" s="68"/>
      <c r="BG387" s="69"/>
      <c r="BH387" s="84"/>
      <c r="BI387" s="70"/>
      <c r="BJ387" s="73"/>
      <c r="BK387" s="78"/>
      <c r="BL387" s="78">
        <f t="shared" ca="1" si="3"/>
        <v>0</v>
      </c>
      <c r="BM387" s="78"/>
      <c r="BN387" s="78">
        <f t="shared" ca="1" si="4"/>
        <v>0</v>
      </c>
      <c r="BO387" s="66"/>
      <c r="BP387" s="66"/>
    </row>
    <row r="388" spans="1:68" ht="13.2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>
        <f t="shared" ref="AP388:AQ388" si="381">AR388+AT388+AV388</f>
        <v>0</v>
      </c>
      <c r="AQ388" s="75">
        <f t="shared" si="381"/>
        <v>0</v>
      </c>
      <c r="AR388" s="75"/>
      <c r="AS388" s="75"/>
      <c r="AT388" s="75"/>
      <c r="AU388" s="75"/>
      <c r="AV388" s="75"/>
      <c r="AW388" s="75"/>
      <c r="AX388" s="75"/>
      <c r="AY388" s="77">
        <f t="shared" ca="1" si="1"/>
        <v>0</v>
      </c>
      <c r="AZ388" s="75"/>
      <c r="BA388" s="77">
        <f t="shared" ca="1" si="2"/>
        <v>0</v>
      </c>
      <c r="BB388" s="66"/>
      <c r="BC388" s="4"/>
      <c r="BD388" s="67"/>
      <c r="BE388" s="67"/>
      <c r="BF388" s="68"/>
      <c r="BG388" s="69"/>
      <c r="BH388" s="84"/>
      <c r="BI388" s="70"/>
      <c r="BJ388" s="73"/>
      <c r="BK388" s="78"/>
      <c r="BL388" s="78">
        <f t="shared" ca="1" si="3"/>
        <v>0</v>
      </c>
      <c r="BM388" s="78"/>
      <c r="BN388" s="78">
        <f t="shared" ca="1" si="4"/>
        <v>0</v>
      </c>
      <c r="BO388" s="66"/>
      <c r="BP388" s="66"/>
    </row>
    <row r="389" spans="1:68" ht="13.2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>
        <f t="shared" ref="AP389:AQ389" si="382">AR389+AT389+AV389</f>
        <v>0</v>
      </c>
      <c r="AQ389" s="75">
        <f t="shared" si="382"/>
        <v>0</v>
      </c>
      <c r="AR389" s="75"/>
      <c r="AS389" s="75"/>
      <c r="AT389" s="75"/>
      <c r="AU389" s="75"/>
      <c r="AV389" s="75"/>
      <c r="AW389" s="75"/>
      <c r="AX389" s="75"/>
      <c r="AY389" s="77">
        <f t="shared" ca="1" si="1"/>
        <v>0</v>
      </c>
      <c r="AZ389" s="75"/>
      <c r="BA389" s="77">
        <f t="shared" ca="1" si="2"/>
        <v>0</v>
      </c>
      <c r="BB389" s="66"/>
      <c r="BC389" s="4"/>
      <c r="BD389" s="67"/>
      <c r="BE389" s="67"/>
      <c r="BF389" s="68"/>
      <c r="BG389" s="69"/>
      <c r="BH389" s="84"/>
      <c r="BI389" s="70"/>
      <c r="BJ389" s="73"/>
      <c r="BK389" s="78"/>
      <c r="BL389" s="78">
        <f t="shared" ca="1" si="3"/>
        <v>0</v>
      </c>
      <c r="BM389" s="78"/>
      <c r="BN389" s="78">
        <f t="shared" ca="1" si="4"/>
        <v>0</v>
      </c>
      <c r="BO389" s="66"/>
      <c r="BP389" s="66"/>
    </row>
    <row r="390" spans="1:68" ht="13.2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>
        <f t="shared" ref="AP390:AQ390" si="383">AR390+AT390+AV390</f>
        <v>0</v>
      </c>
      <c r="AQ390" s="75">
        <f t="shared" si="383"/>
        <v>0</v>
      </c>
      <c r="AR390" s="75"/>
      <c r="AS390" s="75"/>
      <c r="AT390" s="75"/>
      <c r="AU390" s="75"/>
      <c r="AV390" s="75"/>
      <c r="AW390" s="75"/>
      <c r="AX390" s="75"/>
      <c r="AY390" s="77">
        <f t="shared" ca="1" si="1"/>
        <v>0</v>
      </c>
      <c r="AZ390" s="75"/>
      <c r="BA390" s="77">
        <f t="shared" ca="1" si="2"/>
        <v>0</v>
      </c>
      <c r="BB390" s="66"/>
      <c r="BC390" s="4"/>
      <c r="BD390" s="67"/>
      <c r="BE390" s="67"/>
      <c r="BF390" s="68"/>
      <c r="BG390" s="69"/>
      <c r="BH390" s="84"/>
      <c r="BI390" s="70"/>
      <c r="BJ390" s="73"/>
      <c r="BK390" s="78"/>
      <c r="BL390" s="78">
        <f t="shared" ca="1" si="3"/>
        <v>0</v>
      </c>
      <c r="BM390" s="78"/>
      <c r="BN390" s="78">
        <f t="shared" ca="1" si="4"/>
        <v>0</v>
      </c>
      <c r="BO390" s="66"/>
      <c r="BP390" s="66"/>
    </row>
    <row r="391" spans="1:68" ht="13.2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>
        <f t="shared" ref="AP391:AQ391" si="384">AR391+AT391+AV391</f>
        <v>0</v>
      </c>
      <c r="AQ391" s="75">
        <f t="shared" si="384"/>
        <v>0</v>
      </c>
      <c r="AR391" s="75"/>
      <c r="AS391" s="75"/>
      <c r="AT391" s="75"/>
      <c r="AU391" s="75"/>
      <c r="AV391" s="75"/>
      <c r="AW391" s="75"/>
      <c r="AX391" s="75"/>
      <c r="AY391" s="77">
        <f t="shared" ca="1" si="1"/>
        <v>0</v>
      </c>
      <c r="AZ391" s="75"/>
      <c r="BA391" s="77">
        <f t="shared" ca="1" si="2"/>
        <v>0</v>
      </c>
      <c r="BB391" s="66"/>
      <c r="BC391" s="4"/>
      <c r="BD391" s="67"/>
      <c r="BE391" s="67"/>
      <c r="BF391" s="68"/>
      <c r="BG391" s="69"/>
      <c r="BH391" s="74"/>
      <c r="BI391" s="68"/>
      <c r="BJ391" s="73"/>
      <c r="BK391" s="78"/>
      <c r="BL391" s="78">
        <f t="shared" ca="1" si="3"/>
        <v>0</v>
      </c>
      <c r="BM391" s="78"/>
      <c r="BN391" s="78">
        <f t="shared" ca="1" si="4"/>
        <v>0</v>
      </c>
      <c r="BO391" s="66"/>
      <c r="BP391" s="66"/>
    </row>
    <row r="392" spans="1:68" ht="13.2">
      <c r="A392" s="66"/>
      <c r="B392" s="86"/>
      <c r="C392" s="86"/>
      <c r="D392" s="68"/>
      <c r="E392" s="87"/>
      <c r="F392" s="84"/>
      <c r="G392" s="68"/>
      <c r="H392" s="88"/>
      <c r="I392" s="71"/>
      <c r="J392" s="68"/>
      <c r="K392" s="72"/>
      <c r="L392" s="80"/>
      <c r="M392" s="73"/>
      <c r="N392" s="72"/>
      <c r="O392" s="80"/>
      <c r="P392" s="79"/>
      <c r="Q392" s="72"/>
      <c r="R392" s="80"/>
      <c r="S392" s="79"/>
      <c r="T392" s="72"/>
      <c r="U392" s="80"/>
      <c r="V392" s="79"/>
      <c r="W392" s="72"/>
      <c r="X392" s="80"/>
      <c r="Y392" s="73"/>
      <c r="Z392" s="72"/>
      <c r="AA392" s="80"/>
      <c r="AB392" s="79"/>
      <c r="AC392" s="72"/>
      <c r="AD392" s="80"/>
      <c r="AE392" s="79"/>
      <c r="AF392" s="72"/>
      <c r="AG392" s="80"/>
      <c r="AH392" s="79"/>
      <c r="AI392" s="72"/>
      <c r="AJ392" s="80"/>
      <c r="AK392" s="73"/>
      <c r="AL392" s="74"/>
      <c r="AM392" s="68"/>
      <c r="AN392" s="73"/>
      <c r="AO392" s="68"/>
      <c r="AP392" s="76">
        <f t="shared" ref="AP392:AQ392" si="385">AR392+AT392+AV392</f>
        <v>0</v>
      </c>
      <c r="AQ392" s="76">
        <f t="shared" si="385"/>
        <v>0</v>
      </c>
      <c r="AR392" s="75"/>
      <c r="AS392" s="75"/>
      <c r="AT392" s="75"/>
      <c r="AU392" s="75"/>
      <c r="AV392" s="75"/>
      <c r="AW392" s="75"/>
      <c r="AX392" s="75"/>
      <c r="AY392" s="77">
        <f t="shared" ca="1" si="1"/>
        <v>0</v>
      </c>
      <c r="AZ392" s="75"/>
      <c r="BA392" s="77">
        <f t="shared" ca="1" si="2"/>
        <v>0</v>
      </c>
      <c r="BB392" s="66"/>
      <c r="BC392" s="4"/>
      <c r="BD392" s="67"/>
      <c r="BE392" s="67"/>
      <c r="BF392" s="68"/>
      <c r="BG392" s="69"/>
      <c r="BH392" s="74"/>
      <c r="BI392" s="68"/>
      <c r="BJ392" s="73"/>
      <c r="BK392" s="78"/>
      <c r="BL392" s="78">
        <f t="shared" ca="1" si="3"/>
        <v>0</v>
      </c>
      <c r="BM392" s="78"/>
      <c r="BN392" s="78">
        <f t="shared" ca="1" si="4"/>
        <v>0</v>
      </c>
      <c r="BO392" s="66"/>
      <c r="BP392" s="66"/>
    </row>
    <row r="393" spans="1:68" ht="13.2">
      <c r="A393" s="66"/>
      <c r="B393" s="86"/>
      <c r="C393" s="86"/>
      <c r="D393" s="68"/>
      <c r="E393" s="87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>
        <f t="shared" ref="AP393:AQ393" si="386">AR393+AT393+AV393</f>
        <v>0</v>
      </c>
      <c r="AQ393" s="75">
        <f t="shared" si="386"/>
        <v>0</v>
      </c>
      <c r="AR393" s="75"/>
      <c r="AS393" s="75"/>
      <c r="AT393" s="75"/>
      <c r="AU393" s="75"/>
      <c r="AV393" s="75"/>
      <c r="AW393" s="75"/>
      <c r="AX393" s="75"/>
      <c r="AY393" s="77">
        <f t="shared" ca="1" si="1"/>
        <v>0</v>
      </c>
      <c r="AZ393" s="75"/>
      <c r="BA393" s="77">
        <f t="shared" ca="1" si="2"/>
        <v>0</v>
      </c>
      <c r="BB393" s="66"/>
      <c r="BC393" s="4"/>
      <c r="BD393" s="67"/>
      <c r="BE393" s="67"/>
      <c r="BF393" s="68"/>
      <c r="BG393" s="69"/>
      <c r="BH393" s="74"/>
      <c r="BI393" s="68"/>
      <c r="BJ393" s="73"/>
      <c r="BK393" s="78"/>
      <c r="BL393" s="78">
        <f t="shared" ca="1" si="3"/>
        <v>0</v>
      </c>
      <c r="BM393" s="78"/>
      <c r="BN393" s="78">
        <f t="shared" ca="1" si="4"/>
        <v>0</v>
      </c>
      <c r="BO393" s="66"/>
      <c r="BP393" s="66"/>
    </row>
    <row r="394" spans="1:68" ht="13.2">
      <c r="A394" s="66"/>
      <c r="B394" s="86"/>
      <c r="C394" s="86"/>
      <c r="D394" s="68"/>
      <c r="E394" s="87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>
        <f t="shared" ref="AP394:AQ394" si="387">AR394+AT394+AV394</f>
        <v>0</v>
      </c>
      <c r="AQ394" s="75">
        <f t="shared" si="387"/>
        <v>0</v>
      </c>
      <c r="AR394" s="75"/>
      <c r="AS394" s="75"/>
      <c r="AT394" s="75"/>
      <c r="AU394" s="75"/>
      <c r="AV394" s="75"/>
      <c r="AW394" s="75"/>
      <c r="AX394" s="75"/>
      <c r="AY394" s="77">
        <f t="shared" ca="1" si="1"/>
        <v>0</v>
      </c>
      <c r="AZ394" s="75"/>
      <c r="BA394" s="77">
        <f t="shared" ca="1" si="2"/>
        <v>0</v>
      </c>
      <c r="BB394" s="66"/>
      <c r="BC394" s="4"/>
      <c r="BD394" s="67"/>
      <c r="BE394" s="67"/>
      <c r="BF394" s="68"/>
      <c r="BG394" s="69"/>
      <c r="BH394" s="74"/>
      <c r="BI394" s="68"/>
      <c r="BJ394" s="73"/>
      <c r="BK394" s="78"/>
      <c r="BL394" s="78">
        <f t="shared" ca="1" si="3"/>
        <v>0</v>
      </c>
      <c r="BM394" s="78"/>
      <c r="BN394" s="78">
        <f t="shared" ca="1" si="4"/>
        <v>0</v>
      </c>
      <c r="BO394" s="66"/>
      <c r="BP394" s="66"/>
    </row>
    <row r="395" spans="1:68" ht="13.2">
      <c r="A395" s="66"/>
      <c r="B395" s="86"/>
      <c r="C395" s="86"/>
      <c r="D395" s="68"/>
      <c r="E395" s="87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9"/>
      <c r="Q395" s="72"/>
      <c r="R395" s="72"/>
      <c r="S395" s="79"/>
      <c r="T395" s="72"/>
      <c r="U395" s="72"/>
      <c r="V395" s="79"/>
      <c r="W395" s="72"/>
      <c r="X395" s="72"/>
      <c r="Y395" s="73"/>
      <c r="Z395" s="72"/>
      <c r="AA395" s="72"/>
      <c r="AB395" s="79"/>
      <c r="AC395" s="72"/>
      <c r="AD395" s="72"/>
      <c r="AE395" s="79"/>
      <c r="AF395" s="72"/>
      <c r="AG395" s="72"/>
      <c r="AH395" s="79"/>
      <c r="AI395" s="72"/>
      <c r="AJ395" s="72"/>
      <c r="AK395" s="73"/>
      <c r="AL395" s="74"/>
      <c r="AM395" s="73"/>
      <c r="AN395" s="73"/>
      <c r="AO395" s="79"/>
      <c r="AP395" s="75">
        <f t="shared" ref="AP395:AQ395" si="388">AR395+AT395+AV395</f>
        <v>0</v>
      </c>
      <c r="AQ395" s="75">
        <f t="shared" si="388"/>
        <v>0</v>
      </c>
      <c r="AR395" s="75"/>
      <c r="AS395" s="75"/>
      <c r="AT395" s="75"/>
      <c r="AU395" s="75"/>
      <c r="AV395" s="75"/>
      <c r="AW395" s="75"/>
      <c r="AX395" s="75"/>
      <c r="AY395" s="77">
        <f t="shared" ca="1" si="1"/>
        <v>0</v>
      </c>
      <c r="AZ395" s="75"/>
      <c r="BA395" s="77">
        <f t="shared" ca="1" si="2"/>
        <v>0</v>
      </c>
      <c r="BB395" s="66"/>
      <c r="BC395" s="4"/>
      <c r="BD395" s="67"/>
      <c r="BE395" s="67"/>
      <c r="BF395" s="68"/>
      <c r="BG395" s="69"/>
      <c r="BH395" s="74"/>
      <c r="BI395" s="68"/>
      <c r="BJ395" s="73"/>
      <c r="BK395" s="78"/>
      <c r="BL395" s="78">
        <f t="shared" ca="1" si="3"/>
        <v>0</v>
      </c>
      <c r="BM395" s="78"/>
      <c r="BN395" s="78">
        <f t="shared" ca="1" si="4"/>
        <v>0</v>
      </c>
      <c r="BO395" s="66"/>
      <c r="BP395" s="66"/>
    </row>
    <row r="396" spans="1:68" ht="13.2">
      <c r="A396" s="66"/>
      <c r="B396" s="86"/>
      <c r="C396" s="86"/>
      <c r="D396" s="68"/>
      <c r="E396" s="87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9"/>
      <c r="Q396" s="72"/>
      <c r="R396" s="72"/>
      <c r="S396" s="79"/>
      <c r="T396" s="72"/>
      <c r="U396" s="72"/>
      <c r="V396" s="79"/>
      <c r="W396" s="72"/>
      <c r="X396" s="72"/>
      <c r="Y396" s="73"/>
      <c r="Z396" s="72"/>
      <c r="AA396" s="72"/>
      <c r="AB396" s="79"/>
      <c r="AC396" s="72"/>
      <c r="AD396" s="72"/>
      <c r="AE396" s="79"/>
      <c r="AF396" s="72"/>
      <c r="AG396" s="72"/>
      <c r="AH396" s="79"/>
      <c r="AI396" s="72"/>
      <c r="AJ396" s="72"/>
      <c r="AK396" s="73"/>
      <c r="AL396" s="74"/>
      <c r="AM396" s="73"/>
      <c r="AN396" s="73"/>
      <c r="AO396" s="73"/>
      <c r="AP396" s="75">
        <f t="shared" ref="AP396:AQ396" si="389">AR396+AT396+AV396</f>
        <v>0</v>
      </c>
      <c r="AQ396" s="75">
        <f t="shared" si="389"/>
        <v>0</v>
      </c>
      <c r="AR396" s="75"/>
      <c r="AS396" s="75"/>
      <c r="AT396" s="75"/>
      <c r="AU396" s="75"/>
      <c r="AV396" s="75"/>
      <c r="AW396" s="75"/>
      <c r="AX396" s="75"/>
      <c r="AY396" s="77">
        <f t="shared" ca="1" si="1"/>
        <v>0</v>
      </c>
      <c r="AZ396" s="75"/>
      <c r="BA396" s="77">
        <f t="shared" ca="1" si="2"/>
        <v>0</v>
      </c>
      <c r="BB396" s="66"/>
      <c r="BC396" s="4"/>
      <c r="BD396" s="67"/>
      <c r="BE396" s="67"/>
      <c r="BF396" s="68"/>
      <c r="BG396" s="69"/>
      <c r="BH396" s="74"/>
      <c r="BI396" s="68"/>
      <c r="BJ396" s="73"/>
      <c r="BK396" s="78"/>
      <c r="BL396" s="78">
        <f t="shared" ca="1" si="3"/>
        <v>0</v>
      </c>
      <c r="BM396" s="78"/>
      <c r="BN396" s="78">
        <f t="shared" ca="1" si="4"/>
        <v>0</v>
      </c>
      <c r="BO396" s="66"/>
      <c r="BP396" s="66"/>
    </row>
    <row r="397" spans="1:68" ht="13.2">
      <c r="A397" s="66"/>
      <c r="B397" s="86"/>
      <c r="C397" s="86"/>
      <c r="D397" s="68"/>
      <c r="E397" s="87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>
        <f t="shared" ref="AP397:AQ397" si="390">AR397+AT397+AV397</f>
        <v>0</v>
      </c>
      <c r="AQ397" s="75">
        <f t="shared" si="390"/>
        <v>0</v>
      </c>
      <c r="AR397" s="75"/>
      <c r="AS397" s="75"/>
      <c r="AT397" s="75"/>
      <c r="AU397" s="75"/>
      <c r="AV397" s="75"/>
      <c r="AW397" s="75"/>
      <c r="AX397" s="75"/>
      <c r="AY397" s="77">
        <f t="shared" ca="1" si="1"/>
        <v>0</v>
      </c>
      <c r="AZ397" s="75"/>
      <c r="BA397" s="77">
        <f t="shared" ca="1" si="2"/>
        <v>0</v>
      </c>
      <c r="BB397" s="66"/>
      <c r="BC397" s="4"/>
      <c r="BD397" s="67"/>
      <c r="BE397" s="67"/>
      <c r="BF397" s="68"/>
      <c r="BG397" s="69"/>
      <c r="BH397" s="74"/>
      <c r="BI397" s="68"/>
      <c r="BJ397" s="73"/>
      <c r="BK397" s="78"/>
      <c r="BL397" s="78">
        <f t="shared" ca="1" si="3"/>
        <v>0</v>
      </c>
      <c r="BM397" s="78"/>
      <c r="BN397" s="78">
        <f t="shared" ca="1" si="4"/>
        <v>0</v>
      </c>
      <c r="BO397" s="66"/>
      <c r="BP397" s="66"/>
    </row>
    <row r="398" spans="1:68" ht="13.2">
      <c r="A398" s="66"/>
      <c r="B398" s="86"/>
      <c r="C398" s="86"/>
      <c r="D398" s="68"/>
      <c r="E398" s="87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>
        <f t="shared" ref="AP398:AQ398" si="391">AR398+AT398+AV398</f>
        <v>0</v>
      </c>
      <c r="AQ398" s="75">
        <f t="shared" si="391"/>
        <v>0</v>
      </c>
      <c r="AR398" s="75"/>
      <c r="AS398" s="75"/>
      <c r="AT398" s="75"/>
      <c r="AU398" s="75"/>
      <c r="AV398" s="75"/>
      <c r="AW398" s="75"/>
      <c r="AX398" s="75"/>
      <c r="AY398" s="77">
        <f t="shared" ca="1" si="1"/>
        <v>0</v>
      </c>
      <c r="AZ398" s="75"/>
      <c r="BA398" s="77">
        <f t="shared" ca="1" si="2"/>
        <v>0</v>
      </c>
      <c r="BB398" s="66"/>
      <c r="BC398" s="4"/>
      <c r="BD398" s="67"/>
      <c r="BE398" s="67"/>
      <c r="BF398" s="68"/>
      <c r="BG398" s="69"/>
      <c r="BH398" s="74"/>
      <c r="BI398" s="68"/>
      <c r="BJ398" s="73"/>
      <c r="BK398" s="78"/>
      <c r="BL398" s="78">
        <f t="shared" ca="1" si="3"/>
        <v>0</v>
      </c>
      <c r="BM398" s="78"/>
      <c r="BN398" s="78">
        <f t="shared" ca="1" si="4"/>
        <v>0</v>
      </c>
      <c r="BO398" s="66"/>
      <c r="BP398" s="66"/>
    </row>
    <row r="399" spans="1:68" ht="13.2">
      <c r="A399" s="66"/>
      <c r="B399" s="86"/>
      <c r="C399" s="86"/>
      <c r="D399" s="68"/>
      <c r="E399" s="87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>
        <f t="shared" ref="AP399:AQ399" si="392">AR399+AT399+AV399</f>
        <v>0</v>
      </c>
      <c r="AQ399" s="75">
        <f t="shared" si="392"/>
        <v>0</v>
      </c>
      <c r="AR399" s="75"/>
      <c r="AS399" s="75"/>
      <c r="AT399" s="75"/>
      <c r="AU399" s="75"/>
      <c r="AV399" s="75"/>
      <c r="AW399" s="75"/>
      <c r="AX399" s="75"/>
      <c r="AY399" s="77">
        <f t="shared" ca="1" si="1"/>
        <v>0</v>
      </c>
      <c r="AZ399" s="75"/>
      <c r="BA399" s="77">
        <f t="shared" ca="1" si="2"/>
        <v>0</v>
      </c>
      <c r="BB399" s="66"/>
      <c r="BC399" s="4"/>
      <c r="BD399" s="67"/>
      <c r="BE399" s="67"/>
      <c r="BF399" s="68"/>
      <c r="BG399" s="69"/>
      <c r="BH399" s="84"/>
      <c r="BI399" s="70"/>
      <c r="BJ399" s="73"/>
      <c r="BK399" s="78"/>
      <c r="BL399" s="78">
        <f t="shared" ca="1" si="3"/>
        <v>0</v>
      </c>
      <c r="BM399" s="78"/>
      <c r="BN399" s="78">
        <f t="shared" ca="1" si="4"/>
        <v>0</v>
      </c>
      <c r="BO399" s="66"/>
      <c r="BP399" s="66"/>
    </row>
    <row r="400" spans="1:68" ht="13.2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>
        <f t="shared" ref="AP400:AQ400" si="393">AR400+AT400+AV400</f>
        <v>0</v>
      </c>
      <c r="AQ400" s="75">
        <f t="shared" si="393"/>
        <v>0</v>
      </c>
      <c r="AR400" s="75"/>
      <c r="AS400" s="75"/>
      <c r="AT400" s="75"/>
      <c r="AU400" s="75"/>
      <c r="AV400" s="75"/>
      <c r="AW400" s="75"/>
      <c r="AX400" s="75"/>
      <c r="AY400" s="77">
        <f t="shared" ca="1" si="1"/>
        <v>0</v>
      </c>
      <c r="AZ400" s="75"/>
      <c r="BA400" s="77">
        <f t="shared" ca="1" si="2"/>
        <v>0</v>
      </c>
      <c r="BB400" s="66"/>
      <c r="BC400" s="4"/>
      <c r="BD400" s="67"/>
      <c r="BE400" s="67"/>
      <c r="BF400" s="68"/>
      <c r="BG400" s="69"/>
      <c r="BH400" s="84"/>
      <c r="BI400" s="70"/>
      <c r="BJ400" s="73"/>
      <c r="BK400" s="78"/>
      <c r="BL400" s="78">
        <f t="shared" ca="1" si="3"/>
        <v>0</v>
      </c>
      <c r="BM400" s="78"/>
      <c r="BN400" s="78">
        <f t="shared" ca="1" si="4"/>
        <v>0</v>
      </c>
      <c r="BO400" s="66"/>
      <c r="BP400" s="66"/>
    </row>
    <row r="401" spans="1:68" ht="13.2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>
        <f t="shared" ref="AP401:AQ401" si="394">AR401+AT401+AV401</f>
        <v>0</v>
      </c>
      <c r="AQ401" s="75">
        <f t="shared" si="394"/>
        <v>0</v>
      </c>
      <c r="AR401" s="75"/>
      <c r="AS401" s="75"/>
      <c r="AT401" s="75"/>
      <c r="AU401" s="75"/>
      <c r="AV401" s="75"/>
      <c r="AW401" s="75"/>
      <c r="AX401" s="75"/>
      <c r="AY401" s="77">
        <f t="shared" ca="1" si="1"/>
        <v>0</v>
      </c>
      <c r="AZ401" s="75"/>
      <c r="BA401" s="77">
        <f t="shared" ca="1" si="2"/>
        <v>0</v>
      </c>
      <c r="BB401" s="66"/>
      <c r="BC401" s="4"/>
      <c r="BD401" s="67"/>
      <c r="BE401" s="67"/>
      <c r="BF401" s="68"/>
      <c r="BG401" s="69"/>
      <c r="BH401" s="84"/>
      <c r="BI401" s="70"/>
      <c r="BJ401" s="73"/>
      <c r="BK401" s="78"/>
      <c r="BL401" s="78">
        <f t="shared" ca="1" si="3"/>
        <v>0</v>
      </c>
      <c r="BM401" s="78"/>
      <c r="BN401" s="78">
        <f t="shared" ca="1" si="4"/>
        <v>0</v>
      </c>
      <c r="BO401" s="66"/>
      <c r="BP401" s="66"/>
    </row>
    <row r="402" spans="1:68" ht="13.2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>
        <f t="shared" ref="AP402:AQ402" si="395">AR402+AT402+AV402</f>
        <v>0</v>
      </c>
      <c r="AQ402" s="75">
        <f t="shared" si="395"/>
        <v>0</v>
      </c>
      <c r="AR402" s="75"/>
      <c r="AS402" s="75"/>
      <c r="AT402" s="75"/>
      <c r="AU402" s="75"/>
      <c r="AV402" s="75"/>
      <c r="AW402" s="75"/>
      <c r="AX402" s="75"/>
      <c r="AY402" s="77">
        <f t="shared" ca="1" si="1"/>
        <v>0</v>
      </c>
      <c r="AZ402" s="75"/>
      <c r="BA402" s="77">
        <f t="shared" ca="1" si="2"/>
        <v>0</v>
      </c>
      <c r="BB402" s="66"/>
      <c r="BC402" s="4"/>
      <c r="BD402" s="67"/>
      <c r="BE402" s="67"/>
      <c r="BF402" s="68"/>
      <c r="BG402" s="69"/>
      <c r="BH402" s="84"/>
      <c r="BI402" s="70"/>
      <c r="BJ402" s="73"/>
      <c r="BK402" s="78"/>
      <c r="BL402" s="78">
        <f t="shared" ca="1" si="3"/>
        <v>0</v>
      </c>
      <c r="BM402" s="78"/>
      <c r="BN402" s="78">
        <f t="shared" ca="1" si="4"/>
        <v>0</v>
      </c>
      <c r="BO402" s="66"/>
      <c r="BP402" s="66"/>
    </row>
    <row r="403" spans="1:68" ht="13.2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>
        <f t="shared" ref="AP403:AQ403" si="396">AR403+AT403+AV403</f>
        <v>0</v>
      </c>
      <c r="AQ403" s="75">
        <f t="shared" si="396"/>
        <v>0</v>
      </c>
      <c r="AR403" s="75"/>
      <c r="AS403" s="75"/>
      <c r="AT403" s="75"/>
      <c r="AU403" s="75"/>
      <c r="AV403" s="75"/>
      <c r="AW403" s="75"/>
      <c r="AX403" s="75"/>
      <c r="AY403" s="77">
        <f t="shared" ca="1" si="1"/>
        <v>0</v>
      </c>
      <c r="AZ403" s="75"/>
      <c r="BA403" s="77">
        <f t="shared" ca="1" si="2"/>
        <v>0</v>
      </c>
      <c r="BB403" s="66"/>
      <c r="BC403" s="4"/>
      <c r="BD403" s="67"/>
      <c r="BE403" s="67"/>
      <c r="BF403" s="68"/>
      <c r="BG403" s="69"/>
      <c r="BH403" s="84"/>
      <c r="BI403" s="70"/>
      <c r="BJ403" s="73"/>
      <c r="BK403" s="78"/>
      <c r="BL403" s="78">
        <f t="shared" ca="1" si="3"/>
        <v>0</v>
      </c>
      <c r="BM403" s="78"/>
      <c r="BN403" s="78">
        <f t="shared" ca="1" si="4"/>
        <v>0</v>
      </c>
      <c r="BO403" s="66"/>
      <c r="BP403" s="66"/>
    </row>
    <row r="404" spans="1:68" ht="13.2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>
        <f t="shared" ref="AP404:AQ404" si="397">AR404+AT404+AV404</f>
        <v>0</v>
      </c>
      <c r="AQ404" s="75">
        <f t="shared" si="397"/>
        <v>0</v>
      </c>
      <c r="AR404" s="75"/>
      <c r="AS404" s="75"/>
      <c r="AT404" s="75"/>
      <c r="AU404" s="75"/>
      <c r="AV404" s="75"/>
      <c r="AW404" s="75"/>
      <c r="AX404" s="75"/>
      <c r="AY404" s="77">
        <f t="shared" ca="1" si="1"/>
        <v>0</v>
      </c>
      <c r="AZ404" s="75"/>
      <c r="BA404" s="77">
        <f t="shared" ca="1" si="2"/>
        <v>0</v>
      </c>
      <c r="BB404" s="66"/>
      <c r="BC404" s="4"/>
      <c r="BD404" s="67"/>
      <c r="BE404" s="67"/>
      <c r="BF404" s="68"/>
      <c r="BG404" s="69"/>
      <c r="BH404" s="84"/>
      <c r="BI404" s="70"/>
      <c r="BJ404" s="73"/>
      <c r="BK404" s="78"/>
      <c r="BL404" s="78">
        <f t="shared" ca="1" si="3"/>
        <v>0</v>
      </c>
      <c r="BM404" s="78"/>
      <c r="BN404" s="78">
        <f t="shared" ca="1" si="4"/>
        <v>0</v>
      </c>
      <c r="BO404" s="66"/>
      <c r="BP404" s="66"/>
    </row>
    <row r="405" spans="1:68" ht="13.2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>
        <f t="shared" ref="AP405:AQ405" si="398">AR405+AT405+AV405</f>
        <v>0</v>
      </c>
      <c r="AQ405" s="75">
        <f t="shared" si="398"/>
        <v>0</v>
      </c>
      <c r="AR405" s="75"/>
      <c r="AS405" s="75"/>
      <c r="AT405" s="75"/>
      <c r="AU405" s="75"/>
      <c r="AV405" s="75"/>
      <c r="AW405" s="75"/>
      <c r="AX405" s="75"/>
      <c r="AY405" s="77">
        <f t="shared" ca="1" si="1"/>
        <v>0</v>
      </c>
      <c r="AZ405" s="75"/>
      <c r="BA405" s="77">
        <f t="shared" ca="1" si="2"/>
        <v>0</v>
      </c>
      <c r="BB405" s="66"/>
      <c r="BC405" s="4"/>
      <c r="BD405" s="67"/>
      <c r="BE405" s="67"/>
      <c r="BF405" s="68"/>
      <c r="BG405" s="69"/>
      <c r="BH405" s="84"/>
      <c r="BI405" s="70"/>
      <c r="BJ405" s="73"/>
      <c r="BK405" s="78"/>
      <c r="BL405" s="78">
        <f t="shared" ca="1" si="3"/>
        <v>0</v>
      </c>
      <c r="BM405" s="78"/>
      <c r="BN405" s="78">
        <f t="shared" ca="1" si="4"/>
        <v>0</v>
      </c>
      <c r="BO405" s="66"/>
      <c r="BP405" s="66"/>
    </row>
    <row r="406" spans="1:68" ht="13.2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>
        <f t="shared" ref="AP406:AQ406" si="399">AR406+AT406+AV406</f>
        <v>0</v>
      </c>
      <c r="AQ406" s="75">
        <f t="shared" si="399"/>
        <v>0</v>
      </c>
      <c r="AR406" s="75"/>
      <c r="AS406" s="75"/>
      <c r="AT406" s="75"/>
      <c r="AU406" s="75"/>
      <c r="AV406" s="75"/>
      <c r="AW406" s="75"/>
      <c r="AX406" s="75"/>
      <c r="AY406" s="77">
        <f t="shared" ca="1" si="1"/>
        <v>0</v>
      </c>
      <c r="AZ406" s="75"/>
      <c r="BA406" s="77">
        <f t="shared" ca="1" si="2"/>
        <v>0</v>
      </c>
      <c r="BB406" s="66"/>
      <c r="BC406" s="4"/>
      <c r="BD406" s="67"/>
      <c r="BE406" s="67"/>
      <c r="BF406" s="68"/>
      <c r="BG406" s="69"/>
      <c r="BH406" s="84"/>
      <c r="BI406" s="70"/>
      <c r="BJ406" s="73"/>
      <c r="BK406" s="78"/>
      <c r="BL406" s="78">
        <f t="shared" ca="1" si="3"/>
        <v>0</v>
      </c>
      <c r="BM406" s="78"/>
      <c r="BN406" s="78">
        <f t="shared" ca="1" si="4"/>
        <v>0</v>
      </c>
      <c r="BO406" s="66"/>
      <c r="BP406" s="66"/>
    </row>
    <row r="407" spans="1:68" ht="13.2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>
        <f t="shared" ref="AP407:AQ407" si="400">AR407+AT407+AV407</f>
        <v>0</v>
      </c>
      <c r="AQ407" s="75">
        <f t="shared" si="400"/>
        <v>0</v>
      </c>
      <c r="AR407" s="75"/>
      <c r="AS407" s="75"/>
      <c r="AT407" s="75"/>
      <c r="AU407" s="75"/>
      <c r="AV407" s="75"/>
      <c r="AW407" s="75"/>
      <c r="AX407" s="75"/>
      <c r="AY407" s="77">
        <f t="shared" ca="1" si="1"/>
        <v>0</v>
      </c>
      <c r="AZ407" s="75"/>
      <c r="BA407" s="77">
        <f t="shared" ca="1" si="2"/>
        <v>0</v>
      </c>
      <c r="BB407" s="66"/>
      <c r="BC407" s="4"/>
      <c r="BD407" s="67"/>
      <c r="BE407" s="67"/>
      <c r="BF407" s="68"/>
      <c r="BG407" s="69"/>
      <c r="BH407" s="84"/>
      <c r="BI407" s="70"/>
      <c r="BJ407" s="73"/>
      <c r="BK407" s="78"/>
      <c r="BL407" s="78">
        <f t="shared" ca="1" si="3"/>
        <v>0</v>
      </c>
      <c r="BM407" s="78"/>
      <c r="BN407" s="78">
        <f t="shared" ca="1" si="4"/>
        <v>0</v>
      </c>
      <c r="BO407" s="66"/>
      <c r="BP407" s="66"/>
    </row>
    <row r="408" spans="1:68" ht="13.2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>
        <f t="shared" ref="AP408:AQ408" si="401">AR408+AT408+AV408</f>
        <v>0</v>
      </c>
      <c r="AQ408" s="75">
        <f t="shared" si="401"/>
        <v>0</v>
      </c>
      <c r="AR408" s="75"/>
      <c r="AS408" s="75"/>
      <c r="AT408" s="75"/>
      <c r="AU408" s="75"/>
      <c r="AV408" s="75"/>
      <c r="AW408" s="75"/>
      <c r="AX408" s="75"/>
      <c r="AY408" s="77">
        <f t="shared" ca="1" si="1"/>
        <v>0</v>
      </c>
      <c r="AZ408" s="75"/>
      <c r="BA408" s="77">
        <f t="shared" ca="1" si="2"/>
        <v>0</v>
      </c>
      <c r="BB408" s="66"/>
      <c r="BC408" s="4"/>
      <c r="BD408" s="67"/>
      <c r="BE408" s="67"/>
      <c r="BF408" s="68"/>
      <c r="BG408" s="69"/>
      <c r="BH408" s="84"/>
      <c r="BI408" s="70"/>
      <c r="BJ408" s="73"/>
      <c r="BK408" s="78"/>
      <c r="BL408" s="78">
        <f t="shared" ca="1" si="3"/>
        <v>0</v>
      </c>
      <c r="BM408" s="78"/>
      <c r="BN408" s="78">
        <f t="shared" ca="1" si="4"/>
        <v>0</v>
      </c>
      <c r="BO408" s="66"/>
      <c r="BP408" s="66"/>
    </row>
    <row r="409" spans="1:68" ht="13.2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>
        <f t="shared" ref="AP409:AQ409" si="402">AR409+AT409+AV409</f>
        <v>0</v>
      </c>
      <c r="AQ409" s="75">
        <f t="shared" si="402"/>
        <v>0</v>
      </c>
      <c r="AR409" s="75"/>
      <c r="AS409" s="75"/>
      <c r="AT409" s="75"/>
      <c r="AU409" s="75"/>
      <c r="AV409" s="75"/>
      <c r="AW409" s="75"/>
      <c r="AX409" s="75"/>
      <c r="AY409" s="77">
        <f t="shared" ca="1" si="1"/>
        <v>0</v>
      </c>
      <c r="AZ409" s="75"/>
      <c r="BA409" s="77">
        <f t="shared" ca="1" si="2"/>
        <v>0</v>
      </c>
      <c r="BB409" s="66"/>
      <c r="BC409" s="4"/>
      <c r="BD409" s="67"/>
      <c r="BE409" s="67"/>
      <c r="BF409" s="68"/>
      <c r="BG409" s="69"/>
      <c r="BH409" s="84"/>
      <c r="BI409" s="70"/>
      <c r="BJ409" s="73"/>
      <c r="BK409" s="78"/>
      <c r="BL409" s="78">
        <f t="shared" ca="1" si="3"/>
        <v>0</v>
      </c>
      <c r="BM409" s="78"/>
      <c r="BN409" s="78">
        <f t="shared" ca="1" si="4"/>
        <v>0</v>
      </c>
      <c r="BO409" s="66"/>
      <c r="BP409" s="66"/>
    </row>
    <row r="410" spans="1:68" ht="13.2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>
        <f t="shared" ref="AP410:AQ410" si="403">AR410+AT410+AV410</f>
        <v>0</v>
      </c>
      <c r="AQ410" s="75">
        <f t="shared" si="403"/>
        <v>0</v>
      </c>
      <c r="AR410" s="75"/>
      <c r="AS410" s="75"/>
      <c r="AT410" s="75"/>
      <c r="AU410" s="75"/>
      <c r="AV410" s="75"/>
      <c r="AW410" s="75"/>
      <c r="AX410" s="75"/>
      <c r="AY410" s="77">
        <f t="shared" ca="1" si="1"/>
        <v>0</v>
      </c>
      <c r="AZ410" s="75"/>
      <c r="BA410" s="77">
        <f t="shared" ca="1" si="2"/>
        <v>0</v>
      </c>
      <c r="BB410" s="66"/>
      <c r="BC410" s="4"/>
      <c r="BD410" s="67"/>
      <c r="BE410" s="67"/>
      <c r="BF410" s="68"/>
      <c r="BG410" s="69"/>
      <c r="BH410" s="84"/>
      <c r="BI410" s="70"/>
      <c r="BJ410" s="73"/>
      <c r="BK410" s="78"/>
      <c r="BL410" s="78">
        <f t="shared" ca="1" si="3"/>
        <v>0</v>
      </c>
      <c r="BM410" s="78"/>
      <c r="BN410" s="78">
        <f t="shared" ca="1" si="4"/>
        <v>0</v>
      </c>
      <c r="BO410" s="66"/>
      <c r="BP410" s="66"/>
    </row>
    <row r="411" spans="1:68" ht="13.2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>
        <f t="shared" ref="AP411:AQ411" si="404">AR411+AT411+AV411</f>
        <v>0</v>
      </c>
      <c r="AQ411" s="75">
        <f t="shared" si="404"/>
        <v>0</v>
      </c>
      <c r="AR411" s="75"/>
      <c r="AS411" s="75"/>
      <c r="AT411" s="75"/>
      <c r="AU411" s="75"/>
      <c r="AV411" s="75"/>
      <c r="AW411" s="75"/>
      <c r="AX411" s="75"/>
      <c r="AY411" s="77">
        <f t="shared" ca="1" si="1"/>
        <v>0</v>
      </c>
      <c r="AZ411" s="75"/>
      <c r="BA411" s="77">
        <f t="shared" ca="1" si="2"/>
        <v>0</v>
      </c>
      <c r="BB411" s="66"/>
      <c r="BC411" s="4"/>
      <c r="BD411" s="67"/>
      <c r="BE411" s="67"/>
      <c r="BF411" s="68"/>
      <c r="BG411" s="69"/>
      <c r="BH411" s="84"/>
      <c r="BI411" s="70"/>
      <c r="BJ411" s="73"/>
      <c r="BK411" s="78"/>
      <c r="BL411" s="78">
        <f t="shared" ca="1" si="3"/>
        <v>0</v>
      </c>
      <c r="BM411" s="78"/>
      <c r="BN411" s="78">
        <f t="shared" ca="1" si="4"/>
        <v>0</v>
      </c>
      <c r="BO411" s="66"/>
      <c r="BP411" s="66"/>
    </row>
    <row r="412" spans="1:68" ht="13.2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>
        <f t="shared" ref="AP412:AQ412" si="405">AR412+AT412+AV412</f>
        <v>0</v>
      </c>
      <c r="AQ412" s="75">
        <f t="shared" si="405"/>
        <v>0</v>
      </c>
      <c r="AR412" s="75"/>
      <c r="AS412" s="75"/>
      <c r="AT412" s="75"/>
      <c r="AU412" s="75"/>
      <c r="AV412" s="75"/>
      <c r="AW412" s="75"/>
      <c r="AX412" s="75"/>
      <c r="AY412" s="77">
        <f t="shared" ca="1" si="1"/>
        <v>0</v>
      </c>
      <c r="AZ412" s="75"/>
      <c r="BA412" s="77">
        <f t="shared" ca="1" si="2"/>
        <v>0</v>
      </c>
      <c r="BB412" s="66"/>
      <c r="BC412" s="4"/>
      <c r="BD412" s="86"/>
      <c r="BE412" s="86"/>
      <c r="BF412" s="68"/>
      <c r="BG412" s="84"/>
      <c r="BH412" s="70"/>
      <c r="BI412" s="70"/>
      <c r="BJ412" s="79"/>
      <c r="BK412" s="78"/>
      <c r="BL412" s="78">
        <f t="shared" ca="1" si="3"/>
        <v>0</v>
      </c>
      <c r="BM412" s="78"/>
      <c r="BN412" s="78">
        <f t="shared" ca="1" si="4"/>
        <v>0</v>
      </c>
      <c r="BO412" s="66"/>
      <c r="BP412" s="66"/>
    </row>
    <row r="413" spans="1:68" ht="13.2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>
        <f t="shared" ref="AP413:AQ413" si="406">AR413+AT413+AV413</f>
        <v>0</v>
      </c>
      <c r="AQ413" s="75">
        <f t="shared" si="406"/>
        <v>0</v>
      </c>
      <c r="AR413" s="75"/>
      <c r="AS413" s="75"/>
      <c r="AT413" s="75"/>
      <c r="AU413" s="75"/>
      <c r="AV413" s="75"/>
      <c r="AW413" s="75"/>
      <c r="AX413" s="75"/>
      <c r="AY413" s="77">
        <f t="shared" ca="1" si="1"/>
        <v>0</v>
      </c>
      <c r="AZ413" s="75"/>
      <c r="BA413" s="77">
        <f t="shared" ca="1" si="2"/>
        <v>0</v>
      </c>
      <c r="BB413" s="66"/>
      <c r="BC413" s="4"/>
      <c r="BD413" s="67"/>
      <c r="BE413" s="67"/>
      <c r="BF413" s="68"/>
      <c r="BG413" s="69"/>
      <c r="BH413" s="70"/>
      <c r="BI413" s="70"/>
      <c r="BJ413" s="73"/>
      <c r="BK413" s="78"/>
      <c r="BL413" s="78">
        <f t="shared" ca="1" si="3"/>
        <v>0</v>
      </c>
      <c r="BM413" s="78"/>
      <c r="BN413" s="78">
        <f t="shared" ca="1" si="4"/>
        <v>0</v>
      </c>
      <c r="BO413" s="66"/>
      <c r="BP413" s="66"/>
    </row>
    <row r="414" spans="1:68" ht="13.2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>
        <f t="shared" ref="AP414:AQ414" si="407">AR414+AT414+AV414</f>
        <v>0</v>
      </c>
      <c r="AQ414" s="75">
        <f t="shared" si="407"/>
        <v>0</v>
      </c>
      <c r="AR414" s="75"/>
      <c r="AS414" s="75"/>
      <c r="AT414" s="75"/>
      <c r="AU414" s="75"/>
      <c r="AV414" s="75"/>
      <c r="AW414" s="75"/>
      <c r="AX414" s="75"/>
      <c r="AY414" s="77">
        <f t="shared" ca="1" si="1"/>
        <v>0</v>
      </c>
      <c r="AZ414" s="75"/>
      <c r="BA414" s="77">
        <f t="shared" ca="1" si="2"/>
        <v>0</v>
      </c>
      <c r="BB414" s="66"/>
      <c r="BC414" s="4"/>
      <c r="BD414" s="67"/>
      <c r="BE414" s="67"/>
      <c r="BF414" s="68"/>
      <c r="BG414" s="69"/>
      <c r="BH414" s="70"/>
      <c r="BI414" s="70"/>
      <c r="BJ414" s="73"/>
      <c r="BK414" s="78"/>
      <c r="BL414" s="78">
        <f t="shared" ca="1" si="3"/>
        <v>0</v>
      </c>
      <c r="BM414" s="78"/>
      <c r="BN414" s="78">
        <f t="shared" ca="1" si="4"/>
        <v>0</v>
      </c>
      <c r="BO414" s="66"/>
      <c r="BP414" s="66"/>
    </row>
    <row r="415" spans="1:68" ht="13.2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>
        <f t="shared" ref="AP415:AQ415" si="408">AR415+AT415+AV415</f>
        <v>0</v>
      </c>
      <c r="AQ415" s="75">
        <f t="shared" si="408"/>
        <v>0</v>
      </c>
      <c r="AR415" s="75"/>
      <c r="AS415" s="75"/>
      <c r="AT415" s="75"/>
      <c r="AU415" s="75"/>
      <c r="AV415" s="75"/>
      <c r="AW415" s="75"/>
      <c r="AX415" s="75"/>
      <c r="AY415" s="77">
        <f t="shared" ca="1" si="1"/>
        <v>0</v>
      </c>
      <c r="AZ415" s="75"/>
      <c r="BA415" s="77">
        <f t="shared" ca="1" si="2"/>
        <v>0</v>
      </c>
      <c r="BB415" s="66"/>
      <c r="BC415" s="4"/>
      <c r="BD415" s="67"/>
      <c r="BE415" s="67"/>
      <c r="BF415" s="68"/>
      <c r="BG415" s="69"/>
      <c r="BH415" s="70"/>
      <c r="BI415" s="70"/>
      <c r="BJ415" s="73"/>
      <c r="BK415" s="78"/>
      <c r="BL415" s="78">
        <f t="shared" ca="1" si="3"/>
        <v>0</v>
      </c>
      <c r="BM415" s="78"/>
      <c r="BN415" s="78">
        <f t="shared" ca="1" si="4"/>
        <v>0</v>
      </c>
      <c r="BO415" s="66"/>
      <c r="BP415" s="66"/>
    </row>
    <row r="416" spans="1:68" ht="13.2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>
        <f t="shared" ref="AP416:AQ416" si="409">AR416+AT416+AV416</f>
        <v>0</v>
      </c>
      <c r="AQ416" s="75">
        <f t="shared" si="409"/>
        <v>0</v>
      </c>
      <c r="AR416" s="75"/>
      <c r="AS416" s="75"/>
      <c r="AT416" s="75"/>
      <c r="AU416" s="75"/>
      <c r="AV416" s="75"/>
      <c r="AW416" s="75"/>
      <c r="AX416" s="75"/>
      <c r="AY416" s="77">
        <f t="shared" ca="1" si="1"/>
        <v>0</v>
      </c>
      <c r="AZ416" s="75"/>
      <c r="BA416" s="77">
        <f t="shared" ca="1" si="2"/>
        <v>0</v>
      </c>
      <c r="BB416" s="66"/>
      <c r="BC416" s="4"/>
      <c r="BD416" s="67"/>
      <c r="BE416" s="67"/>
      <c r="BF416" s="68"/>
      <c r="BG416" s="69"/>
      <c r="BH416" s="70"/>
      <c r="BI416" s="70"/>
      <c r="BJ416" s="73"/>
      <c r="BK416" s="78"/>
      <c r="BL416" s="78">
        <f t="shared" ca="1" si="3"/>
        <v>0</v>
      </c>
      <c r="BM416" s="78"/>
      <c r="BN416" s="78">
        <f t="shared" ca="1" si="4"/>
        <v>0</v>
      </c>
      <c r="BO416" s="66"/>
      <c r="BP416" s="66"/>
    </row>
    <row r="417" spans="1:68" ht="13.2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>
        <f t="shared" ref="AP417:AQ417" si="410">AR417+AT417+AV417</f>
        <v>0</v>
      </c>
      <c r="AQ417" s="75">
        <f t="shared" si="410"/>
        <v>0</v>
      </c>
      <c r="AR417" s="75"/>
      <c r="AS417" s="75"/>
      <c r="AT417" s="75"/>
      <c r="AU417" s="75"/>
      <c r="AV417" s="75"/>
      <c r="AW417" s="75"/>
      <c r="AX417" s="75"/>
      <c r="AY417" s="77">
        <f t="shared" ca="1" si="1"/>
        <v>0</v>
      </c>
      <c r="AZ417" s="75"/>
      <c r="BA417" s="77">
        <f t="shared" ca="1" si="2"/>
        <v>0</v>
      </c>
      <c r="BB417" s="66"/>
      <c r="BC417" s="4"/>
      <c r="BD417" s="67"/>
      <c r="BE417" s="67"/>
      <c r="BF417" s="68"/>
      <c r="BG417" s="69"/>
      <c r="BH417" s="70"/>
      <c r="BI417" s="70"/>
      <c r="BJ417" s="73"/>
      <c r="BK417" s="78"/>
      <c r="BL417" s="78">
        <f t="shared" ca="1" si="3"/>
        <v>0</v>
      </c>
      <c r="BM417" s="78"/>
      <c r="BN417" s="78">
        <f t="shared" ca="1" si="4"/>
        <v>0</v>
      </c>
      <c r="BO417" s="66"/>
      <c r="BP417" s="66"/>
    </row>
    <row r="418" spans="1:68" ht="13.2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>
        <f t="shared" ref="AP418:AQ418" si="411">AR418+AT418+AV418</f>
        <v>0</v>
      </c>
      <c r="AQ418" s="75">
        <f t="shared" si="411"/>
        <v>0</v>
      </c>
      <c r="AR418" s="75"/>
      <c r="AS418" s="75"/>
      <c r="AT418" s="75"/>
      <c r="AU418" s="75"/>
      <c r="AV418" s="75"/>
      <c r="AW418" s="75"/>
      <c r="AX418" s="75"/>
      <c r="AY418" s="77">
        <f t="shared" ca="1" si="1"/>
        <v>0</v>
      </c>
      <c r="AZ418" s="75"/>
      <c r="BA418" s="77">
        <f t="shared" ca="1" si="2"/>
        <v>0</v>
      </c>
      <c r="BB418" s="66"/>
      <c r="BC418" s="4"/>
      <c r="BD418" s="67"/>
      <c r="BE418" s="67"/>
      <c r="BF418" s="68"/>
      <c r="BG418" s="69"/>
      <c r="BH418" s="70"/>
      <c r="BI418" s="70"/>
      <c r="BJ418" s="73"/>
      <c r="BK418" s="78"/>
      <c r="BL418" s="78">
        <f t="shared" ca="1" si="3"/>
        <v>0</v>
      </c>
      <c r="BM418" s="78"/>
      <c r="BN418" s="78">
        <f t="shared" ca="1" si="4"/>
        <v>0</v>
      </c>
      <c r="BO418" s="66"/>
      <c r="BP418" s="66"/>
    </row>
    <row r="419" spans="1:68" ht="13.2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>
        <f t="shared" ref="AP419:AQ419" si="412">AR419+AT419+AV419</f>
        <v>0</v>
      </c>
      <c r="AQ419" s="75">
        <f t="shared" si="412"/>
        <v>0</v>
      </c>
      <c r="AR419" s="75"/>
      <c r="AS419" s="75"/>
      <c r="AT419" s="75"/>
      <c r="AU419" s="75"/>
      <c r="AV419" s="75"/>
      <c r="AW419" s="75"/>
      <c r="AX419" s="75"/>
      <c r="AY419" s="77">
        <f t="shared" ca="1" si="1"/>
        <v>0</v>
      </c>
      <c r="AZ419" s="75"/>
      <c r="BA419" s="77">
        <f t="shared" ca="1" si="2"/>
        <v>0</v>
      </c>
      <c r="BB419" s="66"/>
      <c r="BC419" s="4"/>
      <c r="BD419" s="67"/>
      <c r="BE419" s="67"/>
      <c r="BF419" s="68"/>
      <c r="BG419" s="69"/>
      <c r="BH419" s="70"/>
      <c r="BI419" s="70"/>
      <c r="BJ419" s="73"/>
      <c r="BK419" s="78"/>
      <c r="BL419" s="78">
        <f t="shared" ca="1" si="3"/>
        <v>0</v>
      </c>
      <c r="BM419" s="78"/>
      <c r="BN419" s="78">
        <f t="shared" ca="1" si="4"/>
        <v>0</v>
      </c>
      <c r="BO419" s="66"/>
      <c r="BP419" s="66"/>
    </row>
    <row r="420" spans="1:68" ht="13.2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>
        <f t="shared" ref="AP420:AQ420" si="413">AR420+AT420+AV420</f>
        <v>0</v>
      </c>
      <c r="AQ420" s="75">
        <f t="shared" si="413"/>
        <v>0</v>
      </c>
      <c r="AR420" s="75"/>
      <c r="AS420" s="75"/>
      <c r="AT420" s="75"/>
      <c r="AU420" s="75"/>
      <c r="AV420" s="75"/>
      <c r="AW420" s="75"/>
      <c r="AX420" s="75"/>
      <c r="AY420" s="77">
        <f t="shared" ca="1" si="1"/>
        <v>0</v>
      </c>
      <c r="AZ420" s="75"/>
      <c r="BA420" s="77">
        <f t="shared" ca="1" si="2"/>
        <v>0</v>
      </c>
      <c r="BB420" s="66"/>
      <c r="BC420" s="4"/>
      <c r="BD420" s="67"/>
      <c r="BE420" s="67"/>
      <c r="BF420" s="68"/>
      <c r="BG420" s="69"/>
      <c r="BH420" s="70"/>
      <c r="BI420" s="70"/>
      <c r="BJ420" s="73"/>
      <c r="BK420" s="78"/>
      <c r="BL420" s="78">
        <f t="shared" ca="1" si="3"/>
        <v>0</v>
      </c>
      <c r="BM420" s="78"/>
      <c r="BN420" s="78">
        <f t="shared" ca="1" si="4"/>
        <v>0</v>
      </c>
      <c r="BO420" s="66"/>
      <c r="BP420" s="66"/>
    </row>
    <row r="421" spans="1:68" ht="13.2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>
        <f t="shared" ref="AP421:AQ421" si="414">AR421+AT421+AV421</f>
        <v>0</v>
      </c>
      <c r="AQ421" s="75">
        <f t="shared" si="414"/>
        <v>0</v>
      </c>
      <c r="AR421" s="75"/>
      <c r="AS421" s="75"/>
      <c r="AT421" s="75"/>
      <c r="AU421" s="75"/>
      <c r="AV421" s="75"/>
      <c r="AW421" s="75"/>
      <c r="AX421" s="75"/>
      <c r="AY421" s="77">
        <f t="shared" ca="1" si="1"/>
        <v>0</v>
      </c>
      <c r="AZ421" s="75"/>
      <c r="BA421" s="77">
        <f t="shared" ca="1" si="2"/>
        <v>0</v>
      </c>
      <c r="BB421" s="66"/>
      <c r="BC421" s="4"/>
      <c r="BD421" s="67"/>
      <c r="BE421" s="67"/>
      <c r="BF421" s="68"/>
      <c r="BG421" s="69"/>
      <c r="BH421" s="84"/>
      <c r="BI421" s="70"/>
      <c r="BJ421" s="73"/>
      <c r="BK421" s="78"/>
      <c r="BL421" s="78">
        <f t="shared" ca="1" si="3"/>
        <v>0</v>
      </c>
      <c r="BM421" s="78"/>
      <c r="BN421" s="78">
        <f t="shared" ca="1" si="4"/>
        <v>0</v>
      </c>
      <c r="BO421" s="66"/>
      <c r="BP421" s="66"/>
    </row>
    <row r="422" spans="1:68" ht="13.2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>
        <f t="shared" ref="AP422:AQ422" si="415">AR422+AT422+AV422</f>
        <v>0</v>
      </c>
      <c r="AQ422" s="75">
        <f t="shared" si="415"/>
        <v>0</v>
      </c>
      <c r="AR422" s="75"/>
      <c r="AS422" s="75"/>
      <c r="AT422" s="75"/>
      <c r="AU422" s="75"/>
      <c r="AV422" s="75"/>
      <c r="AW422" s="75"/>
      <c r="AX422" s="75"/>
      <c r="AY422" s="77">
        <f t="shared" ca="1" si="1"/>
        <v>0</v>
      </c>
      <c r="AZ422" s="75"/>
      <c r="BA422" s="77">
        <f t="shared" ca="1" si="2"/>
        <v>0</v>
      </c>
      <c r="BB422" s="66"/>
      <c r="BC422" s="4"/>
      <c r="BD422" s="67"/>
      <c r="BE422" s="67"/>
      <c r="BF422" s="68"/>
      <c r="BG422" s="69"/>
      <c r="BH422" s="84"/>
      <c r="BI422" s="70"/>
      <c r="BJ422" s="73"/>
      <c r="BK422" s="78"/>
      <c r="BL422" s="78">
        <f t="shared" ca="1" si="3"/>
        <v>0</v>
      </c>
      <c r="BM422" s="78"/>
      <c r="BN422" s="78">
        <f t="shared" ca="1" si="4"/>
        <v>0</v>
      </c>
      <c r="BO422" s="66"/>
      <c r="BP422" s="66"/>
    </row>
    <row r="423" spans="1:68" ht="13.2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>
        <f t="shared" ref="AP423:AQ423" si="416">AR423+AT423+AV423</f>
        <v>0</v>
      </c>
      <c r="AQ423" s="75">
        <f t="shared" si="416"/>
        <v>0</v>
      </c>
      <c r="AR423" s="75"/>
      <c r="AS423" s="75"/>
      <c r="AT423" s="75"/>
      <c r="AU423" s="75"/>
      <c r="AV423" s="75"/>
      <c r="AW423" s="75"/>
      <c r="AX423" s="75"/>
      <c r="AY423" s="77">
        <f t="shared" ca="1" si="1"/>
        <v>0</v>
      </c>
      <c r="AZ423" s="75"/>
      <c r="BA423" s="77">
        <f t="shared" ca="1" si="2"/>
        <v>0</v>
      </c>
      <c r="BB423" s="66"/>
      <c r="BC423" s="4"/>
      <c r="BD423" s="67"/>
      <c r="BE423" s="67"/>
      <c r="BF423" s="68"/>
      <c r="BG423" s="69"/>
      <c r="BH423" s="84"/>
      <c r="BI423" s="70"/>
      <c r="BJ423" s="73"/>
      <c r="BK423" s="78"/>
      <c r="BL423" s="78">
        <f t="shared" ca="1" si="3"/>
        <v>0</v>
      </c>
      <c r="BM423" s="78"/>
      <c r="BN423" s="78">
        <f t="shared" ca="1" si="4"/>
        <v>0</v>
      </c>
      <c r="BO423" s="66"/>
      <c r="BP423" s="66"/>
    </row>
    <row r="424" spans="1:68" ht="13.2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>
        <f t="shared" ref="AP424:AQ424" si="417">AR424+AT424+AV424</f>
        <v>0</v>
      </c>
      <c r="AQ424" s="75">
        <f t="shared" si="417"/>
        <v>0</v>
      </c>
      <c r="AR424" s="75"/>
      <c r="AS424" s="75"/>
      <c r="AT424" s="75"/>
      <c r="AU424" s="75"/>
      <c r="AV424" s="75"/>
      <c r="AW424" s="75"/>
      <c r="AX424" s="75"/>
      <c r="AY424" s="77">
        <f t="shared" ca="1" si="1"/>
        <v>0</v>
      </c>
      <c r="AZ424" s="75"/>
      <c r="BA424" s="77">
        <f t="shared" ca="1" si="2"/>
        <v>0</v>
      </c>
      <c r="BB424" s="66"/>
      <c r="BC424" s="4"/>
      <c r="BD424" s="67"/>
      <c r="BE424" s="67"/>
      <c r="BF424" s="68"/>
      <c r="BG424" s="69"/>
      <c r="BH424" s="70"/>
      <c r="BI424" s="70"/>
      <c r="BJ424" s="73"/>
      <c r="BK424" s="78"/>
      <c r="BL424" s="78">
        <f t="shared" ca="1" si="3"/>
        <v>0</v>
      </c>
      <c r="BM424" s="78"/>
      <c r="BN424" s="78">
        <f t="shared" ca="1" si="4"/>
        <v>0</v>
      </c>
      <c r="BO424" s="66"/>
      <c r="BP424" s="66"/>
    </row>
    <row r="425" spans="1:68" ht="13.2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>
        <f t="shared" ref="AP425:AQ425" si="418">AR425+AT425+AV425</f>
        <v>0</v>
      </c>
      <c r="AQ425" s="75">
        <f t="shared" si="418"/>
        <v>0</v>
      </c>
      <c r="AR425" s="75"/>
      <c r="AS425" s="75"/>
      <c r="AT425" s="75"/>
      <c r="AU425" s="75"/>
      <c r="AV425" s="75"/>
      <c r="AW425" s="75"/>
      <c r="AX425" s="75"/>
      <c r="AY425" s="77">
        <f t="shared" ca="1" si="1"/>
        <v>0</v>
      </c>
      <c r="AZ425" s="75"/>
      <c r="BA425" s="77">
        <f t="shared" ca="1" si="2"/>
        <v>0</v>
      </c>
      <c r="BB425" s="66"/>
      <c r="BC425" s="4"/>
      <c r="BD425" s="67"/>
      <c r="BE425" s="67"/>
      <c r="BF425" s="68"/>
      <c r="BG425" s="69"/>
      <c r="BH425" s="84"/>
      <c r="BI425" s="70"/>
      <c r="BJ425" s="73"/>
      <c r="BK425" s="78"/>
      <c r="BL425" s="78">
        <f t="shared" ca="1" si="3"/>
        <v>0</v>
      </c>
      <c r="BM425" s="78"/>
      <c r="BN425" s="78">
        <f t="shared" ca="1" si="4"/>
        <v>0</v>
      </c>
      <c r="BO425" s="66"/>
      <c r="BP425" s="66"/>
    </row>
    <row r="426" spans="1:68" ht="13.2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>
        <f t="shared" ref="AP426:AQ426" si="419">AR426+AT426+AV426</f>
        <v>0</v>
      </c>
      <c r="AQ426" s="75">
        <f t="shared" si="419"/>
        <v>0</v>
      </c>
      <c r="AR426" s="75"/>
      <c r="AS426" s="75"/>
      <c r="AT426" s="75"/>
      <c r="AU426" s="75"/>
      <c r="AV426" s="75"/>
      <c r="AW426" s="75"/>
      <c r="AX426" s="75"/>
      <c r="AY426" s="77">
        <f t="shared" ca="1" si="1"/>
        <v>0</v>
      </c>
      <c r="AZ426" s="75"/>
      <c r="BA426" s="77">
        <f t="shared" ca="1" si="2"/>
        <v>0</v>
      </c>
      <c r="BB426" s="66"/>
      <c r="BC426" s="4"/>
      <c r="BD426" s="67"/>
      <c r="BE426" s="67"/>
      <c r="BF426" s="68"/>
      <c r="BG426" s="69"/>
      <c r="BH426" s="84"/>
      <c r="BI426" s="70"/>
      <c r="BJ426" s="73"/>
      <c r="BK426" s="78"/>
      <c r="BL426" s="78">
        <f t="shared" ca="1" si="3"/>
        <v>0</v>
      </c>
      <c r="BM426" s="78"/>
      <c r="BN426" s="78">
        <f t="shared" ca="1" si="4"/>
        <v>0</v>
      </c>
      <c r="BO426" s="66"/>
      <c r="BP426" s="66"/>
    </row>
    <row r="427" spans="1:68" ht="13.2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>
        <f t="shared" ref="AP427:AQ427" si="420">AR427+AT427+AV427</f>
        <v>0</v>
      </c>
      <c r="AQ427" s="75">
        <f t="shared" si="420"/>
        <v>0</v>
      </c>
      <c r="AR427" s="75"/>
      <c r="AS427" s="75"/>
      <c r="AT427" s="75"/>
      <c r="AU427" s="75"/>
      <c r="AV427" s="75"/>
      <c r="AW427" s="75"/>
      <c r="AX427" s="75"/>
      <c r="AY427" s="77">
        <f t="shared" ca="1" si="1"/>
        <v>0</v>
      </c>
      <c r="AZ427" s="75"/>
      <c r="BA427" s="77">
        <f t="shared" ca="1" si="2"/>
        <v>0</v>
      </c>
      <c r="BB427" s="66"/>
      <c r="BC427" s="4"/>
      <c r="BD427" s="67"/>
      <c r="BE427" s="67"/>
      <c r="BF427" s="68"/>
      <c r="BG427" s="69"/>
      <c r="BH427" s="84"/>
      <c r="BI427" s="70"/>
      <c r="BJ427" s="73"/>
      <c r="BK427" s="78"/>
      <c r="BL427" s="78">
        <f t="shared" ca="1" si="3"/>
        <v>0</v>
      </c>
      <c r="BM427" s="78"/>
      <c r="BN427" s="78">
        <f t="shared" ca="1" si="4"/>
        <v>0</v>
      </c>
      <c r="BO427" s="66"/>
      <c r="BP427" s="66"/>
    </row>
    <row r="428" spans="1:68" ht="13.2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>
        <f t="shared" ref="AP428:AQ428" si="421">AR428+AT428+AV428</f>
        <v>0</v>
      </c>
      <c r="AQ428" s="75">
        <f t="shared" si="421"/>
        <v>0</v>
      </c>
      <c r="AR428" s="75"/>
      <c r="AS428" s="75"/>
      <c r="AT428" s="75"/>
      <c r="AU428" s="75"/>
      <c r="AV428" s="75"/>
      <c r="AW428" s="75"/>
      <c r="AX428" s="75"/>
      <c r="AY428" s="77">
        <f t="shared" ca="1" si="1"/>
        <v>0</v>
      </c>
      <c r="AZ428" s="75"/>
      <c r="BA428" s="77">
        <f t="shared" ca="1" si="2"/>
        <v>0</v>
      </c>
      <c r="BB428" s="66"/>
      <c r="BC428" s="4"/>
      <c r="BD428" s="67"/>
      <c r="BE428" s="67"/>
      <c r="BF428" s="68"/>
      <c r="BG428" s="69"/>
      <c r="BH428" s="84"/>
      <c r="BI428" s="70"/>
      <c r="BJ428" s="73"/>
      <c r="BK428" s="78"/>
      <c r="BL428" s="78">
        <f t="shared" ca="1" si="3"/>
        <v>0</v>
      </c>
      <c r="BM428" s="78"/>
      <c r="BN428" s="78">
        <f t="shared" ca="1" si="4"/>
        <v>0</v>
      </c>
      <c r="BO428" s="66"/>
      <c r="BP428" s="66"/>
    </row>
    <row r="429" spans="1:68" ht="13.2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>
        <f t="shared" ref="AP429:AQ429" si="422">AR429+AT429+AV429</f>
        <v>0</v>
      </c>
      <c r="AQ429" s="75">
        <f t="shared" si="422"/>
        <v>0</v>
      </c>
      <c r="AR429" s="75"/>
      <c r="AS429" s="75"/>
      <c r="AT429" s="75"/>
      <c r="AU429" s="75"/>
      <c r="AV429" s="75"/>
      <c r="AW429" s="75"/>
      <c r="AX429" s="75"/>
      <c r="AY429" s="77">
        <f t="shared" ca="1" si="1"/>
        <v>0</v>
      </c>
      <c r="AZ429" s="75"/>
      <c r="BA429" s="77">
        <f t="shared" ca="1" si="2"/>
        <v>0</v>
      </c>
      <c r="BB429" s="66"/>
      <c r="BC429" s="4"/>
      <c r="BD429" s="67"/>
      <c r="BE429" s="67"/>
      <c r="BF429" s="68"/>
      <c r="BG429" s="69"/>
      <c r="BH429" s="84"/>
      <c r="BI429" s="70"/>
      <c r="BJ429" s="73"/>
      <c r="BK429" s="78"/>
      <c r="BL429" s="78">
        <f t="shared" ca="1" si="3"/>
        <v>0</v>
      </c>
      <c r="BM429" s="78"/>
      <c r="BN429" s="78">
        <f t="shared" ca="1" si="4"/>
        <v>0</v>
      </c>
      <c r="BO429" s="66"/>
      <c r="BP429" s="66"/>
    </row>
    <row r="430" spans="1:68" ht="13.2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>
        <f t="shared" ref="AP430:AQ430" si="423">AR430+AT430+AV430</f>
        <v>0</v>
      </c>
      <c r="AQ430" s="75">
        <f t="shared" si="423"/>
        <v>0</v>
      </c>
      <c r="AR430" s="75"/>
      <c r="AS430" s="75"/>
      <c r="AT430" s="75"/>
      <c r="AU430" s="75"/>
      <c r="AV430" s="75"/>
      <c r="AW430" s="75"/>
      <c r="AX430" s="75"/>
      <c r="AY430" s="77">
        <f t="shared" ca="1" si="1"/>
        <v>0</v>
      </c>
      <c r="AZ430" s="75"/>
      <c r="BA430" s="77">
        <f t="shared" ca="1" si="2"/>
        <v>0</v>
      </c>
      <c r="BB430" s="66"/>
      <c r="BC430" s="4"/>
      <c r="BD430" s="67"/>
      <c r="BE430" s="67"/>
      <c r="BF430" s="68"/>
      <c r="BG430" s="69"/>
      <c r="BH430" s="84"/>
      <c r="BI430" s="70"/>
      <c r="BJ430" s="73"/>
      <c r="BK430" s="78"/>
      <c r="BL430" s="78">
        <f t="shared" ca="1" si="3"/>
        <v>0</v>
      </c>
      <c r="BM430" s="78"/>
      <c r="BN430" s="78">
        <f t="shared" ca="1" si="4"/>
        <v>0</v>
      </c>
      <c r="BO430" s="66"/>
      <c r="BP430" s="66"/>
    </row>
    <row r="431" spans="1:68" ht="13.2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>
        <f t="shared" ref="AP431:AQ431" si="424">AR431+AT431+AV431</f>
        <v>0</v>
      </c>
      <c r="AQ431" s="75">
        <f t="shared" si="424"/>
        <v>0</v>
      </c>
      <c r="AR431" s="75"/>
      <c r="AS431" s="75"/>
      <c r="AT431" s="75"/>
      <c r="AU431" s="75"/>
      <c r="AV431" s="75"/>
      <c r="AW431" s="75"/>
      <c r="AX431" s="75"/>
      <c r="AY431" s="77">
        <f t="shared" ca="1" si="1"/>
        <v>0</v>
      </c>
      <c r="AZ431" s="75"/>
      <c r="BA431" s="77">
        <f t="shared" ca="1" si="2"/>
        <v>0</v>
      </c>
      <c r="BB431" s="66"/>
      <c r="BC431" s="4"/>
      <c r="BD431" s="67"/>
      <c r="BE431" s="67"/>
      <c r="BF431" s="68"/>
      <c r="BG431" s="69"/>
      <c r="BH431" s="84"/>
      <c r="BI431" s="70"/>
      <c r="BJ431" s="73"/>
      <c r="BK431" s="78"/>
      <c r="BL431" s="78">
        <f t="shared" ca="1" si="3"/>
        <v>0</v>
      </c>
      <c r="BM431" s="78"/>
      <c r="BN431" s="78">
        <f t="shared" ca="1" si="4"/>
        <v>0</v>
      </c>
      <c r="BO431" s="66"/>
      <c r="BP431" s="66"/>
    </row>
    <row r="432" spans="1:68" ht="13.2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>
        <f t="shared" ref="AP432:AQ432" si="425">AR432+AT432+AV432</f>
        <v>0</v>
      </c>
      <c r="AQ432" s="75">
        <f t="shared" si="425"/>
        <v>0</v>
      </c>
      <c r="AR432" s="75"/>
      <c r="AS432" s="75"/>
      <c r="AT432" s="75"/>
      <c r="AU432" s="75"/>
      <c r="AV432" s="75"/>
      <c r="AW432" s="75"/>
      <c r="AX432" s="75"/>
      <c r="AY432" s="77">
        <f t="shared" ca="1" si="1"/>
        <v>0</v>
      </c>
      <c r="AZ432" s="75"/>
      <c r="BA432" s="77">
        <f t="shared" ca="1" si="2"/>
        <v>0</v>
      </c>
      <c r="BB432" s="66"/>
      <c r="BC432" s="4"/>
      <c r="BD432" s="67"/>
      <c r="BE432" s="67"/>
      <c r="BF432" s="68"/>
      <c r="BG432" s="69"/>
      <c r="BH432" s="70"/>
      <c r="BI432" s="70"/>
      <c r="BJ432" s="73"/>
      <c r="BK432" s="78"/>
      <c r="BL432" s="78">
        <f t="shared" ca="1" si="3"/>
        <v>0</v>
      </c>
      <c r="BM432" s="78"/>
      <c r="BN432" s="78">
        <f t="shared" ca="1" si="4"/>
        <v>0</v>
      </c>
      <c r="BO432" s="66"/>
      <c r="BP432" s="66"/>
    </row>
    <row r="433" spans="1:68" ht="13.2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>
        <f t="shared" ref="AP433:AQ433" si="426">AR433+AT433+AV433</f>
        <v>0</v>
      </c>
      <c r="AQ433" s="75">
        <f t="shared" si="426"/>
        <v>0</v>
      </c>
      <c r="AR433" s="75"/>
      <c r="AS433" s="75"/>
      <c r="AT433" s="75"/>
      <c r="AU433" s="75"/>
      <c r="AV433" s="75"/>
      <c r="AW433" s="75"/>
      <c r="AX433" s="75"/>
      <c r="AY433" s="77">
        <f t="shared" ca="1" si="1"/>
        <v>0</v>
      </c>
      <c r="AZ433" s="75"/>
      <c r="BA433" s="77">
        <f t="shared" ca="1" si="2"/>
        <v>0</v>
      </c>
      <c r="BB433" s="66"/>
      <c r="BC433" s="4"/>
      <c r="BD433" s="67"/>
      <c r="BE433" s="67"/>
      <c r="BF433" s="68"/>
      <c r="BG433" s="69"/>
      <c r="BH433" s="70"/>
      <c r="BI433" s="70"/>
      <c r="BJ433" s="73"/>
      <c r="BK433" s="78"/>
      <c r="BL433" s="78">
        <f t="shared" ca="1" si="3"/>
        <v>0</v>
      </c>
      <c r="BM433" s="78"/>
      <c r="BN433" s="78">
        <f t="shared" ca="1" si="4"/>
        <v>0</v>
      </c>
      <c r="BO433" s="66"/>
      <c r="BP433" s="66"/>
    </row>
    <row r="434" spans="1:68" ht="13.2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>
        <f t="shared" ref="AP434:AQ434" si="427">AR434+AT434+AV434</f>
        <v>0</v>
      </c>
      <c r="AQ434" s="75">
        <f t="shared" si="427"/>
        <v>0</v>
      </c>
      <c r="AR434" s="75"/>
      <c r="AS434" s="75"/>
      <c r="AT434" s="75"/>
      <c r="AU434" s="75"/>
      <c r="AV434" s="75"/>
      <c r="AW434" s="75"/>
      <c r="AX434" s="75"/>
      <c r="AY434" s="77">
        <f t="shared" ca="1" si="1"/>
        <v>0</v>
      </c>
      <c r="AZ434" s="75"/>
      <c r="BA434" s="77">
        <f t="shared" ca="1" si="2"/>
        <v>0</v>
      </c>
      <c r="BB434" s="66"/>
      <c r="BC434" s="4"/>
      <c r="BD434" s="67"/>
      <c r="BE434" s="67"/>
      <c r="BF434" s="68"/>
      <c r="BG434" s="69"/>
      <c r="BH434" s="84"/>
      <c r="BI434" s="70"/>
      <c r="BJ434" s="73"/>
      <c r="BK434" s="78"/>
      <c r="BL434" s="78">
        <f t="shared" ca="1" si="3"/>
        <v>0</v>
      </c>
      <c r="BM434" s="78"/>
      <c r="BN434" s="78">
        <f t="shared" ca="1" si="4"/>
        <v>0</v>
      </c>
      <c r="BO434" s="66"/>
      <c r="BP434" s="66"/>
    </row>
    <row r="435" spans="1:68" ht="13.2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>
        <f t="shared" ref="AP435:AQ435" si="428">AR435+AT435+AV435</f>
        <v>0</v>
      </c>
      <c r="AQ435" s="75">
        <f t="shared" si="428"/>
        <v>0</v>
      </c>
      <c r="AR435" s="75"/>
      <c r="AS435" s="75"/>
      <c r="AT435" s="75"/>
      <c r="AU435" s="75"/>
      <c r="AV435" s="75"/>
      <c r="AW435" s="75"/>
      <c r="AX435" s="75"/>
      <c r="AY435" s="77">
        <f t="shared" ca="1" si="1"/>
        <v>0</v>
      </c>
      <c r="AZ435" s="75"/>
      <c r="BA435" s="77">
        <f t="shared" ca="1" si="2"/>
        <v>0</v>
      </c>
      <c r="BB435" s="66"/>
      <c r="BC435" s="4"/>
      <c r="BD435" s="67"/>
      <c r="BE435" s="67"/>
      <c r="BF435" s="68"/>
      <c r="BG435" s="69"/>
      <c r="BH435" s="84"/>
      <c r="BI435" s="70"/>
      <c r="BJ435" s="73"/>
      <c r="BK435" s="78"/>
      <c r="BL435" s="78">
        <f t="shared" ca="1" si="3"/>
        <v>0</v>
      </c>
      <c r="BM435" s="78"/>
      <c r="BN435" s="78">
        <f t="shared" ca="1" si="4"/>
        <v>0</v>
      </c>
      <c r="BO435" s="66"/>
      <c r="BP435" s="66"/>
    </row>
    <row r="436" spans="1:68" ht="13.2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>
        <f t="shared" ref="AP436:AQ436" si="429">AR436+AT436+AV436</f>
        <v>0</v>
      </c>
      <c r="AQ436" s="75">
        <f t="shared" si="429"/>
        <v>0</v>
      </c>
      <c r="AR436" s="75"/>
      <c r="AS436" s="75"/>
      <c r="AT436" s="75"/>
      <c r="AU436" s="75"/>
      <c r="AV436" s="75"/>
      <c r="AW436" s="75"/>
      <c r="AX436" s="75"/>
      <c r="AY436" s="77">
        <f t="shared" ca="1" si="1"/>
        <v>0</v>
      </c>
      <c r="AZ436" s="75"/>
      <c r="BA436" s="77">
        <f t="shared" ca="1" si="2"/>
        <v>0</v>
      </c>
      <c r="BB436" s="66"/>
      <c r="BC436" s="4"/>
      <c r="BD436" s="67"/>
      <c r="BE436" s="67"/>
      <c r="BF436" s="68"/>
      <c r="BG436" s="69"/>
      <c r="BH436" s="84"/>
      <c r="BI436" s="70"/>
      <c r="BJ436" s="73"/>
      <c r="BK436" s="78"/>
      <c r="BL436" s="78">
        <f t="shared" ca="1" si="3"/>
        <v>0</v>
      </c>
      <c r="BM436" s="78"/>
      <c r="BN436" s="78">
        <f t="shared" ca="1" si="4"/>
        <v>0</v>
      </c>
      <c r="BO436" s="66"/>
      <c r="BP436" s="66"/>
    </row>
    <row r="437" spans="1:68" ht="13.2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>
        <f t="shared" ref="AP437:AQ437" si="430">AR437+AT437+AV437</f>
        <v>0</v>
      </c>
      <c r="AQ437" s="75">
        <f t="shared" si="430"/>
        <v>0</v>
      </c>
      <c r="AR437" s="75"/>
      <c r="AS437" s="75"/>
      <c r="AT437" s="75"/>
      <c r="AU437" s="75"/>
      <c r="AV437" s="75"/>
      <c r="AW437" s="75"/>
      <c r="AX437" s="75"/>
      <c r="AY437" s="77">
        <f t="shared" ca="1" si="1"/>
        <v>0</v>
      </c>
      <c r="AZ437" s="75"/>
      <c r="BA437" s="77">
        <f t="shared" ca="1" si="2"/>
        <v>0</v>
      </c>
      <c r="BB437" s="66"/>
      <c r="BC437" s="4"/>
      <c r="BD437" s="67"/>
      <c r="BE437" s="67"/>
      <c r="BF437" s="68"/>
      <c r="BG437" s="69"/>
      <c r="BH437" s="84"/>
      <c r="BI437" s="70"/>
      <c r="BJ437" s="73"/>
      <c r="BK437" s="78"/>
      <c r="BL437" s="78">
        <f t="shared" ca="1" si="3"/>
        <v>0</v>
      </c>
      <c r="BM437" s="78"/>
      <c r="BN437" s="78">
        <f t="shared" ca="1" si="4"/>
        <v>0</v>
      </c>
      <c r="BO437" s="66"/>
      <c r="BP437" s="66"/>
    </row>
    <row r="438" spans="1:68" ht="13.2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>
        <f t="shared" ref="AP438:AQ438" si="431">AR438+AT438+AV438</f>
        <v>0</v>
      </c>
      <c r="AQ438" s="75">
        <f t="shared" si="431"/>
        <v>0</v>
      </c>
      <c r="AR438" s="75"/>
      <c r="AS438" s="75"/>
      <c r="AT438" s="75"/>
      <c r="AU438" s="75"/>
      <c r="AV438" s="75"/>
      <c r="AW438" s="75"/>
      <c r="AX438" s="75"/>
      <c r="AY438" s="77">
        <f t="shared" ca="1" si="1"/>
        <v>0</v>
      </c>
      <c r="AZ438" s="75"/>
      <c r="BA438" s="77">
        <f t="shared" ca="1" si="2"/>
        <v>0</v>
      </c>
      <c r="BB438" s="66"/>
      <c r="BC438" s="4"/>
      <c r="BD438" s="67"/>
      <c r="BE438" s="67"/>
      <c r="BF438" s="68"/>
      <c r="BG438" s="69"/>
      <c r="BH438" s="84"/>
      <c r="BI438" s="70"/>
      <c r="BJ438" s="73"/>
      <c r="BK438" s="78"/>
      <c r="BL438" s="78">
        <f t="shared" ca="1" si="3"/>
        <v>0</v>
      </c>
      <c r="BM438" s="78"/>
      <c r="BN438" s="78">
        <f t="shared" ca="1" si="4"/>
        <v>0</v>
      </c>
      <c r="BO438" s="66"/>
      <c r="BP438" s="66"/>
    </row>
    <row r="439" spans="1:68" ht="13.2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>
        <f t="shared" ref="AP439:AQ439" si="432">AR439+AT439+AV439</f>
        <v>0</v>
      </c>
      <c r="AQ439" s="75">
        <f t="shared" si="432"/>
        <v>0</v>
      </c>
      <c r="AR439" s="75"/>
      <c r="AS439" s="75"/>
      <c r="AT439" s="75"/>
      <c r="AU439" s="75"/>
      <c r="AV439" s="75"/>
      <c r="AW439" s="75"/>
      <c r="AX439" s="75"/>
      <c r="AY439" s="77">
        <f t="shared" ca="1" si="1"/>
        <v>0</v>
      </c>
      <c r="AZ439" s="75"/>
      <c r="BA439" s="77">
        <f t="shared" ca="1" si="2"/>
        <v>0</v>
      </c>
      <c r="BB439" s="66"/>
      <c r="BC439" s="4"/>
      <c r="BD439" s="67"/>
      <c r="BE439" s="67"/>
      <c r="BF439" s="68"/>
      <c r="BG439" s="69"/>
      <c r="BH439" s="84"/>
      <c r="BI439" s="70"/>
      <c r="BJ439" s="73"/>
      <c r="BK439" s="78"/>
      <c r="BL439" s="78">
        <f t="shared" ca="1" si="3"/>
        <v>0</v>
      </c>
      <c r="BM439" s="78"/>
      <c r="BN439" s="78">
        <f t="shared" ca="1" si="4"/>
        <v>0</v>
      </c>
      <c r="BO439" s="66"/>
      <c r="BP439" s="66"/>
    </row>
    <row r="440" spans="1:68" ht="13.2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>
        <f t="shared" ref="AP440:AQ440" si="433">AR440+AT440+AV440</f>
        <v>0</v>
      </c>
      <c r="AQ440" s="75">
        <f t="shared" si="433"/>
        <v>0</v>
      </c>
      <c r="AR440" s="75"/>
      <c r="AS440" s="75"/>
      <c r="AT440" s="75"/>
      <c r="AU440" s="75"/>
      <c r="AV440" s="75"/>
      <c r="AW440" s="75"/>
      <c r="AX440" s="75"/>
      <c r="AY440" s="77">
        <f t="shared" ca="1" si="1"/>
        <v>0</v>
      </c>
      <c r="AZ440" s="75"/>
      <c r="BA440" s="77">
        <f t="shared" ca="1" si="2"/>
        <v>0</v>
      </c>
      <c r="BB440" s="66"/>
      <c r="BC440" s="4"/>
      <c r="BD440" s="67"/>
      <c r="BE440" s="67"/>
      <c r="BF440" s="68"/>
      <c r="BG440" s="69"/>
      <c r="BH440" s="70"/>
      <c r="BI440" s="70"/>
      <c r="BJ440" s="73"/>
      <c r="BK440" s="78"/>
      <c r="BL440" s="78">
        <f t="shared" ca="1" si="3"/>
        <v>0</v>
      </c>
      <c r="BM440" s="78"/>
      <c r="BN440" s="78">
        <f t="shared" ca="1" si="4"/>
        <v>0</v>
      </c>
      <c r="BO440" s="66"/>
      <c r="BP440" s="66"/>
    </row>
    <row r="441" spans="1:68" ht="13.2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>
        <f t="shared" ref="AP441:AQ441" si="434">AR441+AT441+AV441</f>
        <v>0</v>
      </c>
      <c r="AQ441" s="75">
        <f t="shared" si="434"/>
        <v>0</v>
      </c>
      <c r="AR441" s="75"/>
      <c r="AS441" s="75"/>
      <c r="AT441" s="75"/>
      <c r="AU441" s="75"/>
      <c r="AV441" s="75"/>
      <c r="AW441" s="75"/>
      <c r="AX441" s="75"/>
      <c r="AY441" s="77">
        <f t="shared" ca="1" si="1"/>
        <v>0</v>
      </c>
      <c r="AZ441" s="75"/>
      <c r="BA441" s="77">
        <f t="shared" ca="1" si="2"/>
        <v>0</v>
      </c>
      <c r="BB441" s="66"/>
      <c r="BC441" s="4"/>
      <c r="BD441" s="67"/>
      <c r="BE441" s="67"/>
      <c r="BF441" s="68"/>
      <c r="BG441" s="69"/>
      <c r="BH441" s="70"/>
      <c r="BI441" s="70"/>
      <c r="BJ441" s="73"/>
      <c r="BK441" s="78"/>
      <c r="BL441" s="78">
        <f t="shared" ca="1" si="3"/>
        <v>0</v>
      </c>
      <c r="BM441" s="78"/>
      <c r="BN441" s="78">
        <f t="shared" ca="1" si="4"/>
        <v>0</v>
      </c>
      <c r="BO441" s="66"/>
      <c r="BP441" s="66"/>
    </row>
    <row r="442" spans="1:68" ht="13.2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>
        <f t="shared" ref="AP442:AQ442" si="435">AR442+AT442+AV442</f>
        <v>0</v>
      </c>
      <c r="AQ442" s="75">
        <f t="shared" si="435"/>
        <v>0</v>
      </c>
      <c r="AR442" s="75"/>
      <c r="AS442" s="75"/>
      <c r="AT442" s="75"/>
      <c r="AU442" s="75"/>
      <c r="AV442" s="75"/>
      <c r="AW442" s="75"/>
      <c r="AX442" s="75"/>
      <c r="AY442" s="77">
        <f t="shared" ca="1" si="1"/>
        <v>0</v>
      </c>
      <c r="AZ442" s="75"/>
      <c r="BA442" s="77">
        <f t="shared" ca="1" si="2"/>
        <v>0</v>
      </c>
      <c r="BB442" s="66"/>
      <c r="BC442" s="4"/>
      <c r="BD442" s="67"/>
      <c r="BE442" s="67"/>
      <c r="BF442" s="68"/>
      <c r="BG442" s="69"/>
      <c r="BH442" s="70"/>
      <c r="BI442" s="70"/>
      <c r="BJ442" s="73"/>
      <c r="BK442" s="78"/>
      <c r="BL442" s="78">
        <f t="shared" ca="1" si="3"/>
        <v>0</v>
      </c>
      <c r="BM442" s="78"/>
      <c r="BN442" s="78">
        <f t="shared" ca="1" si="4"/>
        <v>0</v>
      </c>
      <c r="BO442" s="66"/>
      <c r="BP442" s="66"/>
    </row>
    <row r="443" spans="1:68" ht="13.2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>
        <f t="shared" ref="AP443:AQ443" si="436">AR443+AT443+AV443</f>
        <v>0</v>
      </c>
      <c r="AQ443" s="75">
        <f t="shared" si="436"/>
        <v>0</v>
      </c>
      <c r="AR443" s="75"/>
      <c r="AS443" s="75"/>
      <c r="AT443" s="75"/>
      <c r="AU443" s="75"/>
      <c r="AV443" s="75"/>
      <c r="AW443" s="75"/>
      <c r="AX443" s="75"/>
      <c r="AY443" s="77">
        <f t="shared" ca="1" si="1"/>
        <v>0</v>
      </c>
      <c r="AZ443" s="75"/>
      <c r="BA443" s="77">
        <f t="shared" ca="1" si="2"/>
        <v>0</v>
      </c>
      <c r="BB443" s="66"/>
      <c r="BC443" s="4"/>
      <c r="BD443" s="67"/>
      <c r="BE443" s="67"/>
      <c r="BF443" s="68"/>
      <c r="BG443" s="69"/>
      <c r="BH443" s="70"/>
      <c r="BI443" s="70"/>
      <c r="BJ443" s="73"/>
      <c r="BK443" s="78"/>
      <c r="BL443" s="78">
        <f t="shared" ca="1" si="3"/>
        <v>0</v>
      </c>
      <c r="BM443" s="78"/>
      <c r="BN443" s="78">
        <f t="shared" ca="1" si="4"/>
        <v>0</v>
      </c>
      <c r="BO443" s="66"/>
      <c r="BP443" s="66"/>
    </row>
    <row r="444" spans="1:68" ht="13.2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>
        <f t="shared" ref="AP444:AQ444" si="437">AR444+AT444+AV444</f>
        <v>0</v>
      </c>
      <c r="AQ444" s="75">
        <f t="shared" si="437"/>
        <v>0</v>
      </c>
      <c r="AR444" s="75"/>
      <c r="AS444" s="75"/>
      <c r="AT444" s="75"/>
      <c r="AU444" s="75"/>
      <c r="AV444" s="75"/>
      <c r="AW444" s="75"/>
      <c r="AX444" s="75"/>
      <c r="AY444" s="77">
        <f t="shared" ca="1" si="1"/>
        <v>0</v>
      </c>
      <c r="AZ444" s="75"/>
      <c r="BA444" s="77">
        <f t="shared" ca="1" si="2"/>
        <v>0</v>
      </c>
      <c r="BB444" s="66"/>
      <c r="BC444" s="4"/>
      <c r="BD444" s="67"/>
      <c r="BE444" s="67"/>
      <c r="BF444" s="68"/>
      <c r="BG444" s="69"/>
      <c r="BH444" s="70"/>
      <c r="BI444" s="70"/>
      <c r="BJ444" s="73"/>
      <c r="BK444" s="78"/>
      <c r="BL444" s="78">
        <f t="shared" ca="1" si="3"/>
        <v>0</v>
      </c>
      <c r="BM444" s="78"/>
      <c r="BN444" s="78">
        <f t="shared" ca="1" si="4"/>
        <v>0</v>
      </c>
      <c r="BO444" s="66"/>
      <c r="BP444" s="66"/>
    </row>
    <row r="445" spans="1:68" ht="13.2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>
        <f t="shared" ref="AP445:AQ445" si="438">AR445+AT445+AV445</f>
        <v>0</v>
      </c>
      <c r="AQ445" s="75">
        <f t="shared" si="438"/>
        <v>0</v>
      </c>
      <c r="AR445" s="75"/>
      <c r="AS445" s="75"/>
      <c r="AT445" s="75"/>
      <c r="AU445" s="75"/>
      <c r="AV445" s="75"/>
      <c r="AW445" s="75"/>
      <c r="AX445" s="75"/>
      <c r="AY445" s="77">
        <f t="shared" ca="1" si="1"/>
        <v>0</v>
      </c>
      <c r="AZ445" s="75"/>
      <c r="BA445" s="77">
        <f t="shared" ca="1" si="2"/>
        <v>0</v>
      </c>
      <c r="BB445" s="66"/>
      <c r="BC445" s="4"/>
      <c r="BD445" s="67"/>
      <c r="BE445" s="67"/>
      <c r="BF445" s="68"/>
      <c r="BG445" s="69"/>
      <c r="BH445" s="70"/>
      <c r="BI445" s="70"/>
      <c r="BJ445" s="73"/>
      <c r="BK445" s="78"/>
      <c r="BL445" s="78">
        <f t="shared" ca="1" si="3"/>
        <v>0</v>
      </c>
      <c r="BM445" s="78"/>
      <c r="BN445" s="78">
        <f t="shared" ca="1" si="4"/>
        <v>0</v>
      </c>
      <c r="BO445" s="66"/>
      <c r="BP445" s="66"/>
    </row>
    <row r="446" spans="1:68" ht="13.2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>
        <f t="shared" ref="AP446:AQ446" si="439">AR446+AT446+AV446</f>
        <v>0</v>
      </c>
      <c r="AQ446" s="75">
        <f t="shared" si="439"/>
        <v>0</v>
      </c>
      <c r="AR446" s="75"/>
      <c r="AS446" s="75"/>
      <c r="AT446" s="75"/>
      <c r="AU446" s="75"/>
      <c r="AV446" s="75"/>
      <c r="AW446" s="75"/>
      <c r="AX446" s="75"/>
      <c r="AY446" s="77">
        <f t="shared" ca="1" si="1"/>
        <v>0</v>
      </c>
      <c r="AZ446" s="75"/>
      <c r="BA446" s="77">
        <f t="shared" ca="1" si="2"/>
        <v>0</v>
      </c>
      <c r="BB446" s="66"/>
      <c r="BC446" s="4"/>
      <c r="BD446" s="67"/>
      <c r="BE446" s="67"/>
      <c r="BF446" s="68"/>
      <c r="BG446" s="69"/>
      <c r="BH446" s="70"/>
      <c r="BI446" s="70"/>
      <c r="BJ446" s="73"/>
      <c r="BK446" s="78"/>
      <c r="BL446" s="78">
        <f t="shared" ca="1" si="3"/>
        <v>0</v>
      </c>
      <c r="BM446" s="78"/>
      <c r="BN446" s="78">
        <f t="shared" ca="1" si="4"/>
        <v>0</v>
      </c>
      <c r="BO446" s="66"/>
      <c r="BP446" s="66"/>
    </row>
    <row r="447" spans="1:68" ht="13.2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>
        <f t="shared" ref="AP447:AQ447" si="440">AR447+AT447+AV447</f>
        <v>0</v>
      </c>
      <c r="AQ447" s="75">
        <f t="shared" si="440"/>
        <v>0</v>
      </c>
      <c r="AR447" s="75"/>
      <c r="AS447" s="75"/>
      <c r="AT447" s="75"/>
      <c r="AU447" s="75"/>
      <c r="AV447" s="75"/>
      <c r="AW447" s="75"/>
      <c r="AX447" s="75"/>
      <c r="AY447" s="77">
        <f t="shared" ca="1" si="1"/>
        <v>0</v>
      </c>
      <c r="AZ447" s="75"/>
      <c r="BA447" s="77">
        <f t="shared" ca="1" si="2"/>
        <v>0</v>
      </c>
      <c r="BB447" s="66"/>
      <c r="BC447" s="4"/>
      <c r="BD447" s="67"/>
      <c r="BE447" s="67"/>
      <c r="BF447" s="68"/>
      <c r="BG447" s="69"/>
      <c r="BH447" s="70"/>
      <c r="BI447" s="70"/>
      <c r="BJ447" s="73"/>
      <c r="BK447" s="78"/>
      <c r="BL447" s="78">
        <f t="shared" ca="1" si="3"/>
        <v>0</v>
      </c>
      <c r="BM447" s="78"/>
      <c r="BN447" s="78">
        <f t="shared" ca="1" si="4"/>
        <v>0</v>
      </c>
      <c r="BO447" s="66"/>
      <c r="BP447" s="66"/>
    </row>
    <row r="448" spans="1:68" ht="13.2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>
        <f t="shared" ref="AP448:AQ448" si="441">AR448+AT448+AV448</f>
        <v>0</v>
      </c>
      <c r="AQ448" s="75">
        <f t="shared" si="441"/>
        <v>0</v>
      </c>
      <c r="AR448" s="75"/>
      <c r="AS448" s="75"/>
      <c r="AT448" s="75"/>
      <c r="AU448" s="75"/>
      <c r="AV448" s="75"/>
      <c r="AW448" s="75"/>
      <c r="AX448" s="75"/>
      <c r="AY448" s="77">
        <f t="shared" ca="1" si="1"/>
        <v>0</v>
      </c>
      <c r="AZ448" s="75"/>
      <c r="BA448" s="77">
        <f t="shared" ca="1" si="2"/>
        <v>0</v>
      </c>
      <c r="BB448" s="66"/>
      <c r="BC448" s="4"/>
      <c r="BD448" s="67"/>
      <c r="BE448" s="67"/>
      <c r="BF448" s="68"/>
      <c r="BG448" s="69"/>
      <c r="BH448" s="70"/>
      <c r="BI448" s="70"/>
      <c r="BJ448" s="73"/>
      <c r="BK448" s="78"/>
      <c r="BL448" s="78">
        <f t="shared" ca="1" si="3"/>
        <v>0</v>
      </c>
      <c r="BM448" s="78"/>
      <c r="BN448" s="78">
        <f t="shared" ca="1" si="4"/>
        <v>0</v>
      </c>
      <c r="BO448" s="66"/>
      <c r="BP448" s="66"/>
    </row>
    <row r="449" spans="1:68" ht="13.2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>
        <f t="shared" ref="AP449:AQ449" si="442">AR449+AT449+AV449</f>
        <v>0</v>
      </c>
      <c r="AQ449" s="75">
        <f t="shared" si="442"/>
        <v>0</v>
      </c>
      <c r="AR449" s="75"/>
      <c r="AS449" s="75"/>
      <c r="AT449" s="75"/>
      <c r="AU449" s="75"/>
      <c r="AV449" s="75"/>
      <c r="AW449" s="75"/>
      <c r="AX449" s="75"/>
      <c r="AY449" s="77">
        <f t="shared" ca="1" si="1"/>
        <v>0</v>
      </c>
      <c r="AZ449" s="75"/>
      <c r="BA449" s="77">
        <f t="shared" ca="1" si="2"/>
        <v>0</v>
      </c>
      <c r="BB449" s="66"/>
      <c r="BC449" s="4"/>
      <c r="BD449" s="67"/>
      <c r="BE449" s="67"/>
      <c r="BF449" s="68"/>
      <c r="BG449" s="69"/>
      <c r="BH449" s="70"/>
      <c r="BI449" s="70"/>
      <c r="BJ449" s="73"/>
      <c r="BK449" s="78"/>
      <c r="BL449" s="78">
        <f t="shared" ca="1" si="3"/>
        <v>0</v>
      </c>
      <c r="BM449" s="78"/>
      <c r="BN449" s="78">
        <f t="shared" ca="1" si="4"/>
        <v>0</v>
      </c>
      <c r="BO449" s="66"/>
      <c r="BP449" s="66"/>
    </row>
    <row r="450" spans="1:68" ht="13.2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>
        <f t="shared" ref="AP450:AQ450" si="443">AR450+AT450+AV450</f>
        <v>0</v>
      </c>
      <c r="AQ450" s="75">
        <f t="shared" si="443"/>
        <v>0</v>
      </c>
      <c r="AR450" s="75"/>
      <c r="AS450" s="75"/>
      <c r="AT450" s="75"/>
      <c r="AU450" s="75"/>
      <c r="AV450" s="75"/>
      <c r="AW450" s="75"/>
      <c r="AX450" s="75"/>
      <c r="AY450" s="77">
        <f t="shared" ca="1" si="1"/>
        <v>0</v>
      </c>
      <c r="AZ450" s="75"/>
      <c r="BA450" s="77">
        <f t="shared" ca="1" si="2"/>
        <v>0</v>
      </c>
      <c r="BB450" s="66"/>
      <c r="BC450" s="4"/>
      <c r="BD450" s="67"/>
      <c r="BE450" s="67"/>
      <c r="BF450" s="68"/>
      <c r="BG450" s="69"/>
      <c r="BH450" s="70"/>
      <c r="BI450" s="70"/>
      <c r="BJ450" s="73"/>
      <c r="BK450" s="78"/>
      <c r="BL450" s="78">
        <f t="shared" ca="1" si="3"/>
        <v>0</v>
      </c>
      <c r="BM450" s="78"/>
      <c r="BN450" s="78">
        <f t="shared" ca="1" si="4"/>
        <v>0</v>
      </c>
      <c r="BO450" s="66"/>
      <c r="BP450" s="66"/>
    </row>
    <row r="451" spans="1:68" ht="13.2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>
        <f t="shared" ref="AP451:AQ451" si="444">AR451+AT451+AV451</f>
        <v>0</v>
      </c>
      <c r="AQ451" s="75">
        <f t="shared" si="444"/>
        <v>0</v>
      </c>
      <c r="AR451" s="75"/>
      <c r="AS451" s="75"/>
      <c r="AT451" s="75"/>
      <c r="AU451" s="75"/>
      <c r="AV451" s="75"/>
      <c r="AW451" s="75"/>
      <c r="AX451" s="75"/>
      <c r="AY451" s="77">
        <f t="shared" ca="1" si="1"/>
        <v>0</v>
      </c>
      <c r="AZ451" s="75"/>
      <c r="BA451" s="77">
        <f t="shared" ca="1" si="2"/>
        <v>0</v>
      </c>
      <c r="BB451" s="66"/>
      <c r="BC451" s="4"/>
      <c r="BD451" s="67"/>
      <c r="BE451" s="67"/>
      <c r="BF451" s="68"/>
      <c r="BG451" s="69"/>
      <c r="BH451" s="70"/>
      <c r="BI451" s="70"/>
      <c r="BJ451" s="73"/>
      <c r="BK451" s="78"/>
      <c r="BL451" s="78">
        <f t="shared" ca="1" si="3"/>
        <v>0</v>
      </c>
      <c r="BM451" s="78"/>
      <c r="BN451" s="78">
        <f t="shared" ca="1" si="4"/>
        <v>0</v>
      </c>
      <c r="BO451" s="66"/>
      <c r="BP451" s="66"/>
    </row>
    <row r="452" spans="1:68" ht="13.2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>
        <f t="shared" ref="AP452:AQ452" si="445">AR452+AT452+AV452</f>
        <v>0</v>
      </c>
      <c r="AQ452" s="75">
        <f t="shared" si="445"/>
        <v>0</v>
      </c>
      <c r="AR452" s="75"/>
      <c r="AS452" s="75"/>
      <c r="AT452" s="75"/>
      <c r="AU452" s="75"/>
      <c r="AV452" s="75"/>
      <c r="AW452" s="75"/>
      <c r="AX452" s="75"/>
      <c r="AY452" s="77">
        <f t="shared" ca="1" si="1"/>
        <v>0</v>
      </c>
      <c r="AZ452" s="75"/>
      <c r="BA452" s="77">
        <f t="shared" ca="1" si="2"/>
        <v>0</v>
      </c>
      <c r="BB452" s="66"/>
      <c r="BC452" s="4"/>
      <c r="BD452" s="67"/>
      <c r="BE452" s="67"/>
      <c r="BF452" s="68"/>
      <c r="BG452" s="69"/>
      <c r="BH452" s="70"/>
      <c r="BI452" s="70"/>
      <c r="BJ452" s="73"/>
      <c r="BK452" s="78"/>
      <c r="BL452" s="78">
        <f t="shared" ca="1" si="3"/>
        <v>0</v>
      </c>
      <c r="BM452" s="78"/>
      <c r="BN452" s="78">
        <f t="shared" ca="1" si="4"/>
        <v>0</v>
      </c>
      <c r="BO452" s="66"/>
      <c r="BP452" s="66"/>
    </row>
    <row r="453" spans="1:68" ht="13.2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>
        <f t="shared" ref="AP453:AQ453" si="446">AR453+AT453+AV453</f>
        <v>0</v>
      </c>
      <c r="AQ453" s="75">
        <f t="shared" si="446"/>
        <v>0</v>
      </c>
      <c r="AR453" s="75"/>
      <c r="AS453" s="75"/>
      <c r="AT453" s="75"/>
      <c r="AU453" s="75"/>
      <c r="AV453" s="75"/>
      <c r="AW453" s="75"/>
      <c r="AX453" s="75"/>
      <c r="AY453" s="77">
        <f t="shared" ca="1" si="1"/>
        <v>0</v>
      </c>
      <c r="AZ453" s="75"/>
      <c r="BA453" s="77">
        <f t="shared" ca="1" si="2"/>
        <v>0</v>
      </c>
      <c r="BB453" s="66"/>
      <c r="BC453" s="4"/>
      <c r="BD453" s="67"/>
      <c r="BE453" s="67"/>
      <c r="BF453" s="68"/>
      <c r="BG453" s="69"/>
      <c r="BH453" s="70"/>
      <c r="BI453" s="70"/>
      <c r="BJ453" s="73"/>
      <c r="BK453" s="78"/>
      <c r="BL453" s="78">
        <f t="shared" ca="1" si="3"/>
        <v>0</v>
      </c>
      <c r="BM453" s="78"/>
      <c r="BN453" s="78">
        <f t="shared" ca="1" si="4"/>
        <v>0</v>
      </c>
      <c r="BO453" s="66"/>
      <c r="BP453" s="66"/>
    </row>
    <row r="454" spans="1:68" ht="13.2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>
        <f t="shared" ref="AP454:AQ454" si="447">AR454+AT454+AV454</f>
        <v>0</v>
      </c>
      <c r="AQ454" s="75">
        <f t="shared" si="447"/>
        <v>0</v>
      </c>
      <c r="AR454" s="75"/>
      <c r="AS454" s="75"/>
      <c r="AT454" s="75"/>
      <c r="AU454" s="75"/>
      <c r="AV454" s="75"/>
      <c r="AW454" s="75"/>
      <c r="AX454" s="75"/>
      <c r="AY454" s="77">
        <f t="shared" ca="1" si="1"/>
        <v>0</v>
      </c>
      <c r="AZ454" s="75"/>
      <c r="BA454" s="77">
        <f t="shared" ca="1" si="2"/>
        <v>0</v>
      </c>
      <c r="BB454" s="66"/>
      <c r="BC454" s="4"/>
      <c r="BD454" s="67"/>
      <c r="BE454" s="67"/>
      <c r="BF454" s="68"/>
      <c r="BG454" s="69"/>
      <c r="BH454" s="84"/>
      <c r="BI454" s="70"/>
      <c r="BJ454" s="73"/>
      <c r="BK454" s="78"/>
      <c r="BL454" s="78">
        <f t="shared" ca="1" si="3"/>
        <v>0</v>
      </c>
      <c r="BM454" s="78"/>
      <c r="BN454" s="78">
        <f t="shared" ca="1" si="4"/>
        <v>0</v>
      </c>
      <c r="BO454" s="66"/>
      <c r="BP454" s="66"/>
    </row>
    <row r="455" spans="1:68" ht="13.2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>
        <f t="shared" ref="AP455:AQ455" si="448">AR455+AT455+AV455</f>
        <v>0</v>
      </c>
      <c r="AQ455" s="75">
        <f t="shared" si="448"/>
        <v>0</v>
      </c>
      <c r="AR455" s="75"/>
      <c r="AS455" s="75"/>
      <c r="AT455" s="75"/>
      <c r="AU455" s="75"/>
      <c r="AV455" s="75"/>
      <c r="AW455" s="75"/>
      <c r="AX455" s="75"/>
      <c r="AY455" s="77">
        <f t="shared" ca="1" si="1"/>
        <v>0</v>
      </c>
      <c r="AZ455" s="75"/>
      <c r="BA455" s="77">
        <f t="shared" ca="1" si="2"/>
        <v>0</v>
      </c>
      <c r="BB455" s="66"/>
      <c r="BC455" s="4"/>
      <c r="BD455" s="67"/>
      <c r="BE455" s="67"/>
      <c r="BF455" s="68"/>
      <c r="BG455" s="69"/>
      <c r="BH455" s="84"/>
      <c r="BI455" s="70"/>
      <c r="BJ455" s="73"/>
      <c r="BK455" s="78"/>
      <c r="BL455" s="78">
        <f t="shared" ca="1" si="3"/>
        <v>0</v>
      </c>
      <c r="BM455" s="78"/>
      <c r="BN455" s="78">
        <f t="shared" ca="1" si="4"/>
        <v>0</v>
      </c>
      <c r="BO455" s="66"/>
      <c r="BP455" s="66"/>
    </row>
    <row r="456" spans="1:68" ht="13.2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>
        <f t="shared" ref="AP456:AQ456" si="449">AR456+AT456+AV456</f>
        <v>0</v>
      </c>
      <c r="AQ456" s="75">
        <f t="shared" si="449"/>
        <v>0</v>
      </c>
      <c r="AR456" s="75"/>
      <c r="AS456" s="75"/>
      <c r="AT456" s="75"/>
      <c r="AU456" s="75"/>
      <c r="AV456" s="75"/>
      <c r="AW456" s="75"/>
      <c r="AX456" s="75"/>
      <c r="AY456" s="77">
        <f t="shared" ca="1" si="1"/>
        <v>0</v>
      </c>
      <c r="AZ456" s="75"/>
      <c r="BA456" s="77">
        <f t="shared" ca="1" si="2"/>
        <v>0</v>
      </c>
      <c r="BB456" s="66"/>
      <c r="BC456" s="4"/>
      <c r="BD456" s="67"/>
      <c r="BE456" s="67"/>
      <c r="BF456" s="68"/>
      <c r="BG456" s="69"/>
      <c r="BH456" s="84"/>
      <c r="BI456" s="70"/>
      <c r="BJ456" s="73"/>
      <c r="BK456" s="78"/>
      <c r="BL456" s="78">
        <f t="shared" ca="1" si="3"/>
        <v>0</v>
      </c>
      <c r="BM456" s="78"/>
      <c r="BN456" s="78">
        <f t="shared" ca="1" si="4"/>
        <v>0</v>
      </c>
      <c r="BO456" s="66"/>
      <c r="BP456" s="66"/>
    </row>
    <row r="457" spans="1:68" ht="13.2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>
        <f t="shared" ref="AP457:AQ457" si="450">AR457+AT457+AV457</f>
        <v>0</v>
      </c>
      <c r="AQ457" s="75">
        <f t="shared" si="450"/>
        <v>0</v>
      </c>
      <c r="AR457" s="75"/>
      <c r="AS457" s="75"/>
      <c r="AT457" s="75"/>
      <c r="AU457" s="75"/>
      <c r="AV457" s="75"/>
      <c r="AW457" s="75"/>
      <c r="AX457" s="75"/>
      <c r="AY457" s="77">
        <f t="shared" ca="1" si="1"/>
        <v>0</v>
      </c>
      <c r="AZ457" s="75"/>
      <c r="BA457" s="77">
        <f t="shared" ca="1" si="2"/>
        <v>0</v>
      </c>
      <c r="BB457" s="66"/>
      <c r="BC457" s="4"/>
      <c r="BD457" s="67"/>
      <c r="BE457" s="67"/>
      <c r="BF457" s="68"/>
      <c r="BG457" s="69"/>
      <c r="BH457" s="84"/>
      <c r="BI457" s="70"/>
      <c r="BJ457" s="73"/>
      <c r="BK457" s="78"/>
      <c r="BL457" s="78">
        <f t="shared" ca="1" si="3"/>
        <v>0</v>
      </c>
      <c r="BM457" s="78"/>
      <c r="BN457" s="78">
        <f t="shared" ca="1" si="4"/>
        <v>0</v>
      </c>
      <c r="BO457" s="66"/>
      <c r="BP457" s="66"/>
    </row>
    <row r="458" spans="1:68" ht="13.2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>
        <f t="shared" ref="AP458:AQ458" si="451">AR458+AT458+AV458</f>
        <v>0</v>
      </c>
      <c r="AQ458" s="75">
        <f t="shared" si="451"/>
        <v>0</v>
      </c>
      <c r="AR458" s="75"/>
      <c r="AS458" s="75"/>
      <c r="AT458" s="75"/>
      <c r="AU458" s="75"/>
      <c r="AV458" s="75"/>
      <c r="AW458" s="75"/>
      <c r="AX458" s="75"/>
      <c r="AY458" s="77">
        <f t="shared" ca="1" si="1"/>
        <v>0</v>
      </c>
      <c r="AZ458" s="75"/>
      <c r="BA458" s="77">
        <f t="shared" ca="1" si="2"/>
        <v>0</v>
      </c>
      <c r="BB458" s="66"/>
      <c r="BC458" s="4"/>
      <c r="BD458" s="67"/>
      <c r="BE458" s="67"/>
      <c r="BF458" s="68"/>
      <c r="BG458" s="69"/>
      <c r="BH458" s="84"/>
      <c r="BI458" s="70"/>
      <c r="BJ458" s="73"/>
      <c r="BK458" s="78"/>
      <c r="BL458" s="78">
        <f t="shared" ca="1" si="3"/>
        <v>0</v>
      </c>
      <c r="BM458" s="78"/>
      <c r="BN458" s="78">
        <f t="shared" ca="1" si="4"/>
        <v>0</v>
      </c>
      <c r="BO458" s="66"/>
      <c r="BP458" s="66"/>
    </row>
    <row r="459" spans="1:68" ht="13.2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>
        <f t="shared" ref="AP459:AQ459" si="452">AR459+AT459+AV459</f>
        <v>0</v>
      </c>
      <c r="AQ459" s="75">
        <f t="shared" si="452"/>
        <v>0</v>
      </c>
      <c r="AR459" s="75"/>
      <c r="AS459" s="75"/>
      <c r="AT459" s="75"/>
      <c r="AU459" s="75"/>
      <c r="AV459" s="75"/>
      <c r="AW459" s="75"/>
      <c r="AX459" s="75"/>
      <c r="AY459" s="77">
        <f t="shared" ca="1" si="1"/>
        <v>0</v>
      </c>
      <c r="AZ459" s="75"/>
      <c r="BA459" s="77">
        <f t="shared" ca="1" si="2"/>
        <v>0</v>
      </c>
      <c r="BB459" s="66"/>
      <c r="BC459" s="4"/>
      <c r="BD459" s="67"/>
      <c r="BE459" s="67"/>
      <c r="BF459" s="68"/>
      <c r="BG459" s="69"/>
      <c r="BH459" s="84"/>
      <c r="BI459" s="70"/>
      <c r="BJ459" s="73"/>
      <c r="BK459" s="78"/>
      <c r="BL459" s="78">
        <f t="shared" ca="1" si="3"/>
        <v>0</v>
      </c>
      <c r="BM459" s="78"/>
      <c r="BN459" s="78">
        <f t="shared" ca="1" si="4"/>
        <v>0</v>
      </c>
      <c r="BO459" s="66"/>
      <c r="BP459" s="66"/>
    </row>
    <row r="460" spans="1:68" ht="13.2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>
        <f t="shared" ref="AP460:AQ460" si="453">AR460+AT460+AV460</f>
        <v>0</v>
      </c>
      <c r="AQ460" s="75">
        <f t="shared" si="453"/>
        <v>0</v>
      </c>
      <c r="AR460" s="75"/>
      <c r="AS460" s="75"/>
      <c r="AT460" s="75"/>
      <c r="AU460" s="75"/>
      <c r="AV460" s="75"/>
      <c r="AW460" s="75"/>
      <c r="AX460" s="75"/>
      <c r="AY460" s="77">
        <f t="shared" ca="1" si="1"/>
        <v>0</v>
      </c>
      <c r="AZ460" s="75"/>
      <c r="BA460" s="77">
        <f t="shared" ca="1" si="2"/>
        <v>0</v>
      </c>
      <c r="BB460" s="66"/>
      <c r="BC460" s="4"/>
      <c r="BD460" s="67"/>
      <c r="BE460" s="67"/>
      <c r="BF460" s="68"/>
      <c r="BG460" s="69"/>
      <c r="BH460" s="84"/>
      <c r="BI460" s="70"/>
      <c r="BJ460" s="73"/>
      <c r="BK460" s="78"/>
      <c r="BL460" s="78">
        <f t="shared" ca="1" si="3"/>
        <v>0</v>
      </c>
      <c r="BM460" s="78"/>
      <c r="BN460" s="78">
        <f t="shared" ca="1" si="4"/>
        <v>0</v>
      </c>
      <c r="BO460" s="66"/>
      <c r="BP460" s="66"/>
    </row>
    <row r="461" spans="1:68" ht="13.2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>
        <f t="shared" ref="AP461:AQ461" si="454">AR461+AT461+AV461</f>
        <v>0</v>
      </c>
      <c r="AQ461" s="75">
        <f t="shared" si="454"/>
        <v>0</v>
      </c>
      <c r="AR461" s="75"/>
      <c r="AS461" s="75"/>
      <c r="AT461" s="75"/>
      <c r="AU461" s="75"/>
      <c r="AV461" s="75"/>
      <c r="AW461" s="75"/>
      <c r="AX461" s="75"/>
      <c r="AY461" s="77">
        <f t="shared" ca="1" si="1"/>
        <v>0</v>
      </c>
      <c r="AZ461" s="75"/>
      <c r="BA461" s="77">
        <f t="shared" ca="1" si="2"/>
        <v>0</v>
      </c>
      <c r="BB461" s="66"/>
      <c r="BC461" s="4"/>
      <c r="BD461" s="67"/>
      <c r="BE461" s="67"/>
      <c r="BF461" s="68"/>
      <c r="BG461" s="69"/>
      <c r="BH461" s="84"/>
      <c r="BI461" s="70"/>
      <c r="BJ461" s="73"/>
      <c r="BK461" s="78"/>
      <c r="BL461" s="78">
        <f t="shared" ca="1" si="3"/>
        <v>0</v>
      </c>
      <c r="BM461" s="78"/>
      <c r="BN461" s="78">
        <f t="shared" ca="1" si="4"/>
        <v>0</v>
      </c>
      <c r="BO461" s="66"/>
      <c r="BP461" s="66"/>
    </row>
    <row r="462" spans="1:68" ht="13.2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>
        <f t="shared" ref="AP462:AQ462" si="455">AR462+AT462+AV462</f>
        <v>0</v>
      </c>
      <c r="AQ462" s="75">
        <f t="shared" si="455"/>
        <v>0</v>
      </c>
      <c r="AR462" s="75"/>
      <c r="AS462" s="75"/>
      <c r="AT462" s="75"/>
      <c r="AU462" s="75"/>
      <c r="AV462" s="75"/>
      <c r="AW462" s="75"/>
      <c r="AX462" s="75"/>
      <c r="AY462" s="77">
        <f t="shared" ca="1" si="1"/>
        <v>0</v>
      </c>
      <c r="AZ462" s="75"/>
      <c r="BA462" s="77">
        <f t="shared" ca="1" si="2"/>
        <v>0</v>
      </c>
      <c r="BB462" s="66"/>
      <c r="BC462" s="4"/>
      <c r="BD462" s="67"/>
      <c r="BE462" s="67"/>
      <c r="BF462" s="68"/>
      <c r="BG462" s="69"/>
      <c r="BH462" s="84"/>
      <c r="BI462" s="70"/>
      <c r="BJ462" s="73"/>
      <c r="BK462" s="78"/>
      <c r="BL462" s="78">
        <f t="shared" ca="1" si="3"/>
        <v>0</v>
      </c>
      <c r="BM462" s="78"/>
      <c r="BN462" s="78">
        <f t="shared" ca="1" si="4"/>
        <v>0</v>
      </c>
      <c r="BO462" s="66"/>
      <c r="BP462" s="66"/>
    </row>
    <row r="463" spans="1:68" ht="13.2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>
        <f t="shared" ref="AP463:AQ463" si="456">AR463+AT463+AV463</f>
        <v>0</v>
      </c>
      <c r="AQ463" s="75">
        <f t="shared" si="456"/>
        <v>0</v>
      </c>
      <c r="AR463" s="75"/>
      <c r="AS463" s="75"/>
      <c r="AT463" s="75"/>
      <c r="AU463" s="75"/>
      <c r="AV463" s="75"/>
      <c r="AW463" s="75"/>
      <c r="AX463" s="75"/>
      <c r="AY463" s="77">
        <f t="shared" ca="1" si="1"/>
        <v>0</v>
      </c>
      <c r="AZ463" s="75"/>
      <c r="BA463" s="77">
        <f t="shared" ca="1" si="2"/>
        <v>0</v>
      </c>
      <c r="BB463" s="66"/>
      <c r="BC463" s="4"/>
      <c r="BD463" s="67"/>
      <c r="BE463" s="67"/>
      <c r="BF463" s="68"/>
      <c r="BG463" s="69"/>
      <c r="BH463" s="84"/>
      <c r="BI463" s="70"/>
      <c r="BJ463" s="73"/>
      <c r="BK463" s="78"/>
      <c r="BL463" s="78">
        <f t="shared" ca="1" si="3"/>
        <v>0</v>
      </c>
      <c r="BM463" s="78"/>
      <c r="BN463" s="78">
        <f t="shared" ca="1" si="4"/>
        <v>0</v>
      </c>
      <c r="BO463" s="66"/>
      <c r="BP463" s="66"/>
    </row>
    <row r="464" spans="1:68" ht="13.2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>
        <f t="shared" ref="AP464:AQ464" si="457">AR464+AT464+AV464</f>
        <v>0</v>
      </c>
      <c r="AQ464" s="75">
        <f t="shared" si="457"/>
        <v>0</v>
      </c>
      <c r="AR464" s="75"/>
      <c r="AS464" s="75"/>
      <c r="AT464" s="75"/>
      <c r="AU464" s="75"/>
      <c r="AV464" s="75"/>
      <c r="AW464" s="75"/>
      <c r="AX464" s="75"/>
      <c r="AY464" s="77">
        <f t="shared" ca="1" si="1"/>
        <v>0</v>
      </c>
      <c r="AZ464" s="75"/>
      <c r="BA464" s="77">
        <f t="shared" ca="1" si="2"/>
        <v>0</v>
      </c>
      <c r="BB464" s="66"/>
      <c r="BC464" s="4"/>
      <c r="BD464" s="67"/>
      <c r="BE464" s="67"/>
      <c r="BF464" s="68"/>
      <c r="BG464" s="69"/>
      <c r="BH464" s="84"/>
      <c r="BI464" s="70"/>
      <c r="BJ464" s="73"/>
      <c r="BK464" s="78"/>
      <c r="BL464" s="78">
        <f t="shared" ca="1" si="3"/>
        <v>0</v>
      </c>
      <c r="BM464" s="78"/>
      <c r="BN464" s="78">
        <f t="shared" ca="1" si="4"/>
        <v>0</v>
      </c>
      <c r="BO464" s="66"/>
      <c r="BP464" s="66"/>
    </row>
    <row r="465" spans="1:68" ht="13.2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>
        <f t="shared" ref="AP465:AQ465" si="458">AR465+AT465+AV465</f>
        <v>0</v>
      </c>
      <c r="AQ465" s="75">
        <f t="shared" si="458"/>
        <v>0</v>
      </c>
      <c r="AR465" s="75"/>
      <c r="AS465" s="75"/>
      <c r="AT465" s="75"/>
      <c r="AU465" s="75"/>
      <c r="AV465" s="75"/>
      <c r="AW465" s="75"/>
      <c r="AX465" s="75"/>
      <c r="AY465" s="77">
        <f t="shared" ca="1" si="1"/>
        <v>0</v>
      </c>
      <c r="AZ465" s="75"/>
      <c r="BA465" s="77">
        <f t="shared" ca="1" si="2"/>
        <v>0</v>
      </c>
      <c r="BB465" s="66"/>
      <c r="BC465" s="4"/>
      <c r="BD465" s="67"/>
      <c r="BE465" s="67"/>
      <c r="BF465" s="68"/>
      <c r="BG465" s="69"/>
      <c r="BH465" s="84"/>
      <c r="BI465" s="70"/>
      <c r="BJ465" s="73"/>
      <c r="BK465" s="78"/>
      <c r="BL465" s="78">
        <f t="shared" ca="1" si="3"/>
        <v>0</v>
      </c>
      <c r="BM465" s="78"/>
      <c r="BN465" s="78">
        <f t="shared" ca="1" si="4"/>
        <v>0</v>
      </c>
      <c r="BO465" s="66"/>
      <c r="BP465" s="66"/>
    </row>
    <row r="466" spans="1:68" ht="13.2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>
        <f t="shared" ref="AP466:AQ466" si="459">AR466+AT466+AV466</f>
        <v>0</v>
      </c>
      <c r="AQ466" s="75">
        <f t="shared" si="459"/>
        <v>0</v>
      </c>
      <c r="AR466" s="75"/>
      <c r="AS466" s="75"/>
      <c r="AT466" s="75"/>
      <c r="AU466" s="75"/>
      <c r="AV466" s="75"/>
      <c r="AW466" s="75"/>
      <c r="AX466" s="75"/>
      <c r="AY466" s="77">
        <f t="shared" ca="1" si="1"/>
        <v>0</v>
      </c>
      <c r="AZ466" s="75"/>
      <c r="BA466" s="77">
        <f t="shared" ca="1" si="2"/>
        <v>0</v>
      </c>
      <c r="BB466" s="66"/>
      <c r="BC466" s="4"/>
      <c r="BD466" s="67"/>
      <c r="BE466" s="67"/>
      <c r="BF466" s="68"/>
      <c r="BG466" s="69"/>
      <c r="BH466" s="84"/>
      <c r="BI466" s="70"/>
      <c r="BJ466" s="73"/>
      <c r="BK466" s="78"/>
      <c r="BL466" s="78">
        <f t="shared" ca="1" si="3"/>
        <v>0</v>
      </c>
      <c r="BM466" s="78"/>
      <c r="BN466" s="78">
        <f t="shared" ca="1" si="4"/>
        <v>0</v>
      </c>
      <c r="BO466" s="66"/>
      <c r="BP466" s="66"/>
    </row>
    <row r="467" spans="1:68" ht="13.2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>
        <f t="shared" ref="AP467:AQ467" si="460">AR467+AT467+AV467</f>
        <v>0</v>
      </c>
      <c r="AQ467" s="75">
        <f t="shared" si="460"/>
        <v>0</v>
      </c>
      <c r="AR467" s="75"/>
      <c r="AS467" s="75"/>
      <c r="AT467" s="75"/>
      <c r="AU467" s="75"/>
      <c r="AV467" s="75"/>
      <c r="AW467" s="75"/>
      <c r="AX467" s="75"/>
      <c r="AY467" s="77">
        <f t="shared" ca="1" si="1"/>
        <v>0</v>
      </c>
      <c r="AZ467" s="75"/>
      <c r="BA467" s="77">
        <f t="shared" ca="1" si="2"/>
        <v>0</v>
      </c>
      <c r="BB467" s="66"/>
      <c r="BC467" s="4"/>
      <c r="BD467" s="67"/>
      <c r="BE467" s="67"/>
      <c r="BF467" s="68"/>
      <c r="BG467" s="69"/>
      <c r="BH467" s="84"/>
      <c r="BI467" s="70"/>
      <c r="BJ467" s="73"/>
      <c r="BK467" s="78"/>
      <c r="BL467" s="78">
        <f t="shared" ca="1" si="3"/>
        <v>0</v>
      </c>
      <c r="BM467" s="78"/>
      <c r="BN467" s="78">
        <f t="shared" ca="1" si="4"/>
        <v>0</v>
      </c>
      <c r="BO467" s="66"/>
      <c r="BP467" s="66"/>
    </row>
    <row r="468" spans="1:68" ht="13.2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>
        <f t="shared" ref="AP468:AQ468" si="461">AR468+AT468+AV468</f>
        <v>0</v>
      </c>
      <c r="AQ468" s="75">
        <f t="shared" si="461"/>
        <v>0</v>
      </c>
      <c r="AR468" s="75"/>
      <c r="AS468" s="75"/>
      <c r="AT468" s="75"/>
      <c r="AU468" s="75"/>
      <c r="AV468" s="75"/>
      <c r="AW468" s="75"/>
      <c r="AX468" s="75"/>
      <c r="AY468" s="77">
        <f t="shared" ca="1" si="1"/>
        <v>0</v>
      </c>
      <c r="AZ468" s="75"/>
      <c r="BA468" s="77">
        <f t="shared" ca="1" si="2"/>
        <v>0</v>
      </c>
      <c r="BB468" s="66"/>
      <c r="BC468" s="4"/>
      <c r="BD468" s="67"/>
      <c r="BE468" s="67"/>
      <c r="BF468" s="68"/>
      <c r="BG468" s="69"/>
      <c r="BH468" s="84"/>
      <c r="BI468" s="70"/>
      <c r="BJ468" s="73"/>
      <c r="BK468" s="78"/>
      <c r="BL468" s="78">
        <f t="shared" ca="1" si="3"/>
        <v>0</v>
      </c>
      <c r="BM468" s="78"/>
      <c r="BN468" s="78">
        <f t="shared" ca="1" si="4"/>
        <v>0</v>
      </c>
      <c r="BO468" s="66"/>
      <c r="BP468" s="66"/>
    </row>
    <row r="469" spans="1:68" ht="13.2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>
        <f t="shared" ref="AP469:AQ469" si="462">AR469+AT469+AV469</f>
        <v>0</v>
      </c>
      <c r="AQ469" s="75">
        <f t="shared" si="462"/>
        <v>0</v>
      </c>
      <c r="AR469" s="75"/>
      <c r="AS469" s="75"/>
      <c r="AT469" s="75"/>
      <c r="AU469" s="75"/>
      <c r="AV469" s="75"/>
      <c r="AW469" s="75"/>
      <c r="AX469" s="75"/>
      <c r="AY469" s="77">
        <f t="shared" ca="1" si="1"/>
        <v>0</v>
      </c>
      <c r="AZ469" s="75"/>
      <c r="BA469" s="77">
        <f t="shared" ca="1" si="2"/>
        <v>0</v>
      </c>
      <c r="BB469" s="66"/>
      <c r="BC469" s="4"/>
      <c r="BD469" s="67"/>
      <c r="BE469" s="67"/>
      <c r="BF469" s="68"/>
      <c r="BG469" s="69"/>
      <c r="BH469" s="84"/>
      <c r="BI469" s="70"/>
      <c r="BJ469" s="73"/>
      <c r="BK469" s="78"/>
      <c r="BL469" s="78">
        <f t="shared" ca="1" si="3"/>
        <v>0</v>
      </c>
      <c r="BM469" s="78"/>
      <c r="BN469" s="78">
        <f t="shared" ca="1" si="4"/>
        <v>0</v>
      </c>
      <c r="BO469" s="66"/>
      <c r="BP469" s="66"/>
    </row>
    <row r="470" spans="1:68" ht="13.2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>
        <f t="shared" ref="AP470:AQ470" si="463">AR470+AT470+AV470</f>
        <v>0</v>
      </c>
      <c r="AQ470" s="75">
        <f t="shared" si="463"/>
        <v>0</v>
      </c>
      <c r="AR470" s="75"/>
      <c r="AS470" s="75"/>
      <c r="AT470" s="75"/>
      <c r="AU470" s="75"/>
      <c r="AV470" s="75"/>
      <c r="AW470" s="75"/>
      <c r="AX470" s="75"/>
      <c r="AY470" s="77">
        <f t="shared" ca="1" si="1"/>
        <v>0</v>
      </c>
      <c r="AZ470" s="75"/>
      <c r="BA470" s="77">
        <f t="shared" ca="1" si="2"/>
        <v>0</v>
      </c>
      <c r="BB470" s="66"/>
      <c r="BC470" s="4"/>
      <c r="BD470" s="67"/>
      <c r="BE470" s="67"/>
      <c r="BF470" s="68"/>
      <c r="BG470" s="69"/>
      <c r="BH470" s="84"/>
      <c r="BI470" s="70"/>
      <c r="BJ470" s="73"/>
      <c r="BK470" s="78"/>
      <c r="BL470" s="78">
        <f t="shared" ca="1" si="3"/>
        <v>0</v>
      </c>
      <c r="BM470" s="78"/>
      <c r="BN470" s="78">
        <f t="shared" ca="1" si="4"/>
        <v>0</v>
      </c>
      <c r="BO470" s="66"/>
      <c r="BP470" s="66"/>
    </row>
    <row r="471" spans="1:68" ht="13.2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>
        <f t="shared" ref="AP471:AQ471" si="464">AR471+AT471+AV471</f>
        <v>0</v>
      </c>
      <c r="AQ471" s="75">
        <f t="shared" si="464"/>
        <v>0</v>
      </c>
      <c r="AR471" s="75"/>
      <c r="AS471" s="75"/>
      <c r="AT471" s="75"/>
      <c r="AU471" s="75"/>
      <c r="AV471" s="75"/>
      <c r="AW471" s="75"/>
      <c r="AX471" s="75"/>
      <c r="AY471" s="77">
        <f t="shared" ca="1" si="1"/>
        <v>0</v>
      </c>
      <c r="AZ471" s="75"/>
      <c r="BA471" s="77">
        <f t="shared" ca="1" si="2"/>
        <v>0</v>
      </c>
      <c r="BB471" s="66"/>
      <c r="BC471" s="4"/>
      <c r="BD471" s="67"/>
      <c r="BE471" s="67"/>
      <c r="BF471" s="68"/>
      <c r="BG471" s="69"/>
      <c r="BH471" s="84"/>
      <c r="BI471" s="70"/>
      <c r="BJ471" s="73"/>
      <c r="BK471" s="78"/>
      <c r="BL471" s="78">
        <f t="shared" ca="1" si="3"/>
        <v>0</v>
      </c>
      <c r="BM471" s="78"/>
      <c r="BN471" s="78">
        <f t="shared" ca="1" si="4"/>
        <v>0</v>
      </c>
      <c r="BO471" s="66"/>
      <c r="BP471" s="66"/>
    </row>
    <row r="472" spans="1:68" ht="13.2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>
        <f t="shared" ref="AP472:AQ472" si="465">AR472+AT472+AV472</f>
        <v>0</v>
      </c>
      <c r="AQ472" s="75">
        <f t="shared" si="465"/>
        <v>0</v>
      </c>
      <c r="AR472" s="75"/>
      <c r="AS472" s="75"/>
      <c r="AT472" s="75"/>
      <c r="AU472" s="75"/>
      <c r="AV472" s="75"/>
      <c r="AW472" s="75"/>
      <c r="AX472" s="75"/>
      <c r="AY472" s="77">
        <f t="shared" ca="1" si="1"/>
        <v>0</v>
      </c>
      <c r="AZ472" s="75"/>
      <c r="BA472" s="77">
        <f t="shared" ca="1" si="2"/>
        <v>0</v>
      </c>
      <c r="BB472" s="66"/>
      <c r="BC472" s="4"/>
      <c r="BD472" s="67"/>
      <c r="BE472" s="67"/>
      <c r="BF472" s="68"/>
      <c r="BG472" s="69"/>
      <c r="BH472" s="84"/>
      <c r="BI472" s="70"/>
      <c r="BJ472" s="73"/>
      <c r="BK472" s="78"/>
      <c r="BL472" s="78">
        <f t="shared" ca="1" si="3"/>
        <v>0</v>
      </c>
      <c r="BM472" s="78"/>
      <c r="BN472" s="78">
        <f t="shared" ca="1" si="4"/>
        <v>0</v>
      </c>
      <c r="BO472" s="66"/>
      <c r="BP472" s="66"/>
    </row>
    <row r="473" spans="1:68" ht="13.2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>
        <f t="shared" ref="AP473:AQ473" si="466">AR473+AT473+AV473</f>
        <v>0</v>
      </c>
      <c r="AQ473" s="75">
        <f t="shared" si="466"/>
        <v>0</v>
      </c>
      <c r="AR473" s="75"/>
      <c r="AS473" s="75"/>
      <c r="AT473" s="75"/>
      <c r="AU473" s="75"/>
      <c r="AV473" s="75"/>
      <c r="AW473" s="75"/>
      <c r="AX473" s="75"/>
      <c r="AY473" s="77">
        <f t="shared" ca="1" si="1"/>
        <v>0</v>
      </c>
      <c r="AZ473" s="75"/>
      <c r="BA473" s="77">
        <f t="shared" ca="1" si="2"/>
        <v>0</v>
      </c>
      <c r="BB473" s="66"/>
      <c r="BC473" s="4"/>
      <c r="BD473" s="67"/>
      <c r="BE473" s="67"/>
      <c r="BF473" s="68"/>
      <c r="BG473" s="69"/>
      <c r="BH473" s="84"/>
      <c r="BI473" s="70"/>
      <c r="BJ473" s="73"/>
      <c r="BK473" s="78"/>
      <c r="BL473" s="78">
        <f t="shared" ca="1" si="3"/>
        <v>0</v>
      </c>
      <c r="BM473" s="78"/>
      <c r="BN473" s="78">
        <f t="shared" ca="1" si="4"/>
        <v>0</v>
      </c>
      <c r="BO473" s="66"/>
      <c r="BP473" s="66"/>
    </row>
    <row r="474" spans="1:68" ht="13.2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>
        <f t="shared" ref="AP474:AQ474" si="467">AR474+AT474+AV474</f>
        <v>0</v>
      </c>
      <c r="AQ474" s="75">
        <f t="shared" si="467"/>
        <v>0</v>
      </c>
      <c r="AR474" s="75"/>
      <c r="AS474" s="75"/>
      <c r="AT474" s="75"/>
      <c r="AU474" s="75"/>
      <c r="AV474" s="75"/>
      <c r="AW474" s="75"/>
      <c r="AX474" s="75"/>
      <c r="AY474" s="77">
        <f t="shared" ca="1" si="1"/>
        <v>0</v>
      </c>
      <c r="AZ474" s="75"/>
      <c r="BA474" s="77">
        <f t="shared" ca="1" si="2"/>
        <v>0</v>
      </c>
      <c r="BB474" s="66"/>
      <c r="BC474" s="4"/>
      <c r="BD474" s="67"/>
      <c r="BE474" s="67"/>
      <c r="BF474" s="68"/>
      <c r="BG474" s="69"/>
      <c r="BH474" s="84"/>
      <c r="BI474" s="70"/>
      <c r="BJ474" s="73"/>
      <c r="BK474" s="78"/>
      <c r="BL474" s="78">
        <f t="shared" ca="1" si="3"/>
        <v>0</v>
      </c>
      <c r="BM474" s="78"/>
      <c r="BN474" s="78">
        <f t="shared" ca="1" si="4"/>
        <v>0</v>
      </c>
      <c r="BO474" s="66"/>
      <c r="BP474" s="66"/>
    </row>
    <row r="475" spans="1:68" ht="13.2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>
        <f t="shared" ref="AP475:AQ475" si="468">AR475+AT475+AV475</f>
        <v>0</v>
      </c>
      <c r="AQ475" s="75">
        <f t="shared" si="468"/>
        <v>0</v>
      </c>
      <c r="AR475" s="75"/>
      <c r="AS475" s="75"/>
      <c r="AT475" s="75"/>
      <c r="AU475" s="75"/>
      <c r="AV475" s="75"/>
      <c r="AW475" s="75"/>
      <c r="AX475" s="75"/>
      <c r="AY475" s="77">
        <f t="shared" ca="1" si="1"/>
        <v>0</v>
      </c>
      <c r="AZ475" s="75"/>
      <c r="BA475" s="77">
        <f t="shared" ca="1" si="2"/>
        <v>0</v>
      </c>
      <c r="BB475" s="66"/>
      <c r="BC475" s="4"/>
      <c r="BD475" s="67"/>
      <c r="BE475" s="67"/>
      <c r="BF475" s="68"/>
      <c r="BG475" s="69"/>
      <c r="BH475" s="84"/>
      <c r="BI475" s="70"/>
      <c r="BJ475" s="73"/>
      <c r="BK475" s="78"/>
      <c r="BL475" s="78">
        <f t="shared" ca="1" si="3"/>
        <v>0</v>
      </c>
      <c r="BM475" s="78"/>
      <c r="BN475" s="78">
        <f t="shared" ca="1" si="4"/>
        <v>0</v>
      </c>
      <c r="BO475" s="66"/>
      <c r="BP475" s="66"/>
    </row>
    <row r="476" spans="1:68" ht="13.2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>
        <f t="shared" ref="AP476:AQ476" si="469">AR476+AT476+AV476</f>
        <v>0</v>
      </c>
      <c r="AQ476" s="75">
        <f t="shared" si="469"/>
        <v>0</v>
      </c>
      <c r="AR476" s="75"/>
      <c r="AS476" s="75"/>
      <c r="AT476" s="75"/>
      <c r="AU476" s="75"/>
      <c r="AV476" s="75"/>
      <c r="AW476" s="75"/>
      <c r="AX476" s="75"/>
      <c r="AY476" s="77">
        <f t="shared" ca="1" si="1"/>
        <v>0</v>
      </c>
      <c r="AZ476" s="75"/>
      <c r="BA476" s="77">
        <f t="shared" ca="1" si="2"/>
        <v>0</v>
      </c>
      <c r="BB476" s="66"/>
      <c r="BC476" s="4"/>
      <c r="BD476" s="67"/>
      <c r="BE476" s="67"/>
      <c r="BF476" s="68"/>
      <c r="BG476" s="69"/>
      <c r="BH476" s="84"/>
      <c r="BI476" s="70"/>
      <c r="BJ476" s="73"/>
      <c r="BK476" s="78"/>
      <c r="BL476" s="78">
        <f t="shared" ca="1" si="3"/>
        <v>0</v>
      </c>
      <c r="BM476" s="78"/>
      <c r="BN476" s="78">
        <f t="shared" ca="1" si="4"/>
        <v>0</v>
      </c>
      <c r="BO476" s="66"/>
      <c r="BP476" s="66"/>
    </row>
    <row r="477" spans="1:68" ht="13.2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>
        <f t="shared" ref="AP477:AQ477" si="470">AR477+AT477+AV477</f>
        <v>0</v>
      </c>
      <c r="AQ477" s="75">
        <f t="shared" si="470"/>
        <v>0</v>
      </c>
      <c r="AR477" s="75"/>
      <c r="AS477" s="75"/>
      <c r="AT477" s="75"/>
      <c r="AU477" s="75"/>
      <c r="AV477" s="75"/>
      <c r="AW477" s="75"/>
      <c r="AX477" s="75"/>
      <c r="AY477" s="77">
        <f t="shared" ca="1" si="1"/>
        <v>0</v>
      </c>
      <c r="AZ477" s="75"/>
      <c r="BA477" s="77">
        <f t="shared" ca="1" si="2"/>
        <v>0</v>
      </c>
      <c r="BB477" s="66"/>
      <c r="BC477" s="4"/>
      <c r="BD477" s="67"/>
      <c r="BE477" s="67"/>
      <c r="BF477" s="68"/>
      <c r="BG477" s="69"/>
      <c r="BH477" s="84"/>
      <c r="BI477" s="70"/>
      <c r="BJ477" s="73"/>
      <c r="BK477" s="78"/>
      <c r="BL477" s="78">
        <f t="shared" ca="1" si="3"/>
        <v>0</v>
      </c>
      <c r="BM477" s="78"/>
      <c r="BN477" s="78">
        <f t="shared" ca="1" si="4"/>
        <v>0</v>
      </c>
      <c r="BO477" s="66"/>
      <c r="BP477" s="66"/>
    </row>
    <row r="478" spans="1:68" ht="13.2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>
        <f t="shared" ref="AP478:AQ478" si="471">AR478+AT478+AV478</f>
        <v>0</v>
      </c>
      <c r="AQ478" s="75">
        <f t="shared" si="471"/>
        <v>0</v>
      </c>
      <c r="AR478" s="75"/>
      <c r="AS478" s="75"/>
      <c r="AT478" s="75"/>
      <c r="AU478" s="75"/>
      <c r="AV478" s="75"/>
      <c r="AW478" s="75"/>
      <c r="AX478" s="75"/>
      <c r="AY478" s="77">
        <f t="shared" ca="1" si="1"/>
        <v>0</v>
      </c>
      <c r="AZ478" s="75"/>
      <c r="BA478" s="77">
        <f t="shared" ca="1" si="2"/>
        <v>0</v>
      </c>
      <c r="BB478" s="66"/>
      <c r="BC478" s="4"/>
      <c r="BD478" s="67"/>
      <c r="BE478" s="67"/>
      <c r="BF478" s="68"/>
      <c r="BG478" s="69"/>
      <c r="BH478" s="84"/>
      <c r="BI478" s="70"/>
      <c r="BJ478" s="73"/>
      <c r="BK478" s="78"/>
      <c r="BL478" s="78">
        <f t="shared" ca="1" si="3"/>
        <v>0</v>
      </c>
      <c r="BM478" s="78"/>
      <c r="BN478" s="78">
        <f t="shared" ca="1" si="4"/>
        <v>0</v>
      </c>
      <c r="BO478" s="66"/>
      <c r="BP478" s="66"/>
    </row>
    <row r="479" spans="1:68" ht="13.2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>
        <f t="shared" ref="AP479:AQ479" si="472">AR479+AT479+AV479</f>
        <v>0</v>
      </c>
      <c r="AQ479" s="75">
        <f t="shared" si="472"/>
        <v>0</v>
      </c>
      <c r="AR479" s="75"/>
      <c r="AS479" s="75"/>
      <c r="AT479" s="75"/>
      <c r="AU479" s="75"/>
      <c r="AV479" s="75"/>
      <c r="AW479" s="75"/>
      <c r="AX479" s="75"/>
      <c r="AY479" s="77">
        <f t="shared" ca="1" si="1"/>
        <v>0</v>
      </c>
      <c r="AZ479" s="75"/>
      <c r="BA479" s="77">
        <f t="shared" ca="1" si="2"/>
        <v>0</v>
      </c>
      <c r="BB479" s="66"/>
      <c r="BC479" s="4"/>
      <c r="BD479" s="67"/>
      <c r="BE479" s="67"/>
      <c r="BF479" s="68"/>
      <c r="BG479" s="69"/>
      <c r="BH479" s="84"/>
      <c r="BI479" s="70"/>
      <c r="BJ479" s="73"/>
      <c r="BK479" s="78"/>
      <c r="BL479" s="78">
        <f t="shared" ca="1" si="3"/>
        <v>0</v>
      </c>
      <c r="BM479" s="78"/>
      <c r="BN479" s="78">
        <f t="shared" ca="1" si="4"/>
        <v>0</v>
      </c>
      <c r="BO479" s="66"/>
      <c r="BP479" s="66"/>
    </row>
    <row r="480" spans="1:68" ht="13.2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>
        <f t="shared" ref="AP480:AQ480" si="473">AR480+AT480+AV480</f>
        <v>0</v>
      </c>
      <c r="AQ480" s="75">
        <f t="shared" si="473"/>
        <v>0</v>
      </c>
      <c r="AR480" s="75"/>
      <c r="AS480" s="75"/>
      <c r="AT480" s="75"/>
      <c r="AU480" s="75"/>
      <c r="AV480" s="75"/>
      <c r="AW480" s="75"/>
      <c r="AX480" s="75"/>
      <c r="AY480" s="77">
        <f t="shared" ca="1" si="1"/>
        <v>0</v>
      </c>
      <c r="AZ480" s="75"/>
      <c r="BA480" s="77">
        <f t="shared" ca="1" si="2"/>
        <v>0</v>
      </c>
      <c r="BB480" s="66"/>
      <c r="BC480" s="4"/>
      <c r="BD480" s="67"/>
      <c r="BE480" s="67"/>
      <c r="BF480" s="68"/>
      <c r="BG480" s="69"/>
      <c r="BH480" s="84"/>
      <c r="BI480" s="70"/>
      <c r="BJ480" s="73"/>
      <c r="BK480" s="78"/>
      <c r="BL480" s="78">
        <f t="shared" ca="1" si="3"/>
        <v>0</v>
      </c>
      <c r="BM480" s="78"/>
      <c r="BN480" s="78">
        <f t="shared" ca="1" si="4"/>
        <v>0</v>
      </c>
      <c r="BO480" s="66"/>
      <c r="BP480" s="66"/>
    </row>
    <row r="481" spans="1:68" ht="13.2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>
        <f t="shared" ref="AP481:AQ481" si="474">AR481+AT481+AV481</f>
        <v>0</v>
      </c>
      <c r="AQ481" s="75">
        <f t="shared" si="474"/>
        <v>0</v>
      </c>
      <c r="AR481" s="75"/>
      <c r="AS481" s="75"/>
      <c r="AT481" s="75"/>
      <c r="AU481" s="75"/>
      <c r="AV481" s="75"/>
      <c r="AW481" s="75"/>
      <c r="AX481" s="75"/>
      <c r="AY481" s="77">
        <f t="shared" ca="1" si="1"/>
        <v>0</v>
      </c>
      <c r="AZ481" s="75"/>
      <c r="BA481" s="77">
        <f t="shared" ca="1" si="2"/>
        <v>0</v>
      </c>
      <c r="BB481" s="66"/>
      <c r="BC481" s="4"/>
      <c r="BD481" s="67"/>
      <c r="BE481" s="67"/>
      <c r="BF481" s="68"/>
      <c r="BG481" s="69"/>
      <c r="BH481" s="84"/>
      <c r="BI481" s="70"/>
      <c r="BJ481" s="73"/>
      <c r="BK481" s="78"/>
      <c r="BL481" s="78">
        <f t="shared" ca="1" si="3"/>
        <v>0</v>
      </c>
      <c r="BM481" s="78"/>
      <c r="BN481" s="78">
        <f t="shared" ca="1" si="4"/>
        <v>0</v>
      </c>
      <c r="BO481" s="66"/>
      <c r="BP481" s="66"/>
    </row>
    <row r="482" spans="1:68" ht="13.2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>
        <f t="shared" ref="AP482:AQ482" si="475">AR482+AT482+AV482</f>
        <v>0</v>
      </c>
      <c r="AQ482" s="75">
        <f t="shared" si="475"/>
        <v>0</v>
      </c>
      <c r="AR482" s="75"/>
      <c r="AS482" s="75"/>
      <c r="AT482" s="75"/>
      <c r="AU482" s="75"/>
      <c r="AV482" s="75"/>
      <c r="AW482" s="75"/>
      <c r="AX482" s="75"/>
      <c r="AY482" s="77">
        <f t="shared" ca="1" si="1"/>
        <v>0</v>
      </c>
      <c r="AZ482" s="75"/>
      <c r="BA482" s="77">
        <f t="shared" ca="1" si="2"/>
        <v>0</v>
      </c>
      <c r="BB482" s="66"/>
      <c r="BC482" s="4"/>
      <c r="BD482" s="67"/>
      <c r="BE482" s="67"/>
      <c r="BF482" s="68"/>
      <c r="BG482" s="69"/>
      <c r="BH482" s="84"/>
      <c r="BI482" s="70"/>
      <c r="BJ482" s="73"/>
      <c r="BK482" s="78"/>
      <c r="BL482" s="78">
        <f t="shared" ca="1" si="3"/>
        <v>0</v>
      </c>
      <c r="BM482" s="78"/>
      <c r="BN482" s="78">
        <f t="shared" ca="1" si="4"/>
        <v>0</v>
      </c>
      <c r="BO482" s="66"/>
      <c r="BP482" s="66"/>
    </row>
    <row r="483" spans="1:68" ht="13.2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>
        <f t="shared" ref="AP483:AQ483" si="476">AR483+AT483+AV483</f>
        <v>0</v>
      </c>
      <c r="AQ483" s="75">
        <f t="shared" si="476"/>
        <v>0</v>
      </c>
      <c r="AR483" s="75"/>
      <c r="AS483" s="75"/>
      <c r="AT483" s="75"/>
      <c r="AU483" s="75"/>
      <c r="AV483" s="75"/>
      <c r="AW483" s="75"/>
      <c r="AX483" s="75"/>
      <c r="AY483" s="77">
        <f t="shared" ca="1" si="1"/>
        <v>0</v>
      </c>
      <c r="AZ483" s="75"/>
      <c r="BA483" s="77">
        <f t="shared" ca="1" si="2"/>
        <v>0</v>
      </c>
      <c r="BB483" s="66"/>
      <c r="BC483" s="4"/>
      <c r="BD483" s="67"/>
      <c r="BE483" s="67"/>
      <c r="BF483" s="68"/>
      <c r="BG483" s="69"/>
      <c r="BH483" s="84"/>
      <c r="BI483" s="70"/>
      <c r="BJ483" s="73"/>
      <c r="BK483" s="78"/>
      <c r="BL483" s="78">
        <f t="shared" ca="1" si="3"/>
        <v>0</v>
      </c>
      <c r="BM483" s="78"/>
      <c r="BN483" s="78">
        <f t="shared" ca="1" si="4"/>
        <v>0</v>
      </c>
      <c r="BO483" s="66"/>
      <c r="BP483" s="66"/>
    </row>
    <row r="484" spans="1:68" ht="13.2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>
        <f t="shared" ref="AP484:AQ484" si="477">AR484+AT484+AV484</f>
        <v>0</v>
      </c>
      <c r="AQ484" s="75">
        <f t="shared" si="477"/>
        <v>0</v>
      </c>
      <c r="AR484" s="75"/>
      <c r="AS484" s="75"/>
      <c r="AT484" s="75"/>
      <c r="AU484" s="75"/>
      <c r="AV484" s="75"/>
      <c r="AW484" s="75"/>
      <c r="AX484" s="75"/>
      <c r="AY484" s="77">
        <f t="shared" ca="1" si="1"/>
        <v>0</v>
      </c>
      <c r="AZ484" s="75"/>
      <c r="BA484" s="77">
        <f t="shared" ca="1" si="2"/>
        <v>0</v>
      </c>
      <c r="BB484" s="66"/>
      <c r="BC484" s="4"/>
      <c r="BD484" s="67"/>
      <c r="BE484" s="67"/>
      <c r="BF484" s="68"/>
      <c r="BG484" s="69"/>
      <c r="BH484" s="84"/>
      <c r="BI484" s="70"/>
      <c r="BJ484" s="73"/>
      <c r="BK484" s="78"/>
      <c r="BL484" s="78">
        <f t="shared" ca="1" si="3"/>
        <v>0</v>
      </c>
      <c r="BM484" s="78"/>
      <c r="BN484" s="78">
        <f t="shared" ca="1" si="4"/>
        <v>0</v>
      </c>
      <c r="BO484" s="66"/>
      <c r="BP484" s="66"/>
    </row>
    <row r="485" spans="1:68" ht="13.2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>
        <f t="shared" ref="AP485:AQ485" si="478">AR485+AT485+AV485</f>
        <v>0</v>
      </c>
      <c r="AQ485" s="75">
        <f t="shared" si="478"/>
        <v>0</v>
      </c>
      <c r="AR485" s="75"/>
      <c r="AS485" s="75"/>
      <c r="AT485" s="75"/>
      <c r="AU485" s="75"/>
      <c r="AV485" s="75"/>
      <c r="AW485" s="75"/>
      <c r="AX485" s="75"/>
      <c r="AY485" s="77">
        <f t="shared" ca="1" si="1"/>
        <v>0</v>
      </c>
      <c r="AZ485" s="75"/>
      <c r="BA485" s="77">
        <f t="shared" ca="1" si="2"/>
        <v>0</v>
      </c>
      <c r="BB485" s="66"/>
      <c r="BC485" s="4"/>
      <c r="BD485" s="67"/>
      <c r="BE485" s="67"/>
      <c r="BF485" s="68"/>
      <c r="BG485" s="69"/>
      <c r="BH485" s="84"/>
      <c r="BI485" s="70"/>
      <c r="BJ485" s="73"/>
      <c r="BK485" s="78"/>
      <c r="BL485" s="78">
        <f t="shared" ca="1" si="3"/>
        <v>0</v>
      </c>
      <c r="BM485" s="78"/>
      <c r="BN485" s="78">
        <f t="shared" ca="1" si="4"/>
        <v>0</v>
      </c>
      <c r="BO485" s="66"/>
      <c r="BP485" s="66"/>
    </row>
    <row r="486" spans="1:68" ht="13.2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>
        <f t="shared" ref="AP486:AQ486" si="479">AR486+AT486+AV486</f>
        <v>0</v>
      </c>
      <c r="AQ486" s="75">
        <f t="shared" si="479"/>
        <v>0</v>
      </c>
      <c r="AR486" s="75"/>
      <c r="AS486" s="75"/>
      <c r="AT486" s="75"/>
      <c r="AU486" s="75"/>
      <c r="AV486" s="75"/>
      <c r="AW486" s="75"/>
      <c r="AX486" s="75"/>
      <c r="AY486" s="77">
        <f t="shared" ca="1" si="1"/>
        <v>0</v>
      </c>
      <c r="AZ486" s="75"/>
      <c r="BA486" s="77">
        <f t="shared" ca="1" si="2"/>
        <v>0</v>
      </c>
      <c r="BB486" s="66"/>
      <c r="BC486" s="4"/>
      <c r="BD486" s="67"/>
      <c r="BE486" s="67"/>
      <c r="BF486" s="68"/>
      <c r="BG486" s="69"/>
      <c r="BH486" s="84"/>
      <c r="BI486" s="70"/>
      <c r="BJ486" s="73"/>
      <c r="BK486" s="78"/>
      <c r="BL486" s="78">
        <f t="shared" ca="1" si="3"/>
        <v>0</v>
      </c>
      <c r="BM486" s="78"/>
      <c r="BN486" s="78">
        <f t="shared" ca="1" si="4"/>
        <v>0</v>
      </c>
      <c r="BO486" s="66"/>
      <c r="BP486" s="66"/>
    </row>
    <row r="487" spans="1:68" ht="13.2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>
        <f t="shared" ref="AP487:AQ487" si="480">AR487+AT487+AV487</f>
        <v>0</v>
      </c>
      <c r="AQ487" s="75">
        <f t="shared" si="480"/>
        <v>0</v>
      </c>
      <c r="AR487" s="75"/>
      <c r="AS487" s="75"/>
      <c r="AT487" s="75"/>
      <c r="AU487" s="75"/>
      <c r="AV487" s="75"/>
      <c r="AW487" s="75"/>
      <c r="AX487" s="75"/>
      <c r="AY487" s="77">
        <f t="shared" ca="1" si="1"/>
        <v>0</v>
      </c>
      <c r="AZ487" s="75"/>
      <c r="BA487" s="77">
        <f t="shared" ca="1" si="2"/>
        <v>0</v>
      </c>
      <c r="BB487" s="66"/>
      <c r="BC487" s="4"/>
      <c r="BD487" s="67"/>
      <c r="BE487" s="67"/>
      <c r="BF487" s="68"/>
      <c r="BG487" s="69"/>
      <c r="BH487" s="84"/>
      <c r="BI487" s="70"/>
      <c r="BJ487" s="73"/>
      <c r="BK487" s="78"/>
      <c r="BL487" s="78">
        <f t="shared" ca="1" si="3"/>
        <v>0</v>
      </c>
      <c r="BM487" s="78"/>
      <c r="BN487" s="78">
        <f t="shared" ca="1" si="4"/>
        <v>0</v>
      </c>
      <c r="BO487" s="66"/>
      <c r="BP487" s="66"/>
    </row>
    <row r="488" spans="1:68" ht="13.2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>
        <f t="shared" ref="AP488:AQ488" si="481">AR488+AT488+AV488</f>
        <v>0</v>
      </c>
      <c r="AQ488" s="75">
        <f t="shared" si="481"/>
        <v>0</v>
      </c>
      <c r="AR488" s="75"/>
      <c r="AS488" s="75"/>
      <c r="AT488" s="75"/>
      <c r="AU488" s="75"/>
      <c r="AV488" s="75"/>
      <c r="AW488" s="75"/>
      <c r="AX488" s="75"/>
      <c r="AY488" s="77">
        <f t="shared" ca="1" si="1"/>
        <v>0</v>
      </c>
      <c r="AZ488" s="75"/>
      <c r="BA488" s="77">
        <f t="shared" ca="1" si="2"/>
        <v>0</v>
      </c>
      <c r="BB488" s="66"/>
      <c r="BC488" s="4"/>
      <c r="BD488" s="67"/>
      <c r="BE488" s="67"/>
      <c r="BF488" s="68"/>
      <c r="BG488" s="69"/>
      <c r="BH488" s="84"/>
      <c r="BI488" s="70"/>
      <c r="BJ488" s="73"/>
      <c r="BK488" s="78"/>
      <c r="BL488" s="78">
        <f t="shared" ca="1" si="3"/>
        <v>0</v>
      </c>
      <c r="BM488" s="78"/>
      <c r="BN488" s="78">
        <f t="shared" ca="1" si="4"/>
        <v>0</v>
      </c>
      <c r="BO488" s="66"/>
      <c r="BP488" s="66"/>
    </row>
    <row r="489" spans="1:68" ht="13.2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>
        <f t="shared" ref="AP489:AQ489" si="482">AR489+AT489+AV489</f>
        <v>0</v>
      </c>
      <c r="AQ489" s="75">
        <f t="shared" si="482"/>
        <v>0</v>
      </c>
      <c r="AR489" s="75"/>
      <c r="AS489" s="75"/>
      <c r="AT489" s="75"/>
      <c r="AU489" s="75"/>
      <c r="AV489" s="75"/>
      <c r="AW489" s="75"/>
      <c r="AX489" s="75"/>
      <c r="AY489" s="77">
        <f t="shared" ca="1" si="1"/>
        <v>0</v>
      </c>
      <c r="AZ489" s="75"/>
      <c r="BA489" s="77">
        <f t="shared" ca="1" si="2"/>
        <v>0</v>
      </c>
      <c r="BB489" s="66"/>
      <c r="BC489" s="4"/>
      <c r="BD489" s="67"/>
      <c r="BE489" s="67"/>
      <c r="BF489" s="68"/>
      <c r="BG489" s="69"/>
      <c r="BH489" s="84"/>
      <c r="BI489" s="70"/>
      <c r="BJ489" s="73"/>
      <c r="BK489" s="78"/>
      <c r="BL489" s="78">
        <f t="shared" ca="1" si="3"/>
        <v>0</v>
      </c>
      <c r="BM489" s="78"/>
      <c r="BN489" s="78">
        <f t="shared" ca="1" si="4"/>
        <v>0</v>
      </c>
      <c r="BO489" s="66"/>
      <c r="BP489" s="66"/>
    </row>
    <row r="490" spans="1:68" ht="13.2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>
        <f t="shared" ref="AP490:AQ490" si="483">AR490+AT490+AV490</f>
        <v>0</v>
      </c>
      <c r="AQ490" s="75">
        <f t="shared" si="483"/>
        <v>0</v>
      </c>
      <c r="AR490" s="75"/>
      <c r="AS490" s="75"/>
      <c r="AT490" s="75"/>
      <c r="AU490" s="75"/>
      <c r="AV490" s="75"/>
      <c r="AW490" s="75"/>
      <c r="AX490" s="75"/>
      <c r="AY490" s="77">
        <f t="shared" ca="1" si="1"/>
        <v>0</v>
      </c>
      <c r="AZ490" s="75"/>
      <c r="BA490" s="77">
        <f t="shared" ca="1" si="2"/>
        <v>0</v>
      </c>
      <c r="BB490" s="66"/>
      <c r="BC490" s="4"/>
      <c r="BD490" s="67"/>
      <c r="BE490" s="67"/>
      <c r="BF490" s="68"/>
      <c r="BG490" s="69"/>
      <c r="BH490" s="84"/>
      <c r="BI490" s="70"/>
      <c r="BJ490" s="73"/>
      <c r="BK490" s="78"/>
      <c r="BL490" s="78">
        <f t="shared" ca="1" si="3"/>
        <v>0</v>
      </c>
      <c r="BM490" s="78"/>
      <c r="BN490" s="78">
        <f t="shared" ca="1" si="4"/>
        <v>0</v>
      </c>
      <c r="BO490" s="66"/>
      <c r="BP490" s="66"/>
    </row>
    <row r="491" spans="1:68" ht="13.2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>
        <f t="shared" ref="AP491:AQ491" si="484">AR491+AT491+AV491</f>
        <v>0</v>
      </c>
      <c r="AQ491" s="75">
        <f t="shared" si="484"/>
        <v>0</v>
      </c>
      <c r="AR491" s="75"/>
      <c r="AS491" s="75"/>
      <c r="AT491" s="75"/>
      <c r="AU491" s="75"/>
      <c r="AV491" s="75"/>
      <c r="AW491" s="75"/>
      <c r="AX491" s="75"/>
      <c r="AY491" s="77">
        <f t="shared" ca="1" si="1"/>
        <v>0</v>
      </c>
      <c r="AZ491" s="75"/>
      <c r="BA491" s="77">
        <f t="shared" ca="1" si="2"/>
        <v>0</v>
      </c>
      <c r="BB491" s="66"/>
      <c r="BC491" s="4"/>
      <c r="BD491" s="67"/>
      <c r="BE491" s="67"/>
      <c r="BF491" s="68"/>
      <c r="BG491" s="69"/>
      <c r="BH491" s="84"/>
      <c r="BI491" s="70"/>
      <c r="BJ491" s="73"/>
      <c r="BK491" s="78"/>
      <c r="BL491" s="78">
        <f t="shared" ca="1" si="3"/>
        <v>0</v>
      </c>
      <c r="BM491" s="78"/>
      <c r="BN491" s="78">
        <f t="shared" ca="1" si="4"/>
        <v>0</v>
      </c>
      <c r="BO491" s="66"/>
      <c r="BP491" s="66"/>
    </row>
    <row r="492" spans="1:68" ht="13.2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>
        <f t="shared" ref="AP492:AQ492" si="485">AR492+AT492+AV492</f>
        <v>0</v>
      </c>
      <c r="AQ492" s="75">
        <f t="shared" si="485"/>
        <v>0</v>
      </c>
      <c r="AR492" s="75"/>
      <c r="AS492" s="75"/>
      <c r="AT492" s="75"/>
      <c r="AU492" s="75"/>
      <c r="AV492" s="75"/>
      <c r="AW492" s="75"/>
      <c r="AX492" s="75"/>
      <c r="AY492" s="77">
        <f t="shared" ca="1" si="1"/>
        <v>0</v>
      </c>
      <c r="AZ492" s="75"/>
      <c r="BA492" s="77">
        <f t="shared" ca="1" si="2"/>
        <v>0</v>
      </c>
      <c r="BB492" s="66"/>
      <c r="BC492" s="4"/>
      <c r="BD492" s="67"/>
      <c r="BE492" s="67"/>
      <c r="BF492" s="68"/>
      <c r="BG492" s="69"/>
      <c r="BH492" s="84"/>
      <c r="BI492" s="70"/>
      <c r="BJ492" s="73"/>
      <c r="BK492" s="78"/>
      <c r="BL492" s="78">
        <f t="shared" ca="1" si="3"/>
        <v>0</v>
      </c>
      <c r="BM492" s="78"/>
      <c r="BN492" s="78">
        <f t="shared" ca="1" si="4"/>
        <v>0</v>
      </c>
      <c r="BO492" s="66"/>
      <c r="BP492" s="66"/>
    </row>
    <row r="493" spans="1:68" ht="13.2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>
        <f t="shared" ref="AP493:AQ493" si="486">AR493+AT493+AV493</f>
        <v>0</v>
      </c>
      <c r="AQ493" s="75">
        <f t="shared" si="486"/>
        <v>0</v>
      </c>
      <c r="AR493" s="75"/>
      <c r="AS493" s="75"/>
      <c r="AT493" s="75"/>
      <c r="AU493" s="75"/>
      <c r="AV493" s="75"/>
      <c r="AW493" s="75"/>
      <c r="AX493" s="75"/>
      <c r="AY493" s="77">
        <f t="shared" ca="1" si="1"/>
        <v>0</v>
      </c>
      <c r="AZ493" s="75"/>
      <c r="BA493" s="77">
        <f t="shared" ca="1" si="2"/>
        <v>0</v>
      </c>
      <c r="BB493" s="66"/>
      <c r="BC493" s="4"/>
      <c r="BD493" s="67"/>
      <c r="BE493" s="67"/>
      <c r="BF493" s="68"/>
      <c r="BG493" s="69"/>
      <c r="BH493" s="84"/>
      <c r="BI493" s="70"/>
      <c r="BJ493" s="73"/>
      <c r="BK493" s="78"/>
      <c r="BL493" s="78">
        <f t="shared" ca="1" si="3"/>
        <v>0</v>
      </c>
      <c r="BM493" s="78"/>
      <c r="BN493" s="78">
        <f t="shared" ca="1" si="4"/>
        <v>0</v>
      </c>
      <c r="BO493" s="66"/>
      <c r="BP493" s="66"/>
    </row>
    <row r="494" spans="1:68" ht="13.2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>
        <f t="shared" ref="AP494:AQ494" si="487">AR494+AT494+AV494</f>
        <v>0</v>
      </c>
      <c r="AQ494" s="75">
        <f t="shared" si="487"/>
        <v>0</v>
      </c>
      <c r="AR494" s="75"/>
      <c r="AS494" s="75"/>
      <c r="AT494" s="75"/>
      <c r="AU494" s="75"/>
      <c r="AV494" s="75"/>
      <c r="AW494" s="75"/>
      <c r="AX494" s="75"/>
      <c r="AY494" s="77">
        <f t="shared" ca="1" si="1"/>
        <v>0</v>
      </c>
      <c r="AZ494" s="75"/>
      <c r="BA494" s="77">
        <f t="shared" ca="1" si="2"/>
        <v>0</v>
      </c>
      <c r="BB494" s="66"/>
      <c r="BC494" s="4"/>
      <c r="BD494" s="67"/>
      <c r="BE494" s="67"/>
      <c r="BF494" s="68"/>
      <c r="BG494" s="69"/>
      <c r="BH494" s="84"/>
      <c r="BI494" s="70"/>
      <c r="BJ494" s="73"/>
      <c r="BK494" s="78"/>
      <c r="BL494" s="78">
        <f t="shared" ca="1" si="3"/>
        <v>0</v>
      </c>
      <c r="BM494" s="78"/>
      <c r="BN494" s="78">
        <f t="shared" ca="1" si="4"/>
        <v>0</v>
      </c>
      <c r="BO494" s="66"/>
      <c r="BP494" s="66"/>
    </row>
    <row r="495" spans="1:68" ht="13.2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>
        <f t="shared" ref="AP495:AQ495" si="488">AR495+AT495+AV495</f>
        <v>0</v>
      </c>
      <c r="AQ495" s="75">
        <f t="shared" si="488"/>
        <v>0</v>
      </c>
      <c r="AR495" s="75"/>
      <c r="AS495" s="75"/>
      <c r="AT495" s="75"/>
      <c r="AU495" s="75"/>
      <c r="AV495" s="75"/>
      <c r="AW495" s="75"/>
      <c r="AX495" s="75"/>
      <c r="AY495" s="77">
        <f t="shared" ca="1" si="1"/>
        <v>0</v>
      </c>
      <c r="AZ495" s="75"/>
      <c r="BA495" s="77">
        <f t="shared" ca="1" si="2"/>
        <v>0</v>
      </c>
      <c r="BB495" s="66"/>
      <c r="BC495" s="4"/>
      <c r="BD495" s="67"/>
      <c r="BE495" s="67"/>
      <c r="BF495" s="68"/>
      <c r="BG495" s="69"/>
      <c r="BH495" s="84"/>
      <c r="BI495" s="70"/>
      <c r="BJ495" s="73"/>
      <c r="BK495" s="78"/>
      <c r="BL495" s="78">
        <f t="shared" ca="1" si="3"/>
        <v>0</v>
      </c>
      <c r="BM495" s="78"/>
      <c r="BN495" s="78">
        <f t="shared" ca="1" si="4"/>
        <v>0</v>
      </c>
      <c r="BO495" s="66"/>
      <c r="BP495" s="66"/>
    </row>
    <row r="496" spans="1:68" ht="13.2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>
        <f t="shared" ref="AP496:AQ496" si="489">AR496+AT496+AV496</f>
        <v>0</v>
      </c>
      <c r="AQ496" s="75">
        <f t="shared" si="489"/>
        <v>0</v>
      </c>
      <c r="AR496" s="75"/>
      <c r="AS496" s="75"/>
      <c r="AT496" s="75"/>
      <c r="AU496" s="75"/>
      <c r="AV496" s="75"/>
      <c r="AW496" s="75"/>
      <c r="AX496" s="75"/>
      <c r="AY496" s="77">
        <f t="shared" ca="1" si="1"/>
        <v>0</v>
      </c>
      <c r="AZ496" s="75"/>
      <c r="BA496" s="77">
        <f t="shared" ca="1" si="2"/>
        <v>0</v>
      </c>
      <c r="BB496" s="66"/>
      <c r="BC496" s="4"/>
      <c r="BD496" s="67"/>
      <c r="BE496" s="67"/>
      <c r="BF496" s="68"/>
      <c r="BG496" s="69"/>
      <c r="BH496" s="84"/>
      <c r="BI496" s="70"/>
      <c r="BJ496" s="73"/>
      <c r="BK496" s="78"/>
      <c r="BL496" s="78">
        <f t="shared" ca="1" si="3"/>
        <v>0</v>
      </c>
      <c r="BM496" s="78"/>
      <c r="BN496" s="78">
        <f t="shared" ca="1" si="4"/>
        <v>0</v>
      </c>
      <c r="BO496" s="66"/>
      <c r="BP496" s="66"/>
    </row>
    <row r="497" spans="1:68" ht="13.2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>
        <f t="shared" ref="AP497:AQ497" si="490">AR497+AT497+AV497</f>
        <v>0</v>
      </c>
      <c r="AQ497" s="75">
        <f t="shared" si="490"/>
        <v>0</v>
      </c>
      <c r="AR497" s="75"/>
      <c r="AS497" s="75"/>
      <c r="AT497" s="75"/>
      <c r="AU497" s="75"/>
      <c r="AV497" s="75"/>
      <c r="AW497" s="75"/>
      <c r="AX497" s="75"/>
      <c r="AY497" s="77">
        <f t="shared" ca="1" si="1"/>
        <v>0</v>
      </c>
      <c r="AZ497" s="75"/>
      <c r="BA497" s="77">
        <f t="shared" ca="1" si="2"/>
        <v>0</v>
      </c>
      <c r="BB497" s="66"/>
      <c r="BC497" s="4"/>
      <c r="BD497" s="67"/>
      <c r="BE497" s="67"/>
      <c r="BF497" s="68"/>
      <c r="BG497" s="69"/>
      <c r="BH497" s="84"/>
      <c r="BI497" s="70"/>
      <c r="BJ497" s="73"/>
      <c r="BK497" s="78"/>
      <c r="BL497" s="78">
        <f t="shared" ca="1" si="3"/>
        <v>0</v>
      </c>
      <c r="BM497" s="78"/>
      <c r="BN497" s="78">
        <f t="shared" ca="1" si="4"/>
        <v>0</v>
      </c>
      <c r="BO497" s="66"/>
      <c r="BP497" s="66"/>
    </row>
    <row r="498" spans="1:68" ht="13.2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>
        <f t="shared" ref="AP498:AQ498" si="491">AR498+AT498+AV498</f>
        <v>0</v>
      </c>
      <c r="AQ498" s="75">
        <f t="shared" si="491"/>
        <v>0</v>
      </c>
      <c r="AR498" s="75"/>
      <c r="AS498" s="75"/>
      <c r="AT498" s="75"/>
      <c r="AU498" s="75"/>
      <c r="AV498" s="75"/>
      <c r="AW498" s="75"/>
      <c r="AX498" s="75"/>
      <c r="AY498" s="77">
        <f t="shared" ca="1" si="1"/>
        <v>0</v>
      </c>
      <c r="AZ498" s="75"/>
      <c r="BA498" s="77">
        <f t="shared" ca="1" si="2"/>
        <v>0</v>
      </c>
      <c r="BB498" s="66"/>
      <c r="BC498" s="4"/>
      <c r="BD498" s="67"/>
      <c r="BE498" s="67"/>
      <c r="BF498" s="68"/>
      <c r="BG498" s="69"/>
      <c r="BH498" s="84"/>
      <c r="BI498" s="70"/>
      <c r="BJ498" s="73"/>
      <c r="BK498" s="78"/>
      <c r="BL498" s="78">
        <f t="shared" ca="1" si="3"/>
        <v>0</v>
      </c>
      <c r="BM498" s="78"/>
      <c r="BN498" s="78">
        <f t="shared" ca="1" si="4"/>
        <v>0</v>
      </c>
      <c r="BO498" s="66"/>
      <c r="BP498" s="66"/>
    </row>
    <row r="499" spans="1:68" ht="13.2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>
        <f t="shared" ref="AP499:AQ499" si="492">AR499+AT499+AV499</f>
        <v>0</v>
      </c>
      <c r="AQ499" s="75">
        <f t="shared" si="492"/>
        <v>0</v>
      </c>
      <c r="AR499" s="75"/>
      <c r="AS499" s="75"/>
      <c r="AT499" s="75"/>
      <c r="AU499" s="75"/>
      <c r="AV499" s="75"/>
      <c r="AW499" s="75"/>
      <c r="AX499" s="75"/>
      <c r="AY499" s="77">
        <f t="shared" ca="1" si="1"/>
        <v>0</v>
      </c>
      <c r="AZ499" s="75"/>
      <c r="BA499" s="77">
        <f t="shared" ca="1" si="2"/>
        <v>0</v>
      </c>
      <c r="BB499" s="66"/>
      <c r="BC499" s="4"/>
      <c r="BD499" s="67"/>
      <c r="BE499" s="67"/>
      <c r="BF499" s="68"/>
      <c r="BG499" s="69"/>
      <c r="BH499" s="84"/>
      <c r="BI499" s="70"/>
      <c r="BJ499" s="73"/>
      <c r="BK499" s="78"/>
      <c r="BL499" s="78">
        <f t="shared" ca="1" si="3"/>
        <v>0</v>
      </c>
      <c r="BM499" s="78"/>
      <c r="BN499" s="78">
        <f t="shared" ca="1" si="4"/>
        <v>0</v>
      </c>
      <c r="BO499" s="66"/>
      <c r="BP499" s="66"/>
    </row>
    <row r="500" spans="1:68" ht="13.2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>
        <f t="shared" ref="AP500:AQ500" si="493">AR500+AT500+AV500</f>
        <v>0</v>
      </c>
      <c r="AQ500" s="75">
        <f t="shared" si="493"/>
        <v>0</v>
      </c>
      <c r="AR500" s="75"/>
      <c r="AS500" s="75"/>
      <c r="AT500" s="75"/>
      <c r="AU500" s="75"/>
      <c r="AV500" s="75"/>
      <c r="AW500" s="75"/>
      <c r="AX500" s="75"/>
      <c r="AY500" s="77">
        <f t="shared" ca="1" si="1"/>
        <v>0</v>
      </c>
      <c r="AZ500" s="75"/>
      <c r="BA500" s="77">
        <f t="shared" ca="1" si="2"/>
        <v>0</v>
      </c>
      <c r="BB500" s="66"/>
      <c r="BC500" s="4"/>
      <c r="BD500" s="67"/>
      <c r="BE500" s="67"/>
      <c r="BF500" s="68"/>
      <c r="BG500" s="69"/>
      <c r="BH500" s="84"/>
      <c r="BI500" s="70"/>
      <c r="BJ500" s="73"/>
      <c r="BK500" s="78"/>
      <c r="BL500" s="78">
        <f t="shared" ca="1" si="3"/>
        <v>0</v>
      </c>
      <c r="BM500" s="78"/>
      <c r="BN500" s="78">
        <f t="shared" ca="1" si="4"/>
        <v>0</v>
      </c>
      <c r="BO500" s="66"/>
      <c r="BP500" s="66"/>
    </row>
    <row r="501" spans="1:68" ht="13.2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>
        <f t="shared" ref="AP501:AQ501" si="494">AR501+AT501+AV501</f>
        <v>0</v>
      </c>
      <c r="AQ501" s="75">
        <f t="shared" si="494"/>
        <v>0</v>
      </c>
      <c r="AR501" s="75"/>
      <c r="AS501" s="75"/>
      <c r="AT501" s="75"/>
      <c r="AU501" s="75"/>
      <c r="AV501" s="75"/>
      <c r="AW501" s="75"/>
      <c r="AX501" s="75"/>
      <c r="AY501" s="77">
        <f t="shared" ca="1" si="1"/>
        <v>0</v>
      </c>
      <c r="AZ501" s="75"/>
      <c r="BA501" s="77">
        <f t="shared" ca="1" si="2"/>
        <v>0</v>
      </c>
      <c r="BB501" s="66"/>
      <c r="BC501" s="4"/>
      <c r="BD501" s="67"/>
      <c r="BE501" s="67"/>
      <c r="BF501" s="68"/>
      <c r="BG501" s="69"/>
      <c r="BH501" s="84"/>
      <c r="BI501" s="70"/>
      <c r="BJ501" s="73"/>
      <c r="BK501" s="78"/>
      <c r="BL501" s="78">
        <f t="shared" ca="1" si="3"/>
        <v>0</v>
      </c>
      <c r="BM501" s="78"/>
      <c r="BN501" s="78">
        <f t="shared" ca="1" si="4"/>
        <v>0</v>
      </c>
      <c r="BO501" s="66"/>
      <c r="BP501" s="66"/>
    </row>
    <row r="502" spans="1:68" ht="13.2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>
        <f t="shared" ref="AP502:AQ502" si="495">AR502+AT502+AV502</f>
        <v>0</v>
      </c>
      <c r="AQ502" s="75">
        <f t="shared" si="495"/>
        <v>0</v>
      </c>
      <c r="AR502" s="75"/>
      <c r="AS502" s="75"/>
      <c r="AT502" s="75"/>
      <c r="AU502" s="75"/>
      <c r="AV502" s="75"/>
      <c r="AW502" s="75"/>
      <c r="AX502" s="75"/>
      <c r="AY502" s="77">
        <f t="shared" ca="1" si="1"/>
        <v>0</v>
      </c>
      <c r="AZ502" s="75"/>
      <c r="BA502" s="77">
        <f t="shared" ca="1" si="2"/>
        <v>0</v>
      </c>
      <c r="BB502" s="66"/>
      <c r="BC502" s="4"/>
      <c r="BD502" s="67"/>
      <c r="BE502" s="67"/>
      <c r="BF502" s="68"/>
      <c r="BG502" s="69"/>
      <c r="BH502" s="84"/>
      <c r="BI502" s="70"/>
      <c r="BJ502" s="73"/>
      <c r="BK502" s="78"/>
      <c r="BL502" s="78">
        <f t="shared" ca="1" si="3"/>
        <v>0</v>
      </c>
      <c r="BM502" s="78"/>
      <c r="BN502" s="78">
        <f t="shared" ca="1" si="4"/>
        <v>0</v>
      </c>
      <c r="BO502" s="66"/>
      <c r="BP502" s="66"/>
    </row>
    <row r="503" spans="1:68" ht="13.2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>
        <f t="shared" ref="AP503:AQ503" si="496">AR503+AT503+AV503</f>
        <v>0</v>
      </c>
      <c r="AQ503" s="75">
        <f t="shared" si="496"/>
        <v>0</v>
      </c>
      <c r="AR503" s="75"/>
      <c r="AS503" s="75"/>
      <c r="AT503" s="75"/>
      <c r="AU503" s="75"/>
      <c r="AV503" s="75"/>
      <c r="AW503" s="75"/>
      <c r="AX503" s="75"/>
      <c r="AY503" s="77">
        <f t="shared" ca="1" si="1"/>
        <v>0</v>
      </c>
      <c r="AZ503" s="75"/>
      <c r="BA503" s="77">
        <f t="shared" ca="1" si="2"/>
        <v>0</v>
      </c>
      <c r="BB503" s="66"/>
      <c r="BC503" s="4"/>
      <c r="BD503" s="67"/>
      <c r="BE503" s="67"/>
      <c r="BF503" s="68"/>
      <c r="BG503" s="69"/>
      <c r="BH503" s="84"/>
      <c r="BI503" s="70"/>
      <c r="BJ503" s="73"/>
      <c r="BK503" s="78"/>
      <c r="BL503" s="78">
        <f t="shared" ca="1" si="3"/>
        <v>0</v>
      </c>
      <c r="BM503" s="78"/>
      <c r="BN503" s="78">
        <f t="shared" ca="1" si="4"/>
        <v>0</v>
      </c>
      <c r="BO503" s="66"/>
      <c r="BP503" s="66"/>
    </row>
    <row r="504" spans="1:68" ht="13.2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>
        <f t="shared" ref="AP504:AQ504" si="497">AR504+AT504+AV504</f>
        <v>0</v>
      </c>
      <c r="AQ504" s="75">
        <f t="shared" si="497"/>
        <v>0</v>
      </c>
      <c r="AR504" s="75"/>
      <c r="AS504" s="75"/>
      <c r="AT504" s="75"/>
      <c r="AU504" s="75"/>
      <c r="AV504" s="75"/>
      <c r="AW504" s="75"/>
      <c r="AX504" s="75"/>
      <c r="AY504" s="77">
        <f t="shared" ca="1" si="1"/>
        <v>0</v>
      </c>
      <c r="AZ504" s="75"/>
      <c r="BA504" s="77">
        <f t="shared" ca="1" si="2"/>
        <v>0</v>
      </c>
      <c r="BB504" s="66"/>
      <c r="BC504" s="4"/>
      <c r="BD504" s="67"/>
      <c r="BE504" s="67"/>
      <c r="BF504" s="68"/>
      <c r="BG504" s="69"/>
      <c r="BH504" s="84"/>
      <c r="BI504" s="70"/>
      <c r="BJ504" s="73"/>
      <c r="BK504" s="78"/>
      <c r="BL504" s="78">
        <f t="shared" ca="1" si="3"/>
        <v>0</v>
      </c>
      <c r="BM504" s="78"/>
      <c r="BN504" s="78">
        <f t="shared" ca="1" si="4"/>
        <v>0</v>
      </c>
      <c r="BO504" s="66"/>
      <c r="BP504" s="66"/>
    </row>
    <row r="505" spans="1:68" ht="13.2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>
        <f t="shared" ref="AP505:AQ505" si="498">AR505+AT505+AV505</f>
        <v>0</v>
      </c>
      <c r="AQ505" s="75">
        <f t="shared" si="498"/>
        <v>0</v>
      </c>
      <c r="AR505" s="75"/>
      <c r="AS505" s="75"/>
      <c r="AT505" s="75"/>
      <c r="AU505" s="75"/>
      <c r="AV505" s="75"/>
      <c r="AW505" s="75"/>
      <c r="AX505" s="75"/>
      <c r="AY505" s="77">
        <f t="shared" ca="1" si="1"/>
        <v>0</v>
      </c>
      <c r="AZ505" s="75"/>
      <c r="BA505" s="77">
        <f t="shared" ca="1" si="2"/>
        <v>0</v>
      </c>
      <c r="BB505" s="66"/>
      <c r="BC505" s="4"/>
      <c r="BD505" s="67"/>
      <c r="BE505" s="67"/>
      <c r="BF505" s="68"/>
      <c r="BG505" s="69"/>
      <c r="BH505" s="84"/>
      <c r="BI505" s="70"/>
      <c r="BJ505" s="73"/>
      <c r="BK505" s="78"/>
      <c r="BL505" s="78">
        <f t="shared" ca="1" si="3"/>
        <v>0</v>
      </c>
      <c r="BM505" s="78"/>
      <c r="BN505" s="78">
        <f t="shared" ca="1" si="4"/>
        <v>0</v>
      </c>
      <c r="BO505" s="66"/>
      <c r="BP505" s="66"/>
    </row>
    <row r="506" spans="1:68" ht="13.2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>
        <f t="shared" ref="AP506:AQ506" si="499">AR506+AT506+AV506</f>
        <v>0</v>
      </c>
      <c r="AQ506" s="75">
        <f t="shared" si="499"/>
        <v>0</v>
      </c>
      <c r="AR506" s="75"/>
      <c r="AS506" s="75"/>
      <c r="AT506" s="75"/>
      <c r="AU506" s="75"/>
      <c r="AV506" s="75"/>
      <c r="AW506" s="75"/>
      <c r="AX506" s="75"/>
      <c r="AY506" s="77">
        <f t="shared" ca="1" si="1"/>
        <v>0</v>
      </c>
      <c r="AZ506" s="75"/>
      <c r="BA506" s="77">
        <f t="shared" ca="1" si="2"/>
        <v>0</v>
      </c>
      <c r="BB506" s="66"/>
      <c r="BC506" s="4"/>
      <c r="BD506" s="67"/>
      <c r="BE506" s="67"/>
      <c r="BF506" s="68"/>
      <c r="BG506" s="69"/>
      <c r="BH506" s="84"/>
      <c r="BI506" s="70"/>
      <c r="BJ506" s="73"/>
      <c r="BK506" s="78"/>
      <c r="BL506" s="78">
        <f t="shared" ca="1" si="3"/>
        <v>0</v>
      </c>
      <c r="BM506" s="78"/>
      <c r="BN506" s="78">
        <f t="shared" ca="1" si="4"/>
        <v>0</v>
      </c>
      <c r="BO506" s="66"/>
      <c r="BP506" s="66"/>
    </row>
    <row r="507" spans="1:68" ht="13.2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>
        <f t="shared" ref="AP507:AQ507" si="500">AR507+AT507+AV507</f>
        <v>0</v>
      </c>
      <c r="AQ507" s="75">
        <f t="shared" si="500"/>
        <v>0</v>
      </c>
      <c r="AR507" s="75"/>
      <c r="AS507" s="75"/>
      <c r="AT507" s="75"/>
      <c r="AU507" s="75"/>
      <c r="AV507" s="75"/>
      <c r="AW507" s="75"/>
      <c r="AX507" s="75"/>
      <c r="AY507" s="77">
        <f t="shared" ca="1" si="1"/>
        <v>0</v>
      </c>
      <c r="AZ507" s="75"/>
      <c r="BA507" s="77">
        <f t="shared" ca="1" si="2"/>
        <v>0</v>
      </c>
      <c r="BB507" s="66"/>
      <c r="BC507" s="4"/>
      <c r="BD507" s="67"/>
      <c r="BE507" s="67"/>
      <c r="BF507" s="68"/>
      <c r="BG507" s="69"/>
      <c r="BH507" s="84"/>
      <c r="BI507" s="70"/>
      <c r="BJ507" s="73"/>
      <c r="BK507" s="78"/>
      <c r="BL507" s="78">
        <f t="shared" ca="1" si="3"/>
        <v>0</v>
      </c>
      <c r="BM507" s="78"/>
      <c r="BN507" s="78">
        <f t="shared" ca="1" si="4"/>
        <v>0</v>
      </c>
      <c r="BO507" s="66"/>
      <c r="BP507" s="66"/>
    </row>
    <row r="508" spans="1:68" ht="13.2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>
        <f t="shared" ref="AP508:AQ508" si="501">AR508+AT508+AV508</f>
        <v>0</v>
      </c>
      <c r="AQ508" s="75">
        <f t="shared" si="501"/>
        <v>0</v>
      </c>
      <c r="AR508" s="75"/>
      <c r="AS508" s="75"/>
      <c r="AT508" s="75"/>
      <c r="AU508" s="75"/>
      <c r="AV508" s="75"/>
      <c r="AW508" s="75"/>
      <c r="AX508" s="75"/>
      <c r="AY508" s="77">
        <f t="shared" ca="1" si="1"/>
        <v>0</v>
      </c>
      <c r="AZ508" s="75"/>
      <c r="BA508" s="77">
        <f t="shared" ca="1" si="2"/>
        <v>0</v>
      </c>
      <c r="BB508" s="66"/>
      <c r="BC508" s="4"/>
      <c r="BD508" s="67"/>
      <c r="BE508" s="67"/>
      <c r="BF508" s="68"/>
      <c r="BG508" s="69"/>
      <c r="BH508" s="84"/>
      <c r="BI508" s="70"/>
      <c r="BJ508" s="73"/>
      <c r="BK508" s="78"/>
      <c r="BL508" s="78">
        <f t="shared" ca="1" si="3"/>
        <v>0</v>
      </c>
      <c r="BM508" s="78"/>
      <c r="BN508" s="78">
        <f t="shared" ca="1" si="4"/>
        <v>0</v>
      </c>
      <c r="BO508" s="66"/>
      <c r="BP508" s="66"/>
    </row>
    <row r="509" spans="1:68" ht="13.2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>
        <f t="shared" ref="AP509:AQ509" si="502">AR509+AT509+AV509</f>
        <v>0</v>
      </c>
      <c r="AQ509" s="75">
        <f t="shared" si="502"/>
        <v>0</v>
      </c>
      <c r="AR509" s="75"/>
      <c r="AS509" s="75"/>
      <c r="AT509" s="75"/>
      <c r="AU509" s="75"/>
      <c r="AV509" s="75"/>
      <c r="AW509" s="75"/>
      <c r="AX509" s="75"/>
      <c r="AY509" s="77">
        <f t="shared" ca="1" si="1"/>
        <v>0</v>
      </c>
      <c r="AZ509" s="75"/>
      <c r="BA509" s="77">
        <f t="shared" ca="1" si="2"/>
        <v>0</v>
      </c>
      <c r="BB509" s="66"/>
      <c r="BC509" s="4"/>
      <c r="BD509" s="67"/>
      <c r="BE509" s="67"/>
      <c r="BF509" s="68"/>
      <c r="BG509" s="69"/>
      <c r="BH509" s="84"/>
      <c r="BI509" s="70"/>
      <c r="BJ509" s="73"/>
      <c r="BK509" s="78"/>
      <c r="BL509" s="78">
        <f t="shared" ca="1" si="3"/>
        <v>0</v>
      </c>
      <c r="BM509" s="78"/>
      <c r="BN509" s="78">
        <f t="shared" ca="1" si="4"/>
        <v>0</v>
      </c>
      <c r="BO509" s="66"/>
      <c r="BP509" s="66"/>
    </row>
    <row r="510" spans="1:68" ht="13.2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>
        <f t="shared" ref="AP510:AQ510" si="503">AR510+AT510+AV510</f>
        <v>0</v>
      </c>
      <c r="AQ510" s="75">
        <f t="shared" si="503"/>
        <v>0</v>
      </c>
      <c r="AR510" s="75"/>
      <c r="AS510" s="75"/>
      <c r="AT510" s="75"/>
      <c r="AU510" s="75"/>
      <c r="AV510" s="75"/>
      <c r="AW510" s="75"/>
      <c r="AX510" s="75"/>
      <c r="AY510" s="77">
        <f t="shared" ca="1" si="1"/>
        <v>0</v>
      </c>
      <c r="AZ510" s="75"/>
      <c r="BA510" s="77">
        <f t="shared" ca="1" si="2"/>
        <v>0</v>
      </c>
      <c r="BB510" s="66"/>
      <c r="BC510" s="4"/>
      <c r="BD510" s="67"/>
      <c r="BE510" s="67"/>
      <c r="BF510" s="68"/>
      <c r="BG510" s="69"/>
      <c r="BH510" s="84"/>
      <c r="BI510" s="70"/>
      <c r="BJ510" s="73"/>
      <c r="BK510" s="78"/>
      <c r="BL510" s="78">
        <f t="shared" ca="1" si="3"/>
        <v>0</v>
      </c>
      <c r="BM510" s="78"/>
      <c r="BN510" s="78">
        <f t="shared" ca="1" si="4"/>
        <v>0</v>
      </c>
      <c r="BO510" s="66"/>
      <c r="BP510" s="66"/>
    </row>
    <row r="511" spans="1:68" ht="13.2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>
        <f t="shared" ref="AP511:AQ511" si="504">AR511+AT511+AV511</f>
        <v>0</v>
      </c>
      <c r="AQ511" s="75">
        <f t="shared" si="504"/>
        <v>0</v>
      </c>
      <c r="AR511" s="75"/>
      <c r="AS511" s="75"/>
      <c r="AT511" s="75"/>
      <c r="AU511" s="75"/>
      <c r="AV511" s="75"/>
      <c r="AW511" s="75"/>
      <c r="AX511" s="75"/>
      <c r="AY511" s="77">
        <f t="shared" ca="1" si="1"/>
        <v>0</v>
      </c>
      <c r="AZ511" s="75"/>
      <c r="BA511" s="77">
        <f t="shared" ca="1" si="2"/>
        <v>0</v>
      </c>
      <c r="BB511" s="66"/>
      <c r="BC511" s="4"/>
      <c r="BD511" s="67"/>
      <c r="BE511" s="67"/>
      <c r="BF511" s="68"/>
      <c r="BG511" s="69"/>
      <c r="BH511" s="84"/>
      <c r="BI511" s="70"/>
      <c r="BJ511" s="73"/>
      <c r="BK511" s="78"/>
      <c r="BL511" s="78">
        <f t="shared" ca="1" si="3"/>
        <v>0</v>
      </c>
      <c r="BM511" s="78"/>
      <c r="BN511" s="78">
        <f t="shared" ca="1" si="4"/>
        <v>0</v>
      </c>
      <c r="BO511" s="66"/>
      <c r="BP511" s="66"/>
    </row>
    <row r="512" spans="1:68" ht="13.2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>
        <f t="shared" ref="AP512:AQ512" si="505">AR512+AT512+AV512</f>
        <v>0</v>
      </c>
      <c r="AQ512" s="75">
        <f t="shared" si="505"/>
        <v>0</v>
      </c>
      <c r="AR512" s="75"/>
      <c r="AS512" s="75"/>
      <c r="AT512" s="75"/>
      <c r="AU512" s="75"/>
      <c r="AV512" s="75"/>
      <c r="AW512" s="75"/>
      <c r="AX512" s="75"/>
      <c r="AY512" s="77">
        <f t="shared" ca="1" si="1"/>
        <v>0</v>
      </c>
      <c r="AZ512" s="75"/>
      <c r="BA512" s="77">
        <f t="shared" ca="1" si="2"/>
        <v>0</v>
      </c>
      <c r="BB512" s="66"/>
      <c r="BC512" s="4"/>
      <c r="BD512" s="67"/>
      <c r="BE512" s="67"/>
      <c r="BF512" s="68"/>
      <c r="BG512" s="69"/>
      <c r="BH512" s="84"/>
      <c r="BI512" s="70"/>
      <c r="BJ512" s="73"/>
      <c r="BK512" s="78"/>
      <c r="BL512" s="78">
        <f t="shared" ca="1" si="3"/>
        <v>0</v>
      </c>
      <c r="BM512" s="78"/>
      <c r="BN512" s="78">
        <f t="shared" ca="1" si="4"/>
        <v>0</v>
      </c>
      <c r="BO512" s="66"/>
      <c r="BP512" s="66"/>
    </row>
    <row r="513" spans="1:68" ht="13.2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>
        <f t="shared" ref="AP513:AQ513" si="506">AR513+AT513+AV513</f>
        <v>0</v>
      </c>
      <c r="AQ513" s="75">
        <f t="shared" si="506"/>
        <v>0</v>
      </c>
      <c r="AR513" s="75"/>
      <c r="AS513" s="75"/>
      <c r="AT513" s="75"/>
      <c r="AU513" s="75"/>
      <c r="AV513" s="75"/>
      <c r="AW513" s="75"/>
      <c r="AX513" s="75"/>
      <c r="AY513" s="77">
        <f t="shared" ca="1" si="1"/>
        <v>0</v>
      </c>
      <c r="AZ513" s="75"/>
      <c r="BA513" s="77">
        <f t="shared" ca="1" si="2"/>
        <v>0</v>
      </c>
      <c r="BB513" s="66"/>
      <c r="BC513" s="4"/>
      <c r="BD513" s="67"/>
      <c r="BE513" s="67"/>
      <c r="BF513" s="68"/>
      <c r="BG513" s="69"/>
      <c r="BH513" s="84"/>
      <c r="BI513" s="70"/>
      <c r="BJ513" s="73"/>
      <c r="BK513" s="78"/>
      <c r="BL513" s="78">
        <f t="shared" ca="1" si="3"/>
        <v>0</v>
      </c>
      <c r="BM513" s="78"/>
      <c r="BN513" s="78">
        <f t="shared" ca="1" si="4"/>
        <v>0</v>
      </c>
      <c r="BO513" s="66"/>
      <c r="BP513" s="66"/>
    </row>
    <row r="514" spans="1:68" ht="13.2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>
        <f t="shared" ref="AP514:AQ514" si="507">AR514+AT514+AV514</f>
        <v>0</v>
      </c>
      <c r="AQ514" s="75">
        <f t="shared" si="507"/>
        <v>0</v>
      </c>
      <c r="AR514" s="75"/>
      <c r="AS514" s="75"/>
      <c r="AT514" s="75"/>
      <c r="AU514" s="75"/>
      <c r="AV514" s="75"/>
      <c r="AW514" s="75"/>
      <c r="AX514" s="75"/>
      <c r="AY514" s="77">
        <f t="shared" ca="1" si="1"/>
        <v>0</v>
      </c>
      <c r="AZ514" s="75"/>
      <c r="BA514" s="77">
        <f t="shared" ca="1" si="2"/>
        <v>0</v>
      </c>
      <c r="BB514" s="66"/>
      <c r="BC514" s="4"/>
      <c r="BD514" s="67"/>
      <c r="BE514" s="67"/>
      <c r="BF514" s="68"/>
      <c r="BG514" s="69"/>
      <c r="BH514" s="84"/>
      <c r="BI514" s="70"/>
      <c r="BJ514" s="73"/>
      <c r="BK514" s="78"/>
      <c r="BL514" s="78">
        <f t="shared" ca="1" si="3"/>
        <v>0</v>
      </c>
      <c r="BM514" s="78"/>
      <c r="BN514" s="78">
        <f t="shared" ca="1" si="4"/>
        <v>0</v>
      </c>
      <c r="BO514" s="66"/>
      <c r="BP514" s="66"/>
    </row>
    <row r="515" spans="1:68" ht="13.2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>
        <f t="shared" ref="AP515:AQ515" si="508">AR515+AT515+AV515</f>
        <v>0</v>
      </c>
      <c r="AQ515" s="75">
        <f t="shared" si="508"/>
        <v>0</v>
      </c>
      <c r="AR515" s="75"/>
      <c r="AS515" s="75"/>
      <c r="AT515" s="75"/>
      <c r="AU515" s="75"/>
      <c r="AV515" s="75"/>
      <c r="AW515" s="75"/>
      <c r="AX515" s="75"/>
      <c r="AY515" s="77">
        <f t="shared" ca="1" si="1"/>
        <v>0</v>
      </c>
      <c r="AZ515" s="75"/>
      <c r="BA515" s="77">
        <f t="shared" ca="1" si="2"/>
        <v>0</v>
      </c>
      <c r="BB515" s="66"/>
      <c r="BC515" s="4"/>
      <c r="BD515" s="67"/>
      <c r="BE515" s="67"/>
      <c r="BF515" s="68"/>
      <c r="BG515" s="69"/>
      <c r="BH515" s="84"/>
      <c r="BI515" s="70"/>
      <c r="BJ515" s="73"/>
      <c r="BK515" s="78"/>
      <c r="BL515" s="78">
        <f t="shared" ca="1" si="3"/>
        <v>0</v>
      </c>
      <c r="BM515" s="78"/>
      <c r="BN515" s="78">
        <f t="shared" ca="1" si="4"/>
        <v>0</v>
      </c>
      <c r="BO515" s="66"/>
      <c r="BP515" s="66"/>
    </row>
    <row r="516" spans="1:68" ht="13.2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>
        <f t="shared" ref="AP516:AQ516" si="509">AR516+AT516+AV516</f>
        <v>0</v>
      </c>
      <c r="AQ516" s="75">
        <f t="shared" si="509"/>
        <v>0</v>
      </c>
      <c r="AR516" s="75"/>
      <c r="AS516" s="75"/>
      <c r="AT516" s="75"/>
      <c r="AU516" s="75"/>
      <c r="AV516" s="75"/>
      <c r="AW516" s="75"/>
      <c r="AX516" s="75"/>
      <c r="AY516" s="77">
        <f t="shared" ca="1" si="1"/>
        <v>0</v>
      </c>
      <c r="AZ516" s="75"/>
      <c r="BA516" s="77">
        <f t="shared" ca="1" si="2"/>
        <v>0</v>
      </c>
      <c r="BB516" s="66"/>
      <c r="BC516" s="4"/>
      <c r="BD516" s="67"/>
      <c r="BE516" s="67"/>
      <c r="BF516" s="68"/>
      <c r="BG516" s="69"/>
      <c r="BH516" s="84"/>
      <c r="BI516" s="70"/>
      <c r="BJ516" s="73"/>
      <c r="BK516" s="78"/>
      <c r="BL516" s="78">
        <f t="shared" ca="1" si="3"/>
        <v>0</v>
      </c>
      <c r="BM516" s="78"/>
      <c r="BN516" s="78">
        <f t="shared" ca="1" si="4"/>
        <v>0</v>
      </c>
      <c r="BO516" s="66"/>
      <c r="BP516" s="66"/>
    </row>
    <row r="517" spans="1:68" ht="13.2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>
        <f t="shared" ref="AP517:AQ517" si="510">AR517+AT517+AV517</f>
        <v>0</v>
      </c>
      <c r="AQ517" s="75">
        <f t="shared" si="510"/>
        <v>0</v>
      </c>
      <c r="AR517" s="75"/>
      <c r="AS517" s="75"/>
      <c r="AT517" s="75"/>
      <c r="AU517" s="75"/>
      <c r="AV517" s="75"/>
      <c r="AW517" s="75"/>
      <c r="AX517" s="75"/>
      <c r="AY517" s="77">
        <f t="shared" ca="1" si="1"/>
        <v>0</v>
      </c>
      <c r="AZ517" s="75"/>
      <c r="BA517" s="77">
        <f t="shared" ca="1" si="2"/>
        <v>0</v>
      </c>
      <c r="BB517" s="66"/>
      <c r="BC517" s="4"/>
      <c r="BD517" s="67"/>
      <c r="BE517" s="67"/>
      <c r="BF517" s="68"/>
      <c r="BG517" s="69"/>
      <c r="BH517" s="84"/>
      <c r="BI517" s="70"/>
      <c r="BJ517" s="73"/>
      <c r="BK517" s="78"/>
      <c r="BL517" s="78">
        <f t="shared" ca="1" si="3"/>
        <v>0</v>
      </c>
      <c r="BM517" s="78"/>
      <c r="BN517" s="78">
        <f t="shared" ca="1" si="4"/>
        <v>0</v>
      </c>
      <c r="BO517" s="66"/>
      <c r="BP517" s="66"/>
    </row>
    <row r="518" spans="1:68" ht="13.2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>
        <f t="shared" ref="AP518:AQ518" si="511">AR518+AT518+AV518</f>
        <v>0</v>
      </c>
      <c r="AQ518" s="75">
        <f t="shared" si="511"/>
        <v>0</v>
      </c>
      <c r="AR518" s="75"/>
      <c r="AS518" s="75"/>
      <c r="AT518" s="75"/>
      <c r="AU518" s="75"/>
      <c r="AV518" s="75"/>
      <c r="AW518" s="75"/>
      <c r="AX518" s="75"/>
      <c r="AY518" s="77">
        <f t="shared" ca="1" si="1"/>
        <v>0</v>
      </c>
      <c r="AZ518" s="75"/>
      <c r="BA518" s="77">
        <f t="shared" ca="1" si="2"/>
        <v>0</v>
      </c>
      <c r="BB518" s="66"/>
      <c r="BC518" s="4"/>
      <c r="BD518" s="67"/>
      <c r="BE518" s="67"/>
      <c r="BF518" s="68"/>
      <c r="BG518" s="69"/>
      <c r="BH518" s="84"/>
      <c r="BI518" s="70"/>
      <c r="BJ518" s="73"/>
      <c r="BK518" s="78"/>
      <c r="BL518" s="78">
        <f t="shared" ca="1" si="3"/>
        <v>0</v>
      </c>
      <c r="BM518" s="78"/>
      <c r="BN518" s="78">
        <f t="shared" ca="1" si="4"/>
        <v>0</v>
      </c>
      <c r="BO518" s="66"/>
      <c r="BP518" s="66"/>
    </row>
    <row r="519" spans="1:68" ht="13.2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>
        <f t="shared" ref="AP519:AQ519" si="512">AR519+AT519+AV519</f>
        <v>0</v>
      </c>
      <c r="AQ519" s="75">
        <f t="shared" si="512"/>
        <v>0</v>
      </c>
      <c r="AR519" s="75"/>
      <c r="AS519" s="75"/>
      <c r="AT519" s="75"/>
      <c r="AU519" s="75"/>
      <c r="AV519" s="75"/>
      <c r="AW519" s="75"/>
      <c r="AX519" s="75"/>
      <c r="AY519" s="77">
        <f t="shared" ca="1" si="1"/>
        <v>0</v>
      </c>
      <c r="AZ519" s="75"/>
      <c r="BA519" s="77">
        <f t="shared" ca="1" si="2"/>
        <v>0</v>
      </c>
      <c r="BB519" s="66"/>
      <c r="BC519" s="4"/>
      <c r="BD519" s="67"/>
      <c r="BE519" s="67"/>
      <c r="BF519" s="68"/>
      <c r="BG519" s="69"/>
      <c r="BH519" s="84"/>
      <c r="BI519" s="70"/>
      <c r="BJ519" s="73"/>
      <c r="BK519" s="78"/>
      <c r="BL519" s="78">
        <f t="shared" ca="1" si="3"/>
        <v>0</v>
      </c>
      <c r="BM519" s="78"/>
      <c r="BN519" s="78">
        <f t="shared" ca="1" si="4"/>
        <v>0</v>
      </c>
      <c r="BO519" s="66"/>
      <c r="BP519" s="66"/>
    </row>
    <row r="520" spans="1:68" ht="13.2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>
        <f t="shared" ref="AP520:AQ520" si="513">AR520+AT520+AV520</f>
        <v>0</v>
      </c>
      <c r="AQ520" s="75">
        <f t="shared" si="513"/>
        <v>0</v>
      </c>
      <c r="AR520" s="75"/>
      <c r="AS520" s="75"/>
      <c r="AT520" s="75"/>
      <c r="AU520" s="75"/>
      <c r="AV520" s="75"/>
      <c r="AW520" s="75"/>
      <c r="AX520" s="75"/>
      <c r="AY520" s="77">
        <f t="shared" ca="1" si="1"/>
        <v>0</v>
      </c>
      <c r="AZ520" s="75"/>
      <c r="BA520" s="77">
        <f t="shared" ca="1" si="2"/>
        <v>0</v>
      </c>
      <c r="BB520" s="66"/>
      <c r="BC520" s="4"/>
      <c r="BD520" s="67"/>
      <c r="BE520" s="67"/>
      <c r="BF520" s="68"/>
      <c r="BG520" s="69"/>
      <c r="BH520" s="84"/>
      <c r="BI520" s="70"/>
      <c r="BJ520" s="73"/>
      <c r="BK520" s="78"/>
      <c r="BL520" s="78">
        <f t="shared" ca="1" si="3"/>
        <v>0</v>
      </c>
      <c r="BM520" s="78"/>
      <c r="BN520" s="78">
        <f t="shared" ca="1" si="4"/>
        <v>0</v>
      </c>
      <c r="BO520" s="66"/>
      <c r="BP520" s="66"/>
    </row>
    <row r="521" spans="1:68" ht="13.2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>
        <f t="shared" ref="AP521:AQ521" si="514">AR521+AT521+AV521</f>
        <v>0</v>
      </c>
      <c r="AQ521" s="75">
        <f t="shared" si="514"/>
        <v>0</v>
      </c>
      <c r="AR521" s="75"/>
      <c r="AS521" s="75"/>
      <c r="AT521" s="75"/>
      <c r="AU521" s="75"/>
      <c r="AV521" s="75"/>
      <c r="AW521" s="75"/>
      <c r="AX521" s="75"/>
      <c r="AY521" s="77">
        <f t="shared" ca="1" si="1"/>
        <v>0</v>
      </c>
      <c r="AZ521" s="75"/>
      <c r="BA521" s="77">
        <f t="shared" ca="1" si="2"/>
        <v>0</v>
      </c>
      <c r="BB521" s="66"/>
      <c r="BC521" s="4"/>
      <c r="BD521" s="67"/>
      <c r="BE521" s="67"/>
      <c r="BF521" s="68"/>
      <c r="BG521" s="69"/>
      <c r="BH521" s="84"/>
      <c r="BI521" s="70"/>
      <c r="BJ521" s="73"/>
      <c r="BK521" s="78"/>
      <c r="BL521" s="78">
        <f t="shared" ca="1" si="3"/>
        <v>0</v>
      </c>
      <c r="BM521" s="78"/>
      <c r="BN521" s="78">
        <f t="shared" ca="1" si="4"/>
        <v>0</v>
      </c>
      <c r="BO521" s="66"/>
      <c r="BP521" s="66"/>
    </row>
    <row r="522" spans="1:68" ht="13.2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>
        <f t="shared" ref="AP522:AQ522" si="515">AR522+AT522+AV522</f>
        <v>0</v>
      </c>
      <c r="AQ522" s="75">
        <f t="shared" si="515"/>
        <v>0</v>
      </c>
      <c r="AR522" s="75"/>
      <c r="AS522" s="75"/>
      <c r="AT522" s="75"/>
      <c r="AU522" s="75"/>
      <c r="AV522" s="75"/>
      <c r="AW522" s="75"/>
      <c r="AX522" s="75"/>
      <c r="AY522" s="77">
        <f t="shared" ca="1" si="1"/>
        <v>0</v>
      </c>
      <c r="AZ522" s="75"/>
      <c r="BA522" s="77">
        <f t="shared" ca="1" si="2"/>
        <v>0</v>
      </c>
      <c r="BB522" s="66"/>
      <c r="BC522" s="4"/>
      <c r="BD522" s="67"/>
      <c r="BE522" s="67"/>
      <c r="BF522" s="68"/>
      <c r="BG522" s="69"/>
      <c r="BH522" s="84"/>
      <c r="BI522" s="70"/>
      <c r="BJ522" s="73"/>
      <c r="BK522" s="78"/>
      <c r="BL522" s="78">
        <f t="shared" ca="1" si="3"/>
        <v>0</v>
      </c>
      <c r="BM522" s="78"/>
      <c r="BN522" s="78">
        <f t="shared" ca="1" si="4"/>
        <v>0</v>
      </c>
      <c r="BO522" s="66"/>
      <c r="BP522" s="66"/>
    </row>
    <row r="523" spans="1:68" ht="13.2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>
        <f t="shared" ref="AP523:AQ523" si="516">AR523+AT523+AV523</f>
        <v>0</v>
      </c>
      <c r="AQ523" s="75">
        <f t="shared" si="516"/>
        <v>0</v>
      </c>
      <c r="AR523" s="75"/>
      <c r="AS523" s="75"/>
      <c r="AT523" s="75"/>
      <c r="AU523" s="75"/>
      <c r="AV523" s="75"/>
      <c r="AW523" s="75"/>
      <c r="AX523" s="75"/>
      <c r="AY523" s="77">
        <f t="shared" ca="1" si="1"/>
        <v>0</v>
      </c>
      <c r="AZ523" s="75"/>
      <c r="BA523" s="77">
        <f t="shared" ca="1" si="2"/>
        <v>0</v>
      </c>
      <c r="BB523" s="66"/>
      <c r="BC523" s="4"/>
      <c r="BD523" s="67"/>
      <c r="BE523" s="67"/>
      <c r="BF523" s="68"/>
      <c r="BG523" s="69"/>
      <c r="BH523" s="84"/>
      <c r="BI523" s="70"/>
      <c r="BJ523" s="73"/>
      <c r="BK523" s="78"/>
      <c r="BL523" s="78">
        <f t="shared" ca="1" si="3"/>
        <v>0</v>
      </c>
      <c r="BM523" s="78"/>
      <c r="BN523" s="78">
        <f t="shared" ca="1" si="4"/>
        <v>0</v>
      </c>
      <c r="BO523" s="66"/>
      <c r="BP523" s="66"/>
    </row>
    <row r="524" spans="1:68" ht="13.2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>
        <f t="shared" ref="AP524:AQ524" si="517">AR524+AT524+AV524</f>
        <v>0</v>
      </c>
      <c r="AQ524" s="75">
        <f t="shared" si="517"/>
        <v>0</v>
      </c>
      <c r="AR524" s="75"/>
      <c r="AS524" s="75"/>
      <c r="AT524" s="75"/>
      <c r="AU524" s="75"/>
      <c r="AV524" s="75"/>
      <c r="AW524" s="75"/>
      <c r="AX524" s="75"/>
      <c r="AY524" s="77">
        <f t="shared" ca="1" si="1"/>
        <v>0</v>
      </c>
      <c r="AZ524" s="75"/>
      <c r="BA524" s="77">
        <f t="shared" ca="1" si="2"/>
        <v>0</v>
      </c>
      <c r="BB524" s="66"/>
      <c r="BC524" s="4"/>
      <c r="BD524" s="67"/>
      <c r="BE524" s="67"/>
      <c r="BF524" s="68"/>
      <c r="BG524" s="69"/>
      <c r="BH524" s="84"/>
      <c r="BI524" s="70"/>
      <c r="BJ524" s="73"/>
      <c r="BK524" s="78"/>
      <c r="BL524" s="78">
        <f t="shared" ca="1" si="3"/>
        <v>0</v>
      </c>
      <c r="BM524" s="78"/>
      <c r="BN524" s="78">
        <f t="shared" ca="1" si="4"/>
        <v>0</v>
      </c>
      <c r="BO524" s="66"/>
      <c r="BP524" s="66"/>
    </row>
    <row r="525" spans="1:68" ht="13.2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>
        <f t="shared" ref="AP525:AQ525" si="518">AR525+AT525+AV525</f>
        <v>0</v>
      </c>
      <c r="AQ525" s="75">
        <f t="shared" si="518"/>
        <v>0</v>
      </c>
      <c r="AR525" s="75"/>
      <c r="AS525" s="75"/>
      <c r="AT525" s="75"/>
      <c r="AU525" s="75"/>
      <c r="AV525" s="75"/>
      <c r="AW525" s="75"/>
      <c r="AX525" s="75"/>
      <c r="AY525" s="77">
        <f t="shared" ca="1" si="1"/>
        <v>0</v>
      </c>
      <c r="AZ525" s="75"/>
      <c r="BA525" s="77">
        <f t="shared" ca="1" si="2"/>
        <v>0</v>
      </c>
      <c r="BB525" s="66"/>
      <c r="BC525" s="4"/>
      <c r="BD525" s="67"/>
      <c r="BE525" s="67"/>
      <c r="BF525" s="68"/>
      <c r="BG525" s="69"/>
      <c r="BH525" s="84"/>
      <c r="BI525" s="70"/>
      <c r="BJ525" s="73"/>
      <c r="BK525" s="78"/>
      <c r="BL525" s="78">
        <f t="shared" ca="1" si="3"/>
        <v>0</v>
      </c>
      <c r="BM525" s="78"/>
      <c r="BN525" s="78">
        <f t="shared" ca="1" si="4"/>
        <v>0</v>
      </c>
      <c r="BO525" s="66"/>
      <c r="BP525" s="66"/>
    </row>
    <row r="526" spans="1:68" ht="13.2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>
        <f t="shared" ref="AP526:AQ526" si="519">AR526+AT526+AV526</f>
        <v>0</v>
      </c>
      <c r="AQ526" s="75">
        <f t="shared" si="519"/>
        <v>0</v>
      </c>
      <c r="AR526" s="75"/>
      <c r="AS526" s="75"/>
      <c r="AT526" s="75"/>
      <c r="AU526" s="75"/>
      <c r="AV526" s="75"/>
      <c r="AW526" s="75"/>
      <c r="AX526" s="75"/>
      <c r="AY526" s="77">
        <f t="shared" ca="1" si="1"/>
        <v>0</v>
      </c>
      <c r="AZ526" s="75"/>
      <c r="BA526" s="77">
        <f t="shared" ca="1" si="2"/>
        <v>0</v>
      </c>
      <c r="BB526" s="66"/>
      <c r="BC526" s="4"/>
      <c r="BD526" s="67"/>
      <c r="BE526" s="67"/>
      <c r="BF526" s="68"/>
      <c r="BG526" s="69"/>
      <c r="BH526" s="84"/>
      <c r="BI526" s="70"/>
      <c r="BJ526" s="73"/>
      <c r="BK526" s="78"/>
      <c r="BL526" s="78">
        <f t="shared" ca="1" si="3"/>
        <v>0</v>
      </c>
      <c r="BM526" s="78"/>
      <c r="BN526" s="78">
        <f t="shared" ca="1" si="4"/>
        <v>0</v>
      </c>
      <c r="BO526" s="66"/>
      <c r="BP526" s="66"/>
    </row>
    <row r="527" spans="1:68" ht="13.2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>
        <f t="shared" ref="AP527:AQ527" si="520">AR527+AT527+AV527</f>
        <v>0</v>
      </c>
      <c r="AQ527" s="75">
        <f t="shared" si="520"/>
        <v>0</v>
      </c>
      <c r="AR527" s="76"/>
      <c r="AS527" s="76"/>
      <c r="AT527" s="76"/>
      <c r="AU527" s="76"/>
      <c r="AV527" s="75"/>
      <c r="AW527" s="75"/>
      <c r="AX527" s="75"/>
      <c r="AY527" s="77">
        <f t="shared" ca="1" si="1"/>
        <v>0</v>
      </c>
      <c r="AZ527" s="75"/>
      <c r="BA527" s="77">
        <f t="shared" ca="1" si="2"/>
        <v>0</v>
      </c>
      <c r="BB527" s="66"/>
      <c r="BC527" s="4"/>
      <c r="BD527" s="67"/>
      <c r="BE527" s="67"/>
      <c r="BF527" s="68"/>
      <c r="BG527" s="69"/>
      <c r="BH527" s="84"/>
      <c r="BI527" s="70"/>
      <c r="BJ527" s="73"/>
      <c r="BK527" s="78"/>
      <c r="BL527" s="78">
        <f t="shared" ca="1" si="3"/>
        <v>0</v>
      </c>
      <c r="BM527" s="78"/>
      <c r="BN527" s="78">
        <f t="shared" ca="1" si="4"/>
        <v>0</v>
      </c>
      <c r="BO527" s="66"/>
      <c r="BP527" s="66"/>
    </row>
    <row r="528" spans="1:68" ht="13.2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>
        <f t="shared" ref="AP528:AQ528" si="521">AR528+AT528+AV528</f>
        <v>0</v>
      </c>
      <c r="AQ528" s="75">
        <f t="shared" si="521"/>
        <v>0</v>
      </c>
      <c r="AR528" s="75"/>
      <c r="AS528" s="75"/>
      <c r="AT528" s="75"/>
      <c r="AU528" s="75"/>
      <c r="AV528" s="75"/>
      <c r="AW528" s="75"/>
      <c r="AX528" s="75"/>
      <c r="AY528" s="77">
        <f t="shared" ca="1" si="1"/>
        <v>0</v>
      </c>
      <c r="AZ528" s="75"/>
      <c r="BA528" s="77">
        <f t="shared" ca="1" si="2"/>
        <v>0</v>
      </c>
      <c r="BB528" s="66"/>
      <c r="BC528" s="4"/>
      <c r="BD528" s="67"/>
      <c r="BE528" s="67"/>
      <c r="BF528" s="68"/>
      <c r="BG528" s="69"/>
      <c r="BH528" s="84"/>
      <c r="BI528" s="70"/>
      <c r="BJ528" s="73"/>
      <c r="BK528" s="78"/>
      <c r="BL528" s="78">
        <f t="shared" ca="1" si="3"/>
        <v>0</v>
      </c>
      <c r="BM528" s="78"/>
      <c r="BN528" s="78">
        <f t="shared" ca="1" si="4"/>
        <v>0</v>
      </c>
      <c r="BO528" s="66"/>
      <c r="BP528" s="66"/>
    </row>
    <row r="529" spans="1:68" ht="13.2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>
        <f t="shared" ref="AP529:AQ529" si="522">AR529+AT529+AV529</f>
        <v>0</v>
      </c>
      <c r="AQ529" s="75">
        <f t="shared" si="522"/>
        <v>0</v>
      </c>
      <c r="AR529" s="75"/>
      <c r="AS529" s="75"/>
      <c r="AT529" s="75"/>
      <c r="AU529" s="75"/>
      <c r="AV529" s="75"/>
      <c r="AW529" s="75"/>
      <c r="AX529" s="75"/>
      <c r="AY529" s="77">
        <f t="shared" ca="1" si="1"/>
        <v>0</v>
      </c>
      <c r="AZ529" s="75"/>
      <c r="BA529" s="77">
        <f t="shared" ca="1" si="2"/>
        <v>0</v>
      </c>
      <c r="BB529" s="66"/>
      <c r="BC529" s="4"/>
      <c r="BD529" s="67"/>
      <c r="BE529" s="67"/>
      <c r="BF529" s="68"/>
      <c r="BG529" s="69"/>
      <c r="BH529" s="84"/>
      <c r="BI529" s="70"/>
      <c r="BJ529" s="73"/>
      <c r="BK529" s="78"/>
      <c r="BL529" s="78">
        <f t="shared" ca="1" si="3"/>
        <v>0</v>
      </c>
      <c r="BM529" s="78"/>
      <c r="BN529" s="78">
        <f t="shared" ca="1" si="4"/>
        <v>0</v>
      </c>
      <c r="BO529" s="66"/>
      <c r="BP529" s="66"/>
    </row>
    <row r="530" spans="1:68" ht="13.2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>
        <f t="shared" ref="AP530:AQ530" si="523">AR530+AT530+AV530</f>
        <v>0</v>
      </c>
      <c r="AQ530" s="75">
        <f t="shared" si="523"/>
        <v>0</v>
      </c>
      <c r="AR530" s="75"/>
      <c r="AS530" s="75"/>
      <c r="AT530" s="75"/>
      <c r="AU530" s="75"/>
      <c r="AV530" s="75"/>
      <c r="AW530" s="75"/>
      <c r="AX530" s="75"/>
      <c r="AY530" s="77">
        <f t="shared" ca="1" si="1"/>
        <v>0</v>
      </c>
      <c r="AZ530" s="75"/>
      <c r="BA530" s="77">
        <f t="shared" ca="1" si="2"/>
        <v>0</v>
      </c>
      <c r="BB530" s="66"/>
      <c r="BC530" s="4"/>
      <c r="BD530" s="67"/>
      <c r="BE530" s="67"/>
      <c r="BF530" s="68"/>
      <c r="BG530" s="69"/>
      <c r="BH530" s="74"/>
      <c r="BI530" s="68"/>
      <c r="BJ530" s="73"/>
      <c r="BK530" s="78"/>
      <c r="BL530" s="78">
        <f t="shared" ca="1" si="3"/>
        <v>0</v>
      </c>
      <c r="BM530" s="78"/>
      <c r="BN530" s="78">
        <f t="shared" ca="1" si="4"/>
        <v>0</v>
      </c>
      <c r="BO530" s="66"/>
      <c r="BP530" s="66"/>
    </row>
    <row r="531" spans="1:68" ht="13.2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>
        <f t="shared" ref="AP531:AQ531" si="524">AR531+AT531+AV531</f>
        <v>0</v>
      </c>
      <c r="AQ531" s="75">
        <f t="shared" si="524"/>
        <v>0</v>
      </c>
      <c r="AR531" s="75"/>
      <c r="AS531" s="75"/>
      <c r="AT531" s="75"/>
      <c r="AU531" s="75"/>
      <c r="AV531" s="75"/>
      <c r="AW531" s="75"/>
      <c r="AX531" s="75"/>
      <c r="AY531" s="77">
        <f t="shared" ca="1" si="1"/>
        <v>0</v>
      </c>
      <c r="AZ531" s="75"/>
      <c r="BA531" s="77">
        <f t="shared" ca="1" si="2"/>
        <v>0</v>
      </c>
      <c r="BB531" s="66"/>
      <c r="BC531" s="4"/>
      <c r="BD531" s="67"/>
      <c r="BE531" s="67"/>
      <c r="BF531" s="68"/>
      <c r="BG531" s="69"/>
      <c r="BH531" s="74"/>
      <c r="BI531" s="68"/>
      <c r="BJ531" s="73"/>
      <c r="BK531" s="78"/>
      <c r="BL531" s="78">
        <f t="shared" ca="1" si="3"/>
        <v>0</v>
      </c>
      <c r="BM531" s="78"/>
      <c r="BN531" s="78">
        <f t="shared" ca="1" si="4"/>
        <v>0</v>
      </c>
      <c r="BO531" s="66"/>
      <c r="BP531" s="66"/>
    </row>
    <row r="532" spans="1:68" ht="13.2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>
        <f t="shared" ref="AP532:AQ532" si="525">AR532+AT532+AV532</f>
        <v>0</v>
      </c>
      <c r="AQ532" s="75">
        <f t="shared" si="525"/>
        <v>0</v>
      </c>
      <c r="AR532" s="75"/>
      <c r="AS532" s="75"/>
      <c r="AT532" s="75"/>
      <c r="AU532" s="75"/>
      <c r="AV532" s="75"/>
      <c r="AW532" s="75"/>
      <c r="AX532" s="75"/>
      <c r="AY532" s="77">
        <f t="shared" ca="1" si="1"/>
        <v>0</v>
      </c>
      <c r="AZ532" s="75"/>
      <c r="BA532" s="77">
        <f t="shared" ca="1" si="2"/>
        <v>0</v>
      </c>
      <c r="BB532" s="66"/>
      <c r="BC532" s="4"/>
      <c r="BD532" s="67"/>
      <c r="BE532" s="67"/>
      <c r="BF532" s="68"/>
      <c r="BG532" s="69"/>
      <c r="BH532" s="74"/>
      <c r="BI532" s="68"/>
      <c r="BJ532" s="73"/>
      <c r="BK532" s="78"/>
      <c r="BL532" s="78">
        <f t="shared" ca="1" si="3"/>
        <v>0</v>
      </c>
      <c r="BM532" s="78"/>
      <c r="BN532" s="78">
        <f t="shared" ca="1" si="4"/>
        <v>0</v>
      </c>
      <c r="BO532" s="66"/>
      <c r="BP532" s="66"/>
    </row>
    <row r="533" spans="1:68" ht="13.2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>
        <f t="shared" ref="AP533:AQ533" si="526">AR533+AT533+AV533</f>
        <v>0</v>
      </c>
      <c r="AQ533" s="75">
        <f t="shared" si="526"/>
        <v>0</v>
      </c>
      <c r="AR533" s="75"/>
      <c r="AS533" s="75"/>
      <c r="AT533" s="75"/>
      <c r="AU533" s="75"/>
      <c r="AV533" s="75"/>
      <c r="AW533" s="75"/>
      <c r="AX533" s="75"/>
      <c r="AY533" s="77">
        <f t="shared" ca="1" si="1"/>
        <v>0</v>
      </c>
      <c r="AZ533" s="75"/>
      <c r="BA533" s="77">
        <f t="shared" ca="1" si="2"/>
        <v>0</v>
      </c>
      <c r="BB533" s="66"/>
      <c r="BC533" s="4"/>
      <c r="BD533" s="67"/>
      <c r="BE533" s="67"/>
      <c r="BF533" s="68"/>
      <c r="BG533" s="69"/>
      <c r="BH533" s="74"/>
      <c r="BI533" s="68"/>
      <c r="BJ533" s="73"/>
      <c r="BK533" s="78"/>
      <c r="BL533" s="78">
        <f t="shared" ca="1" si="3"/>
        <v>0</v>
      </c>
      <c r="BM533" s="78"/>
      <c r="BN533" s="78">
        <f t="shared" ca="1" si="4"/>
        <v>0</v>
      </c>
      <c r="BO533" s="66"/>
      <c r="BP533" s="66"/>
    </row>
    <row r="534" spans="1:68" ht="13.2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>
        <f t="shared" ref="AP534:AQ534" si="527">AR534+AT534+AV534</f>
        <v>0</v>
      </c>
      <c r="AQ534" s="75">
        <f t="shared" si="527"/>
        <v>0</v>
      </c>
      <c r="AR534" s="75"/>
      <c r="AS534" s="75"/>
      <c r="AT534" s="75"/>
      <c r="AU534" s="75"/>
      <c r="AV534" s="75"/>
      <c r="AW534" s="75"/>
      <c r="AX534" s="75"/>
      <c r="AY534" s="77">
        <f t="shared" ca="1" si="1"/>
        <v>0</v>
      </c>
      <c r="AZ534" s="75"/>
      <c r="BA534" s="77">
        <f t="shared" ca="1" si="2"/>
        <v>0</v>
      </c>
      <c r="BB534" s="66"/>
      <c r="BC534" s="4"/>
      <c r="BD534" s="67"/>
      <c r="BE534" s="67"/>
      <c r="BF534" s="68"/>
      <c r="BG534" s="69"/>
      <c r="BH534" s="74"/>
      <c r="BI534" s="68"/>
      <c r="BJ534" s="73"/>
      <c r="BK534" s="78"/>
      <c r="BL534" s="78">
        <f t="shared" ca="1" si="3"/>
        <v>0</v>
      </c>
      <c r="BM534" s="78"/>
      <c r="BN534" s="78">
        <f t="shared" ca="1" si="4"/>
        <v>0</v>
      </c>
      <c r="BO534" s="66"/>
      <c r="BP534" s="66"/>
    </row>
    <row r="535" spans="1:68" ht="13.2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>
        <f t="shared" ref="AP535:AQ535" si="528">AR535+AT535+AV535</f>
        <v>0</v>
      </c>
      <c r="AQ535" s="75">
        <f t="shared" si="528"/>
        <v>0</v>
      </c>
      <c r="AR535" s="75"/>
      <c r="AS535" s="75"/>
      <c r="AT535" s="75"/>
      <c r="AU535" s="75"/>
      <c r="AV535" s="75"/>
      <c r="AW535" s="75"/>
      <c r="AX535" s="75"/>
      <c r="AY535" s="77">
        <f t="shared" ca="1" si="1"/>
        <v>0</v>
      </c>
      <c r="AZ535" s="75"/>
      <c r="BA535" s="77">
        <f t="shared" ca="1" si="2"/>
        <v>0</v>
      </c>
      <c r="BB535" s="66"/>
      <c r="BC535" s="4"/>
      <c r="BD535" s="67"/>
      <c r="BE535" s="67"/>
      <c r="BF535" s="68"/>
      <c r="BG535" s="69"/>
      <c r="BH535" s="74"/>
      <c r="BI535" s="68"/>
      <c r="BJ535" s="73"/>
      <c r="BK535" s="78"/>
      <c r="BL535" s="78">
        <f t="shared" ca="1" si="3"/>
        <v>0</v>
      </c>
      <c r="BM535" s="78"/>
      <c r="BN535" s="78">
        <f t="shared" ca="1" si="4"/>
        <v>0</v>
      </c>
      <c r="BO535" s="66"/>
      <c r="BP535" s="66"/>
    </row>
    <row r="536" spans="1:68" ht="13.2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>
        <f t="shared" ref="AP536:AQ536" si="529">AR536+AT536+AV536</f>
        <v>0</v>
      </c>
      <c r="AQ536" s="75">
        <f t="shared" si="529"/>
        <v>0</v>
      </c>
      <c r="AR536" s="75"/>
      <c r="AS536" s="75"/>
      <c r="AT536" s="75"/>
      <c r="AU536" s="75"/>
      <c r="AV536" s="75"/>
      <c r="AW536" s="75"/>
      <c r="AX536" s="75"/>
      <c r="AY536" s="77">
        <f t="shared" ca="1" si="1"/>
        <v>0</v>
      </c>
      <c r="AZ536" s="75"/>
      <c r="BA536" s="77">
        <f t="shared" ca="1" si="2"/>
        <v>0</v>
      </c>
      <c r="BB536" s="66"/>
      <c r="BC536" s="4"/>
      <c r="BD536" s="67"/>
      <c r="BE536" s="67"/>
      <c r="BF536" s="68"/>
      <c r="BG536" s="69"/>
      <c r="BH536" s="74"/>
      <c r="BI536" s="68"/>
      <c r="BJ536" s="73"/>
      <c r="BK536" s="78"/>
      <c r="BL536" s="78">
        <f t="shared" ca="1" si="3"/>
        <v>0</v>
      </c>
      <c r="BM536" s="78"/>
      <c r="BN536" s="78">
        <f t="shared" ca="1" si="4"/>
        <v>0</v>
      </c>
      <c r="BO536" s="66"/>
      <c r="BP536" s="66"/>
    </row>
    <row r="537" spans="1:68" ht="13.2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>
        <f t="shared" ref="AP537:AQ537" si="530">AR537+AT537+AV537</f>
        <v>0</v>
      </c>
      <c r="AQ537" s="75">
        <f t="shared" si="530"/>
        <v>0</v>
      </c>
      <c r="AR537" s="75"/>
      <c r="AS537" s="75"/>
      <c r="AT537" s="75"/>
      <c r="AU537" s="75"/>
      <c r="AV537" s="75"/>
      <c r="AW537" s="75"/>
      <c r="AX537" s="75"/>
      <c r="AY537" s="77">
        <f t="shared" ca="1" si="1"/>
        <v>0</v>
      </c>
      <c r="AZ537" s="75"/>
      <c r="BA537" s="77">
        <f t="shared" ca="1" si="2"/>
        <v>0</v>
      </c>
      <c r="BB537" s="66"/>
      <c r="BC537" s="4"/>
      <c r="BD537" s="67"/>
      <c r="BE537" s="67"/>
      <c r="BF537" s="68"/>
      <c r="BG537" s="69"/>
      <c r="BH537" s="74"/>
      <c r="BI537" s="68"/>
      <c r="BJ537" s="73"/>
      <c r="BK537" s="78"/>
      <c r="BL537" s="78">
        <f t="shared" ca="1" si="3"/>
        <v>0</v>
      </c>
      <c r="BM537" s="78"/>
      <c r="BN537" s="78">
        <f t="shared" ca="1" si="4"/>
        <v>0</v>
      </c>
      <c r="BO537" s="66"/>
      <c r="BP537" s="66"/>
    </row>
    <row r="538" spans="1:68" ht="13.2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>
        <f t="shared" ref="AP538:AQ538" si="531">AR538+AT538+AV538</f>
        <v>0</v>
      </c>
      <c r="AQ538" s="75">
        <f t="shared" si="531"/>
        <v>0</v>
      </c>
      <c r="AR538" s="75"/>
      <c r="AS538" s="75"/>
      <c r="AT538" s="75"/>
      <c r="AU538" s="75"/>
      <c r="AV538" s="75"/>
      <c r="AW538" s="75"/>
      <c r="AX538" s="75"/>
      <c r="AY538" s="77">
        <f t="shared" ca="1" si="1"/>
        <v>0</v>
      </c>
      <c r="AZ538" s="75"/>
      <c r="BA538" s="77">
        <f t="shared" ca="1" si="2"/>
        <v>0</v>
      </c>
      <c r="BB538" s="66"/>
      <c r="BC538" s="4"/>
      <c r="BD538" s="67"/>
      <c r="BE538" s="67"/>
      <c r="BF538" s="68"/>
      <c r="BG538" s="69"/>
      <c r="BH538" s="74"/>
      <c r="BI538" s="68"/>
      <c r="BJ538" s="73"/>
      <c r="BK538" s="78"/>
      <c r="BL538" s="78">
        <f t="shared" ca="1" si="3"/>
        <v>0</v>
      </c>
      <c r="BM538" s="78"/>
      <c r="BN538" s="78">
        <f t="shared" ca="1" si="4"/>
        <v>0</v>
      </c>
      <c r="BO538" s="66"/>
      <c r="BP538" s="66"/>
    </row>
    <row r="539" spans="1:68" ht="13.2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>
        <f t="shared" ref="AP539:AQ539" si="532">AR539+AT539+AV539</f>
        <v>0</v>
      </c>
      <c r="AQ539" s="75">
        <f t="shared" si="532"/>
        <v>0</v>
      </c>
      <c r="AR539" s="75"/>
      <c r="AS539" s="75"/>
      <c r="AT539" s="75"/>
      <c r="AU539" s="75"/>
      <c r="AV539" s="75"/>
      <c r="AW539" s="75"/>
      <c r="AX539" s="75"/>
      <c r="AY539" s="77">
        <f t="shared" ca="1" si="1"/>
        <v>0</v>
      </c>
      <c r="AZ539" s="75"/>
      <c r="BA539" s="77">
        <f t="shared" ca="1" si="2"/>
        <v>0</v>
      </c>
      <c r="BB539" s="66"/>
      <c r="BC539" s="4"/>
      <c r="BD539" s="67"/>
      <c r="BE539" s="67"/>
      <c r="BF539" s="68"/>
      <c r="BG539" s="69"/>
      <c r="BH539" s="74"/>
      <c r="BI539" s="68"/>
      <c r="BJ539" s="73"/>
      <c r="BK539" s="78"/>
      <c r="BL539" s="78">
        <f t="shared" ca="1" si="3"/>
        <v>0</v>
      </c>
      <c r="BM539" s="78"/>
      <c r="BN539" s="78">
        <f t="shared" ca="1" si="4"/>
        <v>0</v>
      </c>
      <c r="BO539" s="66"/>
      <c r="BP539" s="66"/>
    </row>
    <row r="540" spans="1:68" ht="13.2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>
        <f t="shared" ref="AP540:AQ540" si="533">AR540+AT540+AV540</f>
        <v>0</v>
      </c>
      <c r="AQ540" s="75">
        <f t="shared" si="533"/>
        <v>0</v>
      </c>
      <c r="AR540" s="75"/>
      <c r="AS540" s="75"/>
      <c r="AT540" s="75"/>
      <c r="AU540" s="75"/>
      <c r="AV540" s="75"/>
      <c r="AW540" s="75"/>
      <c r="AX540" s="75"/>
      <c r="AY540" s="77">
        <f t="shared" ca="1" si="1"/>
        <v>0</v>
      </c>
      <c r="AZ540" s="75"/>
      <c r="BA540" s="77">
        <f t="shared" ca="1" si="2"/>
        <v>0</v>
      </c>
      <c r="BB540" s="66"/>
      <c r="BC540" s="4"/>
      <c r="BD540" s="67"/>
      <c r="BE540" s="67"/>
      <c r="BF540" s="68"/>
      <c r="BG540" s="69"/>
      <c r="BH540" s="74"/>
      <c r="BI540" s="68"/>
      <c r="BJ540" s="73"/>
      <c r="BK540" s="78"/>
      <c r="BL540" s="78">
        <f t="shared" ca="1" si="3"/>
        <v>0</v>
      </c>
      <c r="BM540" s="78"/>
      <c r="BN540" s="78">
        <f t="shared" ca="1" si="4"/>
        <v>0</v>
      </c>
      <c r="BO540" s="66"/>
      <c r="BP540" s="66"/>
    </row>
    <row r="541" spans="1:68" ht="13.2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>
        <f t="shared" ref="AP541:AQ541" si="534">AR541+AT541+AV541</f>
        <v>0</v>
      </c>
      <c r="AQ541" s="75">
        <f t="shared" si="534"/>
        <v>0</v>
      </c>
      <c r="AR541" s="75"/>
      <c r="AS541" s="75"/>
      <c r="AT541" s="75"/>
      <c r="AU541" s="75"/>
      <c r="AV541" s="75"/>
      <c r="AW541" s="75"/>
      <c r="AX541" s="75"/>
      <c r="AY541" s="77">
        <f t="shared" ca="1" si="1"/>
        <v>0</v>
      </c>
      <c r="AZ541" s="75"/>
      <c r="BA541" s="77">
        <f t="shared" ca="1" si="2"/>
        <v>0</v>
      </c>
      <c r="BB541" s="66"/>
      <c r="BC541" s="4"/>
      <c r="BD541" s="67"/>
      <c r="BE541" s="67"/>
      <c r="BF541" s="68"/>
      <c r="BG541" s="69"/>
      <c r="BH541" s="74"/>
      <c r="BI541" s="68"/>
      <c r="BJ541" s="73"/>
      <c r="BK541" s="78"/>
      <c r="BL541" s="78">
        <f t="shared" ca="1" si="3"/>
        <v>0</v>
      </c>
      <c r="BM541" s="78"/>
      <c r="BN541" s="78">
        <f t="shared" ca="1" si="4"/>
        <v>0</v>
      </c>
      <c r="BO541" s="66"/>
      <c r="BP541" s="66"/>
    </row>
    <row r="542" spans="1:68" ht="13.2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>
        <f t="shared" ref="AP542:AQ542" si="535">AR542+AT542+AV542</f>
        <v>0</v>
      </c>
      <c r="AQ542" s="75">
        <f t="shared" si="535"/>
        <v>0</v>
      </c>
      <c r="AR542" s="75"/>
      <c r="AS542" s="75"/>
      <c r="AT542" s="75"/>
      <c r="AU542" s="75"/>
      <c r="AV542" s="75"/>
      <c r="AW542" s="75"/>
      <c r="AX542" s="75"/>
      <c r="AY542" s="77">
        <f t="shared" ca="1" si="1"/>
        <v>0</v>
      </c>
      <c r="AZ542" s="75"/>
      <c r="BA542" s="77">
        <f t="shared" ca="1" si="2"/>
        <v>0</v>
      </c>
      <c r="BB542" s="66"/>
      <c r="BC542" s="4"/>
      <c r="BD542" s="67"/>
      <c r="BE542" s="67"/>
      <c r="BF542" s="68"/>
      <c r="BG542" s="69"/>
      <c r="BH542" s="84"/>
      <c r="BI542" s="70"/>
      <c r="BJ542" s="73"/>
      <c r="BK542" s="78"/>
      <c r="BL542" s="78">
        <f t="shared" ca="1" si="3"/>
        <v>0</v>
      </c>
      <c r="BM542" s="78"/>
      <c r="BN542" s="78">
        <f t="shared" ca="1" si="4"/>
        <v>0</v>
      </c>
      <c r="BO542" s="66"/>
      <c r="BP542" s="66"/>
    </row>
    <row r="543" spans="1:68" ht="13.2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>
        <f t="shared" ref="AP543:AQ543" si="536">AR543+AT543+AV543</f>
        <v>0</v>
      </c>
      <c r="AQ543" s="75">
        <f t="shared" si="536"/>
        <v>0</v>
      </c>
      <c r="AR543" s="75"/>
      <c r="AS543" s="75"/>
      <c r="AT543" s="75"/>
      <c r="AU543" s="75"/>
      <c r="AV543" s="75"/>
      <c r="AW543" s="75"/>
      <c r="AX543" s="75"/>
      <c r="AY543" s="77">
        <f t="shared" ca="1" si="1"/>
        <v>0</v>
      </c>
      <c r="AZ543" s="75"/>
      <c r="BA543" s="77">
        <f t="shared" ca="1" si="2"/>
        <v>0</v>
      </c>
      <c r="BB543" s="66"/>
      <c r="BC543" s="4"/>
      <c r="BD543" s="67"/>
      <c r="BE543" s="67"/>
      <c r="BF543" s="68"/>
      <c r="BG543" s="69"/>
      <c r="BH543" s="84"/>
      <c r="BI543" s="70"/>
      <c r="BJ543" s="73"/>
      <c r="BK543" s="78"/>
      <c r="BL543" s="78">
        <f t="shared" ca="1" si="3"/>
        <v>0</v>
      </c>
      <c r="BM543" s="78"/>
      <c r="BN543" s="78">
        <f t="shared" ca="1" si="4"/>
        <v>0</v>
      </c>
      <c r="BO543" s="66"/>
      <c r="BP543" s="66"/>
    </row>
    <row r="544" spans="1:68" ht="13.2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>
        <f t="shared" ref="AP544:AQ544" si="537">AR544+AT544+AV544</f>
        <v>0</v>
      </c>
      <c r="AQ544" s="75">
        <f t="shared" si="537"/>
        <v>0</v>
      </c>
      <c r="AR544" s="75"/>
      <c r="AS544" s="75"/>
      <c r="AT544" s="75"/>
      <c r="AU544" s="75"/>
      <c r="AV544" s="75"/>
      <c r="AW544" s="75"/>
      <c r="AX544" s="75"/>
      <c r="AY544" s="77">
        <f t="shared" ca="1" si="1"/>
        <v>0</v>
      </c>
      <c r="AZ544" s="75"/>
      <c r="BA544" s="77">
        <f t="shared" ca="1" si="2"/>
        <v>0</v>
      </c>
      <c r="BB544" s="66"/>
      <c r="BC544" s="4"/>
      <c r="BD544" s="67"/>
      <c r="BE544" s="67"/>
      <c r="BF544" s="68"/>
      <c r="BG544" s="69"/>
      <c r="BH544" s="84"/>
      <c r="BI544" s="70"/>
      <c r="BJ544" s="73"/>
      <c r="BK544" s="78"/>
      <c r="BL544" s="78">
        <f t="shared" ca="1" si="3"/>
        <v>0</v>
      </c>
      <c r="BM544" s="78"/>
      <c r="BN544" s="78">
        <f t="shared" ca="1" si="4"/>
        <v>0</v>
      </c>
      <c r="BO544" s="66"/>
      <c r="BP544" s="66"/>
    </row>
    <row r="545" spans="1:68" ht="13.2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>
        <f t="shared" ref="AP545:AQ545" si="538">AR545+AT545+AV545</f>
        <v>0</v>
      </c>
      <c r="AQ545" s="75">
        <f t="shared" si="538"/>
        <v>0</v>
      </c>
      <c r="AR545" s="75"/>
      <c r="AS545" s="75"/>
      <c r="AT545" s="75"/>
      <c r="AU545" s="75"/>
      <c r="AV545" s="75"/>
      <c r="AW545" s="75"/>
      <c r="AX545" s="75"/>
      <c r="AY545" s="77">
        <f t="shared" ca="1" si="1"/>
        <v>0</v>
      </c>
      <c r="AZ545" s="75"/>
      <c r="BA545" s="77">
        <f t="shared" ca="1" si="2"/>
        <v>0</v>
      </c>
      <c r="BB545" s="66"/>
      <c r="BC545" s="4"/>
      <c r="BD545" s="67"/>
      <c r="BE545" s="67"/>
      <c r="BF545" s="68"/>
      <c r="BG545" s="69"/>
      <c r="BH545" s="84"/>
      <c r="BI545" s="70"/>
      <c r="BJ545" s="73"/>
      <c r="BK545" s="78"/>
      <c r="BL545" s="78">
        <f t="shared" ca="1" si="3"/>
        <v>0</v>
      </c>
      <c r="BM545" s="78"/>
      <c r="BN545" s="78">
        <f t="shared" ca="1" si="4"/>
        <v>0</v>
      </c>
      <c r="BO545" s="66"/>
      <c r="BP545" s="66"/>
    </row>
    <row r="546" spans="1:68" ht="13.2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>
        <f t="shared" ref="AP546:AQ546" si="539">AR546+AT546+AV546</f>
        <v>0</v>
      </c>
      <c r="AQ546" s="75">
        <f t="shared" si="539"/>
        <v>0</v>
      </c>
      <c r="AR546" s="75"/>
      <c r="AS546" s="75"/>
      <c r="AT546" s="75"/>
      <c r="AU546" s="75"/>
      <c r="AV546" s="75"/>
      <c r="AW546" s="75"/>
      <c r="AX546" s="75"/>
      <c r="AY546" s="77">
        <f t="shared" ca="1" si="1"/>
        <v>0</v>
      </c>
      <c r="AZ546" s="75"/>
      <c r="BA546" s="77">
        <f t="shared" ca="1" si="2"/>
        <v>0</v>
      </c>
      <c r="BB546" s="66"/>
      <c r="BC546" s="4"/>
      <c r="BD546" s="67"/>
      <c r="BE546" s="67"/>
      <c r="BF546" s="68"/>
      <c r="BG546" s="69"/>
      <c r="BH546" s="84"/>
      <c r="BI546" s="70"/>
      <c r="BJ546" s="73"/>
      <c r="BK546" s="78"/>
      <c r="BL546" s="78">
        <f t="shared" ca="1" si="3"/>
        <v>0</v>
      </c>
      <c r="BM546" s="78"/>
      <c r="BN546" s="78">
        <f t="shared" ca="1" si="4"/>
        <v>0</v>
      </c>
      <c r="BO546" s="66"/>
      <c r="BP546" s="66"/>
    </row>
    <row r="547" spans="1:68" ht="13.2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>
        <f t="shared" ref="AP547:AQ547" si="540">AR547+AT547+AV547</f>
        <v>0</v>
      </c>
      <c r="AQ547" s="75">
        <f t="shared" si="540"/>
        <v>0</v>
      </c>
      <c r="AR547" s="75"/>
      <c r="AS547" s="75"/>
      <c r="AT547" s="75"/>
      <c r="AU547" s="75"/>
      <c r="AV547" s="75"/>
      <c r="AW547" s="75"/>
      <c r="AX547" s="75"/>
      <c r="AY547" s="77">
        <f t="shared" ca="1" si="1"/>
        <v>0</v>
      </c>
      <c r="AZ547" s="75"/>
      <c r="BA547" s="77">
        <f t="shared" ca="1" si="2"/>
        <v>0</v>
      </c>
      <c r="BB547" s="66"/>
      <c r="BC547" s="4"/>
      <c r="BD547" s="67"/>
      <c r="BE547" s="67"/>
      <c r="BF547" s="68"/>
      <c r="BG547" s="69"/>
      <c r="BH547" s="70"/>
      <c r="BI547" s="70"/>
      <c r="BJ547" s="73"/>
      <c r="BK547" s="78"/>
      <c r="BL547" s="78">
        <f t="shared" ca="1" si="3"/>
        <v>0</v>
      </c>
      <c r="BM547" s="78"/>
      <c r="BN547" s="78">
        <f t="shared" ca="1" si="4"/>
        <v>0</v>
      </c>
      <c r="BO547" s="66"/>
      <c r="BP547" s="66"/>
    </row>
    <row r="548" spans="1:68" ht="13.2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>
        <f t="shared" ref="AP548:AQ548" si="541">AR548+AT548+AV548</f>
        <v>0</v>
      </c>
      <c r="AQ548" s="75">
        <f t="shared" si="541"/>
        <v>0</v>
      </c>
      <c r="AR548" s="75"/>
      <c r="AS548" s="75"/>
      <c r="AT548" s="75"/>
      <c r="AU548" s="75"/>
      <c r="AV548" s="75"/>
      <c r="AW548" s="75"/>
      <c r="AX548" s="75"/>
      <c r="AY548" s="77">
        <f t="shared" ca="1" si="1"/>
        <v>0</v>
      </c>
      <c r="AZ548" s="75"/>
      <c r="BA548" s="77">
        <f t="shared" ca="1" si="2"/>
        <v>0</v>
      </c>
      <c r="BB548" s="66"/>
      <c r="BC548" s="4"/>
      <c r="BD548" s="67"/>
      <c r="BE548" s="67"/>
      <c r="BF548" s="68"/>
      <c r="BG548" s="69"/>
      <c r="BH548" s="70"/>
      <c r="BI548" s="70"/>
      <c r="BJ548" s="73"/>
      <c r="BK548" s="78"/>
      <c r="BL548" s="78">
        <f t="shared" ca="1" si="3"/>
        <v>0</v>
      </c>
      <c r="BM548" s="78"/>
      <c r="BN548" s="78">
        <f t="shared" ca="1" si="4"/>
        <v>0</v>
      </c>
      <c r="BO548" s="66"/>
      <c r="BP548" s="66"/>
    </row>
    <row r="549" spans="1:68" ht="13.2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>
        <f t="shared" ref="AP549:AQ549" si="542">AR549+AT549+AV549</f>
        <v>0</v>
      </c>
      <c r="AQ549" s="75">
        <f t="shared" si="542"/>
        <v>0</v>
      </c>
      <c r="AR549" s="75"/>
      <c r="AS549" s="75"/>
      <c r="AT549" s="75"/>
      <c r="AU549" s="75"/>
      <c r="AV549" s="75"/>
      <c r="AW549" s="75"/>
      <c r="AX549" s="75"/>
      <c r="AY549" s="77">
        <f t="shared" ca="1" si="1"/>
        <v>0</v>
      </c>
      <c r="AZ549" s="75"/>
      <c r="BA549" s="77">
        <f t="shared" ca="1" si="2"/>
        <v>0</v>
      </c>
      <c r="BB549" s="66"/>
      <c r="BC549" s="4"/>
      <c r="BD549" s="67"/>
      <c r="BE549" s="67"/>
      <c r="BF549" s="68"/>
      <c r="BG549" s="69"/>
      <c r="BH549" s="70"/>
      <c r="BI549" s="70"/>
      <c r="BJ549" s="73"/>
      <c r="BK549" s="78"/>
      <c r="BL549" s="78">
        <f t="shared" ca="1" si="3"/>
        <v>0</v>
      </c>
      <c r="BM549" s="78"/>
      <c r="BN549" s="78">
        <f t="shared" ca="1" si="4"/>
        <v>0</v>
      </c>
      <c r="BO549" s="66"/>
      <c r="BP549" s="66"/>
    </row>
    <row r="550" spans="1:68" ht="13.2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>
        <f t="shared" ref="AP550:AQ550" si="543">AR550+AT550+AV550</f>
        <v>0</v>
      </c>
      <c r="AQ550" s="75">
        <f t="shared" si="543"/>
        <v>0</v>
      </c>
      <c r="AR550" s="75"/>
      <c r="AS550" s="75"/>
      <c r="AT550" s="75"/>
      <c r="AU550" s="75"/>
      <c r="AV550" s="75"/>
      <c r="AW550" s="75"/>
      <c r="AX550" s="75"/>
      <c r="AY550" s="77">
        <f t="shared" ca="1" si="1"/>
        <v>0</v>
      </c>
      <c r="AZ550" s="75"/>
      <c r="BA550" s="77">
        <f t="shared" ca="1" si="2"/>
        <v>0</v>
      </c>
      <c r="BB550" s="66"/>
      <c r="BC550" s="4"/>
      <c r="BD550" s="67"/>
      <c r="BE550" s="67"/>
      <c r="BF550" s="68"/>
      <c r="BG550" s="69"/>
      <c r="BH550" s="70"/>
      <c r="BI550" s="70"/>
      <c r="BJ550" s="73"/>
      <c r="BK550" s="78"/>
      <c r="BL550" s="78">
        <f t="shared" ca="1" si="3"/>
        <v>0</v>
      </c>
      <c r="BM550" s="78"/>
      <c r="BN550" s="78">
        <f t="shared" ca="1" si="4"/>
        <v>0</v>
      </c>
      <c r="BO550" s="66"/>
      <c r="BP550" s="66"/>
    </row>
    <row r="551" spans="1:68" ht="13.2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>
        <f t="shared" ref="AP551:AQ551" si="544">AR551+AT551+AV551</f>
        <v>0</v>
      </c>
      <c r="AQ551" s="75">
        <f t="shared" si="544"/>
        <v>0</v>
      </c>
      <c r="AR551" s="75"/>
      <c r="AS551" s="75"/>
      <c r="AT551" s="75"/>
      <c r="AU551" s="75"/>
      <c r="AV551" s="75"/>
      <c r="AW551" s="75"/>
      <c r="AX551" s="75"/>
      <c r="AY551" s="77">
        <f t="shared" ca="1" si="1"/>
        <v>0</v>
      </c>
      <c r="AZ551" s="75"/>
      <c r="BA551" s="77">
        <f t="shared" ca="1" si="2"/>
        <v>0</v>
      </c>
      <c r="BB551" s="66"/>
      <c r="BC551" s="4"/>
      <c r="BD551" s="67"/>
      <c r="BE551" s="67"/>
      <c r="BF551" s="68"/>
      <c r="BG551" s="69"/>
      <c r="BH551" s="70"/>
      <c r="BI551" s="70"/>
      <c r="BJ551" s="73"/>
      <c r="BK551" s="78"/>
      <c r="BL551" s="78">
        <f t="shared" ca="1" si="3"/>
        <v>0</v>
      </c>
      <c r="BM551" s="78"/>
      <c r="BN551" s="78">
        <f t="shared" ca="1" si="4"/>
        <v>0</v>
      </c>
      <c r="BO551" s="66"/>
      <c r="BP551" s="66"/>
    </row>
    <row r="552" spans="1:68" ht="13.2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>
        <f t="shared" ref="AP552:AQ552" si="545">AR552+AT552+AV552</f>
        <v>0</v>
      </c>
      <c r="AQ552" s="75">
        <f t="shared" si="545"/>
        <v>0</v>
      </c>
      <c r="AR552" s="75"/>
      <c r="AS552" s="75"/>
      <c r="AT552" s="75"/>
      <c r="AU552" s="75"/>
      <c r="AV552" s="75"/>
      <c r="AW552" s="75"/>
      <c r="AX552" s="75"/>
      <c r="AY552" s="77">
        <f t="shared" ca="1" si="1"/>
        <v>0</v>
      </c>
      <c r="AZ552" s="75"/>
      <c r="BA552" s="77">
        <f t="shared" ca="1" si="2"/>
        <v>0</v>
      </c>
      <c r="BB552" s="66"/>
      <c r="BC552" s="4"/>
      <c r="BD552" s="67"/>
      <c r="BE552" s="67"/>
      <c r="BF552" s="68"/>
      <c r="BG552" s="69"/>
      <c r="BH552" s="70"/>
      <c r="BI552" s="70"/>
      <c r="BJ552" s="73"/>
      <c r="BK552" s="78"/>
      <c r="BL552" s="78">
        <f t="shared" ca="1" si="3"/>
        <v>0</v>
      </c>
      <c r="BM552" s="78"/>
      <c r="BN552" s="78">
        <f t="shared" ca="1" si="4"/>
        <v>0</v>
      </c>
      <c r="BO552" s="66"/>
      <c r="BP552" s="66"/>
    </row>
    <row r="553" spans="1:68" ht="13.2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>
        <f t="shared" ref="AP553:AQ553" si="546">AR553+AT553+AV553</f>
        <v>0</v>
      </c>
      <c r="AQ553" s="75">
        <f t="shared" si="546"/>
        <v>0</v>
      </c>
      <c r="AR553" s="75"/>
      <c r="AS553" s="75"/>
      <c r="AT553" s="75"/>
      <c r="AU553" s="75"/>
      <c r="AV553" s="75"/>
      <c r="AW553" s="75"/>
      <c r="AX553" s="75"/>
      <c r="AY553" s="77">
        <f t="shared" ca="1" si="1"/>
        <v>0</v>
      </c>
      <c r="AZ553" s="75"/>
      <c r="BA553" s="77">
        <f t="shared" ca="1" si="2"/>
        <v>0</v>
      </c>
      <c r="BB553" s="66"/>
      <c r="BC553" s="4"/>
      <c r="BD553" s="67"/>
      <c r="BE553" s="67"/>
      <c r="BF553" s="68"/>
      <c r="BG553" s="69"/>
      <c r="BH553" s="70"/>
      <c r="BI553" s="70"/>
      <c r="BJ553" s="73"/>
      <c r="BK553" s="78"/>
      <c r="BL553" s="78">
        <f t="shared" ca="1" si="3"/>
        <v>0</v>
      </c>
      <c r="BM553" s="78"/>
      <c r="BN553" s="78">
        <f t="shared" ca="1" si="4"/>
        <v>0</v>
      </c>
      <c r="BO553" s="66"/>
      <c r="BP553" s="66"/>
    </row>
    <row r="554" spans="1:68" ht="13.2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>
        <f t="shared" ref="AP554:AQ554" si="547">AR554+AT554+AV554</f>
        <v>0</v>
      </c>
      <c r="AQ554" s="75">
        <f t="shared" si="547"/>
        <v>0</v>
      </c>
      <c r="AR554" s="75"/>
      <c r="AS554" s="75"/>
      <c r="AT554" s="75"/>
      <c r="AU554" s="75"/>
      <c r="AV554" s="75"/>
      <c r="AW554" s="75"/>
      <c r="AX554" s="75"/>
      <c r="AY554" s="77">
        <f t="shared" ca="1" si="1"/>
        <v>0</v>
      </c>
      <c r="AZ554" s="75"/>
      <c r="BA554" s="77">
        <f t="shared" ca="1" si="2"/>
        <v>0</v>
      </c>
      <c r="BB554" s="66"/>
      <c r="BC554" s="4"/>
      <c r="BD554" s="67"/>
      <c r="BE554" s="67"/>
      <c r="BF554" s="68"/>
      <c r="BG554" s="69"/>
      <c r="BH554" s="70"/>
      <c r="BI554" s="70"/>
      <c r="BJ554" s="73"/>
      <c r="BK554" s="78"/>
      <c r="BL554" s="78">
        <f t="shared" ca="1" si="3"/>
        <v>0</v>
      </c>
      <c r="BM554" s="78"/>
      <c r="BN554" s="78">
        <f t="shared" ca="1" si="4"/>
        <v>0</v>
      </c>
      <c r="BO554" s="66"/>
      <c r="BP554" s="66"/>
    </row>
    <row r="555" spans="1:68" ht="13.2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>
        <f t="shared" ref="AP555:AQ555" si="548">AR555+AT555+AV555</f>
        <v>0</v>
      </c>
      <c r="AQ555" s="75">
        <f t="shared" si="548"/>
        <v>0</v>
      </c>
      <c r="AR555" s="75"/>
      <c r="AS555" s="75"/>
      <c r="AT555" s="75"/>
      <c r="AU555" s="75"/>
      <c r="AV555" s="75"/>
      <c r="AW555" s="75"/>
      <c r="AX555" s="75"/>
      <c r="AY555" s="77">
        <f t="shared" ca="1" si="1"/>
        <v>0</v>
      </c>
      <c r="AZ555" s="75"/>
      <c r="BA555" s="77">
        <f t="shared" ca="1" si="2"/>
        <v>0</v>
      </c>
      <c r="BB555" s="66"/>
      <c r="BC555" s="4"/>
      <c r="BD555" s="67"/>
      <c r="BE555" s="67"/>
      <c r="BF555" s="68"/>
      <c r="BG555" s="69"/>
      <c r="BH555" s="70"/>
      <c r="BI555" s="70"/>
      <c r="BJ555" s="73"/>
      <c r="BK555" s="78"/>
      <c r="BL555" s="78">
        <f t="shared" ca="1" si="3"/>
        <v>0</v>
      </c>
      <c r="BM555" s="78"/>
      <c r="BN555" s="78">
        <f t="shared" ca="1" si="4"/>
        <v>0</v>
      </c>
      <c r="BO555" s="66"/>
      <c r="BP555" s="66"/>
    </row>
    <row r="556" spans="1:68" ht="13.2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>
        <f t="shared" ref="AP556:AQ556" si="549">AR556+AT556+AV556</f>
        <v>0</v>
      </c>
      <c r="AQ556" s="75">
        <f t="shared" si="549"/>
        <v>0</v>
      </c>
      <c r="AR556" s="75"/>
      <c r="AS556" s="75"/>
      <c r="AT556" s="75"/>
      <c r="AU556" s="75"/>
      <c r="AV556" s="75"/>
      <c r="AW556" s="75"/>
      <c r="AX556" s="75"/>
      <c r="AY556" s="77">
        <f t="shared" ca="1" si="1"/>
        <v>0</v>
      </c>
      <c r="AZ556" s="75"/>
      <c r="BA556" s="77">
        <f t="shared" ca="1" si="2"/>
        <v>0</v>
      </c>
      <c r="BB556" s="66"/>
      <c r="BC556" s="4"/>
      <c r="BD556" s="67"/>
      <c r="BE556" s="67"/>
      <c r="BF556" s="68"/>
      <c r="BG556" s="69"/>
      <c r="BH556" s="70"/>
      <c r="BI556" s="70"/>
      <c r="BJ556" s="73"/>
      <c r="BK556" s="78"/>
      <c r="BL556" s="78">
        <f t="shared" ca="1" si="3"/>
        <v>0</v>
      </c>
      <c r="BM556" s="78"/>
      <c r="BN556" s="78">
        <f t="shared" ca="1" si="4"/>
        <v>0</v>
      </c>
      <c r="BO556" s="66"/>
      <c r="BP556" s="66"/>
    </row>
    <row r="557" spans="1:68" ht="13.2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>
        <f t="shared" ref="AP557:AQ557" si="550">AR557+AT557+AV557</f>
        <v>0</v>
      </c>
      <c r="AQ557" s="75">
        <f t="shared" si="550"/>
        <v>0</v>
      </c>
      <c r="AR557" s="75"/>
      <c r="AS557" s="75"/>
      <c r="AT557" s="75"/>
      <c r="AU557" s="75"/>
      <c r="AV557" s="75"/>
      <c r="AW557" s="75"/>
      <c r="AX557" s="75"/>
      <c r="AY557" s="77">
        <f t="shared" ca="1" si="1"/>
        <v>0</v>
      </c>
      <c r="AZ557" s="75"/>
      <c r="BA557" s="77">
        <f t="shared" ca="1" si="2"/>
        <v>0</v>
      </c>
      <c r="BB557" s="66"/>
      <c r="BC557" s="4"/>
      <c r="BD557" s="67"/>
      <c r="BE557" s="67"/>
      <c r="BF557" s="68"/>
      <c r="BG557" s="69"/>
      <c r="BH557" s="70"/>
      <c r="BI557" s="70"/>
      <c r="BJ557" s="73"/>
      <c r="BK557" s="78"/>
      <c r="BL557" s="78">
        <f t="shared" ca="1" si="3"/>
        <v>0</v>
      </c>
      <c r="BM557" s="78"/>
      <c r="BN557" s="78">
        <f t="shared" ca="1" si="4"/>
        <v>0</v>
      </c>
      <c r="BO557" s="66"/>
      <c r="BP557" s="66"/>
    </row>
    <row r="558" spans="1:68" ht="13.2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>
        <f t="shared" ref="AP558:AQ558" si="551">AR558+AT558+AV558</f>
        <v>0</v>
      </c>
      <c r="AQ558" s="75">
        <f t="shared" si="551"/>
        <v>0</v>
      </c>
      <c r="AR558" s="75"/>
      <c r="AS558" s="75"/>
      <c r="AT558" s="75"/>
      <c r="AU558" s="75"/>
      <c r="AV558" s="75"/>
      <c r="AW558" s="75"/>
      <c r="AX558" s="75"/>
      <c r="AY558" s="77">
        <f t="shared" ca="1" si="1"/>
        <v>0</v>
      </c>
      <c r="AZ558" s="75"/>
      <c r="BA558" s="77">
        <f t="shared" ca="1" si="2"/>
        <v>0</v>
      </c>
      <c r="BB558" s="66"/>
      <c r="BC558" s="4"/>
      <c r="BD558" s="67"/>
      <c r="BE558" s="67"/>
      <c r="BF558" s="68"/>
      <c r="BG558" s="69"/>
      <c r="BH558" s="70"/>
      <c r="BI558" s="70"/>
      <c r="BJ558" s="73"/>
      <c r="BK558" s="78"/>
      <c r="BL558" s="78">
        <f t="shared" ca="1" si="3"/>
        <v>0</v>
      </c>
      <c r="BM558" s="78"/>
      <c r="BN558" s="78">
        <f t="shared" ca="1" si="4"/>
        <v>0</v>
      </c>
      <c r="BO558" s="66"/>
      <c r="BP558" s="66"/>
    </row>
    <row r="559" spans="1:68" ht="13.2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>
        <f t="shared" ref="AP559:AQ559" si="552">AR559+AT559+AV559</f>
        <v>0</v>
      </c>
      <c r="AQ559" s="75">
        <f t="shared" si="552"/>
        <v>0</v>
      </c>
      <c r="AR559" s="75"/>
      <c r="AS559" s="75"/>
      <c r="AT559" s="75"/>
      <c r="AU559" s="75"/>
      <c r="AV559" s="75"/>
      <c r="AW559" s="75"/>
      <c r="AX559" s="75"/>
      <c r="AY559" s="77">
        <f t="shared" ca="1" si="1"/>
        <v>0</v>
      </c>
      <c r="AZ559" s="75"/>
      <c r="BA559" s="77">
        <f t="shared" ca="1" si="2"/>
        <v>0</v>
      </c>
      <c r="BB559" s="66"/>
      <c r="BC559" s="4"/>
      <c r="BD559" s="67"/>
      <c r="BE559" s="67"/>
      <c r="BF559" s="68"/>
      <c r="BG559" s="69"/>
      <c r="BH559" s="70"/>
      <c r="BI559" s="70"/>
      <c r="BJ559" s="73"/>
      <c r="BK559" s="78"/>
      <c r="BL559" s="78">
        <f t="shared" ca="1" si="3"/>
        <v>0</v>
      </c>
      <c r="BM559" s="78"/>
      <c r="BN559" s="78">
        <f t="shared" ca="1" si="4"/>
        <v>0</v>
      </c>
      <c r="BO559" s="66"/>
      <c r="BP559" s="66"/>
    </row>
    <row r="560" spans="1:68" ht="13.2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>
        <f t="shared" ref="AP560:AQ560" si="553">AR560+AT560+AV560</f>
        <v>0</v>
      </c>
      <c r="AQ560" s="75">
        <f t="shared" si="553"/>
        <v>0</v>
      </c>
      <c r="AR560" s="75"/>
      <c r="AS560" s="75"/>
      <c r="AT560" s="75"/>
      <c r="AU560" s="75"/>
      <c r="AV560" s="75"/>
      <c r="AW560" s="75"/>
      <c r="AX560" s="75"/>
      <c r="AY560" s="77">
        <f t="shared" ca="1" si="1"/>
        <v>0</v>
      </c>
      <c r="AZ560" s="75"/>
      <c r="BA560" s="77">
        <f t="shared" ca="1" si="2"/>
        <v>0</v>
      </c>
      <c r="BB560" s="66"/>
      <c r="BC560" s="4"/>
      <c r="BD560" s="67"/>
      <c r="BE560" s="67"/>
      <c r="BF560" s="68"/>
      <c r="BG560" s="69"/>
      <c r="BH560" s="70"/>
      <c r="BI560" s="70"/>
      <c r="BJ560" s="73"/>
      <c r="BK560" s="78"/>
      <c r="BL560" s="78">
        <f t="shared" ca="1" si="3"/>
        <v>0</v>
      </c>
      <c r="BM560" s="78"/>
      <c r="BN560" s="78">
        <f t="shared" ca="1" si="4"/>
        <v>0</v>
      </c>
      <c r="BO560" s="66"/>
      <c r="BP560" s="66"/>
    </row>
    <row r="561" spans="1:68" ht="13.2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>
        <f t="shared" ref="AP561:AQ561" si="554">AR561+AT561+AV561</f>
        <v>0</v>
      </c>
      <c r="AQ561" s="75">
        <f t="shared" si="554"/>
        <v>0</v>
      </c>
      <c r="AR561" s="75"/>
      <c r="AS561" s="75"/>
      <c r="AT561" s="75"/>
      <c r="AU561" s="75"/>
      <c r="AV561" s="75"/>
      <c r="AW561" s="75"/>
      <c r="AX561" s="75"/>
      <c r="AY561" s="77">
        <f t="shared" ca="1" si="1"/>
        <v>0</v>
      </c>
      <c r="AZ561" s="75"/>
      <c r="BA561" s="77">
        <f t="shared" ca="1" si="2"/>
        <v>0</v>
      </c>
      <c r="BB561" s="66"/>
      <c r="BC561" s="4"/>
      <c r="BD561" s="67"/>
      <c r="BE561" s="67"/>
      <c r="BF561" s="68"/>
      <c r="BG561" s="69"/>
      <c r="BH561" s="70"/>
      <c r="BI561" s="70"/>
      <c r="BJ561" s="73"/>
      <c r="BK561" s="78"/>
      <c r="BL561" s="78">
        <f t="shared" ca="1" si="3"/>
        <v>0</v>
      </c>
      <c r="BM561" s="78"/>
      <c r="BN561" s="78">
        <f t="shared" ca="1" si="4"/>
        <v>0</v>
      </c>
      <c r="BO561" s="66"/>
      <c r="BP561" s="66"/>
    </row>
    <row r="562" spans="1:68" ht="13.2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>
        <f t="shared" ref="AP562:AQ562" si="555">AR562+AT562+AV562</f>
        <v>0</v>
      </c>
      <c r="AQ562" s="75">
        <f t="shared" si="555"/>
        <v>0</v>
      </c>
      <c r="AR562" s="75"/>
      <c r="AS562" s="75"/>
      <c r="AT562" s="75"/>
      <c r="AU562" s="75"/>
      <c r="AV562" s="75"/>
      <c r="AW562" s="75"/>
      <c r="AX562" s="75"/>
      <c r="AY562" s="77">
        <f t="shared" ca="1" si="1"/>
        <v>0</v>
      </c>
      <c r="AZ562" s="75"/>
      <c r="BA562" s="77">
        <f t="shared" ca="1" si="2"/>
        <v>0</v>
      </c>
      <c r="BB562" s="66"/>
      <c r="BC562" s="4"/>
      <c r="BD562" s="67"/>
      <c r="BE562" s="67"/>
      <c r="BF562" s="68"/>
      <c r="BG562" s="69"/>
      <c r="BH562" s="84"/>
      <c r="BI562" s="70"/>
      <c r="BJ562" s="73"/>
      <c r="BK562" s="78"/>
      <c r="BL562" s="78">
        <f t="shared" ca="1" si="3"/>
        <v>0</v>
      </c>
      <c r="BM562" s="78"/>
      <c r="BN562" s="78">
        <f t="shared" ca="1" si="4"/>
        <v>0</v>
      </c>
      <c r="BO562" s="66"/>
      <c r="BP562" s="66"/>
    </row>
    <row r="563" spans="1:68" ht="13.2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>
        <f t="shared" ref="AP563:AQ563" si="556">AR563+AT563+AV563</f>
        <v>0</v>
      </c>
      <c r="AQ563" s="75">
        <f t="shared" si="556"/>
        <v>0</v>
      </c>
      <c r="AR563" s="75"/>
      <c r="AS563" s="75"/>
      <c r="AT563" s="75"/>
      <c r="AU563" s="75"/>
      <c r="AV563" s="75"/>
      <c r="AW563" s="75"/>
      <c r="AX563" s="75"/>
      <c r="AY563" s="77">
        <f t="shared" ca="1" si="1"/>
        <v>0</v>
      </c>
      <c r="AZ563" s="75"/>
      <c r="BA563" s="77">
        <f t="shared" ca="1" si="2"/>
        <v>0</v>
      </c>
      <c r="BB563" s="66"/>
      <c r="BC563" s="4"/>
      <c r="BD563" s="67"/>
      <c r="BE563" s="67"/>
      <c r="BF563" s="68"/>
      <c r="BG563" s="69"/>
      <c r="BH563" s="84"/>
      <c r="BI563" s="70"/>
      <c r="BJ563" s="73"/>
      <c r="BK563" s="78"/>
      <c r="BL563" s="78">
        <f t="shared" ca="1" si="3"/>
        <v>0</v>
      </c>
      <c r="BM563" s="78"/>
      <c r="BN563" s="78">
        <f t="shared" ca="1" si="4"/>
        <v>0</v>
      </c>
      <c r="BO563" s="66"/>
      <c r="BP563" s="66"/>
    </row>
    <row r="564" spans="1:68" ht="13.2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>
        <f t="shared" ref="AP564:AQ564" si="557">AR564+AT564+AV564</f>
        <v>0</v>
      </c>
      <c r="AQ564" s="75">
        <f t="shared" si="557"/>
        <v>0</v>
      </c>
      <c r="AR564" s="75"/>
      <c r="AS564" s="75"/>
      <c r="AT564" s="75"/>
      <c r="AU564" s="75"/>
      <c r="AV564" s="75"/>
      <c r="AW564" s="75"/>
      <c r="AX564" s="75"/>
      <c r="AY564" s="77">
        <f t="shared" ca="1" si="1"/>
        <v>0</v>
      </c>
      <c r="AZ564" s="75"/>
      <c r="BA564" s="77">
        <f t="shared" ca="1" si="2"/>
        <v>0</v>
      </c>
      <c r="BB564" s="66"/>
      <c r="BC564" s="4"/>
      <c r="BD564" s="67"/>
      <c r="BE564" s="67"/>
      <c r="BF564" s="68"/>
      <c r="BG564" s="69"/>
      <c r="BH564" s="84"/>
      <c r="BI564" s="70"/>
      <c r="BJ564" s="73"/>
      <c r="BK564" s="78"/>
      <c r="BL564" s="78">
        <f t="shared" ca="1" si="3"/>
        <v>0</v>
      </c>
      <c r="BM564" s="78"/>
      <c r="BN564" s="78">
        <f t="shared" ca="1" si="4"/>
        <v>0</v>
      </c>
      <c r="BO564" s="66"/>
      <c r="BP564" s="66"/>
    </row>
    <row r="565" spans="1:68" ht="13.2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>
        <f t="shared" ref="AP565:AQ565" si="558">AR565+AT565+AV565</f>
        <v>0</v>
      </c>
      <c r="AQ565" s="75">
        <f t="shared" si="558"/>
        <v>0</v>
      </c>
      <c r="AR565" s="75"/>
      <c r="AS565" s="75"/>
      <c r="AT565" s="75"/>
      <c r="AU565" s="75"/>
      <c r="AV565" s="75"/>
      <c r="AW565" s="75"/>
      <c r="AX565" s="75"/>
      <c r="AY565" s="77">
        <f t="shared" ca="1" si="1"/>
        <v>0</v>
      </c>
      <c r="AZ565" s="75"/>
      <c r="BA565" s="77">
        <f t="shared" ca="1" si="2"/>
        <v>0</v>
      </c>
      <c r="BB565" s="66"/>
      <c r="BC565" s="4"/>
      <c r="BD565" s="67"/>
      <c r="BE565" s="67"/>
      <c r="BF565" s="68"/>
      <c r="BG565" s="69"/>
      <c r="BH565" s="84"/>
      <c r="BI565" s="70"/>
      <c r="BJ565" s="73"/>
      <c r="BK565" s="78"/>
      <c r="BL565" s="78">
        <f t="shared" ca="1" si="3"/>
        <v>0</v>
      </c>
      <c r="BM565" s="78"/>
      <c r="BN565" s="78">
        <f t="shared" ca="1" si="4"/>
        <v>0</v>
      </c>
      <c r="BO565" s="66"/>
      <c r="BP565" s="66"/>
    </row>
    <row r="566" spans="1:68" ht="13.2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>
        <f t="shared" ref="AP566:AQ566" si="559">AR566+AT566+AV566</f>
        <v>0</v>
      </c>
      <c r="AQ566" s="75">
        <f t="shared" si="559"/>
        <v>0</v>
      </c>
      <c r="AR566" s="75"/>
      <c r="AS566" s="75"/>
      <c r="AT566" s="75"/>
      <c r="AU566" s="75"/>
      <c r="AV566" s="75"/>
      <c r="AW566" s="75"/>
      <c r="AX566" s="75"/>
      <c r="AY566" s="77">
        <f t="shared" ca="1" si="1"/>
        <v>0</v>
      </c>
      <c r="AZ566" s="75"/>
      <c r="BA566" s="77">
        <f t="shared" ca="1" si="2"/>
        <v>0</v>
      </c>
      <c r="BB566" s="66"/>
      <c r="BC566" s="4"/>
      <c r="BD566" s="67"/>
      <c r="BE566" s="67"/>
      <c r="BF566" s="68"/>
      <c r="BG566" s="69"/>
      <c r="BH566" s="84"/>
      <c r="BI566" s="70"/>
      <c r="BJ566" s="73"/>
      <c r="BK566" s="78"/>
      <c r="BL566" s="78">
        <f t="shared" ca="1" si="3"/>
        <v>0</v>
      </c>
      <c r="BM566" s="78"/>
      <c r="BN566" s="78">
        <f t="shared" ca="1" si="4"/>
        <v>0</v>
      </c>
      <c r="BO566" s="66"/>
      <c r="BP566" s="66"/>
    </row>
    <row r="567" spans="1:68" ht="13.2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>
        <f t="shared" ref="AP567:AQ567" si="560">AR567+AT567+AV567</f>
        <v>0</v>
      </c>
      <c r="AQ567" s="75">
        <f t="shared" si="560"/>
        <v>0</v>
      </c>
      <c r="AR567" s="75"/>
      <c r="AS567" s="75"/>
      <c r="AT567" s="75"/>
      <c r="AU567" s="75"/>
      <c r="AV567" s="75"/>
      <c r="AW567" s="75"/>
      <c r="AX567" s="75"/>
      <c r="AY567" s="77">
        <f t="shared" ca="1" si="1"/>
        <v>0</v>
      </c>
      <c r="AZ567" s="75"/>
      <c r="BA567" s="77">
        <f t="shared" ca="1" si="2"/>
        <v>0</v>
      </c>
      <c r="BB567" s="66"/>
      <c r="BC567" s="4"/>
      <c r="BD567" s="67"/>
      <c r="BE567" s="67"/>
      <c r="BF567" s="68"/>
      <c r="BG567" s="69"/>
      <c r="BH567" s="84"/>
      <c r="BI567" s="70"/>
      <c r="BJ567" s="73"/>
      <c r="BK567" s="78"/>
      <c r="BL567" s="78">
        <f t="shared" ca="1" si="3"/>
        <v>0</v>
      </c>
      <c r="BM567" s="78"/>
      <c r="BN567" s="78">
        <f t="shared" ca="1" si="4"/>
        <v>0</v>
      </c>
      <c r="BO567" s="66"/>
      <c r="BP567" s="66"/>
    </row>
    <row r="568" spans="1:68" ht="13.2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>
        <f t="shared" ref="AP568:AQ568" si="561">AR568+AT568+AV568</f>
        <v>0</v>
      </c>
      <c r="AQ568" s="75">
        <f t="shared" si="561"/>
        <v>0</v>
      </c>
      <c r="AR568" s="75"/>
      <c r="AS568" s="75"/>
      <c r="AT568" s="75"/>
      <c r="AU568" s="75"/>
      <c r="AV568" s="75"/>
      <c r="AW568" s="75"/>
      <c r="AX568" s="75"/>
      <c r="AY568" s="77">
        <f t="shared" ca="1" si="1"/>
        <v>0</v>
      </c>
      <c r="AZ568" s="75"/>
      <c r="BA568" s="77">
        <f t="shared" ca="1" si="2"/>
        <v>0</v>
      </c>
      <c r="BB568" s="66"/>
      <c r="BC568" s="4"/>
      <c r="BD568" s="67"/>
      <c r="BE568" s="67"/>
      <c r="BF568" s="68"/>
      <c r="BG568" s="69"/>
      <c r="BH568" s="84"/>
      <c r="BI568" s="70"/>
      <c r="BJ568" s="73"/>
      <c r="BK568" s="78"/>
      <c r="BL568" s="78">
        <f t="shared" ca="1" si="3"/>
        <v>0</v>
      </c>
      <c r="BM568" s="78"/>
      <c r="BN568" s="78">
        <f t="shared" ca="1" si="4"/>
        <v>0</v>
      </c>
      <c r="BO568" s="66"/>
      <c r="BP568" s="66"/>
    </row>
    <row r="569" spans="1:68" ht="13.2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>
        <f t="shared" ref="AP569:AQ569" si="562">AR569+AT569+AV569</f>
        <v>0</v>
      </c>
      <c r="AQ569" s="75">
        <f t="shared" si="562"/>
        <v>0</v>
      </c>
      <c r="AR569" s="75"/>
      <c r="AS569" s="75"/>
      <c r="AT569" s="75"/>
      <c r="AU569" s="75"/>
      <c r="AV569" s="75"/>
      <c r="AW569" s="75"/>
      <c r="AX569" s="75"/>
      <c r="AY569" s="77">
        <f t="shared" ca="1" si="1"/>
        <v>0</v>
      </c>
      <c r="AZ569" s="75"/>
      <c r="BA569" s="77">
        <f t="shared" ca="1" si="2"/>
        <v>0</v>
      </c>
      <c r="BB569" s="66"/>
      <c r="BC569" s="4"/>
      <c r="BD569" s="67"/>
      <c r="BE569" s="67"/>
      <c r="BF569" s="68"/>
      <c r="BG569" s="69"/>
      <c r="BH569" s="84"/>
      <c r="BI569" s="70"/>
      <c r="BJ569" s="73"/>
      <c r="BK569" s="78"/>
      <c r="BL569" s="78">
        <f t="shared" ca="1" si="3"/>
        <v>0</v>
      </c>
      <c r="BM569" s="78"/>
      <c r="BN569" s="78">
        <f t="shared" ca="1" si="4"/>
        <v>0</v>
      </c>
      <c r="BO569" s="66"/>
      <c r="BP569" s="66"/>
    </row>
    <row r="570" spans="1:68" ht="13.2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>
        <f t="shared" ref="AP570:AQ570" si="563">AR570+AT570+AV570</f>
        <v>0</v>
      </c>
      <c r="AQ570" s="75">
        <f t="shared" si="563"/>
        <v>0</v>
      </c>
      <c r="AR570" s="75"/>
      <c r="AS570" s="75"/>
      <c r="AT570" s="75"/>
      <c r="AU570" s="75"/>
      <c r="AV570" s="75"/>
      <c r="AW570" s="75"/>
      <c r="AX570" s="75"/>
      <c r="AY570" s="77">
        <f t="shared" ca="1" si="1"/>
        <v>0</v>
      </c>
      <c r="AZ570" s="75"/>
      <c r="BA570" s="77">
        <f t="shared" ca="1" si="2"/>
        <v>0</v>
      </c>
      <c r="BB570" s="66"/>
      <c r="BC570" s="4"/>
      <c r="BD570" s="67"/>
      <c r="BE570" s="67"/>
      <c r="BF570" s="68"/>
      <c r="BG570" s="69"/>
      <c r="BH570" s="84"/>
      <c r="BI570" s="70"/>
      <c r="BJ570" s="73"/>
      <c r="BK570" s="78"/>
      <c r="BL570" s="78">
        <f t="shared" ca="1" si="3"/>
        <v>0</v>
      </c>
      <c r="BM570" s="78"/>
      <c r="BN570" s="78">
        <f t="shared" ca="1" si="4"/>
        <v>0</v>
      </c>
      <c r="BO570" s="66"/>
      <c r="BP570" s="66"/>
    </row>
    <row r="571" spans="1:68" ht="13.2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>
        <f t="shared" ref="AP571:AQ571" si="564">AR571+AT571+AV571</f>
        <v>0</v>
      </c>
      <c r="AQ571" s="75">
        <f t="shared" si="564"/>
        <v>0</v>
      </c>
      <c r="AR571" s="75"/>
      <c r="AS571" s="75"/>
      <c r="AT571" s="75"/>
      <c r="AU571" s="75"/>
      <c r="AV571" s="75"/>
      <c r="AW571" s="75"/>
      <c r="AX571" s="75"/>
      <c r="AY571" s="77">
        <f t="shared" ca="1" si="1"/>
        <v>0</v>
      </c>
      <c r="AZ571" s="75"/>
      <c r="BA571" s="77">
        <f t="shared" ca="1" si="2"/>
        <v>0</v>
      </c>
      <c r="BB571" s="66"/>
      <c r="BC571" s="4"/>
      <c r="BD571" s="67"/>
      <c r="BE571" s="67"/>
      <c r="BF571" s="68"/>
      <c r="BG571" s="69"/>
      <c r="BH571" s="84"/>
      <c r="BI571" s="70"/>
      <c r="BJ571" s="73"/>
      <c r="BK571" s="78"/>
      <c r="BL571" s="78">
        <f t="shared" ca="1" si="3"/>
        <v>0</v>
      </c>
      <c r="BM571" s="78"/>
      <c r="BN571" s="78">
        <f t="shared" ca="1" si="4"/>
        <v>0</v>
      </c>
      <c r="BO571" s="66"/>
      <c r="BP571" s="66"/>
    </row>
    <row r="572" spans="1:68" ht="13.2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>
        <f t="shared" ref="AP572:AQ572" si="565">AR572+AT572+AV572</f>
        <v>0</v>
      </c>
      <c r="AQ572" s="75">
        <f t="shared" si="565"/>
        <v>0</v>
      </c>
      <c r="AR572" s="75"/>
      <c r="AS572" s="75"/>
      <c r="AT572" s="75"/>
      <c r="AU572" s="75"/>
      <c r="AV572" s="75"/>
      <c r="AW572" s="75"/>
      <c r="AX572" s="75"/>
      <c r="AY572" s="77">
        <f t="shared" ca="1" si="1"/>
        <v>0</v>
      </c>
      <c r="AZ572" s="75"/>
      <c r="BA572" s="77">
        <f t="shared" ca="1" si="2"/>
        <v>0</v>
      </c>
      <c r="BB572" s="66"/>
      <c r="BC572" s="4"/>
      <c r="BD572" s="67"/>
      <c r="BE572" s="67"/>
      <c r="BF572" s="68"/>
      <c r="BG572" s="69"/>
      <c r="BH572" s="84"/>
      <c r="BI572" s="70"/>
      <c r="BJ572" s="73"/>
      <c r="BK572" s="78"/>
      <c r="BL572" s="78">
        <f t="shared" ca="1" si="3"/>
        <v>0</v>
      </c>
      <c r="BM572" s="78"/>
      <c r="BN572" s="78">
        <f t="shared" ca="1" si="4"/>
        <v>0</v>
      </c>
      <c r="BO572" s="66"/>
      <c r="BP572" s="66"/>
    </row>
    <row r="573" spans="1:68" ht="13.2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>
        <f t="shared" ref="AP573:AQ573" si="566">AR573+AT573+AV573</f>
        <v>0</v>
      </c>
      <c r="AQ573" s="75">
        <f t="shared" si="566"/>
        <v>0</v>
      </c>
      <c r="AR573" s="75"/>
      <c r="AS573" s="75"/>
      <c r="AT573" s="75"/>
      <c r="AU573" s="75"/>
      <c r="AV573" s="75"/>
      <c r="AW573" s="75"/>
      <c r="AX573" s="75"/>
      <c r="AY573" s="77">
        <f t="shared" ca="1" si="1"/>
        <v>0</v>
      </c>
      <c r="AZ573" s="75"/>
      <c r="BA573" s="77">
        <f t="shared" ca="1" si="2"/>
        <v>0</v>
      </c>
      <c r="BB573" s="66"/>
      <c r="BC573" s="4"/>
      <c r="BD573" s="67"/>
      <c r="BE573" s="67"/>
      <c r="BF573" s="68"/>
      <c r="BG573" s="69"/>
      <c r="BH573" s="84"/>
      <c r="BI573" s="70"/>
      <c r="BJ573" s="73"/>
      <c r="BK573" s="78"/>
      <c r="BL573" s="78">
        <f t="shared" ca="1" si="3"/>
        <v>0</v>
      </c>
      <c r="BM573" s="78"/>
      <c r="BN573" s="78">
        <f t="shared" ca="1" si="4"/>
        <v>0</v>
      </c>
      <c r="BO573" s="66"/>
      <c r="BP573" s="66"/>
    </row>
    <row r="574" spans="1:68" ht="13.2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>
        <f t="shared" ref="AP574:AQ574" si="567">AR574+AT574+AV574</f>
        <v>0</v>
      </c>
      <c r="AQ574" s="75">
        <f t="shared" si="567"/>
        <v>0</v>
      </c>
      <c r="AR574" s="75"/>
      <c r="AS574" s="75"/>
      <c r="AT574" s="75"/>
      <c r="AU574" s="75"/>
      <c r="AV574" s="75"/>
      <c r="AW574" s="75"/>
      <c r="AX574" s="75"/>
      <c r="AY574" s="77">
        <f t="shared" ca="1" si="1"/>
        <v>0</v>
      </c>
      <c r="AZ574" s="75"/>
      <c r="BA574" s="77">
        <f t="shared" ca="1" si="2"/>
        <v>0</v>
      </c>
      <c r="BB574" s="66"/>
      <c r="BC574" s="4"/>
      <c r="BD574" s="67"/>
      <c r="BE574" s="67"/>
      <c r="BF574" s="68"/>
      <c r="BG574" s="69"/>
      <c r="BH574" s="84"/>
      <c r="BI574" s="70"/>
      <c r="BJ574" s="73"/>
      <c r="BK574" s="78"/>
      <c r="BL574" s="78">
        <f t="shared" ca="1" si="3"/>
        <v>0</v>
      </c>
      <c r="BM574" s="78"/>
      <c r="BN574" s="78">
        <f t="shared" ca="1" si="4"/>
        <v>0</v>
      </c>
      <c r="BO574" s="66"/>
      <c r="BP574" s="66"/>
    </row>
    <row r="575" spans="1:68" ht="13.2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>
        <f t="shared" ref="AP575:AQ575" si="568">AR575+AT575+AV575</f>
        <v>0</v>
      </c>
      <c r="AQ575" s="75">
        <f t="shared" si="568"/>
        <v>0</v>
      </c>
      <c r="AR575" s="75"/>
      <c r="AS575" s="75"/>
      <c r="AT575" s="75"/>
      <c r="AU575" s="75"/>
      <c r="AV575" s="75"/>
      <c r="AW575" s="75"/>
      <c r="AX575" s="75"/>
      <c r="AY575" s="77">
        <f t="shared" ca="1" si="1"/>
        <v>0</v>
      </c>
      <c r="AZ575" s="75"/>
      <c r="BA575" s="77">
        <f t="shared" ca="1" si="2"/>
        <v>0</v>
      </c>
      <c r="BB575" s="66"/>
      <c r="BC575" s="4"/>
      <c r="BD575" s="67"/>
      <c r="BE575" s="67"/>
      <c r="BF575" s="68"/>
      <c r="BG575" s="69"/>
      <c r="BH575" s="84"/>
      <c r="BI575" s="70"/>
      <c r="BJ575" s="73"/>
      <c r="BK575" s="78"/>
      <c r="BL575" s="78">
        <f t="shared" ca="1" si="3"/>
        <v>0</v>
      </c>
      <c r="BM575" s="78"/>
      <c r="BN575" s="78">
        <f t="shared" ca="1" si="4"/>
        <v>0</v>
      </c>
      <c r="BO575" s="66"/>
      <c r="BP575" s="66"/>
    </row>
    <row r="576" spans="1:68" ht="13.2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>
        <f t="shared" ref="AP576:AQ576" si="569">AR576+AT576+AV576</f>
        <v>0</v>
      </c>
      <c r="AQ576" s="75">
        <f t="shared" si="569"/>
        <v>0</v>
      </c>
      <c r="AR576" s="75"/>
      <c r="AS576" s="75"/>
      <c r="AT576" s="75"/>
      <c r="AU576" s="75"/>
      <c r="AV576" s="75"/>
      <c r="AW576" s="75"/>
      <c r="AX576" s="75"/>
      <c r="AY576" s="77">
        <f t="shared" ca="1" si="1"/>
        <v>0</v>
      </c>
      <c r="AZ576" s="75"/>
      <c r="BA576" s="77">
        <f t="shared" ca="1" si="2"/>
        <v>0</v>
      </c>
      <c r="BB576" s="66"/>
      <c r="BC576" s="4"/>
      <c r="BD576" s="67"/>
      <c r="BE576" s="67"/>
      <c r="BF576" s="68"/>
      <c r="BG576" s="69"/>
      <c r="BH576" s="84"/>
      <c r="BI576" s="70"/>
      <c r="BJ576" s="73"/>
      <c r="BK576" s="78"/>
      <c r="BL576" s="78">
        <f t="shared" ca="1" si="3"/>
        <v>0</v>
      </c>
      <c r="BM576" s="78"/>
      <c r="BN576" s="78">
        <f t="shared" ca="1" si="4"/>
        <v>0</v>
      </c>
      <c r="BO576" s="66"/>
      <c r="BP576" s="66"/>
    </row>
    <row r="577" spans="1:68" ht="13.2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>
        <f t="shared" ref="AP577:AQ577" si="570">AR577+AT577+AV577</f>
        <v>0</v>
      </c>
      <c r="AQ577" s="75">
        <f t="shared" si="570"/>
        <v>0</v>
      </c>
      <c r="AR577" s="75"/>
      <c r="AS577" s="75"/>
      <c r="AT577" s="75"/>
      <c r="AU577" s="75"/>
      <c r="AV577" s="75"/>
      <c r="AW577" s="75"/>
      <c r="AX577" s="75"/>
      <c r="AY577" s="77">
        <f t="shared" ca="1" si="1"/>
        <v>0</v>
      </c>
      <c r="AZ577" s="75"/>
      <c r="BA577" s="77">
        <f t="shared" ca="1" si="2"/>
        <v>0</v>
      </c>
      <c r="BB577" s="66"/>
      <c r="BC577" s="4"/>
      <c r="BD577" s="67"/>
      <c r="BE577" s="67"/>
      <c r="BF577" s="68"/>
      <c r="BG577" s="69"/>
      <c r="BH577" s="84"/>
      <c r="BI577" s="70"/>
      <c r="BJ577" s="73"/>
      <c r="BK577" s="78"/>
      <c r="BL577" s="78">
        <f t="shared" ca="1" si="3"/>
        <v>0</v>
      </c>
      <c r="BM577" s="78"/>
      <c r="BN577" s="78">
        <f t="shared" ca="1" si="4"/>
        <v>0</v>
      </c>
      <c r="BO577" s="66"/>
      <c r="BP577" s="66"/>
    </row>
    <row r="578" spans="1:68" ht="13.2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>
        <f t="shared" ref="AP578:AQ578" si="571">AR578+AT578+AV578</f>
        <v>0</v>
      </c>
      <c r="AQ578" s="75">
        <f t="shared" si="571"/>
        <v>0</v>
      </c>
      <c r="AR578" s="75"/>
      <c r="AS578" s="75"/>
      <c r="AT578" s="75"/>
      <c r="AU578" s="75"/>
      <c r="AV578" s="75"/>
      <c r="AW578" s="75"/>
      <c r="AX578" s="75"/>
      <c r="AY578" s="77">
        <f t="shared" ca="1" si="1"/>
        <v>0</v>
      </c>
      <c r="AZ578" s="75"/>
      <c r="BA578" s="77">
        <f t="shared" ca="1" si="2"/>
        <v>0</v>
      </c>
      <c r="BB578" s="66"/>
      <c r="BC578" s="4"/>
      <c r="BD578" s="67"/>
      <c r="BE578" s="67"/>
      <c r="BF578" s="68"/>
      <c r="BG578" s="69"/>
      <c r="BH578" s="84"/>
      <c r="BI578" s="70"/>
      <c r="BJ578" s="73"/>
      <c r="BK578" s="78"/>
      <c r="BL578" s="78">
        <f t="shared" ca="1" si="3"/>
        <v>0</v>
      </c>
      <c r="BM578" s="78"/>
      <c r="BN578" s="78">
        <f t="shared" ca="1" si="4"/>
        <v>0</v>
      </c>
      <c r="BO578" s="66"/>
      <c r="BP578" s="66"/>
    </row>
    <row r="579" spans="1:68" ht="13.2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>
        <f t="shared" ref="AP579:AQ579" si="572">AR579+AT579+AV579</f>
        <v>0</v>
      </c>
      <c r="AQ579" s="75">
        <f t="shared" si="572"/>
        <v>0</v>
      </c>
      <c r="AR579" s="75"/>
      <c r="AS579" s="75"/>
      <c r="AT579" s="75"/>
      <c r="AU579" s="75"/>
      <c r="AV579" s="75"/>
      <c r="AW579" s="75"/>
      <c r="AX579" s="75"/>
      <c r="AY579" s="77">
        <f t="shared" ca="1" si="1"/>
        <v>0</v>
      </c>
      <c r="AZ579" s="75"/>
      <c r="BA579" s="77">
        <f t="shared" ca="1" si="2"/>
        <v>0</v>
      </c>
      <c r="BB579" s="66"/>
      <c r="BC579" s="4"/>
      <c r="BD579" s="67"/>
      <c r="BE579" s="67"/>
      <c r="BF579" s="68"/>
      <c r="BG579" s="69"/>
      <c r="BH579" s="84"/>
      <c r="BI579" s="70"/>
      <c r="BJ579" s="73"/>
      <c r="BK579" s="78"/>
      <c r="BL579" s="78">
        <f t="shared" ca="1" si="3"/>
        <v>0</v>
      </c>
      <c r="BM579" s="78"/>
      <c r="BN579" s="78">
        <f t="shared" ca="1" si="4"/>
        <v>0</v>
      </c>
      <c r="BO579" s="66"/>
      <c r="BP579" s="66"/>
    </row>
    <row r="580" spans="1:68" ht="13.2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>
        <f t="shared" ref="AP580:AQ580" si="573">AR580+AT580+AV580</f>
        <v>0</v>
      </c>
      <c r="AQ580" s="75">
        <f t="shared" si="573"/>
        <v>0</v>
      </c>
      <c r="AR580" s="75"/>
      <c r="AS580" s="75"/>
      <c r="AT580" s="75"/>
      <c r="AU580" s="75"/>
      <c r="AV580" s="75"/>
      <c r="AW580" s="75"/>
      <c r="AX580" s="75"/>
      <c r="AY580" s="77">
        <f t="shared" ca="1" si="1"/>
        <v>0</v>
      </c>
      <c r="AZ580" s="75"/>
      <c r="BA580" s="77">
        <f t="shared" ca="1" si="2"/>
        <v>0</v>
      </c>
      <c r="BB580" s="66"/>
      <c r="BC580" s="4"/>
      <c r="BD580" s="67"/>
      <c r="BE580" s="67"/>
      <c r="BF580" s="68"/>
      <c r="BG580" s="69"/>
      <c r="BH580" s="84"/>
      <c r="BI580" s="70"/>
      <c r="BJ580" s="73"/>
      <c r="BK580" s="78"/>
      <c r="BL580" s="78">
        <f t="shared" ca="1" si="3"/>
        <v>0</v>
      </c>
      <c r="BM580" s="78"/>
      <c r="BN580" s="78">
        <f t="shared" ca="1" si="4"/>
        <v>0</v>
      </c>
      <c r="BO580" s="66"/>
      <c r="BP580" s="66"/>
    </row>
    <row r="581" spans="1:68" ht="13.2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>
        <f t="shared" ref="AP581:AQ581" si="574">AR581+AT581+AV581</f>
        <v>0</v>
      </c>
      <c r="AQ581" s="75">
        <f t="shared" si="574"/>
        <v>0</v>
      </c>
      <c r="AR581" s="75"/>
      <c r="AS581" s="75"/>
      <c r="AT581" s="75"/>
      <c r="AU581" s="75"/>
      <c r="AV581" s="75"/>
      <c r="AW581" s="75"/>
      <c r="AX581" s="75"/>
      <c r="AY581" s="77">
        <f t="shared" ca="1" si="1"/>
        <v>0</v>
      </c>
      <c r="AZ581" s="75"/>
      <c r="BA581" s="77">
        <f t="shared" ca="1" si="2"/>
        <v>0</v>
      </c>
      <c r="BB581" s="66"/>
      <c r="BC581" s="4"/>
      <c r="BD581" s="67"/>
      <c r="BE581" s="67"/>
      <c r="BF581" s="68"/>
      <c r="BG581" s="69"/>
      <c r="BH581" s="84"/>
      <c r="BI581" s="70"/>
      <c r="BJ581" s="73"/>
      <c r="BK581" s="78"/>
      <c r="BL581" s="78">
        <f t="shared" ca="1" si="3"/>
        <v>0</v>
      </c>
      <c r="BM581" s="78"/>
      <c r="BN581" s="78">
        <f t="shared" ca="1" si="4"/>
        <v>0</v>
      </c>
      <c r="BO581" s="66"/>
      <c r="BP581" s="66"/>
    </row>
    <row r="582" spans="1:68" ht="13.2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>
        <f t="shared" ref="AP582:AQ582" si="575">AR582+AT582+AV582</f>
        <v>0</v>
      </c>
      <c r="AQ582" s="75">
        <f t="shared" si="575"/>
        <v>0</v>
      </c>
      <c r="AR582" s="75"/>
      <c r="AS582" s="75"/>
      <c r="AT582" s="75"/>
      <c r="AU582" s="75"/>
      <c r="AV582" s="75"/>
      <c r="AW582" s="75"/>
      <c r="AX582" s="75"/>
      <c r="AY582" s="77">
        <f t="shared" ca="1" si="1"/>
        <v>0</v>
      </c>
      <c r="AZ582" s="75"/>
      <c r="BA582" s="77">
        <f t="shared" ca="1" si="2"/>
        <v>0</v>
      </c>
      <c r="BB582" s="66"/>
      <c r="BC582" s="4"/>
      <c r="BD582" s="67"/>
      <c r="BE582" s="67"/>
      <c r="BF582" s="68"/>
      <c r="BG582" s="69"/>
      <c r="BH582" s="84"/>
      <c r="BI582" s="70"/>
      <c r="BJ582" s="73"/>
      <c r="BK582" s="78"/>
      <c r="BL582" s="78">
        <f t="shared" ca="1" si="3"/>
        <v>0</v>
      </c>
      <c r="BM582" s="78"/>
      <c r="BN582" s="78">
        <f t="shared" ca="1" si="4"/>
        <v>0</v>
      </c>
      <c r="BO582" s="66"/>
      <c r="BP582" s="66"/>
    </row>
    <row r="583" spans="1:68" ht="13.2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>
        <f t="shared" ref="AP583:AQ583" si="576">AR583+AT583+AV583</f>
        <v>0</v>
      </c>
      <c r="AQ583" s="75">
        <f t="shared" si="576"/>
        <v>0</v>
      </c>
      <c r="AR583" s="75"/>
      <c r="AS583" s="75"/>
      <c r="AT583" s="75"/>
      <c r="AU583" s="75"/>
      <c r="AV583" s="75"/>
      <c r="AW583" s="75"/>
      <c r="AX583" s="75"/>
      <c r="AY583" s="77">
        <f t="shared" ca="1" si="1"/>
        <v>0</v>
      </c>
      <c r="AZ583" s="75"/>
      <c r="BA583" s="77">
        <f t="shared" ca="1" si="2"/>
        <v>0</v>
      </c>
      <c r="BB583" s="66"/>
      <c r="BC583" s="4"/>
      <c r="BD583" s="67"/>
      <c r="BE583" s="67"/>
      <c r="BF583" s="68"/>
      <c r="BG583" s="69"/>
      <c r="BH583" s="84"/>
      <c r="BI583" s="70"/>
      <c r="BJ583" s="73"/>
      <c r="BK583" s="78"/>
      <c r="BL583" s="78">
        <f t="shared" ca="1" si="3"/>
        <v>0</v>
      </c>
      <c r="BM583" s="78"/>
      <c r="BN583" s="78">
        <f t="shared" ca="1" si="4"/>
        <v>0</v>
      </c>
      <c r="BO583" s="66"/>
      <c r="BP583" s="66"/>
    </row>
    <row r="584" spans="1:68" ht="13.2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>
        <f t="shared" ref="AP584:AQ584" si="577">AR584+AT584+AV584</f>
        <v>0</v>
      </c>
      <c r="AQ584" s="75">
        <f t="shared" si="577"/>
        <v>0</v>
      </c>
      <c r="AR584" s="75"/>
      <c r="AS584" s="75"/>
      <c r="AT584" s="75"/>
      <c r="AU584" s="75"/>
      <c r="AV584" s="75"/>
      <c r="AW584" s="75"/>
      <c r="AX584" s="75"/>
      <c r="AY584" s="77">
        <f t="shared" ca="1" si="1"/>
        <v>0</v>
      </c>
      <c r="AZ584" s="75"/>
      <c r="BA584" s="77">
        <f t="shared" ca="1" si="2"/>
        <v>0</v>
      </c>
      <c r="BB584" s="66"/>
      <c r="BC584" s="4"/>
      <c r="BD584" s="67"/>
      <c r="BE584" s="67"/>
      <c r="BF584" s="68"/>
      <c r="BG584" s="69"/>
      <c r="BH584" s="84"/>
      <c r="BI584" s="70"/>
      <c r="BJ584" s="73"/>
      <c r="BK584" s="78"/>
      <c r="BL584" s="78">
        <f t="shared" ca="1" si="3"/>
        <v>0</v>
      </c>
      <c r="BM584" s="78"/>
      <c r="BN584" s="78">
        <f t="shared" ca="1" si="4"/>
        <v>0</v>
      </c>
      <c r="BO584" s="66"/>
      <c r="BP584" s="66"/>
    </row>
    <row r="585" spans="1:68" ht="13.2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>
        <f t="shared" ref="AP585:AQ585" si="578">AR585+AT585+AV585</f>
        <v>0</v>
      </c>
      <c r="AQ585" s="75">
        <f t="shared" si="578"/>
        <v>0</v>
      </c>
      <c r="AR585" s="75"/>
      <c r="AS585" s="75"/>
      <c r="AT585" s="75"/>
      <c r="AU585" s="75"/>
      <c r="AV585" s="75"/>
      <c r="AW585" s="75"/>
      <c r="AX585" s="75"/>
      <c r="AY585" s="77">
        <f t="shared" ca="1" si="1"/>
        <v>0</v>
      </c>
      <c r="AZ585" s="75"/>
      <c r="BA585" s="77">
        <f t="shared" ca="1" si="2"/>
        <v>0</v>
      </c>
      <c r="BB585" s="66"/>
      <c r="BC585" s="4"/>
      <c r="BD585" s="67"/>
      <c r="BE585" s="67"/>
      <c r="BF585" s="68"/>
      <c r="BG585" s="69"/>
      <c r="BH585" s="84"/>
      <c r="BI585" s="70"/>
      <c r="BJ585" s="73"/>
      <c r="BK585" s="78"/>
      <c r="BL585" s="78">
        <f t="shared" ca="1" si="3"/>
        <v>0</v>
      </c>
      <c r="BM585" s="78"/>
      <c r="BN585" s="78">
        <f t="shared" ca="1" si="4"/>
        <v>0</v>
      </c>
      <c r="BO585" s="66"/>
      <c r="BP585" s="66"/>
    </row>
    <row r="586" spans="1:68" ht="13.2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>
        <f t="shared" ref="AP586:AQ586" si="579">AR586+AT586+AV586</f>
        <v>0</v>
      </c>
      <c r="AQ586" s="75">
        <f t="shared" si="579"/>
        <v>0</v>
      </c>
      <c r="AR586" s="75"/>
      <c r="AS586" s="75"/>
      <c r="AT586" s="75"/>
      <c r="AU586" s="75"/>
      <c r="AV586" s="75"/>
      <c r="AW586" s="75"/>
      <c r="AX586" s="75"/>
      <c r="AY586" s="67">
        <f t="shared" ca="1" si="1"/>
        <v>0</v>
      </c>
      <c r="AZ586" s="75"/>
      <c r="BA586" s="67">
        <f t="shared" ca="1" si="2"/>
        <v>0</v>
      </c>
      <c r="BB586" s="66"/>
      <c r="BC586" s="4"/>
      <c r="BD586" s="67"/>
      <c r="BE586" s="67"/>
      <c r="BF586" s="68"/>
      <c r="BG586" s="69"/>
      <c r="BH586" s="84"/>
      <c r="BI586" s="70"/>
      <c r="BJ586" s="73"/>
      <c r="BK586" s="78"/>
      <c r="BL586" s="78">
        <f t="shared" ca="1" si="3"/>
        <v>0</v>
      </c>
      <c r="BM586" s="78"/>
      <c r="BN586" s="78">
        <f t="shared" ca="1" si="4"/>
        <v>0</v>
      </c>
      <c r="BO586" s="66"/>
      <c r="BP586" s="66"/>
    </row>
    <row r="587" spans="1:68" ht="13.2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>
        <f t="shared" ref="AP587:AQ587" si="580">AR587+AT587+AV587</f>
        <v>0</v>
      </c>
      <c r="AQ587" s="75">
        <f t="shared" si="580"/>
        <v>0</v>
      </c>
      <c r="AR587" s="75"/>
      <c r="AS587" s="75"/>
      <c r="AT587" s="75"/>
      <c r="AU587" s="75"/>
      <c r="AV587" s="75"/>
      <c r="AW587" s="75"/>
      <c r="AX587" s="75"/>
      <c r="AY587" s="67">
        <f t="shared" ca="1" si="1"/>
        <v>0</v>
      </c>
      <c r="AZ587" s="75"/>
      <c r="BA587" s="67">
        <f t="shared" ca="1" si="2"/>
        <v>0</v>
      </c>
      <c r="BB587" s="66"/>
      <c r="BC587" s="4"/>
      <c r="BD587" s="67"/>
      <c r="BE587" s="67"/>
      <c r="BF587" s="68"/>
      <c r="BG587" s="69"/>
      <c r="BH587" s="84"/>
      <c r="BI587" s="70"/>
      <c r="BJ587" s="73"/>
      <c r="BK587" s="78"/>
      <c r="BL587" s="78">
        <f t="shared" ca="1" si="3"/>
        <v>0</v>
      </c>
      <c r="BM587" s="78"/>
      <c r="BN587" s="78">
        <f t="shared" ca="1" si="4"/>
        <v>0</v>
      </c>
      <c r="BO587" s="66"/>
      <c r="BP587" s="66"/>
    </row>
    <row r="588" spans="1:68" ht="13.2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>
        <f t="shared" ref="AP588:AQ588" si="581">AR588+AT588+AV588</f>
        <v>0</v>
      </c>
      <c r="AQ588" s="75">
        <f t="shared" si="581"/>
        <v>0</v>
      </c>
      <c r="AR588" s="75"/>
      <c r="AS588" s="75"/>
      <c r="AT588" s="75"/>
      <c r="AU588" s="75"/>
      <c r="AV588" s="75"/>
      <c r="AW588" s="75"/>
      <c r="AX588" s="75"/>
      <c r="AY588" s="67">
        <f t="shared" ca="1" si="1"/>
        <v>0</v>
      </c>
      <c r="AZ588" s="75"/>
      <c r="BA588" s="67">
        <f t="shared" ca="1" si="2"/>
        <v>0</v>
      </c>
      <c r="BB588" s="66"/>
      <c r="BC588" s="4"/>
      <c r="BD588" s="67"/>
      <c r="BE588" s="67"/>
      <c r="BF588" s="68"/>
      <c r="BG588" s="69"/>
      <c r="BH588" s="84"/>
      <c r="BI588" s="70"/>
      <c r="BJ588" s="73"/>
      <c r="BK588" s="78"/>
      <c r="BL588" s="78">
        <f t="shared" ca="1" si="3"/>
        <v>0</v>
      </c>
      <c r="BM588" s="78"/>
      <c r="BN588" s="78">
        <f t="shared" ca="1" si="4"/>
        <v>0</v>
      </c>
      <c r="BO588" s="66"/>
      <c r="BP588" s="66"/>
    </row>
    <row r="589" spans="1:68" ht="13.2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>
        <f t="shared" ref="AP589:AQ589" si="582">AR589+AT589+AV589</f>
        <v>0</v>
      </c>
      <c r="AQ589" s="75">
        <f t="shared" si="582"/>
        <v>0</v>
      </c>
      <c r="AR589" s="75"/>
      <c r="AS589" s="75"/>
      <c r="AT589" s="75"/>
      <c r="AU589" s="75"/>
      <c r="AV589" s="75"/>
      <c r="AW589" s="75"/>
      <c r="AX589" s="75"/>
      <c r="AY589" s="67">
        <f t="shared" ca="1" si="1"/>
        <v>0</v>
      </c>
      <c r="AZ589" s="75"/>
      <c r="BA589" s="67">
        <f t="shared" ca="1" si="2"/>
        <v>0</v>
      </c>
      <c r="BB589" s="66"/>
      <c r="BC589" s="4"/>
      <c r="BD589" s="67"/>
      <c r="BE589" s="67"/>
      <c r="BF589" s="68"/>
      <c r="BG589" s="69"/>
      <c r="BH589" s="84"/>
      <c r="BI589" s="70"/>
      <c r="BJ589" s="73"/>
      <c r="BK589" s="78"/>
      <c r="BL589" s="78">
        <f t="shared" ca="1" si="3"/>
        <v>0</v>
      </c>
      <c r="BM589" s="78"/>
      <c r="BN589" s="78">
        <f t="shared" ca="1" si="4"/>
        <v>0</v>
      </c>
      <c r="BO589" s="66"/>
      <c r="BP589" s="66"/>
    </row>
    <row r="590" spans="1:68" ht="13.2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>
        <f t="shared" ref="AP590:AQ590" si="583">AR590+AT590+AV590</f>
        <v>0</v>
      </c>
      <c r="AQ590" s="75">
        <f t="shared" si="583"/>
        <v>0</v>
      </c>
      <c r="AR590" s="75"/>
      <c r="AS590" s="75"/>
      <c r="AT590" s="75"/>
      <c r="AU590" s="75"/>
      <c r="AV590" s="75"/>
      <c r="AW590" s="75"/>
      <c r="AX590" s="75"/>
      <c r="AY590" s="67">
        <f t="shared" ca="1" si="1"/>
        <v>0</v>
      </c>
      <c r="AZ590" s="75"/>
      <c r="BA590" s="67">
        <f t="shared" ca="1" si="2"/>
        <v>0</v>
      </c>
      <c r="BB590" s="66"/>
      <c r="BC590" s="4"/>
      <c r="BD590" s="67"/>
      <c r="BE590" s="67"/>
      <c r="BF590" s="68"/>
      <c r="BG590" s="69"/>
      <c r="BH590" s="84"/>
      <c r="BI590" s="70"/>
      <c r="BJ590" s="73"/>
      <c r="BK590" s="78"/>
      <c r="BL590" s="78">
        <f t="shared" ca="1" si="3"/>
        <v>0</v>
      </c>
      <c r="BM590" s="78"/>
      <c r="BN590" s="78">
        <f t="shared" ca="1" si="4"/>
        <v>0</v>
      </c>
      <c r="BO590" s="66"/>
      <c r="BP590" s="66"/>
    </row>
    <row r="591" spans="1:68" ht="13.2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>
        <f t="shared" ref="AP591:AQ591" si="584">AR591+AT591+AV591</f>
        <v>0</v>
      </c>
      <c r="AQ591" s="75">
        <f t="shared" si="584"/>
        <v>0</v>
      </c>
      <c r="AR591" s="75"/>
      <c r="AS591" s="75"/>
      <c r="AT591" s="75"/>
      <c r="AU591" s="75"/>
      <c r="AV591" s="75"/>
      <c r="AW591" s="75"/>
      <c r="AX591" s="75"/>
      <c r="AY591" s="67">
        <f t="shared" ca="1" si="1"/>
        <v>0</v>
      </c>
      <c r="AZ591" s="75"/>
      <c r="BA591" s="67">
        <f t="shared" ca="1" si="2"/>
        <v>0</v>
      </c>
      <c r="BB591" s="66"/>
      <c r="BC591" s="4"/>
      <c r="BD591" s="67"/>
      <c r="BE591" s="67"/>
      <c r="BF591" s="68"/>
      <c r="BG591" s="69"/>
      <c r="BH591" s="84"/>
      <c r="BI591" s="70"/>
      <c r="BJ591" s="73"/>
      <c r="BK591" s="78"/>
      <c r="BL591" s="78">
        <f t="shared" ca="1" si="3"/>
        <v>0</v>
      </c>
      <c r="BM591" s="78"/>
      <c r="BN591" s="78">
        <f t="shared" ca="1" si="4"/>
        <v>0</v>
      </c>
      <c r="BO591" s="66"/>
      <c r="BP591" s="66"/>
    </row>
    <row r="592" spans="1:68" ht="13.2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>
        <f t="shared" ref="AP592:AQ592" si="585">AR592+AT592+AV592</f>
        <v>0</v>
      </c>
      <c r="AQ592" s="75">
        <f t="shared" si="585"/>
        <v>0</v>
      </c>
      <c r="AR592" s="75"/>
      <c r="AS592" s="75"/>
      <c r="AT592" s="75"/>
      <c r="AU592" s="75"/>
      <c r="AV592" s="75"/>
      <c r="AW592" s="75"/>
      <c r="AX592" s="75"/>
      <c r="AY592" s="67">
        <f t="shared" ca="1" si="1"/>
        <v>0</v>
      </c>
      <c r="AZ592" s="75"/>
      <c r="BA592" s="67">
        <f t="shared" ca="1" si="2"/>
        <v>0</v>
      </c>
      <c r="BB592" s="66"/>
      <c r="BC592" s="4"/>
      <c r="BD592" s="67"/>
      <c r="BE592" s="67"/>
      <c r="BF592" s="68"/>
      <c r="BG592" s="69"/>
      <c r="BH592" s="84"/>
      <c r="BI592" s="70"/>
      <c r="BJ592" s="73"/>
      <c r="BK592" s="78"/>
      <c r="BL592" s="78">
        <f t="shared" ca="1" si="3"/>
        <v>0</v>
      </c>
      <c r="BM592" s="78"/>
      <c r="BN592" s="78">
        <f t="shared" ca="1" si="4"/>
        <v>0</v>
      </c>
      <c r="BO592" s="66"/>
      <c r="BP592" s="66"/>
    </row>
    <row r="593" spans="1:68" ht="13.2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>
        <f t="shared" ref="AP593:AQ593" si="586">AR593+AT593+AV593</f>
        <v>0</v>
      </c>
      <c r="AQ593" s="75">
        <f t="shared" si="586"/>
        <v>0</v>
      </c>
      <c r="AR593" s="75"/>
      <c r="AS593" s="75"/>
      <c r="AT593" s="75"/>
      <c r="AU593" s="75"/>
      <c r="AV593" s="75"/>
      <c r="AW593" s="75"/>
      <c r="AX593" s="75"/>
      <c r="AY593" s="67">
        <f t="shared" ca="1" si="1"/>
        <v>0</v>
      </c>
      <c r="AZ593" s="75"/>
      <c r="BA593" s="67">
        <f t="shared" ca="1" si="2"/>
        <v>0</v>
      </c>
      <c r="BB593" s="66"/>
      <c r="BC593" s="4"/>
      <c r="BD593" s="67"/>
      <c r="BE593" s="67"/>
      <c r="BF593" s="68"/>
      <c r="BG593" s="69"/>
      <c r="BH593" s="84"/>
      <c r="BI593" s="70"/>
      <c r="BJ593" s="73"/>
      <c r="BK593" s="78"/>
      <c r="BL593" s="78">
        <f t="shared" ca="1" si="3"/>
        <v>0</v>
      </c>
      <c r="BM593" s="78"/>
      <c r="BN593" s="78">
        <f t="shared" ca="1" si="4"/>
        <v>0</v>
      </c>
      <c r="BO593" s="66"/>
      <c r="BP593" s="66"/>
    </row>
    <row r="594" spans="1:68" ht="13.2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>
        <f t="shared" ref="AP594:AQ594" si="587">AR594+AT594+AV594</f>
        <v>0</v>
      </c>
      <c r="AQ594" s="75">
        <f t="shared" si="587"/>
        <v>0</v>
      </c>
      <c r="AR594" s="75"/>
      <c r="AS594" s="75"/>
      <c r="AT594" s="75"/>
      <c r="AU594" s="75"/>
      <c r="AV594" s="75"/>
      <c r="AW594" s="75"/>
      <c r="AX594" s="75"/>
      <c r="AY594" s="67">
        <f t="shared" ca="1" si="1"/>
        <v>0</v>
      </c>
      <c r="AZ594" s="75"/>
      <c r="BA594" s="67">
        <f t="shared" ca="1" si="2"/>
        <v>0</v>
      </c>
      <c r="BB594" s="66"/>
      <c r="BC594" s="4"/>
      <c r="BD594" s="67"/>
      <c r="BE594" s="67"/>
      <c r="BF594" s="68"/>
      <c r="BG594" s="69"/>
      <c r="BH594" s="84"/>
      <c r="BI594" s="70"/>
      <c r="BJ594" s="73"/>
      <c r="BK594" s="78"/>
      <c r="BL594" s="78">
        <f t="shared" ca="1" si="3"/>
        <v>0</v>
      </c>
      <c r="BM594" s="78"/>
      <c r="BN594" s="78">
        <f t="shared" ca="1" si="4"/>
        <v>0</v>
      </c>
      <c r="BO594" s="66"/>
      <c r="BP594" s="66"/>
    </row>
    <row r="595" spans="1:68" ht="13.2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>
        <f t="shared" ref="AP595:AQ595" si="588">AR595+AT595+AV595</f>
        <v>0</v>
      </c>
      <c r="AQ595" s="75">
        <f t="shared" si="588"/>
        <v>0</v>
      </c>
      <c r="AR595" s="75"/>
      <c r="AS595" s="75"/>
      <c r="AT595" s="75"/>
      <c r="AU595" s="75"/>
      <c r="AV595" s="75"/>
      <c r="AW595" s="75"/>
      <c r="AX595" s="75"/>
      <c r="AY595" s="67">
        <f t="shared" ca="1" si="1"/>
        <v>0</v>
      </c>
      <c r="AZ595" s="75"/>
      <c r="BA595" s="67">
        <f t="shared" ca="1" si="2"/>
        <v>0</v>
      </c>
      <c r="BB595" s="66"/>
      <c r="BC595" s="4"/>
      <c r="BD595" s="67"/>
      <c r="BE595" s="67"/>
      <c r="BF595" s="68"/>
      <c r="BG595" s="69"/>
      <c r="BH595" s="84"/>
      <c r="BI595" s="70"/>
      <c r="BJ595" s="73"/>
      <c r="BK595" s="78"/>
      <c r="BL595" s="78">
        <f t="shared" ca="1" si="3"/>
        <v>0</v>
      </c>
      <c r="BM595" s="78"/>
      <c r="BN595" s="78">
        <f t="shared" ca="1" si="4"/>
        <v>0</v>
      </c>
      <c r="BO595" s="66"/>
      <c r="BP595" s="66"/>
    </row>
    <row r="596" spans="1:68" ht="13.2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>
        <f t="shared" ref="AP596:AQ596" si="589">AR596+AT596+AV596</f>
        <v>0</v>
      </c>
      <c r="AQ596" s="75">
        <f t="shared" si="589"/>
        <v>0</v>
      </c>
      <c r="AR596" s="75"/>
      <c r="AS596" s="75"/>
      <c r="AT596" s="75"/>
      <c r="AU596" s="75"/>
      <c r="AV596" s="75"/>
      <c r="AW596" s="75"/>
      <c r="AX596" s="75"/>
      <c r="AY596" s="67">
        <f t="shared" ca="1" si="1"/>
        <v>0</v>
      </c>
      <c r="AZ596" s="75"/>
      <c r="BA596" s="67">
        <f t="shared" ca="1" si="2"/>
        <v>0</v>
      </c>
      <c r="BB596" s="66"/>
      <c r="BC596" s="4"/>
      <c r="BD596" s="67"/>
      <c r="BE596" s="67"/>
      <c r="BF596" s="68"/>
      <c r="BG596" s="69"/>
      <c r="BH596" s="84"/>
      <c r="BI596" s="70"/>
      <c r="BJ596" s="73"/>
      <c r="BK596" s="78"/>
      <c r="BL596" s="78">
        <f t="shared" ca="1" si="3"/>
        <v>0</v>
      </c>
      <c r="BM596" s="78"/>
      <c r="BN596" s="78">
        <f t="shared" ca="1" si="4"/>
        <v>0</v>
      </c>
      <c r="BO596" s="66"/>
      <c r="BP596" s="66"/>
    </row>
    <row r="597" spans="1:68" ht="13.2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>
        <f t="shared" ref="AP597:AQ597" si="590">AR597+AT597+AV597</f>
        <v>0</v>
      </c>
      <c r="AQ597" s="75">
        <f t="shared" si="590"/>
        <v>0</v>
      </c>
      <c r="AR597" s="75"/>
      <c r="AS597" s="75"/>
      <c r="AT597" s="75"/>
      <c r="AU597" s="75"/>
      <c r="AV597" s="75"/>
      <c r="AW597" s="75"/>
      <c r="AX597" s="75"/>
      <c r="AY597" s="67">
        <f t="shared" ca="1" si="1"/>
        <v>0</v>
      </c>
      <c r="AZ597" s="75"/>
      <c r="BA597" s="67">
        <f t="shared" ca="1" si="2"/>
        <v>0</v>
      </c>
      <c r="BB597" s="66"/>
      <c r="BC597" s="4"/>
      <c r="BD597" s="67"/>
      <c r="BE597" s="67"/>
      <c r="BF597" s="68"/>
      <c r="BG597" s="69"/>
      <c r="BH597" s="84"/>
      <c r="BI597" s="70"/>
      <c r="BJ597" s="73"/>
      <c r="BK597" s="78"/>
      <c r="BL597" s="78">
        <f t="shared" ca="1" si="3"/>
        <v>0</v>
      </c>
      <c r="BM597" s="78"/>
      <c r="BN597" s="78">
        <f t="shared" ca="1" si="4"/>
        <v>0</v>
      </c>
      <c r="BO597" s="66"/>
      <c r="BP597" s="66"/>
    </row>
    <row r="598" spans="1:68" ht="13.2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>
        <f t="shared" ref="AP598:AQ598" si="591">AR598+AT598+AV598</f>
        <v>0</v>
      </c>
      <c r="AQ598" s="75">
        <f t="shared" si="591"/>
        <v>0</v>
      </c>
      <c r="AR598" s="75"/>
      <c r="AS598" s="75"/>
      <c r="AT598" s="75"/>
      <c r="AU598" s="75"/>
      <c r="AV598" s="75"/>
      <c r="AW598" s="75"/>
      <c r="AX598" s="75"/>
      <c r="AY598" s="67">
        <f t="shared" ca="1" si="1"/>
        <v>0</v>
      </c>
      <c r="AZ598" s="75"/>
      <c r="BA598" s="67">
        <f t="shared" ca="1" si="2"/>
        <v>0</v>
      </c>
      <c r="BB598" s="66"/>
      <c r="BC598" s="4"/>
      <c r="BD598" s="67"/>
      <c r="BE598" s="67"/>
      <c r="BF598" s="68"/>
      <c r="BG598" s="69"/>
      <c r="BH598" s="84"/>
      <c r="BI598" s="70"/>
      <c r="BJ598" s="73"/>
      <c r="BK598" s="78"/>
      <c r="BL598" s="78">
        <f t="shared" ca="1" si="3"/>
        <v>0</v>
      </c>
      <c r="BM598" s="78"/>
      <c r="BN598" s="78">
        <f t="shared" ca="1" si="4"/>
        <v>0</v>
      </c>
      <c r="BO598" s="66"/>
      <c r="BP598" s="66"/>
    </row>
    <row r="599" spans="1:68" ht="13.2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>
        <f t="shared" ref="AP599:AQ599" si="592">AR599+AT599+AV599</f>
        <v>0</v>
      </c>
      <c r="AQ599" s="75">
        <f t="shared" si="592"/>
        <v>0</v>
      </c>
      <c r="AR599" s="75"/>
      <c r="AS599" s="75"/>
      <c r="AT599" s="75"/>
      <c r="AU599" s="75"/>
      <c r="AV599" s="75"/>
      <c r="AW599" s="75"/>
      <c r="AX599" s="75"/>
      <c r="AY599" s="67">
        <f t="shared" ca="1" si="1"/>
        <v>0</v>
      </c>
      <c r="AZ599" s="75"/>
      <c r="BA599" s="67">
        <f t="shared" ca="1" si="2"/>
        <v>0</v>
      </c>
      <c r="BB599" s="66"/>
      <c r="BC599" s="4"/>
      <c r="BD599" s="67"/>
      <c r="BE599" s="67"/>
      <c r="BF599" s="68"/>
      <c r="BG599" s="69"/>
      <c r="BH599" s="84"/>
      <c r="BI599" s="70"/>
      <c r="BJ599" s="73"/>
      <c r="BK599" s="78"/>
      <c r="BL599" s="78">
        <f t="shared" ca="1" si="3"/>
        <v>0</v>
      </c>
      <c r="BM599" s="78"/>
      <c r="BN599" s="78">
        <f t="shared" ca="1" si="4"/>
        <v>0</v>
      </c>
      <c r="BO599" s="66"/>
      <c r="BP599" s="66"/>
    </row>
    <row r="600" spans="1:68" ht="13.2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>
        <f t="shared" ref="AP600:AQ600" si="593">AR600+AT600+AV600</f>
        <v>0</v>
      </c>
      <c r="AQ600" s="75">
        <f t="shared" si="593"/>
        <v>0</v>
      </c>
      <c r="AR600" s="75"/>
      <c r="AS600" s="75"/>
      <c r="AT600" s="75"/>
      <c r="AU600" s="75"/>
      <c r="AV600" s="75"/>
      <c r="AW600" s="75"/>
      <c r="AX600" s="75"/>
      <c r="AY600" s="67">
        <f t="shared" ca="1" si="1"/>
        <v>0</v>
      </c>
      <c r="AZ600" s="75"/>
      <c r="BA600" s="67">
        <f t="shared" ca="1" si="2"/>
        <v>0</v>
      </c>
      <c r="BB600" s="66"/>
      <c r="BC600" s="4"/>
      <c r="BD600" s="67"/>
      <c r="BE600" s="67"/>
      <c r="BF600" s="68"/>
      <c r="BG600" s="69"/>
      <c r="BH600" s="84"/>
      <c r="BI600" s="70"/>
      <c r="BJ600" s="73"/>
      <c r="BK600" s="78"/>
      <c r="BL600" s="78">
        <f t="shared" ca="1" si="3"/>
        <v>0</v>
      </c>
      <c r="BM600" s="78"/>
      <c r="BN600" s="78">
        <f t="shared" ca="1" si="4"/>
        <v>0</v>
      </c>
      <c r="BO600" s="66"/>
      <c r="BP600" s="66"/>
    </row>
    <row r="601" spans="1:68" ht="13.2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>
        <f t="shared" ref="AP601:AQ601" si="594">AR601+AT601+AV601</f>
        <v>0</v>
      </c>
      <c r="AQ601" s="75">
        <f t="shared" si="594"/>
        <v>0</v>
      </c>
      <c r="AR601" s="75"/>
      <c r="AS601" s="75"/>
      <c r="AT601" s="75"/>
      <c r="AU601" s="75"/>
      <c r="AV601" s="75"/>
      <c r="AW601" s="75"/>
      <c r="AX601" s="75"/>
      <c r="AY601" s="67">
        <f t="shared" ca="1" si="1"/>
        <v>0</v>
      </c>
      <c r="AZ601" s="75"/>
      <c r="BA601" s="67">
        <f t="shared" ca="1" si="2"/>
        <v>0</v>
      </c>
      <c r="BB601" s="66"/>
      <c r="BC601" s="4"/>
      <c r="BD601" s="67"/>
      <c r="BE601" s="67"/>
      <c r="BF601" s="68"/>
      <c r="BG601" s="69"/>
      <c r="BH601" s="84"/>
      <c r="BI601" s="70"/>
      <c r="BJ601" s="73"/>
      <c r="BK601" s="78"/>
      <c r="BL601" s="78">
        <f t="shared" ca="1" si="3"/>
        <v>0</v>
      </c>
      <c r="BM601" s="78"/>
      <c r="BN601" s="78">
        <f t="shared" ca="1" si="4"/>
        <v>0</v>
      </c>
      <c r="BO601" s="66"/>
      <c r="BP601" s="66"/>
    </row>
    <row r="602" spans="1:68" ht="13.2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>
        <f t="shared" ref="AP602:AQ602" si="595">AR602+AT602+AV602</f>
        <v>0</v>
      </c>
      <c r="AQ602" s="75">
        <f t="shared" si="595"/>
        <v>0</v>
      </c>
      <c r="AR602" s="75"/>
      <c r="AS602" s="75"/>
      <c r="AT602" s="75"/>
      <c r="AU602" s="75"/>
      <c r="AV602" s="75"/>
      <c r="AW602" s="75"/>
      <c r="AX602" s="75"/>
      <c r="AY602" s="67">
        <f t="shared" ca="1" si="1"/>
        <v>0</v>
      </c>
      <c r="AZ602" s="75"/>
      <c r="BA602" s="67">
        <f t="shared" ca="1" si="2"/>
        <v>0</v>
      </c>
      <c r="BB602" s="66"/>
      <c r="BC602" s="4"/>
      <c r="BD602" s="67"/>
      <c r="BE602" s="67"/>
      <c r="BF602" s="68"/>
      <c r="BG602" s="69"/>
      <c r="BH602" s="84"/>
      <c r="BI602" s="70"/>
      <c r="BJ602" s="73"/>
      <c r="BK602" s="78"/>
      <c r="BL602" s="78">
        <f t="shared" ca="1" si="3"/>
        <v>0</v>
      </c>
      <c r="BM602" s="78"/>
      <c r="BN602" s="78">
        <f t="shared" ca="1" si="4"/>
        <v>0</v>
      </c>
      <c r="BO602" s="66"/>
      <c r="BP602" s="66"/>
    </row>
    <row r="603" spans="1:68" ht="13.2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>
        <f t="shared" ref="AP603:AQ603" si="596">AR603+AT603+AV603</f>
        <v>0</v>
      </c>
      <c r="AQ603" s="75">
        <f t="shared" si="596"/>
        <v>0</v>
      </c>
      <c r="AR603" s="75"/>
      <c r="AS603" s="75"/>
      <c r="AT603" s="75"/>
      <c r="AU603" s="75"/>
      <c r="AV603" s="75"/>
      <c r="AW603" s="75"/>
      <c r="AX603" s="75"/>
      <c r="AY603" s="67">
        <f t="shared" ca="1" si="1"/>
        <v>0</v>
      </c>
      <c r="AZ603" s="75"/>
      <c r="BA603" s="67">
        <f t="shared" ca="1" si="2"/>
        <v>0</v>
      </c>
      <c r="BB603" s="66"/>
      <c r="BC603" s="4"/>
      <c r="BD603" s="67"/>
      <c r="BE603" s="67"/>
      <c r="BF603" s="68"/>
      <c r="BG603" s="69"/>
      <c r="BH603" s="84"/>
      <c r="BI603" s="70"/>
      <c r="BJ603" s="73"/>
      <c r="BK603" s="78"/>
      <c r="BL603" s="78">
        <f t="shared" ca="1" si="3"/>
        <v>0</v>
      </c>
      <c r="BM603" s="78"/>
      <c r="BN603" s="78">
        <f t="shared" ca="1" si="4"/>
        <v>0</v>
      </c>
      <c r="BO603" s="66"/>
      <c r="BP603" s="66"/>
    </row>
    <row r="604" spans="1:68" ht="13.2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>
        <f t="shared" ref="AP604:AQ604" si="597">AR604+AT604+AV604</f>
        <v>0</v>
      </c>
      <c r="AQ604" s="75">
        <f t="shared" si="597"/>
        <v>0</v>
      </c>
      <c r="AR604" s="75"/>
      <c r="AS604" s="75"/>
      <c r="AT604" s="75"/>
      <c r="AU604" s="75"/>
      <c r="AV604" s="75"/>
      <c r="AW604" s="75"/>
      <c r="AX604" s="75"/>
      <c r="AY604" s="67">
        <f t="shared" ca="1" si="1"/>
        <v>0</v>
      </c>
      <c r="AZ604" s="75"/>
      <c r="BA604" s="67">
        <f t="shared" ca="1" si="2"/>
        <v>0</v>
      </c>
      <c r="BB604" s="66"/>
      <c r="BC604" s="4"/>
      <c r="BD604" s="67"/>
      <c r="BE604" s="67"/>
      <c r="BF604" s="68"/>
      <c r="BG604" s="69"/>
      <c r="BH604" s="84"/>
      <c r="BI604" s="70"/>
      <c r="BJ604" s="73"/>
      <c r="BK604" s="78"/>
      <c r="BL604" s="78">
        <f t="shared" ca="1" si="3"/>
        <v>0</v>
      </c>
      <c r="BM604" s="78"/>
      <c r="BN604" s="78">
        <f t="shared" ca="1" si="4"/>
        <v>0</v>
      </c>
      <c r="BO604" s="66"/>
      <c r="BP604" s="66"/>
    </row>
    <row r="605" spans="1:68" ht="13.2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>
        <f t="shared" ref="AP605:AQ605" si="598">AR605+AT605+AV605</f>
        <v>0</v>
      </c>
      <c r="AQ605" s="75">
        <f t="shared" si="598"/>
        <v>0</v>
      </c>
      <c r="AR605" s="75"/>
      <c r="AS605" s="75"/>
      <c r="AT605" s="75"/>
      <c r="AU605" s="75"/>
      <c r="AV605" s="75"/>
      <c r="AW605" s="75"/>
      <c r="AX605" s="75"/>
      <c r="AY605" s="67">
        <f t="shared" ca="1" si="1"/>
        <v>0</v>
      </c>
      <c r="AZ605" s="75"/>
      <c r="BA605" s="67">
        <f t="shared" ca="1" si="2"/>
        <v>0</v>
      </c>
      <c r="BB605" s="66"/>
      <c r="BC605" s="4"/>
      <c r="BD605" s="67"/>
      <c r="BE605" s="67"/>
      <c r="BF605" s="68"/>
      <c r="BG605" s="69"/>
      <c r="BH605" s="84"/>
      <c r="BI605" s="70"/>
      <c r="BJ605" s="73"/>
      <c r="BK605" s="78"/>
      <c r="BL605" s="78">
        <f t="shared" ca="1" si="3"/>
        <v>0</v>
      </c>
      <c r="BM605" s="78"/>
      <c r="BN605" s="78">
        <f t="shared" ca="1" si="4"/>
        <v>0</v>
      </c>
      <c r="BO605" s="66"/>
      <c r="BP605" s="66"/>
    </row>
    <row r="606" spans="1:68" ht="13.2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>
        <f t="shared" ref="AP606:AQ606" si="599">AR606+AT606+AV606</f>
        <v>0</v>
      </c>
      <c r="AQ606" s="75">
        <f t="shared" si="599"/>
        <v>0</v>
      </c>
      <c r="AR606" s="75"/>
      <c r="AS606" s="75"/>
      <c r="AT606" s="75"/>
      <c r="AU606" s="75"/>
      <c r="AV606" s="75"/>
      <c r="AW606" s="75"/>
      <c r="AX606" s="75"/>
      <c r="AY606" s="67">
        <f t="shared" ca="1" si="1"/>
        <v>0</v>
      </c>
      <c r="AZ606" s="75"/>
      <c r="BA606" s="67">
        <f t="shared" ca="1" si="2"/>
        <v>0</v>
      </c>
      <c r="BB606" s="66"/>
      <c r="BC606" s="4"/>
      <c r="BD606" s="67"/>
      <c r="BE606" s="67"/>
      <c r="BF606" s="68"/>
      <c r="BG606" s="69"/>
      <c r="BH606" s="84"/>
      <c r="BI606" s="70"/>
      <c r="BJ606" s="73"/>
      <c r="BK606" s="78"/>
      <c r="BL606" s="78">
        <f t="shared" ca="1" si="3"/>
        <v>0</v>
      </c>
      <c r="BM606" s="78"/>
      <c r="BN606" s="78">
        <f t="shared" ca="1" si="4"/>
        <v>0</v>
      </c>
      <c r="BO606" s="66"/>
      <c r="BP606" s="66"/>
    </row>
    <row r="607" spans="1:68" ht="13.2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>
        <f t="shared" ref="AP607:AQ607" si="600">AR607+AT607+AV607</f>
        <v>0</v>
      </c>
      <c r="AQ607" s="75">
        <f t="shared" si="600"/>
        <v>0</v>
      </c>
      <c r="AR607" s="75"/>
      <c r="AS607" s="75"/>
      <c r="AT607" s="75"/>
      <c r="AU607" s="75"/>
      <c r="AV607" s="75"/>
      <c r="AW607" s="75"/>
      <c r="AX607" s="75"/>
      <c r="AY607" s="67">
        <f t="shared" ca="1" si="1"/>
        <v>0</v>
      </c>
      <c r="AZ607" s="75"/>
      <c r="BA607" s="67">
        <f t="shared" ca="1" si="2"/>
        <v>0</v>
      </c>
      <c r="BB607" s="66"/>
      <c r="BC607" s="4"/>
      <c r="BD607" s="67"/>
      <c r="BE607" s="67"/>
      <c r="BF607" s="68"/>
      <c r="BG607" s="69"/>
      <c r="BH607" s="84"/>
      <c r="BI607" s="70"/>
      <c r="BJ607" s="73"/>
      <c r="BK607" s="78"/>
      <c r="BL607" s="78">
        <f t="shared" ca="1" si="3"/>
        <v>0</v>
      </c>
      <c r="BM607" s="78"/>
      <c r="BN607" s="78">
        <f t="shared" ca="1" si="4"/>
        <v>0</v>
      </c>
      <c r="BO607" s="66"/>
      <c r="BP607" s="66"/>
    </row>
    <row r="608" spans="1:68" ht="13.2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>
        <f t="shared" ref="AP608:AQ608" si="601">AR608+AT608+AV608</f>
        <v>0</v>
      </c>
      <c r="AQ608" s="75">
        <f t="shared" si="601"/>
        <v>0</v>
      </c>
      <c r="AR608" s="75"/>
      <c r="AS608" s="75"/>
      <c r="AT608" s="75"/>
      <c r="AU608" s="75"/>
      <c r="AV608" s="75"/>
      <c r="AW608" s="75"/>
      <c r="AX608" s="75"/>
      <c r="AY608" s="67">
        <f t="shared" ca="1" si="1"/>
        <v>0</v>
      </c>
      <c r="AZ608" s="75"/>
      <c r="BA608" s="67">
        <f t="shared" ca="1" si="2"/>
        <v>0</v>
      </c>
      <c r="BB608" s="66"/>
      <c r="BC608" s="4"/>
      <c r="BD608" s="67"/>
      <c r="BE608" s="67"/>
      <c r="BF608" s="68"/>
      <c r="BG608" s="69"/>
      <c r="BH608" s="84"/>
      <c r="BI608" s="70"/>
      <c r="BJ608" s="73"/>
      <c r="BK608" s="78"/>
      <c r="BL608" s="78">
        <f t="shared" ca="1" si="3"/>
        <v>0</v>
      </c>
      <c r="BM608" s="78"/>
      <c r="BN608" s="78">
        <f t="shared" ca="1" si="4"/>
        <v>0</v>
      </c>
      <c r="BO608" s="66"/>
      <c r="BP608" s="66"/>
    </row>
    <row r="609" spans="1:68" ht="13.2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>
        <f t="shared" ref="AP609:AQ609" si="602">AR609+AT609+AV609</f>
        <v>0</v>
      </c>
      <c r="AQ609" s="75">
        <f t="shared" si="602"/>
        <v>0</v>
      </c>
      <c r="AR609" s="75"/>
      <c r="AS609" s="75"/>
      <c r="AT609" s="75"/>
      <c r="AU609" s="75"/>
      <c r="AV609" s="75"/>
      <c r="AW609" s="75"/>
      <c r="AX609" s="75"/>
      <c r="AY609" s="67">
        <f t="shared" ca="1" si="1"/>
        <v>0</v>
      </c>
      <c r="AZ609" s="75"/>
      <c r="BA609" s="67">
        <f t="shared" ca="1" si="2"/>
        <v>0</v>
      </c>
      <c r="BB609" s="66"/>
      <c r="BC609" s="4"/>
      <c r="BD609" s="67"/>
      <c r="BE609" s="67"/>
      <c r="BF609" s="68"/>
      <c r="BG609" s="69"/>
      <c r="BH609" s="84"/>
      <c r="BI609" s="70"/>
      <c r="BJ609" s="73"/>
      <c r="BK609" s="78"/>
      <c r="BL609" s="78">
        <f t="shared" ca="1" si="3"/>
        <v>0</v>
      </c>
      <c r="BM609" s="78"/>
      <c r="BN609" s="78">
        <f t="shared" ca="1" si="4"/>
        <v>0</v>
      </c>
      <c r="BO609" s="66"/>
      <c r="BP609" s="66"/>
    </row>
    <row r="610" spans="1:68" ht="13.2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>
        <f t="shared" ref="AP610:AQ610" si="603">AR610+AT610+AV610</f>
        <v>0</v>
      </c>
      <c r="AQ610" s="75">
        <f t="shared" si="603"/>
        <v>0</v>
      </c>
      <c r="AR610" s="75"/>
      <c r="AS610" s="75"/>
      <c r="AT610" s="75"/>
      <c r="AU610" s="75"/>
      <c r="AV610" s="75"/>
      <c r="AW610" s="75"/>
      <c r="AX610" s="75"/>
      <c r="AY610" s="67">
        <f t="shared" ca="1" si="1"/>
        <v>0</v>
      </c>
      <c r="AZ610" s="75"/>
      <c r="BA610" s="67">
        <f t="shared" ca="1" si="2"/>
        <v>0</v>
      </c>
      <c r="BB610" s="66"/>
      <c r="BC610" s="4"/>
      <c r="BD610" s="67"/>
      <c r="BE610" s="67"/>
      <c r="BF610" s="68"/>
      <c r="BG610" s="69"/>
      <c r="BH610" s="84"/>
      <c r="BI610" s="70"/>
      <c r="BJ610" s="73"/>
      <c r="BK610" s="78"/>
      <c r="BL610" s="78">
        <f t="shared" ca="1" si="3"/>
        <v>0</v>
      </c>
      <c r="BM610" s="78"/>
      <c r="BN610" s="78">
        <f t="shared" ca="1" si="4"/>
        <v>0</v>
      </c>
      <c r="BO610" s="66"/>
      <c r="BP610" s="66"/>
    </row>
    <row r="611" spans="1:68" ht="13.2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>
        <f t="shared" ref="AP611:AQ611" si="604">AR611+AT611+AV611</f>
        <v>0</v>
      </c>
      <c r="AQ611" s="75">
        <f t="shared" si="604"/>
        <v>0</v>
      </c>
      <c r="AR611" s="75"/>
      <c r="AS611" s="75"/>
      <c r="AT611" s="75"/>
      <c r="AU611" s="75"/>
      <c r="AV611" s="75"/>
      <c r="AW611" s="75"/>
      <c r="AX611" s="75"/>
      <c r="AY611" s="67">
        <f t="shared" ca="1" si="1"/>
        <v>0</v>
      </c>
      <c r="AZ611" s="75"/>
      <c r="BA611" s="67">
        <f t="shared" ca="1" si="2"/>
        <v>0</v>
      </c>
      <c r="BB611" s="66"/>
      <c r="BC611" s="4"/>
      <c r="BD611" s="67"/>
      <c r="BE611" s="67"/>
      <c r="BF611" s="68"/>
      <c r="BG611" s="69"/>
      <c r="BH611" s="84"/>
      <c r="BI611" s="70"/>
      <c r="BJ611" s="73"/>
      <c r="BK611" s="78"/>
      <c r="BL611" s="78">
        <f t="shared" ca="1" si="3"/>
        <v>0</v>
      </c>
      <c r="BM611" s="78"/>
      <c r="BN611" s="78">
        <f t="shared" ca="1" si="4"/>
        <v>0</v>
      </c>
      <c r="BO611" s="66"/>
      <c r="BP611" s="66"/>
    </row>
    <row r="612" spans="1:68" ht="13.2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>
        <f t="shared" ref="AP612:AQ612" si="605">AR612+AT612+AV612</f>
        <v>0</v>
      </c>
      <c r="AQ612" s="75">
        <f t="shared" si="605"/>
        <v>0</v>
      </c>
      <c r="AR612" s="75"/>
      <c r="AS612" s="75"/>
      <c r="AT612" s="75"/>
      <c r="AU612" s="75"/>
      <c r="AV612" s="75"/>
      <c r="AW612" s="75"/>
      <c r="AX612" s="75"/>
      <c r="AY612" s="67">
        <f t="shared" ca="1" si="1"/>
        <v>0</v>
      </c>
      <c r="AZ612" s="75"/>
      <c r="BA612" s="67">
        <f t="shared" ca="1" si="2"/>
        <v>0</v>
      </c>
      <c r="BB612" s="66"/>
      <c r="BC612" s="4"/>
      <c r="BD612" s="67"/>
      <c r="BE612" s="67"/>
      <c r="BF612" s="68"/>
      <c r="BG612" s="69"/>
      <c r="BH612" s="84"/>
      <c r="BI612" s="70"/>
      <c r="BJ612" s="73"/>
      <c r="BK612" s="78"/>
      <c r="BL612" s="78">
        <f t="shared" ca="1" si="3"/>
        <v>0</v>
      </c>
      <c r="BM612" s="78"/>
      <c r="BN612" s="78">
        <f t="shared" ca="1" si="4"/>
        <v>0</v>
      </c>
      <c r="BO612" s="66"/>
      <c r="BP612" s="66"/>
    </row>
    <row r="613" spans="1:68" ht="13.2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>
        <f t="shared" ref="AP613:AQ613" si="606">AR613+AT613+AV613</f>
        <v>0</v>
      </c>
      <c r="AQ613" s="75">
        <f t="shared" si="606"/>
        <v>0</v>
      </c>
      <c r="AR613" s="75"/>
      <c r="AS613" s="75"/>
      <c r="AT613" s="75"/>
      <c r="AU613" s="75"/>
      <c r="AV613" s="75"/>
      <c r="AW613" s="75"/>
      <c r="AX613" s="75"/>
      <c r="AY613" s="67">
        <f t="shared" ca="1" si="1"/>
        <v>0</v>
      </c>
      <c r="AZ613" s="75"/>
      <c r="BA613" s="67">
        <f t="shared" ca="1" si="2"/>
        <v>0</v>
      </c>
      <c r="BB613" s="66"/>
      <c r="BC613" s="4"/>
      <c r="BD613" s="67"/>
      <c r="BE613" s="67"/>
      <c r="BF613" s="68"/>
      <c r="BG613" s="69"/>
      <c r="BH613" s="84"/>
      <c r="BI613" s="70"/>
      <c r="BJ613" s="73"/>
      <c r="BK613" s="78"/>
      <c r="BL613" s="78">
        <f t="shared" ca="1" si="3"/>
        <v>0</v>
      </c>
      <c r="BM613" s="78"/>
      <c r="BN613" s="78">
        <f t="shared" ca="1" si="4"/>
        <v>0</v>
      </c>
      <c r="BO613" s="66"/>
      <c r="BP613" s="66"/>
    </row>
    <row r="614" spans="1:68" ht="13.2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>
        <f t="shared" ref="AP614:AQ614" si="607">AR614+AT614+AV614</f>
        <v>0</v>
      </c>
      <c r="AQ614" s="75">
        <f t="shared" si="607"/>
        <v>0</v>
      </c>
      <c r="AR614" s="75"/>
      <c r="AS614" s="75"/>
      <c r="AT614" s="75"/>
      <c r="AU614" s="75"/>
      <c r="AV614" s="75"/>
      <c r="AW614" s="75"/>
      <c r="AX614" s="75"/>
      <c r="AY614" s="67">
        <f t="shared" ca="1" si="1"/>
        <v>0</v>
      </c>
      <c r="AZ614" s="75"/>
      <c r="BA614" s="67">
        <f t="shared" ca="1" si="2"/>
        <v>0</v>
      </c>
      <c r="BB614" s="66"/>
      <c r="BC614" s="4"/>
      <c r="BD614" s="67"/>
      <c r="BE614" s="67"/>
      <c r="BF614" s="68"/>
      <c r="BG614" s="69"/>
      <c r="BH614" s="84"/>
      <c r="BI614" s="70"/>
      <c r="BJ614" s="73"/>
      <c r="BK614" s="78"/>
      <c r="BL614" s="78">
        <f t="shared" ca="1" si="3"/>
        <v>0</v>
      </c>
      <c r="BM614" s="78"/>
      <c r="BN614" s="78">
        <f t="shared" ca="1" si="4"/>
        <v>0</v>
      </c>
      <c r="BO614" s="66"/>
      <c r="BP614" s="66"/>
    </row>
    <row r="615" spans="1:68" ht="13.2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>
        <f t="shared" ref="AP615:AQ615" si="608">AR615+AT615+AV615</f>
        <v>0</v>
      </c>
      <c r="AQ615" s="75">
        <f t="shared" si="608"/>
        <v>0</v>
      </c>
      <c r="AR615" s="75"/>
      <c r="AS615" s="75"/>
      <c r="AT615" s="75"/>
      <c r="AU615" s="75"/>
      <c r="AV615" s="75"/>
      <c r="AW615" s="75"/>
      <c r="AX615" s="75"/>
      <c r="AY615" s="67">
        <f t="shared" ca="1" si="1"/>
        <v>0</v>
      </c>
      <c r="AZ615" s="75"/>
      <c r="BA615" s="67">
        <f t="shared" ca="1" si="2"/>
        <v>0</v>
      </c>
      <c r="BB615" s="66"/>
      <c r="BC615" s="4"/>
      <c r="BD615" s="67"/>
      <c r="BE615" s="67"/>
      <c r="BF615" s="68"/>
      <c r="BG615" s="69"/>
      <c r="BH615" s="84"/>
      <c r="BI615" s="70"/>
      <c r="BJ615" s="73"/>
      <c r="BK615" s="78"/>
      <c r="BL615" s="78">
        <f t="shared" ca="1" si="3"/>
        <v>0</v>
      </c>
      <c r="BM615" s="78"/>
      <c r="BN615" s="78">
        <f t="shared" ca="1" si="4"/>
        <v>0</v>
      </c>
      <c r="BO615" s="66"/>
      <c r="BP615" s="66"/>
    </row>
    <row r="616" spans="1:68" ht="13.2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>
        <f t="shared" ref="AP616:AQ616" si="609">AR616+AT616+AV616</f>
        <v>0</v>
      </c>
      <c r="AQ616" s="75">
        <f t="shared" si="609"/>
        <v>0</v>
      </c>
      <c r="AR616" s="75"/>
      <c r="AS616" s="75"/>
      <c r="AT616" s="75"/>
      <c r="AU616" s="75"/>
      <c r="AV616" s="75"/>
      <c r="AW616" s="75"/>
      <c r="AX616" s="75"/>
      <c r="AY616" s="67">
        <f t="shared" ca="1" si="1"/>
        <v>0</v>
      </c>
      <c r="AZ616" s="75"/>
      <c r="BA616" s="67">
        <f t="shared" ca="1" si="2"/>
        <v>0</v>
      </c>
      <c r="BB616" s="66"/>
      <c r="BC616" s="4"/>
      <c r="BD616" s="67"/>
      <c r="BE616" s="67"/>
      <c r="BF616" s="68"/>
      <c r="BG616" s="69"/>
      <c r="BH616" s="84"/>
      <c r="BI616" s="70"/>
      <c r="BJ616" s="73"/>
      <c r="BK616" s="78"/>
      <c r="BL616" s="78">
        <f t="shared" ca="1" si="3"/>
        <v>0</v>
      </c>
      <c r="BM616" s="78"/>
      <c r="BN616" s="78">
        <f t="shared" ca="1" si="4"/>
        <v>0</v>
      </c>
      <c r="BO616" s="66"/>
      <c r="BP616" s="66"/>
    </row>
    <row r="617" spans="1:68" ht="13.2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>
        <f t="shared" ref="AP617:AQ617" si="610">AR617+AT617+AV617</f>
        <v>0</v>
      </c>
      <c r="AQ617" s="75">
        <f t="shared" si="610"/>
        <v>0</v>
      </c>
      <c r="AR617" s="75"/>
      <c r="AS617" s="75"/>
      <c r="AT617" s="75"/>
      <c r="AU617" s="75"/>
      <c r="AV617" s="75"/>
      <c r="AW617" s="75"/>
      <c r="AX617" s="75"/>
      <c r="AY617" s="67">
        <f t="shared" ca="1" si="1"/>
        <v>0</v>
      </c>
      <c r="AZ617" s="75"/>
      <c r="BA617" s="67">
        <f t="shared" ca="1" si="2"/>
        <v>0</v>
      </c>
      <c r="BB617" s="66"/>
      <c r="BC617" s="4"/>
      <c r="BD617" s="67"/>
      <c r="BE617" s="67"/>
      <c r="BF617" s="68"/>
      <c r="BG617" s="69"/>
      <c r="BH617" s="84"/>
      <c r="BI617" s="70"/>
      <c r="BJ617" s="73"/>
      <c r="BK617" s="78"/>
      <c r="BL617" s="78">
        <f t="shared" ca="1" si="3"/>
        <v>0</v>
      </c>
      <c r="BM617" s="78"/>
      <c r="BN617" s="78">
        <f t="shared" ca="1" si="4"/>
        <v>0</v>
      </c>
      <c r="BO617" s="66"/>
      <c r="BP617" s="66"/>
    </row>
    <row r="618" spans="1:68" ht="13.2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>
        <f t="shared" ref="AP618:AQ618" si="611">AR618+AT618+AV618</f>
        <v>0</v>
      </c>
      <c r="AQ618" s="75">
        <f t="shared" si="611"/>
        <v>0</v>
      </c>
      <c r="AR618" s="75"/>
      <c r="AS618" s="75"/>
      <c r="AT618" s="75"/>
      <c r="AU618" s="75"/>
      <c r="AV618" s="75"/>
      <c r="AW618" s="75"/>
      <c r="AX618" s="75"/>
      <c r="AY618" s="67">
        <f t="shared" ca="1" si="1"/>
        <v>0</v>
      </c>
      <c r="AZ618" s="75"/>
      <c r="BA618" s="67">
        <f t="shared" ca="1" si="2"/>
        <v>0</v>
      </c>
      <c r="BB618" s="66"/>
      <c r="BC618" s="4"/>
      <c r="BD618" s="67"/>
      <c r="BE618" s="67"/>
      <c r="BF618" s="68"/>
      <c r="BG618" s="69"/>
      <c r="BH618" s="84"/>
      <c r="BI618" s="70"/>
      <c r="BJ618" s="73"/>
      <c r="BK618" s="78"/>
      <c r="BL618" s="78">
        <f t="shared" ca="1" si="3"/>
        <v>0</v>
      </c>
      <c r="BM618" s="78"/>
      <c r="BN618" s="78">
        <f t="shared" ca="1" si="4"/>
        <v>0</v>
      </c>
      <c r="BO618" s="66"/>
      <c r="BP618" s="66"/>
    </row>
    <row r="619" spans="1:68" ht="13.2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>
        <f t="shared" ref="AP619:AQ619" si="612">AR619+AT619+AV619</f>
        <v>0</v>
      </c>
      <c r="AQ619" s="75">
        <f t="shared" si="612"/>
        <v>0</v>
      </c>
      <c r="AR619" s="75"/>
      <c r="AS619" s="75"/>
      <c r="AT619" s="75"/>
      <c r="AU619" s="75"/>
      <c r="AV619" s="75"/>
      <c r="AW619" s="75"/>
      <c r="AX619" s="75"/>
      <c r="AY619" s="67">
        <f t="shared" ca="1" si="1"/>
        <v>0</v>
      </c>
      <c r="AZ619" s="75"/>
      <c r="BA619" s="67">
        <f t="shared" ca="1" si="2"/>
        <v>0</v>
      </c>
      <c r="BB619" s="66"/>
      <c r="BC619" s="4"/>
      <c r="BD619" s="67"/>
      <c r="BE619" s="67"/>
      <c r="BF619" s="68"/>
      <c r="BG619" s="69"/>
      <c r="BH619" s="84"/>
      <c r="BI619" s="70"/>
      <c r="BJ619" s="73"/>
      <c r="BK619" s="78"/>
      <c r="BL619" s="78">
        <f t="shared" ca="1" si="3"/>
        <v>0</v>
      </c>
      <c r="BM619" s="78"/>
      <c r="BN619" s="78">
        <f t="shared" ca="1" si="4"/>
        <v>0</v>
      </c>
      <c r="BO619" s="66"/>
      <c r="BP619" s="66"/>
    </row>
    <row r="620" spans="1:68" ht="13.2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>
        <f t="shared" ref="AP620:AQ620" si="613">AR620+AT620+AV620</f>
        <v>0</v>
      </c>
      <c r="AQ620" s="75">
        <f t="shared" si="613"/>
        <v>0</v>
      </c>
      <c r="AR620" s="75"/>
      <c r="AS620" s="75"/>
      <c r="AT620" s="75"/>
      <c r="AU620" s="75"/>
      <c r="AV620" s="75"/>
      <c r="AW620" s="75"/>
      <c r="AX620" s="75"/>
      <c r="AY620" s="67">
        <f t="shared" ca="1" si="1"/>
        <v>0</v>
      </c>
      <c r="AZ620" s="75"/>
      <c r="BA620" s="67">
        <f t="shared" ca="1" si="2"/>
        <v>0</v>
      </c>
      <c r="BB620" s="66"/>
      <c r="BC620" s="4"/>
      <c r="BD620" s="67"/>
      <c r="BE620" s="67"/>
      <c r="BF620" s="68"/>
      <c r="BG620" s="69"/>
      <c r="BH620" s="84"/>
      <c r="BI620" s="70"/>
      <c r="BJ620" s="73"/>
      <c r="BK620" s="78"/>
      <c r="BL620" s="78">
        <f t="shared" ca="1" si="3"/>
        <v>0</v>
      </c>
      <c r="BM620" s="78"/>
      <c r="BN620" s="78">
        <f t="shared" ca="1" si="4"/>
        <v>0</v>
      </c>
      <c r="BO620" s="66"/>
      <c r="BP620" s="66"/>
    </row>
    <row r="621" spans="1:68" ht="13.2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>
        <f t="shared" ref="AP621:AQ621" si="614">AR621+AT621+AV621</f>
        <v>0</v>
      </c>
      <c r="AQ621" s="75">
        <f t="shared" si="614"/>
        <v>0</v>
      </c>
      <c r="AR621" s="75"/>
      <c r="AS621" s="75"/>
      <c r="AT621" s="75"/>
      <c r="AU621" s="75"/>
      <c r="AV621" s="75"/>
      <c r="AW621" s="75"/>
      <c r="AX621" s="75"/>
      <c r="AY621" s="67">
        <f t="shared" ca="1" si="1"/>
        <v>0</v>
      </c>
      <c r="AZ621" s="75"/>
      <c r="BA621" s="67">
        <f t="shared" ca="1" si="2"/>
        <v>0</v>
      </c>
      <c r="BB621" s="66"/>
      <c r="BC621" s="4"/>
      <c r="BD621" s="67"/>
      <c r="BE621" s="67"/>
      <c r="BF621" s="68"/>
      <c r="BG621" s="69"/>
      <c r="BH621" s="84"/>
      <c r="BI621" s="70"/>
      <c r="BJ621" s="73"/>
      <c r="BK621" s="78"/>
      <c r="BL621" s="78">
        <f t="shared" ca="1" si="3"/>
        <v>0</v>
      </c>
      <c r="BM621" s="78"/>
      <c r="BN621" s="78">
        <f t="shared" ca="1" si="4"/>
        <v>0</v>
      </c>
      <c r="BO621" s="66"/>
      <c r="BP621" s="66"/>
    </row>
    <row r="622" spans="1:68" ht="13.2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>
        <f t="shared" ref="AP622:AQ622" si="615">AR622+AT622+AV622</f>
        <v>0</v>
      </c>
      <c r="AQ622" s="75">
        <f t="shared" si="615"/>
        <v>0</v>
      </c>
      <c r="AR622" s="75"/>
      <c r="AS622" s="75"/>
      <c r="AT622" s="75"/>
      <c r="AU622" s="75"/>
      <c r="AV622" s="75"/>
      <c r="AW622" s="75"/>
      <c r="AX622" s="75"/>
      <c r="AY622" s="67">
        <f t="shared" ca="1" si="1"/>
        <v>0</v>
      </c>
      <c r="AZ622" s="75"/>
      <c r="BA622" s="67">
        <f t="shared" ca="1" si="2"/>
        <v>0</v>
      </c>
      <c r="BB622" s="66"/>
      <c r="BC622" s="4"/>
      <c r="BD622" s="67"/>
      <c r="BE622" s="67"/>
      <c r="BF622" s="68"/>
      <c r="BG622" s="69"/>
      <c r="BH622" s="84"/>
      <c r="BI622" s="70"/>
      <c r="BJ622" s="73"/>
      <c r="BK622" s="78"/>
      <c r="BL622" s="78">
        <f t="shared" ca="1" si="3"/>
        <v>0</v>
      </c>
      <c r="BM622" s="78"/>
      <c r="BN622" s="78">
        <f t="shared" ca="1" si="4"/>
        <v>0</v>
      </c>
      <c r="BO622" s="66"/>
      <c r="BP622" s="66"/>
    </row>
    <row r="623" spans="1:68" ht="13.2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>
        <f t="shared" ref="AP623:AQ623" si="616">AR623+AT623+AV623</f>
        <v>0</v>
      </c>
      <c r="AQ623" s="75">
        <f t="shared" si="616"/>
        <v>0</v>
      </c>
      <c r="AR623" s="75"/>
      <c r="AS623" s="75"/>
      <c r="AT623" s="75"/>
      <c r="AU623" s="75"/>
      <c r="AV623" s="75"/>
      <c r="AW623" s="75"/>
      <c r="AX623" s="75"/>
      <c r="AY623" s="67">
        <f t="shared" ca="1" si="1"/>
        <v>0</v>
      </c>
      <c r="AZ623" s="75"/>
      <c r="BA623" s="67">
        <f t="shared" ca="1" si="2"/>
        <v>0</v>
      </c>
      <c r="BB623" s="66"/>
      <c r="BC623" s="4"/>
      <c r="BD623" s="67"/>
      <c r="BE623" s="67"/>
      <c r="BF623" s="68"/>
      <c r="BG623" s="69"/>
      <c r="BH623" s="84"/>
      <c r="BI623" s="70"/>
      <c r="BJ623" s="73"/>
      <c r="BK623" s="78"/>
      <c r="BL623" s="78">
        <f t="shared" ca="1" si="3"/>
        <v>0</v>
      </c>
      <c r="BM623" s="78"/>
      <c r="BN623" s="78">
        <f t="shared" ca="1" si="4"/>
        <v>0</v>
      </c>
      <c r="BO623" s="66"/>
      <c r="BP623" s="66"/>
    </row>
    <row r="624" spans="1:68" ht="13.2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>
        <f t="shared" ref="AP624:AQ624" si="617">AR624+AT624+AV624</f>
        <v>0</v>
      </c>
      <c r="AQ624" s="75">
        <f t="shared" si="617"/>
        <v>0</v>
      </c>
      <c r="AR624" s="75"/>
      <c r="AS624" s="75"/>
      <c r="AT624" s="75"/>
      <c r="AU624" s="75"/>
      <c r="AV624" s="75"/>
      <c r="AW624" s="75"/>
      <c r="AX624" s="75"/>
      <c r="AY624" s="67">
        <f t="shared" ca="1" si="1"/>
        <v>0</v>
      </c>
      <c r="AZ624" s="75"/>
      <c r="BA624" s="67">
        <f t="shared" ca="1" si="2"/>
        <v>0</v>
      </c>
      <c r="BB624" s="66"/>
      <c r="BC624" s="4"/>
      <c r="BD624" s="67"/>
      <c r="BE624" s="67"/>
      <c r="BF624" s="68"/>
      <c r="BG624" s="69"/>
      <c r="BH624" s="84"/>
      <c r="BI624" s="70"/>
      <c r="BJ624" s="73"/>
      <c r="BK624" s="78"/>
      <c r="BL624" s="78">
        <f t="shared" ca="1" si="3"/>
        <v>0</v>
      </c>
      <c r="BM624" s="78"/>
      <c r="BN624" s="78">
        <f t="shared" ca="1" si="4"/>
        <v>0</v>
      </c>
      <c r="BO624" s="66"/>
      <c r="BP624" s="66"/>
    </row>
    <row r="625" spans="1:68" ht="13.2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>
        <f t="shared" ref="AP625:AQ625" si="618">AR625+AT625+AV625</f>
        <v>0</v>
      </c>
      <c r="AQ625" s="75">
        <f t="shared" si="618"/>
        <v>0</v>
      </c>
      <c r="AR625" s="75"/>
      <c r="AS625" s="75"/>
      <c r="AT625" s="75"/>
      <c r="AU625" s="75"/>
      <c r="AV625" s="75"/>
      <c r="AW625" s="75"/>
      <c r="AX625" s="75"/>
      <c r="AY625" s="67">
        <f t="shared" ca="1" si="1"/>
        <v>0</v>
      </c>
      <c r="AZ625" s="75"/>
      <c r="BA625" s="67">
        <f t="shared" ca="1" si="2"/>
        <v>0</v>
      </c>
      <c r="BB625" s="66"/>
      <c r="BC625" s="4"/>
      <c r="BD625" s="67"/>
      <c r="BE625" s="67"/>
      <c r="BF625" s="68"/>
      <c r="BG625" s="69"/>
      <c r="BH625" s="84"/>
      <c r="BI625" s="70"/>
      <c r="BJ625" s="73"/>
      <c r="BK625" s="78"/>
      <c r="BL625" s="78">
        <f t="shared" ca="1" si="3"/>
        <v>0</v>
      </c>
      <c r="BM625" s="78"/>
      <c r="BN625" s="78">
        <f t="shared" ca="1" si="4"/>
        <v>0</v>
      </c>
      <c r="BO625" s="66"/>
      <c r="BP625" s="66"/>
    </row>
    <row r="626" spans="1:68" ht="13.2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>
        <f t="shared" ref="AP626:AQ626" si="619">AR626+AT626+AV626</f>
        <v>0</v>
      </c>
      <c r="AQ626" s="75">
        <f t="shared" si="619"/>
        <v>0</v>
      </c>
      <c r="AR626" s="75"/>
      <c r="AS626" s="75"/>
      <c r="AT626" s="75"/>
      <c r="AU626" s="75"/>
      <c r="AV626" s="75"/>
      <c r="AW626" s="75"/>
      <c r="AX626" s="75"/>
      <c r="AY626" s="67">
        <f t="shared" ca="1" si="1"/>
        <v>0</v>
      </c>
      <c r="AZ626" s="75"/>
      <c r="BA626" s="67">
        <f t="shared" ca="1" si="2"/>
        <v>0</v>
      </c>
      <c r="BB626" s="66"/>
      <c r="BC626" s="4"/>
      <c r="BD626" s="67"/>
      <c r="BE626" s="67"/>
      <c r="BF626" s="68"/>
      <c r="BG626" s="69"/>
      <c r="BH626" s="84"/>
      <c r="BI626" s="70"/>
      <c r="BJ626" s="73"/>
      <c r="BK626" s="78"/>
      <c r="BL626" s="78">
        <f t="shared" ca="1" si="3"/>
        <v>0</v>
      </c>
      <c r="BM626" s="78"/>
      <c r="BN626" s="78">
        <f t="shared" ca="1" si="4"/>
        <v>0</v>
      </c>
      <c r="BO626" s="66"/>
      <c r="BP626" s="66"/>
    </row>
    <row r="627" spans="1:68" ht="13.2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>
        <f t="shared" ref="AP627:AQ627" si="620">AR627+AT627+AV627</f>
        <v>0</v>
      </c>
      <c r="AQ627" s="75">
        <f t="shared" si="620"/>
        <v>0</v>
      </c>
      <c r="AR627" s="75"/>
      <c r="AS627" s="75"/>
      <c r="AT627" s="75"/>
      <c r="AU627" s="75"/>
      <c r="AV627" s="75"/>
      <c r="AW627" s="75"/>
      <c r="AX627" s="75"/>
      <c r="AY627" s="67">
        <f t="shared" ca="1" si="1"/>
        <v>0</v>
      </c>
      <c r="AZ627" s="75"/>
      <c r="BA627" s="67">
        <f t="shared" ca="1" si="2"/>
        <v>0</v>
      </c>
      <c r="BB627" s="66"/>
      <c r="BC627" s="4"/>
      <c r="BD627" s="67"/>
      <c r="BE627" s="67"/>
      <c r="BF627" s="68"/>
      <c r="BG627" s="69"/>
      <c r="BH627" s="84"/>
      <c r="BI627" s="70"/>
      <c r="BJ627" s="73"/>
      <c r="BK627" s="78"/>
      <c r="BL627" s="78">
        <f t="shared" ca="1" si="3"/>
        <v>0</v>
      </c>
      <c r="BM627" s="78"/>
      <c r="BN627" s="78">
        <f t="shared" ca="1" si="4"/>
        <v>0</v>
      </c>
      <c r="BO627" s="66"/>
      <c r="BP627" s="66"/>
    </row>
    <row r="628" spans="1:68" ht="13.2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>
        <f t="shared" ref="AP628:AQ628" si="621">AR628+AT628+AV628</f>
        <v>0</v>
      </c>
      <c r="AQ628" s="75">
        <f t="shared" si="621"/>
        <v>0</v>
      </c>
      <c r="AR628" s="75"/>
      <c r="AS628" s="75"/>
      <c r="AT628" s="75"/>
      <c r="AU628" s="75"/>
      <c r="AV628" s="75"/>
      <c r="AW628" s="75"/>
      <c r="AX628" s="75"/>
      <c r="AY628" s="67">
        <f t="shared" ca="1" si="1"/>
        <v>0</v>
      </c>
      <c r="AZ628" s="75"/>
      <c r="BA628" s="67">
        <f t="shared" ca="1" si="2"/>
        <v>0</v>
      </c>
      <c r="BB628" s="66"/>
      <c r="BC628" s="4"/>
      <c r="BD628" s="67"/>
      <c r="BE628" s="67"/>
      <c r="BF628" s="68"/>
      <c r="BG628" s="69"/>
      <c r="BH628" s="84"/>
      <c r="BI628" s="70"/>
      <c r="BJ628" s="73"/>
      <c r="BK628" s="78"/>
      <c r="BL628" s="78">
        <f t="shared" ca="1" si="3"/>
        <v>0</v>
      </c>
      <c r="BM628" s="78"/>
      <c r="BN628" s="78">
        <f t="shared" ca="1" si="4"/>
        <v>0</v>
      </c>
      <c r="BO628" s="66"/>
      <c r="BP628" s="66"/>
    </row>
    <row r="629" spans="1:68" ht="13.2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>
        <f t="shared" ref="AP629:AQ629" si="622">AR629+AT629+AV629</f>
        <v>0</v>
      </c>
      <c r="AQ629" s="75">
        <f t="shared" si="622"/>
        <v>0</v>
      </c>
      <c r="AR629" s="75"/>
      <c r="AS629" s="75"/>
      <c r="AT629" s="75"/>
      <c r="AU629" s="75"/>
      <c r="AV629" s="75"/>
      <c r="AW629" s="75"/>
      <c r="AX629" s="75"/>
      <c r="AY629" s="67">
        <f t="shared" ca="1" si="1"/>
        <v>0</v>
      </c>
      <c r="AZ629" s="75"/>
      <c r="BA629" s="67">
        <f t="shared" ca="1" si="2"/>
        <v>0</v>
      </c>
      <c r="BB629" s="66"/>
      <c r="BC629" s="4"/>
      <c r="BD629" s="67"/>
      <c r="BE629" s="67"/>
      <c r="BF629" s="68"/>
      <c r="BG629" s="69"/>
      <c r="BH629" s="84"/>
      <c r="BI629" s="70"/>
      <c r="BJ629" s="73"/>
      <c r="BK629" s="78"/>
      <c r="BL629" s="78">
        <f t="shared" ca="1" si="3"/>
        <v>0</v>
      </c>
      <c r="BM629" s="78"/>
      <c r="BN629" s="78">
        <f t="shared" ca="1" si="4"/>
        <v>0</v>
      </c>
      <c r="BO629" s="66"/>
      <c r="BP629" s="66"/>
    </row>
    <row r="630" spans="1:68" ht="13.2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>
        <f t="shared" ref="AP630:AQ630" si="623">AR630+AT630+AV630</f>
        <v>0</v>
      </c>
      <c r="AQ630" s="75">
        <f t="shared" si="623"/>
        <v>0</v>
      </c>
      <c r="AR630" s="75"/>
      <c r="AS630" s="75"/>
      <c r="AT630" s="75"/>
      <c r="AU630" s="75"/>
      <c r="AV630" s="75"/>
      <c r="AW630" s="75"/>
      <c r="AX630" s="75"/>
      <c r="AY630" s="67">
        <f t="shared" ca="1" si="1"/>
        <v>0</v>
      </c>
      <c r="AZ630" s="75"/>
      <c r="BA630" s="67">
        <f t="shared" ca="1" si="2"/>
        <v>0</v>
      </c>
      <c r="BB630" s="66"/>
      <c r="BC630" s="4"/>
      <c r="BD630" s="67"/>
      <c r="BE630" s="67"/>
      <c r="BF630" s="68"/>
      <c r="BG630" s="69"/>
      <c r="BH630" s="84"/>
      <c r="BI630" s="70"/>
      <c r="BJ630" s="73"/>
      <c r="BK630" s="78"/>
      <c r="BL630" s="78">
        <f t="shared" ca="1" si="3"/>
        <v>0</v>
      </c>
      <c r="BM630" s="78"/>
      <c r="BN630" s="78">
        <f t="shared" ca="1" si="4"/>
        <v>0</v>
      </c>
      <c r="BO630" s="66"/>
      <c r="BP630" s="66"/>
    </row>
    <row r="631" spans="1:68" ht="13.2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>
        <f t="shared" ref="AP631:AQ631" si="624">AR631+AT631+AV631</f>
        <v>0</v>
      </c>
      <c r="AQ631" s="75">
        <f t="shared" si="624"/>
        <v>0</v>
      </c>
      <c r="AR631" s="75"/>
      <c r="AS631" s="75"/>
      <c r="AT631" s="75"/>
      <c r="AU631" s="75"/>
      <c r="AV631" s="75"/>
      <c r="AW631" s="75"/>
      <c r="AX631" s="75"/>
      <c r="AY631" s="67">
        <f t="shared" ca="1" si="1"/>
        <v>0</v>
      </c>
      <c r="AZ631" s="75"/>
      <c r="BA631" s="67">
        <f t="shared" ca="1" si="2"/>
        <v>0</v>
      </c>
      <c r="BB631" s="66"/>
      <c r="BC631" s="4"/>
      <c r="BD631" s="67"/>
      <c r="BE631" s="67"/>
      <c r="BF631" s="68"/>
      <c r="BG631" s="69"/>
      <c r="BH631" s="84"/>
      <c r="BI631" s="70"/>
      <c r="BJ631" s="73"/>
      <c r="BK631" s="78"/>
      <c r="BL631" s="78">
        <f t="shared" ca="1" si="3"/>
        <v>0</v>
      </c>
      <c r="BM631" s="78"/>
      <c r="BN631" s="78">
        <f t="shared" ca="1" si="4"/>
        <v>0</v>
      </c>
      <c r="BO631" s="66"/>
      <c r="BP631" s="66"/>
    </row>
    <row r="632" spans="1:68" ht="13.2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>
        <f t="shared" ref="AP632:AQ632" si="625">AR632+AT632+AV632</f>
        <v>0</v>
      </c>
      <c r="AQ632" s="75">
        <f t="shared" si="625"/>
        <v>0</v>
      </c>
      <c r="AR632" s="75"/>
      <c r="AS632" s="75"/>
      <c r="AT632" s="75"/>
      <c r="AU632" s="75"/>
      <c r="AV632" s="75"/>
      <c r="AW632" s="75"/>
      <c r="AX632" s="75"/>
      <c r="AY632" s="67">
        <f t="shared" ca="1" si="1"/>
        <v>0</v>
      </c>
      <c r="AZ632" s="75"/>
      <c r="BA632" s="67">
        <f t="shared" ca="1" si="2"/>
        <v>0</v>
      </c>
      <c r="BB632" s="66"/>
      <c r="BC632" s="4"/>
      <c r="BD632" s="67"/>
      <c r="BE632" s="67"/>
      <c r="BF632" s="68"/>
      <c r="BG632" s="69"/>
      <c r="BH632" s="84"/>
      <c r="BI632" s="70"/>
      <c r="BJ632" s="73"/>
      <c r="BK632" s="78"/>
      <c r="BL632" s="78">
        <f t="shared" ca="1" si="3"/>
        <v>0</v>
      </c>
      <c r="BM632" s="78"/>
      <c r="BN632" s="78">
        <f t="shared" ca="1" si="4"/>
        <v>0</v>
      </c>
      <c r="BO632" s="66"/>
      <c r="BP632" s="66"/>
    </row>
    <row r="633" spans="1:68" ht="13.2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>
        <f t="shared" ref="AP633:AQ633" si="626">AR633+AT633+AV633</f>
        <v>0</v>
      </c>
      <c r="AQ633" s="75">
        <f t="shared" si="626"/>
        <v>0</v>
      </c>
      <c r="AR633" s="75"/>
      <c r="AS633" s="75"/>
      <c r="AT633" s="75"/>
      <c r="AU633" s="75"/>
      <c r="AV633" s="75"/>
      <c r="AW633" s="75"/>
      <c r="AX633" s="75"/>
      <c r="AY633" s="67">
        <f t="shared" ca="1" si="1"/>
        <v>0</v>
      </c>
      <c r="AZ633" s="75"/>
      <c r="BA633" s="67">
        <f t="shared" ca="1" si="2"/>
        <v>0</v>
      </c>
      <c r="BB633" s="66"/>
      <c r="BC633" s="4"/>
      <c r="BD633" s="67"/>
      <c r="BE633" s="67"/>
      <c r="BF633" s="68"/>
      <c r="BG633" s="69"/>
      <c r="BH633" s="84"/>
      <c r="BI633" s="70"/>
      <c r="BJ633" s="73"/>
      <c r="BK633" s="78"/>
      <c r="BL633" s="78">
        <f t="shared" ca="1" si="3"/>
        <v>0</v>
      </c>
      <c r="BM633" s="78"/>
      <c r="BN633" s="78">
        <f t="shared" ca="1" si="4"/>
        <v>0</v>
      </c>
      <c r="BO633" s="66"/>
      <c r="BP633" s="66"/>
    </row>
    <row r="634" spans="1:68" ht="13.2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>
        <f t="shared" ref="AP634:AQ634" si="627">AR634+AT634+AV634</f>
        <v>0</v>
      </c>
      <c r="AQ634" s="75">
        <f t="shared" si="627"/>
        <v>0</v>
      </c>
      <c r="AR634" s="75"/>
      <c r="AS634" s="75"/>
      <c r="AT634" s="75"/>
      <c r="AU634" s="75"/>
      <c r="AV634" s="75"/>
      <c r="AW634" s="75"/>
      <c r="AX634" s="75"/>
      <c r="AY634" s="67">
        <f t="shared" ca="1" si="1"/>
        <v>0</v>
      </c>
      <c r="AZ634" s="75"/>
      <c r="BA634" s="67">
        <f t="shared" ca="1" si="2"/>
        <v>0</v>
      </c>
      <c r="BB634" s="66"/>
      <c r="BC634" s="4"/>
      <c r="BD634" s="67"/>
      <c r="BE634" s="67"/>
      <c r="BF634" s="68"/>
      <c r="BG634" s="69"/>
      <c r="BH634" s="84"/>
      <c r="BI634" s="70"/>
      <c r="BJ634" s="73"/>
      <c r="BK634" s="78"/>
      <c r="BL634" s="78">
        <f t="shared" ca="1" si="3"/>
        <v>0</v>
      </c>
      <c r="BM634" s="78"/>
      <c r="BN634" s="78">
        <f t="shared" ca="1" si="4"/>
        <v>0</v>
      </c>
      <c r="BO634" s="66"/>
      <c r="BP634" s="66"/>
    </row>
    <row r="635" spans="1:68" ht="13.2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>
        <f t="shared" ref="AP635:AQ635" si="628">AR635+AT635+AV635</f>
        <v>0</v>
      </c>
      <c r="AQ635" s="75">
        <f t="shared" si="628"/>
        <v>0</v>
      </c>
      <c r="AR635" s="75"/>
      <c r="AS635" s="75"/>
      <c r="AT635" s="75"/>
      <c r="AU635" s="75"/>
      <c r="AV635" s="75"/>
      <c r="AW635" s="75"/>
      <c r="AX635" s="75"/>
      <c r="AY635" s="67">
        <f t="shared" ca="1" si="1"/>
        <v>0</v>
      </c>
      <c r="AZ635" s="75"/>
      <c r="BA635" s="67">
        <f t="shared" ca="1" si="2"/>
        <v>0</v>
      </c>
      <c r="BB635" s="66"/>
      <c r="BC635" s="4"/>
      <c r="BD635" s="67"/>
      <c r="BE635" s="67"/>
      <c r="BF635" s="68"/>
      <c r="BG635" s="69"/>
      <c r="BH635" s="84"/>
      <c r="BI635" s="70"/>
      <c r="BJ635" s="73"/>
      <c r="BK635" s="78"/>
      <c r="BL635" s="78">
        <f t="shared" ca="1" si="3"/>
        <v>0</v>
      </c>
      <c r="BM635" s="78"/>
      <c r="BN635" s="78">
        <f t="shared" ca="1" si="4"/>
        <v>0</v>
      </c>
      <c r="BO635" s="66"/>
      <c r="BP635" s="66"/>
    </row>
    <row r="636" spans="1:68" ht="13.2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>
        <f t="shared" ref="AP636:AQ636" si="629">AR636+AT636+AV636</f>
        <v>0</v>
      </c>
      <c r="AQ636" s="75">
        <f t="shared" si="629"/>
        <v>0</v>
      </c>
      <c r="AR636" s="75"/>
      <c r="AS636" s="75"/>
      <c r="AT636" s="75"/>
      <c r="AU636" s="75"/>
      <c r="AV636" s="75"/>
      <c r="AW636" s="75"/>
      <c r="AX636" s="75"/>
      <c r="AY636" s="67">
        <f t="shared" ca="1" si="1"/>
        <v>0</v>
      </c>
      <c r="AZ636" s="75"/>
      <c r="BA636" s="67">
        <f t="shared" ca="1" si="2"/>
        <v>0</v>
      </c>
      <c r="BB636" s="66"/>
      <c r="BC636" s="4"/>
      <c r="BD636" s="67"/>
      <c r="BE636" s="67"/>
      <c r="BF636" s="68"/>
      <c r="BG636" s="69"/>
      <c r="BH636" s="84"/>
      <c r="BI636" s="70"/>
      <c r="BJ636" s="73"/>
      <c r="BK636" s="78"/>
      <c r="BL636" s="78">
        <f t="shared" ca="1" si="3"/>
        <v>0</v>
      </c>
      <c r="BM636" s="78"/>
      <c r="BN636" s="78">
        <f t="shared" ca="1" si="4"/>
        <v>0</v>
      </c>
      <c r="BO636" s="66"/>
      <c r="BP636" s="66"/>
    </row>
    <row r="637" spans="1:68" ht="13.2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>
        <f t="shared" ref="AP637:AQ637" si="630">AR637+AT637+AV637</f>
        <v>0</v>
      </c>
      <c r="AQ637" s="75">
        <f t="shared" si="630"/>
        <v>0</v>
      </c>
      <c r="AR637" s="75"/>
      <c r="AS637" s="75"/>
      <c r="AT637" s="75"/>
      <c r="AU637" s="75"/>
      <c r="AV637" s="75"/>
      <c r="AW637" s="75"/>
      <c r="AX637" s="75"/>
      <c r="AY637" s="67">
        <f t="shared" ca="1" si="1"/>
        <v>0</v>
      </c>
      <c r="AZ637" s="75"/>
      <c r="BA637" s="67">
        <f t="shared" ca="1" si="2"/>
        <v>0</v>
      </c>
      <c r="BB637" s="66"/>
      <c r="BC637" s="4"/>
      <c r="BD637" s="67"/>
      <c r="BE637" s="67"/>
      <c r="BF637" s="68"/>
      <c r="BG637" s="69"/>
      <c r="BH637" s="84"/>
      <c r="BI637" s="70"/>
      <c r="BJ637" s="73"/>
      <c r="BK637" s="78"/>
      <c r="BL637" s="78">
        <f t="shared" ca="1" si="3"/>
        <v>0</v>
      </c>
      <c r="BM637" s="78"/>
      <c r="BN637" s="78">
        <f t="shared" ca="1" si="4"/>
        <v>0</v>
      </c>
      <c r="BO637" s="66"/>
      <c r="BP637" s="66"/>
    </row>
    <row r="638" spans="1:68" ht="13.2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>
        <f t="shared" ref="AP638:AQ638" si="631">AR638+AT638+AV638</f>
        <v>0</v>
      </c>
      <c r="AQ638" s="75">
        <f t="shared" si="631"/>
        <v>0</v>
      </c>
      <c r="AR638" s="75"/>
      <c r="AS638" s="75"/>
      <c r="AT638" s="75"/>
      <c r="AU638" s="75"/>
      <c r="AV638" s="75"/>
      <c r="AW638" s="75"/>
      <c r="AX638" s="75"/>
      <c r="AY638" s="67">
        <f t="shared" ca="1" si="1"/>
        <v>0</v>
      </c>
      <c r="AZ638" s="75"/>
      <c r="BA638" s="67">
        <f t="shared" ca="1" si="2"/>
        <v>0</v>
      </c>
      <c r="BB638" s="66"/>
      <c r="BC638" s="4"/>
      <c r="BD638" s="67"/>
      <c r="BE638" s="67"/>
      <c r="BF638" s="68"/>
      <c r="BG638" s="69"/>
      <c r="BH638" s="84"/>
      <c r="BI638" s="70"/>
      <c r="BJ638" s="73"/>
      <c r="BK638" s="78"/>
      <c r="BL638" s="78">
        <f t="shared" ca="1" si="3"/>
        <v>0</v>
      </c>
      <c r="BM638" s="78"/>
      <c r="BN638" s="78">
        <f t="shared" ca="1" si="4"/>
        <v>0</v>
      </c>
      <c r="BO638" s="66"/>
      <c r="BP638" s="66"/>
    </row>
    <row r="639" spans="1:68" ht="13.2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>
        <f t="shared" ref="AP639:AQ639" si="632">AR639+AT639+AV639</f>
        <v>0</v>
      </c>
      <c r="AQ639" s="75">
        <f t="shared" si="632"/>
        <v>0</v>
      </c>
      <c r="AR639" s="75"/>
      <c r="AS639" s="75"/>
      <c r="AT639" s="75"/>
      <c r="AU639" s="75"/>
      <c r="AV639" s="75"/>
      <c r="AW639" s="75"/>
      <c r="AX639" s="75"/>
      <c r="AY639" s="67">
        <f t="shared" ca="1" si="1"/>
        <v>0</v>
      </c>
      <c r="AZ639" s="75"/>
      <c r="BA639" s="67">
        <f t="shared" ca="1" si="2"/>
        <v>0</v>
      </c>
      <c r="BB639" s="66"/>
      <c r="BC639" s="4"/>
      <c r="BD639" s="67"/>
      <c r="BE639" s="67"/>
      <c r="BF639" s="68"/>
      <c r="BG639" s="69"/>
      <c r="BH639" s="84"/>
      <c r="BI639" s="70"/>
      <c r="BJ639" s="73"/>
      <c r="BK639" s="78"/>
      <c r="BL639" s="78">
        <f t="shared" ca="1" si="3"/>
        <v>0</v>
      </c>
      <c r="BM639" s="78"/>
      <c r="BN639" s="78">
        <f t="shared" ca="1" si="4"/>
        <v>0</v>
      </c>
      <c r="BO639" s="66"/>
      <c r="BP639" s="66"/>
    </row>
    <row r="640" spans="1:68" ht="13.2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>
        <f t="shared" ref="AP640:AQ640" si="633">AR640+AT640+AV640</f>
        <v>0</v>
      </c>
      <c r="AQ640" s="75">
        <f t="shared" si="633"/>
        <v>0</v>
      </c>
      <c r="AR640" s="75"/>
      <c r="AS640" s="75"/>
      <c r="AT640" s="75"/>
      <c r="AU640" s="75"/>
      <c r="AV640" s="75"/>
      <c r="AW640" s="75"/>
      <c r="AX640" s="75"/>
      <c r="AY640" s="67">
        <f t="shared" ca="1" si="1"/>
        <v>0</v>
      </c>
      <c r="AZ640" s="75"/>
      <c r="BA640" s="67">
        <f t="shared" ca="1" si="2"/>
        <v>0</v>
      </c>
      <c r="BB640" s="66"/>
      <c r="BC640" s="4"/>
      <c r="BD640" s="67"/>
      <c r="BE640" s="67"/>
      <c r="BF640" s="68"/>
      <c r="BG640" s="69"/>
      <c r="BH640" s="70"/>
      <c r="BI640" s="70"/>
      <c r="BJ640" s="73"/>
      <c r="BK640" s="78"/>
      <c r="BL640" s="78">
        <f t="shared" ca="1" si="3"/>
        <v>0</v>
      </c>
      <c r="BM640" s="78"/>
      <c r="BN640" s="78">
        <f t="shared" ca="1" si="4"/>
        <v>0</v>
      </c>
      <c r="BO640" s="66"/>
      <c r="BP640" s="66"/>
    </row>
    <row r="641" spans="1:68" ht="13.2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>
        <f t="shared" ref="AP641:AQ641" si="634">AR641+AT641+AV641</f>
        <v>0</v>
      </c>
      <c r="AQ641" s="75">
        <f t="shared" si="634"/>
        <v>0</v>
      </c>
      <c r="AR641" s="75"/>
      <c r="AS641" s="75"/>
      <c r="AT641" s="75"/>
      <c r="AU641" s="75"/>
      <c r="AV641" s="75"/>
      <c r="AW641" s="75"/>
      <c r="AX641" s="75"/>
      <c r="AY641" s="67">
        <f t="shared" ca="1" si="1"/>
        <v>0</v>
      </c>
      <c r="AZ641" s="75"/>
      <c r="BA641" s="67">
        <f t="shared" ca="1" si="2"/>
        <v>0</v>
      </c>
      <c r="BB641" s="66"/>
      <c r="BC641" s="4"/>
      <c r="BD641" s="67"/>
      <c r="BE641" s="67"/>
      <c r="BF641" s="68"/>
      <c r="BG641" s="69"/>
      <c r="BH641" s="70"/>
      <c r="BI641" s="70"/>
      <c r="BJ641" s="73"/>
      <c r="BK641" s="78"/>
      <c r="BL641" s="78">
        <f t="shared" ca="1" si="3"/>
        <v>0</v>
      </c>
      <c r="BM641" s="78"/>
      <c r="BN641" s="78">
        <f t="shared" ca="1" si="4"/>
        <v>0</v>
      </c>
      <c r="BO641" s="66"/>
      <c r="BP641" s="66"/>
    </row>
    <row r="642" spans="1:68" ht="13.2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>
        <f t="shared" ref="AP642:AQ642" si="635">AR642+AT642+AV642</f>
        <v>0</v>
      </c>
      <c r="AQ642" s="75">
        <f t="shared" si="635"/>
        <v>0</v>
      </c>
      <c r="AR642" s="75"/>
      <c r="AS642" s="75"/>
      <c r="AT642" s="75"/>
      <c r="AU642" s="75"/>
      <c r="AV642" s="75"/>
      <c r="AW642" s="75"/>
      <c r="AX642" s="75"/>
      <c r="AY642" s="67">
        <f t="shared" ca="1" si="1"/>
        <v>0</v>
      </c>
      <c r="AZ642" s="75"/>
      <c r="BA642" s="67">
        <f t="shared" ca="1" si="2"/>
        <v>0</v>
      </c>
      <c r="BB642" s="66"/>
      <c r="BC642" s="4"/>
      <c r="BD642" s="67"/>
      <c r="BE642" s="67"/>
      <c r="BF642" s="68"/>
      <c r="BG642" s="69"/>
      <c r="BH642" s="70"/>
      <c r="BI642" s="70"/>
      <c r="BJ642" s="73"/>
      <c r="BK642" s="78"/>
      <c r="BL642" s="78">
        <f t="shared" ca="1" si="3"/>
        <v>0</v>
      </c>
      <c r="BM642" s="78"/>
      <c r="BN642" s="78">
        <f t="shared" ca="1" si="4"/>
        <v>0</v>
      </c>
      <c r="BO642" s="66"/>
      <c r="BP642" s="66"/>
    </row>
    <row r="643" spans="1:68" ht="13.2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>
        <f t="shared" ref="AP643:AQ643" si="636">AR643+AT643+AV643</f>
        <v>0</v>
      </c>
      <c r="AQ643" s="75">
        <f t="shared" si="636"/>
        <v>0</v>
      </c>
      <c r="AR643" s="75"/>
      <c r="AS643" s="75"/>
      <c r="AT643" s="75"/>
      <c r="AU643" s="75"/>
      <c r="AV643" s="75"/>
      <c r="AW643" s="75"/>
      <c r="AX643" s="75"/>
      <c r="AY643" s="67">
        <f t="shared" ca="1" si="1"/>
        <v>0</v>
      </c>
      <c r="AZ643" s="75"/>
      <c r="BA643" s="67">
        <f t="shared" ca="1" si="2"/>
        <v>0</v>
      </c>
      <c r="BB643" s="66"/>
      <c r="BC643" s="4"/>
      <c r="BD643" s="67"/>
      <c r="BE643" s="67"/>
      <c r="BF643" s="68"/>
      <c r="BG643" s="69"/>
      <c r="BH643" s="70"/>
      <c r="BI643" s="70"/>
      <c r="BJ643" s="73"/>
      <c r="BK643" s="78"/>
      <c r="BL643" s="78">
        <f t="shared" ca="1" si="3"/>
        <v>0</v>
      </c>
      <c r="BM643" s="78"/>
      <c r="BN643" s="78">
        <f t="shared" ca="1" si="4"/>
        <v>0</v>
      </c>
      <c r="BO643" s="66"/>
      <c r="BP643" s="66"/>
    </row>
    <row r="644" spans="1:68" ht="13.2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>
        <f t="shared" ref="AP644:AQ644" si="637">AR644+AT644+AV644</f>
        <v>0</v>
      </c>
      <c r="AQ644" s="75">
        <f t="shared" si="637"/>
        <v>0</v>
      </c>
      <c r="AR644" s="75"/>
      <c r="AS644" s="75"/>
      <c r="AT644" s="75"/>
      <c r="AU644" s="75"/>
      <c r="AV644" s="75"/>
      <c r="AW644" s="75"/>
      <c r="AX644" s="75"/>
      <c r="AY644" s="67">
        <f t="shared" ca="1" si="1"/>
        <v>0</v>
      </c>
      <c r="AZ644" s="75"/>
      <c r="BA644" s="67">
        <f t="shared" ca="1" si="2"/>
        <v>0</v>
      </c>
      <c r="BB644" s="66"/>
      <c r="BC644" s="4"/>
      <c r="BD644" s="67"/>
      <c r="BE644" s="67"/>
      <c r="BF644" s="68"/>
      <c r="BG644" s="69"/>
      <c r="BH644" s="70"/>
      <c r="BI644" s="70"/>
      <c r="BJ644" s="73"/>
      <c r="BK644" s="78"/>
      <c r="BL644" s="78">
        <f t="shared" ca="1" si="3"/>
        <v>0</v>
      </c>
      <c r="BM644" s="78"/>
      <c r="BN644" s="78">
        <f t="shared" ca="1" si="4"/>
        <v>0</v>
      </c>
      <c r="BO644" s="66"/>
      <c r="BP644" s="66"/>
    </row>
    <row r="645" spans="1:68" ht="13.2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>
        <f t="shared" ref="AP645:AQ645" si="638">AR645+AT645+AV645</f>
        <v>0</v>
      </c>
      <c r="AQ645" s="75">
        <f t="shared" si="638"/>
        <v>0</v>
      </c>
      <c r="AR645" s="75"/>
      <c r="AS645" s="75"/>
      <c r="AT645" s="75"/>
      <c r="AU645" s="75"/>
      <c r="AV645" s="75"/>
      <c r="AW645" s="75"/>
      <c r="AX645" s="75"/>
      <c r="AY645" s="67">
        <f t="shared" ca="1" si="1"/>
        <v>0</v>
      </c>
      <c r="AZ645" s="75"/>
      <c r="BA645" s="67">
        <f t="shared" ca="1" si="2"/>
        <v>0</v>
      </c>
      <c r="BB645" s="66"/>
      <c r="BC645" s="4"/>
      <c r="BD645" s="67"/>
      <c r="BE645" s="67"/>
      <c r="BF645" s="68"/>
      <c r="BG645" s="69"/>
      <c r="BH645" s="70"/>
      <c r="BI645" s="70"/>
      <c r="BJ645" s="73"/>
      <c r="BK645" s="78"/>
      <c r="BL645" s="78">
        <f t="shared" ca="1" si="3"/>
        <v>0</v>
      </c>
      <c r="BM645" s="78"/>
      <c r="BN645" s="78">
        <f t="shared" ca="1" si="4"/>
        <v>0</v>
      </c>
      <c r="BO645" s="66"/>
      <c r="BP645" s="66"/>
    </row>
    <row r="646" spans="1:68" ht="13.2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>
        <f t="shared" ref="AP646:AQ646" si="639">AR646+AT646+AV646</f>
        <v>0</v>
      </c>
      <c r="AQ646" s="75">
        <f t="shared" si="639"/>
        <v>0</v>
      </c>
      <c r="AR646" s="75"/>
      <c r="AS646" s="75"/>
      <c r="AT646" s="75"/>
      <c r="AU646" s="75"/>
      <c r="AV646" s="75"/>
      <c r="AW646" s="75"/>
      <c r="AX646" s="75"/>
      <c r="AY646" s="67">
        <f t="shared" ca="1" si="1"/>
        <v>0</v>
      </c>
      <c r="AZ646" s="75"/>
      <c r="BA646" s="67">
        <f t="shared" ca="1" si="2"/>
        <v>0</v>
      </c>
      <c r="BB646" s="66"/>
      <c r="BC646" s="4"/>
      <c r="BD646" s="67"/>
      <c r="BE646" s="67"/>
      <c r="BF646" s="68"/>
      <c r="BG646" s="69"/>
      <c r="BH646" s="84"/>
      <c r="BI646" s="70"/>
      <c r="BJ646" s="73"/>
      <c r="BK646" s="78"/>
      <c r="BL646" s="78">
        <f t="shared" ca="1" si="3"/>
        <v>0</v>
      </c>
      <c r="BM646" s="78"/>
      <c r="BN646" s="78">
        <f t="shared" ca="1" si="4"/>
        <v>0</v>
      </c>
      <c r="BO646" s="66"/>
      <c r="BP646" s="66"/>
    </row>
    <row r="647" spans="1:68" ht="13.2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>
        <f t="shared" ref="AP647:AQ647" si="640">AR647+AT647+AV647</f>
        <v>0</v>
      </c>
      <c r="AQ647" s="75">
        <f t="shared" si="640"/>
        <v>0</v>
      </c>
      <c r="AR647" s="75"/>
      <c r="AS647" s="75"/>
      <c r="AT647" s="75"/>
      <c r="AU647" s="75"/>
      <c r="AV647" s="75"/>
      <c r="AW647" s="75"/>
      <c r="AX647" s="75"/>
      <c r="AY647" s="67">
        <f t="shared" ca="1" si="1"/>
        <v>0</v>
      </c>
      <c r="AZ647" s="75"/>
      <c r="BA647" s="67">
        <f t="shared" ca="1" si="2"/>
        <v>0</v>
      </c>
      <c r="BB647" s="66"/>
      <c r="BC647" s="4"/>
      <c r="BD647" s="67"/>
      <c r="BE647" s="67"/>
      <c r="BF647" s="68"/>
      <c r="BG647" s="69"/>
      <c r="BH647" s="84"/>
      <c r="BI647" s="70"/>
      <c r="BJ647" s="73"/>
      <c r="BK647" s="78"/>
      <c r="BL647" s="78">
        <f t="shared" ca="1" si="3"/>
        <v>0</v>
      </c>
      <c r="BM647" s="78"/>
      <c r="BN647" s="78">
        <f t="shared" ca="1" si="4"/>
        <v>0</v>
      </c>
      <c r="BO647" s="66"/>
      <c r="BP647" s="66"/>
    </row>
    <row r="648" spans="1:68" ht="13.2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>
        <f t="shared" ref="AP648:AQ648" si="641">AR648+AT648+AV648</f>
        <v>0</v>
      </c>
      <c r="AQ648" s="75">
        <f t="shared" si="641"/>
        <v>0</v>
      </c>
      <c r="AR648" s="75"/>
      <c r="AS648" s="75"/>
      <c r="AT648" s="75"/>
      <c r="AU648" s="75"/>
      <c r="AV648" s="75"/>
      <c r="AW648" s="75"/>
      <c r="AX648" s="75"/>
      <c r="AY648" s="67">
        <f t="shared" ca="1" si="1"/>
        <v>0</v>
      </c>
      <c r="AZ648" s="75"/>
      <c r="BA648" s="67">
        <f t="shared" ca="1" si="2"/>
        <v>0</v>
      </c>
      <c r="BB648" s="66"/>
      <c r="BC648" s="4"/>
      <c r="BD648" s="67"/>
      <c r="BE648" s="67"/>
      <c r="BF648" s="68"/>
      <c r="BG648" s="69"/>
      <c r="BH648" s="70"/>
      <c r="BI648" s="70"/>
      <c r="BJ648" s="73"/>
      <c r="BK648" s="78"/>
      <c r="BL648" s="78">
        <f t="shared" ca="1" si="3"/>
        <v>0</v>
      </c>
      <c r="BM648" s="78"/>
      <c r="BN648" s="78">
        <f t="shared" ca="1" si="4"/>
        <v>0</v>
      </c>
      <c r="BO648" s="66"/>
      <c r="BP648" s="66"/>
    </row>
    <row r="649" spans="1:68" ht="13.2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>
        <f t="shared" ref="AP649:AQ649" si="642">AR649+AT649+AV649</f>
        <v>0</v>
      </c>
      <c r="AQ649" s="75">
        <f t="shared" si="642"/>
        <v>0</v>
      </c>
      <c r="AR649" s="75"/>
      <c r="AS649" s="75"/>
      <c r="AT649" s="75"/>
      <c r="AU649" s="75"/>
      <c r="AV649" s="75"/>
      <c r="AW649" s="75"/>
      <c r="AX649" s="75"/>
      <c r="AY649" s="67">
        <f t="shared" ca="1" si="1"/>
        <v>0</v>
      </c>
      <c r="AZ649" s="75"/>
      <c r="BA649" s="67">
        <f t="shared" ca="1" si="2"/>
        <v>0</v>
      </c>
      <c r="BB649" s="66"/>
      <c r="BC649" s="4"/>
      <c r="BD649" s="67"/>
      <c r="BE649" s="67"/>
      <c r="BF649" s="68"/>
      <c r="BG649" s="69"/>
      <c r="BH649" s="70"/>
      <c r="BI649" s="70"/>
      <c r="BJ649" s="73"/>
      <c r="BK649" s="78"/>
      <c r="BL649" s="78">
        <f t="shared" ca="1" si="3"/>
        <v>0</v>
      </c>
      <c r="BM649" s="78"/>
      <c r="BN649" s="78">
        <f t="shared" ca="1" si="4"/>
        <v>0</v>
      </c>
      <c r="BO649" s="66"/>
      <c r="BP649" s="66"/>
    </row>
    <row r="650" spans="1:68" ht="13.2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>
        <f t="shared" ref="AP650:AQ650" si="643">AR650+AT650+AV650</f>
        <v>0</v>
      </c>
      <c r="AQ650" s="75">
        <f t="shared" si="643"/>
        <v>0</v>
      </c>
      <c r="AR650" s="75"/>
      <c r="AS650" s="75"/>
      <c r="AT650" s="75"/>
      <c r="AU650" s="75"/>
      <c r="AV650" s="75"/>
      <c r="AW650" s="75"/>
      <c r="AX650" s="75"/>
      <c r="AY650" s="67">
        <f t="shared" ca="1" si="1"/>
        <v>0</v>
      </c>
      <c r="AZ650" s="75"/>
      <c r="BA650" s="67">
        <f t="shared" ca="1" si="2"/>
        <v>0</v>
      </c>
      <c r="BB650" s="66"/>
      <c r="BC650" s="4"/>
      <c r="BD650" s="67"/>
      <c r="BE650" s="67"/>
      <c r="BF650" s="68"/>
      <c r="BG650" s="69"/>
      <c r="BH650" s="70"/>
      <c r="BI650" s="70"/>
      <c r="BJ650" s="73"/>
      <c r="BK650" s="78"/>
      <c r="BL650" s="78">
        <f t="shared" ca="1" si="3"/>
        <v>0</v>
      </c>
      <c r="BM650" s="78"/>
      <c r="BN650" s="78">
        <f t="shared" ca="1" si="4"/>
        <v>0</v>
      </c>
      <c r="BO650" s="66"/>
      <c r="BP650" s="66"/>
    </row>
    <row r="651" spans="1:68" ht="13.2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>
        <f t="shared" ref="AP651:AQ651" si="644">AR651+AT651+AV651</f>
        <v>0</v>
      </c>
      <c r="AQ651" s="75">
        <f t="shared" si="644"/>
        <v>0</v>
      </c>
      <c r="AR651" s="75"/>
      <c r="AS651" s="75"/>
      <c r="AT651" s="75"/>
      <c r="AU651" s="75"/>
      <c r="AV651" s="75"/>
      <c r="AW651" s="75"/>
      <c r="AX651" s="75"/>
      <c r="AY651" s="67">
        <f t="shared" ca="1" si="1"/>
        <v>0</v>
      </c>
      <c r="AZ651" s="75"/>
      <c r="BA651" s="67">
        <f t="shared" ca="1" si="2"/>
        <v>0</v>
      </c>
      <c r="BB651" s="66"/>
      <c r="BC651" s="4"/>
      <c r="BD651" s="67"/>
      <c r="BE651" s="67"/>
      <c r="BF651" s="68"/>
      <c r="BG651" s="69"/>
      <c r="BH651" s="84"/>
      <c r="BI651" s="70"/>
      <c r="BJ651" s="73"/>
      <c r="BK651" s="78"/>
      <c r="BL651" s="78">
        <f t="shared" ca="1" si="3"/>
        <v>0</v>
      </c>
      <c r="BM651" s="78"/>
      <c r="BN651" s="78">
        <f t="shared" ca="1" si="4"/>
        <v>0</v>
      </c>
      <c r="BO651" s="66"/>
      <c r="BP651" s="66"/>
    </row>
    <row r="652" spans="1:68" ht="13.2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>
        <f t="shared" ref="AP652:AQ652" si="645">AR652+AT652+AV652</f>
        <v>0</v>
      </c>
      <c r="AQ652" s="75">
        <f t="shared" si="645"/>
        <v>0</v>
      </c>
      <c r="AR652" s="75"/>
      <c r="AS652" s="75"/>
      <c r="AT652" s="75"/>
      <c r="AU652" s="75"/>
      <c r="AV652" s="75"/>
      <c r="AW652" s="75"/>
      <c r="AX652" s="75"/>
      <c r="AY652" s="67">
        <f t="shared" ca="1" si="1"/>
        <v>0</v>
      </c>
      <c r="AZ652" s="75"/>
      <c r="BA652" s="67">
        <f t="shared" ca="1" si="2"/>
        <v>0</v>
      </c>
      <c r="BB652" s="66"/>
      <c r="BC652" s="4"/>
      <c r="BD652" s="67"/>
      <c r="BE652" s="67"/>
      <c r="BF652" s="68"/>
      <c r="BG652" s="69"/>
      <c r="BH652" s="84"/>
      <c r="BI652" s="70"/>
      <c r="BJ652" s="73"/>
      <c r="BK652" s="78"/>
      <c r="BL652" s="78">
        <f t="shared" ca="1" si="3"/>
        <v>0</v>
      </c>
      <c r="BM652" s="78"/>
      <c r="BN652" s="78">
        <f t="shared" ca="1" si="4"/>
        <v>0</v>
      </c>
      <c r="BO652" s="66"/>
      <c r="BP652" s="66"/>
    </row>
    <row r="653" spans="1:68" ht="13.2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>
        <f t="shared" ref="AP653:AQ653" si="646">AR653+AT653+AV653</f>
        <v>0</v>
      </c>
      <c r="AQ653" s="75">
        <f t="shared" si="646"/>
        <v>0</v>
      </c>
      <c r="AR653" s="75"/>
      <c r="AS653" s="75"/>
      <c r="AT653" s="75"/>
      <c r="AU653" s="75"/>
      <c r="AV653" s="75"/>
      <c r="AW653" s="75"/>
      <c r="AX653" s="75"/>
      <c r="AY653" s="67">
        <f t="shared" ca="1" si="1"/>
        <v>0</v>
      </c>
      <c r="AZ653" s="75"/>
      <c r="BA653" s="67">
        <f t="shared" ca="1" si="2"/>
        <v>0</v>
      </c>
      <c r="BB653" s="66"/>
      <c r="BC653" s="4"/>
      <c r="BD653" s="67"/>
      <c r="BE653" s="67"/>
      <c r="BF653" s="68"/>
      <c r="BG653" s="69"/>
      <c r="BH653" s="84"/>
      <c r="BI653" s="70"/>
      <c r="BJ653" s="73"/>
      <c r="BK653" s="78"/>
      <c r="BL653" s="78">
        <f t="shared" ca="1" si="3"/>
        <v>0</v>
      </c>
      <c r="BM653" s="78"/>
      <c r="BN653" s="78">
        <f t="shared" ca="1" si="4"/>
        <v>0</v>
      </c>
      <c r="BO653" s="66"/>
      <c r="BP653" s="66"/>
    </row>
    <row r="654" spans="1:68" ht="13.2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>
        <f t="shared" ref="AP654:AQ654" si="647">AR654+AT654+AV654</f>
        <v>0</v>
      </c>
      <c r="AQ654" s="75">
        <f t="shared" si="647"/>
        <v>0</v>
      </c>
      <c r="AR654" s="75"/>
      <c r="AS654" s="75"/>
      <c r="AT654" s="75"/>
      <c r="AU654" s="75"/>
      <c r="AV654" s="75"/>
      <c r="AW654" s="75"/>
      <c r="AX654" s="75"/>
      <c r="AY654" s="67">
        <f t="shared" ca="1" si="1"/>
        <v>0</v>
      </c>
      <c r="AZ654" s="75"/>
      <c r="BA654" s="67">
        <f t="shared" ca="1" si="2"/>
        <v>0</v>
      </c>
      <c r="BB654" s="66"/>
      <c r="BC654" s="4"/>
      <c r="BD654" s="67"/>
      <c r="BE654" s="67"/>
      <c r="BF654" s="68"/>
      <c r="BG654" s="69"/>
      <c r="BH654" s="84"/>
      <c r="BI654" s="70"/>
      <c r="BJ654" s="73"/>
      <c r="BK654" s="78"/>
      <c r="BL654" s="78">
        <f t="shared" ca="1" si="3"/>
        <v>0</v>
      </c>
      <c r="BM654" s="78"/>
      <c r="BN654" s="78">
        <f t="shared" ca="1" si="4"/>
        <v>0</v>
      </c>
      <c r="BO654" s="66"/>
      <c r="BP654" s="66"/>
    </row>
    <row r="655" spans="1:68" ht="13.2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>
        <f t="shared" ref="AP655:AQ655" si="648">AR655+AT655+AV655</f>
        <v>0</v>
      </c>
      <c r="AQ655" s="75">
        <f t="shared" si="648"/>
        <v>0</v>
      </c>
      <c r="AR655" s="75"/>
      <c r="AS655" s="75"/>
      <c r="AT655" s="75"/>
      <c r="AU655" s="75"/>
      <c r="AV655" s="75"/>
      <c r="AW655" s="75"/>
      <c r="AX655" s="75"/>
      <c r="AY655" s="67">
        <f t="shared" ca="1" si="1"/>
        <v>0</v>
      </c>
      <c r="AZ655" s="75"/>
      <c r="BA655" s="67">
        <f t="shared" ca="1" si="2"/>
        <v>0</v>
      </c>
      <c r="BB655" s="66"/>
      <c r="BC655" s="4"/>
      <c r="BD655" s="67"/>
      <c r="BE655" s="67"/>
      <c r="BF655" s="68"/>
      <c r="BG655" s="69"/>
      <c r="BH655" s="84"/>
      <c r="BI655" s="70"/>
      <c r="BJ655" s="73"/>
      <c r="BK655" s="78"/>
      <c r="BL655" s="78">
        <f t="shared" ca="1" si="3"/>
        <v>0</v>
      </c>
      <c r="BM655" s="78"/>
      <c r="BN655" s="78">
        <f t="shared" ca="1" si="4"/>
        <v>0</v>
      </c>
      <c r="BO655" s="66"/>
      <c r="BP655" s="66"/>
    </row>
    <row r="656" spans="1:68" ht="13.2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>
        <f t="shared" ref="AP656:AQ656" si="649">AR656+AT656+AV656</f>
        <v>0</v>
      </c>
      <c r="AQ656" s="75">
        <f t="shared" si="649"/>
        <v>0</v>
      </c>
      <c r="AR656" s="75"/>
      <c r="AS656" s="75"/>
      <c r="AT656" s="75"/>
      <c r="AU656" s="75"/>
      <c r="AV656" s="75"/>
      <c r="AW656" s="75"/>
      <c r="AX656" s="75"/>
      <c r="AY656" s="67">
        <f t="shared" ca="1" si="1"/>
        <v>0</v>
      </c>
      <c r="AZ656" s="75"/>
      <c r="BA656" s="67">
        <f t="shared" ca="1" si="2"/>
        <v>0</v>
      </c>
      <c r="BB656" s="66"/>
      <c r="BC656" s="4"/>
      <c r="BD656" s="67"/>
      <c r="BE656" s="67"/>
      <c r="BF656" s="68"/>
      <c r="BG656" s="69"/>
      <c r="BH656" s="84"/>
      <c r="BI656" s="70"/>
      <c r="BJ656" s="73"/>
      <c r="BK656" s="78"/>
      <c r="BL656" s="78">
        <f t="shared" ca="1" si="3"/>
        <v>0</v>
      </c>
      <c r="BM656" s="78"/>
      <c r="BN656" s="78">
        <f t="shared" ca="1" si="4"/>
        <v>0</v>
      </c>
      <c r="BO656" s="66"/>
      <c r="BP656" s="66"/>
    </row>
    <row r="657" spans="1:68" ht="13.2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>
        <f t="shared" ref="AP657:AQ657" si="650">AR657+AT657+AV657</f>
        <v>0</v>
      </c>
      <c r="AQ657" s="75">
        <f t="shared" si="650"/>
        <v>0</v>
      </c>
      <c r="AR657" s="75"/>
      <c r="AS657" s="75"/>
      <c r="AT657" s="75"/>
      <c r="AU657" s="75"/>
      <c r="AV657" s="75"/>
      <c r="AW657" s="75"/>
      <c r="AX657" s="75"/>
      <c r="AY657" s="67">
        <f t="shared" ca="1" si="1"/>
        <v>0</v>
      </c>
      <c r="AZ657" s="75"/>
      <c r="BA657" s="67">
        <f t="shared" ca="1" si="2"/>
        <v>0</v>
      </c>
      <c r="BB657" s="66"/>
      <c r="BC657" s="4"/>
      <c r="BD657" s="67"/>
      <c r="BE657" s="67"/>
      <c r="BF657" s="68"/>
      <c r="BG657" s="69"/>
      <c r="BH657" s="84"/>
      <c r="BI657" s="70"/>
      <c r="BJ657" s="73"/>
      <c r="BK657" s="78"/>
      <c r="BL657" s="78">
        <f t="shared" ca="1" si="3"/>
        <v>0</v>
      </c>
      <c r="BM657" s="78"/>
      <c r="BN657" s="78">
        <f t="shared" ca="1" si="4"/>
        <v>0</v>
      </c>
      <c r="BO657" s="66"/>
      <c r="BP657" s="66"/>
    </row>
    <row r="658" spans="1:68" ht="13.2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>
        <f t="shared" ref="AP658:AQ658" si="651">AR658+AT658+AV658</f>
        <v>0</v>
      </c>
      <c r="AQ658" s="75">
        <f t="shared" si="651"/>
        <v>0</v>
      </c>
      <c r="AR658" s="75"/>
      <c r="AS658" s="75"/>
      <c r="AT658" s="75"/>
      <c r="AU658" s="75"/>
      <c r="AV658" s="75"/>
      <c r="AW658" s="75"/>
      <c r="AX658" s="75"/>
      <c r="AY658" s="67">
        <f t="shared" ca="1" si="1"/>
        <v>0</v>
      </c>
      <c r="AZ658" s="75"/>
      <c r="BA658" s="67">
        <f t="shared" ca="1" si="2"/>
        <v>0</v>
      </c>
      <c r="BB658" s="66"/>
      <c r="BC658" s="4"/>
      <c r="BD658" s="67"/>
      <c r="BE658" s="67"/>
      <c r="BF658" s="68"/>
      <c r="BG658" s="69"/>
      <c r="BH658" s="84"/>
      <c r="BI658" s="70"/>
      <c r="BJ658" s="73"/>
      <c r="BK658" s="78"/>
      <c r="BL658" s="78">
        <f t="shared" ca="1" si="3"/>
        <v>0</v>
      </c>
      <c r="BM658" s="78"/>
      <c r="BN658" s="78">
        <f t="shared" ca="1" si="4"/>
        <v>0</v>
      </c>
      <c r="BO658" s="66"/>
      <c r="BP658" s="66"/>
    </row>
    <row r="659" spans="1:68" ht="13.2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>
        <f t="shared" ref="AP659:AQ659" si="652">AR659+AT659+AV659</f>
        <v>0</v>
      </c>
      <c r="AQ659" s="75">
        <f t="shared" si="652"/>
        <v>0</v>
      </c>
      <c r="AR659" s="75"/>
      <c r="AS659" s="75"/>
      <c r="AT659" s="75"/>
      <c r="AU659" s="75"/>
      <c r="AV659" s="75"/>
      <c r="AW659" s="75"/>
      <c r="AX659" s="75"/>
      <c r="AY659" s="67">
        <f t="shared" ca="1" si="1"/>
        <v>0</v>
      </c>
      <c r="AZ659" s="75"/>
      <c r="BA659" s="67">
        <f t="shared" ca="1" si="2"/>
        <v>0</v>
      </c>
      <c r="BB659" s="66"/>
      <c r="BC659" s="4"/>
      <c r="BD659" s="67"/>
      <c r="BE659" s="67"/>
      <c r="BF659" s="68"/>
      <c r="BG659" s="69"/>
      <c r="BH659" s="84"/>
      <c r="BI659" s="70"/>
      <c r="BJ659" s="73"/>
      <c r="BK659" s="78"/>
      <c r="BL659" s="78">
        <f t="shared" ca="1" si="3"/>
        <v>0</v>
      </c>
      <c r="BM659" s="78"/>
      <c r="BN659" s="78">
        <f t="shared" ca="1" si="4"/>
        <v>0</v>
      </c>
      <c r="BO659" s="66"/>
      <c r="BP659" s="66"/>
    </row>
    <row r="660" spans="1:68" ht="13.2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>
        <f t="shared" ref="AP660:AQ660" si="653">AR660+AT660+AV660</f>
        <v>0</v>
      </c>
      <c r="AQ660" s="75">
        <f t="shared" si="653"/>
        <v>0</v>
      </c>
      <c r="AR660" s="75"/>
      <c r="AS660" s="75"/>
      <c r="AT660" s="75"/>
      <c r="AU660" s="75"/>
      <c r="AV660" s="75"/>
      <c r="AW660" s="75"/>
      <c r="AX660" s="75"/>
      <c r="AY660" s="67">
        <f t="shared" ca="1" si="1"/>
        <v>0</v>
      </c>
      <c r="AZ660" s="75"/>
      <c r="BA660" s="67">
        <f t="shared" ca="1" si="2"/>
        <v>0</v>
      </c>
      <c r="BB660" s="66"/>
      <c r="BC660" s="4"/>
      <c r="BD660" s="67"/>
      <c r="BE660" s="67"/>
      <c r="BF660" s="68"/>
      <c r="BG660" s="69"/>
      <c r="BH660" s="84"/>
      <c r="BI660" s="70"/>
      <c r="BJ660" s="73"/>
      <c r="BK660" s="78"/>
      <c r="BL660" s="78">
        <f t="shared" ca="1" si="3"/>
        <v>0</v>
      </c>
      <c r="BM660" s="78"/>
      <c r="BN660" s="78">
        <f t="shared" ca="1" si="4"/>
        <v>0</v>
      </c>
      <c r="BO660" s="66"/>
      <c r="BP660" s="66"/>
    </row>
    <row r="661" spans="1:68" ht="13.2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>
        <f t="shared" ref="AP661:AQ661" si="654">AR661+AT661+AV661</f>
        <v>0</v>
      </c>
      <c r="AQ661" s="75">
        <f t="shared" si="654"/>
        <v>0</v>
      </c>
      <c r="AR661" s="75"/>
      <c r="AS661" s="75"/>
      <c r="AT661" s="75"/>
      <c r="AU661" s="75"/>
      <c r="AV661" s="75"/>
      <c r="AW661" s="75"/>
      <c r="AX661" s="75"/>
      <c r="AY661" s="67">
        <f t="shared" ca="1" si="1"/>
        <v>0</v>
      </c>
      <c r="AZ661" s="75"/>
      <c r="BA661" s="67">
        <f t="shared" ca="1" si="2"/>
        <v>0</v>
      </c>
      <c r="BB661" s="66"/>
      <c r="BC661" s="4"/>
      <c r="BD661" s="67"/>
      <c r="BE661" s="67"/>
      <c r="BF661" s="68"/>
      <c r="BG661" s="69"/>
      <c r="BH661" s="84"/>
      <c r="BI661" s="70"/>
      <c r="BJ661" s="73"/>
      <c r="BK661" s="78"/>
      <c r="BL661" s="78">
        <f t="shared" ca="1" si="3"/>
        <v>0</v>
      </c>
      <c r="BM661" s="78"/>
      <c r="BN661" s="78">
        <f t="shared" ca="1" si="4"/>
        <v>0</v>
      </c>
      <c r="BO661" s="66"/>
      <c r="BP661" s="66"/>
    </row>
    <row r="662" spans="1:68" ht="13.2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>
        <f t="shared" ref="AP662:AQ662" si="655">AR662+AT662+AV662</f>
        <v>0</v>
      </c>
      <c r="AQ662" s="75">
        <f t="shared" si="655"/>
        <v>0</v>
      </c>
      <c r="AR662" s="75"/>
      <c r="AS662" s="75"/>
      <c r="AT662" s="75"/>
      <c r="AU662" s="75"/>
      <c r="AV662" s="75"/>
      <c r="AW662" s="75"/>
      <c r="AX662" s="75"/>
      <c r="AY662" s="67">
        <f t="shared" ca="1" si="1"/>
        <v>0</v>
      </c>
      <c r="AZ662" s="75"/>
      <c r="BA662" s="67">
        <f t="shared" ca="1" si="2"/>
        <v>0</v>
      </c>
      <c r="BB662" s="66"/>
      <c r="BC662" s="4"/>
      <c r="BD662" s="67"/>
      <c r="BE662" s="67"/>
      <c r="BF662" s="68"/>
      <c r="BG662" s="69"/>
      <c r="BH662" s="70"/>
      <c r="BI662" s="70"/>
      <c r="BJ662" s="73"/>
      <c r="BK662" s="78"/>
      <c r="BL662" s="78">
        <f t="shared" ca="1" si="3"/>
        <v>0</v>
      </c>
      <c r="BM662" s="78"/>
      <c r="BN662" s="78">
        <f t="shared" ca="1" si="4"/>
        <v>0</v>
      </c>
      <c r="BO662" s="66"/>
      <c r="BP662" s="66"/>
    </row>
    <row r="663" spans="1:68" ht="13.2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>
        <f t="shared" ref="AP663:AQ663" si="656">AR663+AT663+AV663</f>
        <v>0</v>
      </c>
      <c r="AQ663" s="75">
        <f t="shared" si="656"/>
        <v>0</v>
      </c>
      <c r="AR663" s="75"/>
      <c r="AS663" s="75"/>
      <c r="AT663" s="75"/>
      <c r="AU663" s="75"/>
      <c r="AV663" s="75"/>
      <c r="AW663" s="75"/>
      <c r="AX663" s="75"/>
      <c r="AY663" s="67">
        <f t="shared" ca="1" si="1"/>
        <v>0</v>
      </c>
      <c r="AZ663" s="75"/>
      <c r="BA663" s="67">
        <f t="shared" ca="1" si="2"/>
        <v>0</v>
      </c>
      <c r="BB663" s="66"/>
      <c r="BC663" s="4"/>
      <c r="BD663" s="67"/>
      <c r="BE663" s="67"/>
      <c r="BF663" s="68"/>
      <c r="BG663" s="69"/>
      <c r="BH663" s="84"/>
      <c r="BI663" s="70"/>
      <c r="BJ663" s="73"/>
      <c r="BK663" s="78"/>
      <c r="BL663" s="78">
        <f t="shared" ca="1" si="3"/>
        <v>0</v>
      </c>
      <c r="BM663" s="78"/>
      <c r="BN663" s="78">
        <f t="shared" ca="1" si="4"/>
        <v>0</v>
      </c>
      <c r="BO663" s="66"/>
      <c r="BP663" s="66"/>
    </row>
    <row r="664" spans="1:68" ht="13.2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>
        <f t="shared" ref="AP664:AQ664" si="657">AR664+AT664+AV664</f>
        <v>0</v>
      </c>
      <c r="AQ664" s="75">
        <f t="shared" si="657"/>
        <v>0</v>
      </c>
      <c r="AR664" s="75"/>
      <c r="AS664" s="75"/>
      <c r="AT664" s="75"/>
      <c r="AU664" s="75"/>
      <c r="AV664" s="75"/>
      <c r="AW664" s="75"/>
      <c r="AX664" s="75"/>
      <c r="AY664" s="67">
        <f t="shared" ca="1" si="1"/>
        <v>0</v>
      </c>
      <c r="AZ664" s="75"/>
      <c r="BA664" s="67">
        <f t="shared" ca="1" si="2"/>
        <v>0</v>
      </c>
      <c r="BB664" s="66"/>
      <c r="BC664" s="4"/>
      <c r="BD664" s="67"/>
      <c r="BE664" s="67"/>
      <c r="BF664" s="68"/>
      <c r="BG664" s="69"/>
      <c r="BH664" s="84"/>
      <c r="BI664" s="70"/>
      <c r="BJ664" s="73"/>
      <c r="BK664" s="78"/>
      <c r="BL664" s="78">
        <f t="shared" ca="1" si="3"/>
        <v>0</v>
      </c>
      <c r="BM664" s="78"/>
      <c r="BN664" s="78">
        <f t="shared" ca="1" si="4"/>
        <v>0</v>
      </c>
      <c r="BO664" s="66"/>
      <c r="BP664" s="66"/>
    </row>
    <row r="665" spans="1:68" ht="13.2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>
        <f t="shared" ref="AP665:AQ665" si="658">AR665+AT665+AV665</f>
        <v>0</v>
      </c>
      <c r="AQ665" s="75">
        <f t="shared" si="658"/>
        <v>0</v>
      </c>
      <c r="AR665" s="75"/>
      <c r="AS665" s="75"/>
      <c r="AT665" s="75"/>
      <c r="AU665" s="75"/>
      <c r="AV665" s="75"/>
      <c r="AW665" s="75"/>
      <c r="AX665" s="75"/>
      <c r="AY665" s="67">
        <f t="shared" ca="1" si="1"/>
        <v>0</v>
      </c>
      <c r="AZ665" s="75"/>
      <c r="BA665" s="67">
        <f t="shared" ca="1" si="2"/>
        <v>0</v>
      </c>
      <c r="BB665" s="66"/>
      <c r="BC665" s="4"/>
      <c r="BD665" s="67"/>
      <c r="BE665" s="67"/>
      <c r="BF665" s="68"/>
      <c r="BG665" s="69"/>
      <c r="BH665" s="84"/>
      <c r="BI665" s="70"/>
      <c r="BJ665" s="73"/>
      <c r="BK665" s="78"/>
      <c r="BL665" s="78">
        <f t="shared" ca="1" si="3"/>
        <v>0</v>
      </c>
      <c r="BM665" s="78"/>
      <c r="BN665" s="78">
        <f t="shared" ca="1" si="4"/>
        <v>0</v>
      </c>
      <c r="BO665" s="66"/>
      <c r="BP665" s="66"/>
    </row>
    <row r="666" spans="1:68" ht="13.2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>
        <f t="shared" ref="AP666:AQ666" si="659">AR666+AT666+AV666</f>
        <v>0</v>
      </c>
      <c r="AQ666" s="75">
        <f t="shared" si="659"/>
        <v>0</v>
      </c>
      <c r="AR666" s="75"/>
      <c r="AS666" s="75"/>
      <c r="AT666" s="75"/>
      <c r="AU666" s="75"/>
      <c r="AV666" s="75"/>
      <c r="AW666" s="75"/>
      <c r="AX666" s="75"/>
      <c r="AY666" s="67">
        <f t="shared" ca="1" si="1"/>
        <v>0</v>
      </c>
      <c r="AZ666" s="75"/>
      <c r="BA666" s="67">
        <f t="shared" ca="1" si="2"/>
        <v>0</v>
      </c>
      <c r="BB666" s="66"/>
      <c r="BC666" s="4"/>
      <c r="BD666" s="67"/>
      <c r="BE666" s="67"/>
      <c r="BF666" s="68"/>
      <c r="BG666" s="69"/>
      <c r="BH666" s="84"/>
      <c r="BI666" s="70"/>
      <c r="BJ666" s="73"/>
      <c r="BK666" s="78"/>
      <c r="BL666" s="78">
        <f t="shared" ca="1" si="3"/>
        <v>0</v>
      </c>
      <c r="BM666" s="78"/>
      <c r="BN666" s="78">
        <f t="shared" ca="1" si="4"/>
        <v>0</v>
      </c>
      <c r="BO666" s="66"/>
      <c r="BP666" s="66"/>
    </row>
    <row r="667" spans="1:68" ht="13.2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>
        <f t="shared" ref="AP667:AQ667" si="660">AR667+AT667+AV667</f>
        <v>0</v>
      </c>
      <c r="AQ667" s="75">
        <f t="shared" si="660"/>
        <v>0</v>
      </c>
      <c r="AR667" s="75"/>
      <c r="AS667" s="75"/>
      <c r="AT667" s="75"/>
      <c r="AU667" s="75"/>
      <c r="AV667" s="75"/>
      <c r="AW667" s="75"/>
      <c r="AX667" s="75"/>
      <c r="AY667" s="67">
        <f t="shared" ca="1" si="1"/>
        <v>0</v>
      </c>
      <c r="AZ667" s="75"/>
      <c r="BA667" s="67">
        <f t="shared" ca="1" si="2"/>
        <v>0</v>
      </c>
      <c r="BB667" s="66"/>
      <c r="BC667" s="4"/>
      <c r="BD667" s="67"/>
      <c r="BE667" s="67"/>
      <c r="BF667" s="68"/>
      <c r="BG667" s="69"/>
      <c r="BH667" s="84"/>
      <c r="BI667" s="70"/>
      <c r="BJ667" s="73"/>
      <c r="BK667" s="78"/>
      <c r="BL667" s="78">
        <f t="shared" ca="1" si="3"/>
        <v>0</v>
      </c>
      <c r="BM667" s="78"/>
      <c r="BN667" s="78">
        <f t="shared" ca="1" si="4"/>
        <v>0</v>
      </c>
      <c r="BO667" s="66"/>
      <c r="BP667" s="66"/>
    </row>
    <row r="668" spans="1:68" ht="13.2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>
        <f t="shared" ref="AP668:AQ668" si="661">AR668+AT668+AV668</f>
        <v>0</v>
      </c>
      <c r="AQ668" s="75">
        <f t="shared" si="661"/>
        <v>0</v>
      </c>
      <c r="AR668" s="75"/>
      <c r="AS668" s="75"/>
      <c r="AT668" s="75"/>
      <c r="AU668" s="75"/>
      <c r="AV668" s="75"/>
      <c r="AW668" s="75"/>
      <c r="AX668" s="75"/>
      <c r="AY668" s="67">
        <f t="shared" ca="1" si="1"/>
        <v>0</v>
      </c>
      <c r="AZ668" s="75"/>
      <c r="BA668" s="67">
        <f t="shared" ca="1" si="2"/>
        <v>0</v>
      </c>
      <c r="BB668" s="66"/>
      <c r="BC668" s="4"/>
      <c r="BD668" s="67"/>
      <c r="BE668" s="67"/>
      <c r="BF668" s="68"/>
      <c r="BG668" s="69"/>
      <c r="BH668" s="84"/>
      <c r="BI668" s="70"/>
      <c r="BJ668" s="73"/>
      <c r="BK668" s="78"/>
      <c r="BL668" s="78">
        <f t="shared" ca="1" si="3"/>
        <v>0</v>
      </c>
      <c r="BM668" s="78"/>
      <c r="BN668" s="78">
        <f t="shared" ca="1" si="4"/>
        <v>0</v>
      </c>
      <c r="BO668" s="66"/>
      <c r="BP668" s="66"/>
    </row>
    <row r="669" spans="1:68" ht="13.2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>
        <f t="shared" ref="AP669:AQ669" si="662">AR669+AT669+AV669</f>
        <v>0</v>
      </c>
      <c r="AQ669" s="75">
        <f t="shared" si="662"/>
        <v>0</v>
      </c>
      <c r="AR669" s="75"/>
      <c r="AS669" s="75"/>
      <c r="AT669" s="75"/>
      <c r="AU669" s="75"/>
      <c r="AV669" s="75"/>
      <c r="AW669" s="75"/>
      <c r="AX669" s="75"/>
      <c r="AY669" s="67">
        <f t="shared" ca="1" si="1"/>
        <v>0</v>
      </c>
      <c r="AZ669" s="75"/>
      <c r="BA669" s="67">
        <f t="shared" ca="1" si="2"/>
        <v>0</v>
      </c>
      <c r="BB669" s="66"/>
      <c r="BC669" s="4"/>
      <c r="BD669" s="67"/>
      <c r="BE669" s="67"/>
      <c r="BF669" s="68"/>
      <c r="BG669" s="69"/>
      <c r="BH669" s="84"/>
      <c r="BI669" s="70"/>
      <c r="BJ669" s="73"/>
      <c r="BK669" s="78"/>
      <c r="BL669" s="78">
        <f t="shared" ca="1" si="3"/>
        <v>0</v>
      </c>
      <c r="BM669" s="78"/>
      <c r="BN669" s="78">
        <f t="shared" ca="1" si="4"/>
        <v>0</v>
      </c>
      <c r="BO669" s="66"/>
      <c r="BP669" s="66"/>
    </row>
    <row r="670" spans="1:68" ht="13.2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>
        <f t="shared" ref="AP670:AQ670" si="663">AR670+AT670+AV670</f>
        <v>0</v>
      </c>
      <c r="AQ670" s="75">
        <f t="shared" si="663"/>
        <v>0</v>
      </c>
      <c r="AR670" s="75"/>
      <c r="AS670" s="75"/>
      <c r="AT670" s="75"/>
      <c r="AU670" s="75"/>
      <c r="AV670" s="75"/>
      <c r="AW670" s="75"/>
      <c r="AX670" s="75"/>
      <c r="AY670" s="67">
        <f t="shared" ca="1" si="1"/>
        <v>0</v>
      </c>
      <c r="AZ670" s="75"/>
      <c r="BA670" s="67">
        <f t="shared" ca="1" si="2"/>
        <v>0</v>
      </c>
      <c r="BB670" s="66"/>
      <c r="BC670" s="4"/>
      <c r="BD670" s="67"/>
      <c r="BE670" s="67"/>
      <c r="BF670" s="68"/>
      <c r="BG670" s="69"/>
      <c r="BH670" s="84"/>
      <c r="BI670" s="70"/>
      <c r="BJ670" s="73"/>
      <c r="BK670" s="78"/>
      <c r="BL670" s="78">
        <f t="shared" ca="1" si="3"/>
        <v>0</v>
      </c>
      <c r="BM670" s="78"/>
      <c r="BN670" s="78">
        <f t="shared" ca="1" si="4"/>
        <v>0</v>
      </c>
      <c r="BO670" s="66"/>
      <c r="BP670" s="66"/>
    </row>
    <row r="671" spans="1:68" ht="13.2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>
        <f t="shared" ref="AP671:AQ671" si="664">AR671+AT671+AV671</f>
        <v>0</v>
      </c>
      <c r="AQ671" s="75">
        <f t="shared" si="664"/>
        <v>0</v>
      </c>
      <c r="AR671" s="75"/>
      <c r="AS671" s="75"/>
      <c r="AT671" s="75"/>
      <c r="AU671" s="75"/>
      <c r="AV671" s="75"/>
      <c r="AW671" s="75"/>
      <c r="AX671" s="75"/>
      <c r="AY671" s="67">
        <f t="shared" ca="1" si="1"/>
        <v>0</v>
      </c>
      <c r="AZ671" s="75"/>
      <c r="BA671" s="67">
        <f t="shared" ca="1" si="2"/>
        <v>0</v>
      </c>
      <c r="BB671" s="66"/>
      <c r="BC671" s="4"/>
      <c r="BD671" s="67"/>
      <c r="BE671" s="67"/>
      <c r="BF671" s="68"/>
      <c r="BG671" s="69"/>
      <c r="BH671" s="84"/>
      <c r="BI671" s="70"/>
      <c r="BJ671" s="73"/>
      <c r="BK671" s="78"/>
      <c r="BL671" s="78">
        <f t="shared" ca="1" si="3"/>
        <v>0</v>
      </c>
      <c r="BM671" s="78"/>
      <c r="BN671" s="78">
        <f t="shared" ca="1" si="4"/>
        <v>0</v>
      </c>
      <c r="BO671" s="66"/>
      <c r="BP671" s="66"/>
    </row>
    <row r="672" spans="1:68" ht="13.2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>
        <f t="shared" ref="AP672:AQ672" si="665">AR672+AT672+AV672</f>
        <v>0</v>
      </c>
      <c r="AQ672" s="75">
        <f t="shared" si="665"/>
        <v>0</v>
      </c>
      <c r="AR672" s="75"/>
      <c r="AS672" s="75"/>
      <c r="AT672" s="75"/>
      <c r="AU672" s="75"/>
      <c r="AV672" s="75"/>
      <c r="AW672" s="75"/>
      <c r="AX672" s="75"/>
      <c r="AY672" s="67">
        <f t="shared" ca="1" si="1"/>
        <v>0</v>
      </c>
      <c r="AZ672" s="75"/>
      <c r="BA672" s="67">
        <f t="shared" ca="1" si="2"/>
        <v>0</v>
      </c>
      <c r="BB672" s="66"/>
      <c r="BC672" s="4"/>
      <c r="BD672" s="67"/>
      <c r="BE672" s="67"/>
      <c r="BF672" s="68"/>
      <c r="BG672" s="69"/>
      <c r="BH672" s="84"/>
      <c r="BI672" s="70"/>
      <c r="BJ672" s="73"/>
      <c r="BK672" s="78"/>
      <c r="BL672" s="78">
        <f t="shared" ca="1" si="3"/>
        <v>0</v>
      </c>
      <c r="BM672" s="78"/>
      <c r="BN672" s="78">
        <f t="shared" ca="1" si="4"/>
        <v>0</v>
      </c>
      <c r="BO672" s="66"/>
      <c r="BP672" s="66"/>
    </row>
    <row r="673" spans="1:68" ht="13.2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>
        <f t="shared" ref="AP673:AQ673" si="666">AR673+AT673+AV673</f>
        <v>0</v>
      </c>
      <c r="AQ673" s="75">
        <f t="shared" si="666"/>
        <v>0</v>
      </c>
      <c r="AR673" s="75"/>
      <c r="AS673" s="75"/>
      <c r="AT673" s="75"/>
      <c r="AU673" s="75"/>
      <c r="AV673" s="75"/>
      <c r="AW673" s="75"/>
      <c r="AX673" s="75"/>
      <c r="AY673" s="67">
        <f t="shared" ca="1" si="1"/>
        <v>0</v>
      </c>
      <c r="AZ673" s="75"/>
      <c r="BA673" s="67">
        <f t="shared" ca="1" si="2"/>
        <v>0</v>
      </c>
      <c r="BB673" s="66"/>
      <c r="BC673" s="4"/>
      <c r="BD673" s="67"/>
      <c r="BE673" s="67"/>
      <c r="BF673" s="68"/>
      <c r="BG673" s="69"/>
      <c r="BH673" s="84"/>
      <c r="BI673" s="70"/>
      <c r="BJ673" s="73"/>
      <c r="BK673" s="78"/>
      <c r="BL673" s="78">
        <f t="shared" ca="1" si="3"/>
        <v>0</v>
      </c>
      <c r="BM673" s="78"/>
      <c r="BN673" s="78">
        <f t="shared" ca="1" si="4"/>
        <v>0</v>
      </c>
      <c r="BO673" s="66"/>
      <c r="BP673" s="66"/>
    </row>
    <row r="674" spans="1:68" ht="13.2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>
        <f t="shared" ref="AP674:AQ674" si="667">AR674+AT674+AV674</f>
        <v>0</v>
      </c>
      <c r="AQ674" s="75">
        <f t="shared" si="667"/>
        <v>0</v>
      </c>
      <c r="AR674" s="75"/>
      <c r="AS674" s="75"/>
      <c r="AT674" s="75"/>
      <c r="AU674" s="75"/>
      <c r="AV674" s="75"/>
      <c r="AW674" s="75"/>
      <c r="AX674" s="75"/>
      <c r="AY674" s="67">
        <f t="shared" ca="1" si="1"/>
        <v>0</v>
      </c>
      <c r="AZ674" s="75"/>
      <c r="BA674" s="67">
        <f t="shared" ca="1" si="2"/>
        <v>0</v>
      </c>
      <c r="BB674" s="66"/>
      <c r="BC674" s="4"/>
      <c r="BD674" s="67"/>
      <c r="BE674" s="67"/>
      <c r="BF674" s="68"/>
      <c r="BG674" s="69"/>
      <c r="BH674" s="84"/>
      <c r="BI674" s="70"/>
      <c r="BJ674" s="73"/>
      <c r="BK674" s="78"/>
      <c r="BL674" s="78">
        <f t="shared" ca="1" si="3"/>
        <v>0</v>
      </c>
      <c r="BM674" s="78"/>
      <c r="BN674" s="78">
        <f t="shared" ca="1" si="4"/>
        <v>0</v>
      </c>
      <c r="BO674" s="66"/>
      <c r="BP674" s="66"/>
    </row>
    <row r="675" spans="1:68" ht="13.2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>
        <f t="shared" ref="AP675:AQ675" si="668">AR675+AT675+AV675</f>
        <v>0</v>
      </c>
      <c r="AQ675" s="75">
        <f t="shared" si="668"/>
        <v>0</v>
      </c>
      <c r="AR675" s="75"/>
      <c r="AS675" s="75"/>
      <c r="AT675" s="75"/>
      <c r="AU675" s="75"/>
      <c r="AV675" s="75"/>
      <c r="AW675" s="75"/>
      <c r="AX675" s="75"/>
      <c r="AY675" s="67">
        <f t="shared" ca="1" si="1"/>
        <v>0</v>
      </c>
      <c r="AZ675" s="75"/>
      <c r="BA675" s="67">
        <f t="shared" ca="1" si="2"/>
        <v>0</v>
      </c>
      <c r="BB675" s="66"/>
      <c r="BC675" s="4"/>
      <c r="BD675" s="67"/>
      <c r="BE675" s="67"/>
      <c r="BF675" s="68"/>
      <c r="BG675" s="69"/>
      <c r="BH675" s="84"/>
      <c r="BI675" s="70"/>
      <c r="BJ675" s="73"/>
      <c r="BK675" s="78"/>
      <c r="BL675" s="78">
        <f t="shared" ca="1" si="3"/>
        <v>0</v>
      </c>
      <c r="BM675" s="78"/>
      <c r="BN675" s="78">
        <f t="shared" ca="1" si="4"/>
        <v>0</v>
      </c>
      <c r="BO675" s="66"/>
      <c r="BP675" s="66"/>
    </row>
    <row r="676" spans="1:68" ht="13.2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>
        <f t="shared" ref="AP676:AQ676" si="669">AR676+AT676+AV676</f>
        <v>0</v>
      </c>
      <c r="AQ676" s="75">
        <f t="shared" si="669"/>
        <v>0</v>
      </c>
      <c r="AR676" s="75"/>
      <c r="AS676" s="75"/>
      <c r="AT676" s="75"/>
      <c r="AU676" s="75"/>
      <c r="AV676" s="75"/>
      <c r="AW676" s="75"/>
      <c r="AX676" s="75"/>
      <c r="AY676" s="67">
        <f t="shared" ca="1" si="1"/>
        <v>0</v>
      </c>
      <c r="AZ676" s="75"/>
      <c r="BA676" s="67">
        <f t="shared" ca="1" si="2"/>
        <v>0</v>
      </c>
      <c r="BB676" s="66"/>
      <c r="BC676" s="4"/>
      <c r="BD676" s="67"/>
      <c r="BE676" s="67"/>
      <c r="BF676" s="68"/>
      <c r="BG676" s="69"/>
      <c r="BH676" s="84"/>
      <c r="BI676" s="70"/>
      <c r="BJ676" s="73"/>
      <c r="BK676" s="78"/>
      <c r="BL676" s="78">
        <f t="shared" ca="1" si="3"/>
        <v>0</v>
      </c>
      <c r="BM676" s="78"/>
      <c r="BN676" s="78">
        <f t="shared" ca="1" si="4"/>
        <v>0</v>
      </c>
      <c r="BO676" s="66"/>
      <c r="BP676" s="66"/>
    </row>
    <row r="677" spans="1:68" ht="13.2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>
        <f t="shared" ref="AP677:AQ677" si="670">AR677+AT677+AV677</f>
        <v>0</v>
      </c>
      <c r="AQ677" s="75">
        <f t="shared" si="670"/>
        <v>0</v>
      </c>
      <c r="AR677" s="75"/>
      <c r="AS677" s="75"/>
      <c r="AT677" s="75"/>
      <c r="AU677" s="75"/>
      <c r="AV677" s="75"/>
      <c r="AW677" s="75"/>
      <c r="AX677" s="75"/>
      <c r="AY677" s="67">
        <f t="shared" ca="1" si="1"/>
        <v>0</v>
      </c>
      <c r="AZ677" s="75"/>
      <c r="BA677" s="67">
        <f t="shared" ca="1" si="2"/>
        <v>0</v>
      </c>
      <c r="BB677" s="66"/>
      <c r="BC677" s="4"/>
      <c r="BD677" s="67"/>
      <c r="BE677" s="67"/>
      <c r="BF677" s="68"/>
      <c r="BG677" s="69"/>
      <c r="BH677" s="84"/>
      <c r="BI677" s="70"/>
      <c r="BJ677" s="73"/>
      <c r="BK677" s="78"/>
      <c r="BL677" s="78">
        <f t="shared" ca="1" si="3"/>
        <v>0</v>
      </c>
      <c r="BM677" s="78"/>
      <c r="BN677" s="78">
        <f t="shared" ca="1" si="4"/>
        <v>0</v>
      </c>
      <c r="BO677" s="66"/>
      <c r="BP677" s="66"/>
    </row>
    <row r="678" spans="1:68" ht="13.2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>
        <f t="shared" ref="AP678:AQ678" si="671">AR678+AT678+AV678</f>
        <v>0</v>
      </c>
      <c r="AQ678" s="75">
        <f t="shared" si="671"/>
        <v>0</v>
      </c>
      <c r="AR678" s="75"/>
      <c r="AS678" s="75"/>
      <c r="AT678" s="75"/>
      <c r="AU678" s="75"/>
      <c r="AV678" s="75"/>
      <c r="AW678" s="75"/>
      <c r="AX678" s="75"/>
      <c r="AY678" s="67">
        <f t="shared" ca="1" si="1"/>
        <v>0</v>
      </c>
      <c r="AZ678" s="75"/>
      <c r="BA678" s="67">
        <f t="shared" ca="1" si="2"/>
        <v>0</v>
      </c>
      <c r="BB678" s="66"/>
      <c r="BC678" s="4"/>
      <c r="BD678" s="67"/>
      <c r="BE678" s="67"/>
      <c r="BF678" s="68"/>
      <c r="BG678" s="69"/>
      <c r="BH678" s="84"/>
      <c r="BI678" s="70"/>
      <c r="BJ678" s="73"/>
      <c r="BK678" s="78"/>
      <c r="BL678" s="78">
        <f t="shared" ca="1" si="3"/>
        <v>0</v>
      </c>
      <c r="BM678" s="78"/>
      <c r="BN678" s="78">
        <f t="shared" ca="1" si="4"/>
        <v>0</v>
      </c>
      <c r="BO678" s="66"/>
      <c r="BP678" s="66"/>
    </row>
    <row r="679" spans="1:68" ht="13.2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>
        <f t="shared" ref="AP679:AQ679" si="672">AR679+AT679+AV679</f>
        <v>0</v>
      </c>
      <c r="AQ679" s="75">
        <f t="shared" si="672"/>
        <v>0</v>
      </c>
      <c r="AR679" s="75"/>
      <c r="AS679" s="75"/>
      <c r="AT679" s="75"/>
      <c r="AU679" s="75"/>
      <c r="AV679" s="75"/>
      <c r="AW679" s="75"/>
      <c r="AX679" s="75"/>
      <c r="AY679" s="67">
        <f t="shared" ca="1" si="1"/>
        <v>0</v>
      </c>
      <c r="AZ679" s="75"/>
      <c r="BA679" s="67">
        <f t="shared" ca="1" si="2"/>
        <v>0</v>
      </c>
      <c r="BB679" s="66"/>
      <c r="BC679" s="4"/>
      <c r="BD679" s="67"/>
      <c r="BE679" s="67"/>
      <c r="BF679" s="68"/>
      <c r="BG679" s="69"/>
      <c r="BH679" s="84"/>
      <c r="BI679" s="70"/>
      <c r="BJ679" s="73"/>
      <c r="BK679" s="78"/>
      <c r="BL679" s="78">
        <f t="shared" ca="1" si="3"/>
        <v>0</v>
      </c>
      <c r="BM679" s="78"/>
      <c r="BN679" s="78">
        <f t="shared" ca="1" si="4"/>
        <v>0</v>
      </c>
      <c r="BO679" s="66"/>
      <c r="BP679" s="66"/>
    </row>
    <row r="680" spans="1:68" ht="13.2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>
        <f t="shared" ref="AP680:AQ680" si="673">AR680+AT680+AV680</f>
        <v>0</v>
      </c>
      <c r="AQ680" s="75">
        <f t="shared" si="673"/>
        <v>0</v>
      </c>
      <c r="AR680" s="75"/>
      <c r="AS680" s="75"/>
      <c r="AT680" s="75"/>
      <c r="AU680" s="75"/>
      <c r="AV680" s="75"/>
      <c r="AW680" s="75"/>
      <c r="AX680" s="75"/>
      <c r="AY680" s="67">
        <f t="shared" ca="1" si="1"/>
        <v>0</v>
      </c>
      <c r="AZ680" s="75"/>
      <c r="BA680" s="67">
        <f t="shared" ca="1" si="2"/>
        <v>0</v>
      </c>
      <c r="BB680" s="66"/>
      <c r="BC680" s="4"/>
      <c r="BD680" s="67"/>
      <c r="BE680" s="67"/>
      <c r="BF680" s="68"/>
      <c r="BG680" s="69"/>
      <c r="BH680" s="84"/>
      <c r="BI680" s="70"/>
      <c r="BJ680" s="73"/>
      <c r="BK680" s="78"/>
      <c r="BL680" s="78">
        <f t="shared" ca="1" si="3"/>
        <v>0</v>
      </c>
      <c r="BM680" s="78"/>
      <c r="BN680" s="78">
        <f t="shared" ca="1" si="4"/>
        <v>0</v>
      </c>
      <c r="BO680" s="66"/>
      <c r="BP680" s="66"/>
    </row>
    <row r="681" spans="1:68" ht="13.2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>
        <f t="shared" ref="AP681:AQ681" si="674">AR681+AT681+AV681</f>
        <v>0</v>
      </c>
      <c r="AQ681" s="75">
        <f t="shared" si="674"/>
        <v>0</v>
      </c>
      <c r="AR681" s="75"/>
      <c r="AS681" s="75"/>
      <c r="AT681" s="75"/>
      <c r="AU681" s="75"/>
      <c r="AV681" s="75"/>
      <c r="AW681" s="75"/>
      <c r="AX681" s="75"/>
      <c r="AY681" s="67">
        <f t="shared" ca="1" si="1"/>
        <v>0</v>
      </c>
      <c r="AZ681" s="75"/>
      <c r="BA681" s="67">
        <f t="shared" ca="1" si="2"/>
        <v>0</v>
      </c>
      <c r="BB681" s="66"/>
      <c r="BC681" s="4"/>
      <c r="BD681" s="67"/>
      <c r="BE681" s="67"/>
      <c r="BF681" s="68"/>
      <c r="BG681" s="69"/>
      <c r="BH681" s="84"/>
      <c r="BI681" s="70"/>
      <c r="BJ681" s="73"/>
      <c r="BK681" s="78"/>
      <c r="BL681" s="78">
        <f t="shared" ca="1" si="3"/>
        <v>0</v>
      </c>
      <c r="BM681" s="78"/>
      <c r="BN681" s="78">
        <f t="shared" ca="1" si="4"/>
        <v>0</v>
      </c>
      <c r="BO681" s="66"/>
      <c r="BP681" s="66"/>
    </row>
    <row r="682" spans="1:68" ht="13.2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>
        <f t="shared" ref="AP682:AQ682" si="675">AR682+AT682+AV682</f>
        <v>0</v>
      </c>
      <c r="AQ682" s="75">
        <f t="shared" si="675"/>
        <v>0</v>
      </c>
      <c r="AR682" s="75"/>
      <c r="AS682" s="75"/>
      <c r="AT682" s="75"/>
      <c r="AU682" s="75"/>
      <c r="AV682" s="75"/>
      <c r="AW682" s="75"/>
      <c r="AX682" s="75"/>
      <c r="AY682" s="67">
        <f t="shared" ca="1" si="1"/>
        <v>0</v>
      </c>
      <c r="AZ682" s="75"/>
      <c r="BA682" s="67">
        <f t="shared" ca="1" si="2"/>
        <v>0</v>
      </c>
      <c r="BB682" s="66"/>
      <c r="BC682" s="4"/>
      <c r="BD682" s="67"/>
      <c r="BE682" s="67"/>
      <c r="BF682" s="68"/>
      <c r="BG682" s="69"/>
      <c r="BH682" s="70"/>
      <c r="BI682" s="70"/>
      <c r="BJ682" s="73"/>
      <c r="BK682" s="78"/>
      <c r="BL682" s="78">
        <f t="shared" ca="1" si="3"/>
        <v>0</v>
      </c>
      <c r="BM682" s="78"/>
      <c r="BN682" s="78">
        <f t="shared" ca="1" si="4"/>
        <v>0</v>
      </c>
      <c r="BO682" s="66"/>
      <c r="BP682" s="66"/>
    </row>
    <row r="683" spans="1:68" ht="13.2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>
        <f t="shared" ref="AP683:AQ683" si="676">AR683+AT683+AV683</f>
        <v>0</v>
      </c>
      <c r="AQ683" s="75">
        <f t="shared" si="676"/>
        <v>0</v>
      </c>
      <c r="AR683" s="75"/>
      <c r="AS683" s="75"/>
      <c r="AT683" s="75"/>
      <c r="AU683" s="75"/>
      <c r="AV683" s="75"/>
      <c r="AW683" s="75"/>
      <c r="AX683" s="75"/>
      <c r="AY683" s="67">
        <f t="shared" ca="1" si="1"/>
        <v>0</v>
      </c>
      <c r="AZ683" s="75"/>
      <c r="BA683" s="67">
        <f t="shared" ca="1" si="2"/>
        <v>0</v>
      </c>
      <c r="BB683" s="66"/>
      <c r="BC683" s="4"/>
      <c r="BD683" s="67"/>
      <c r="BE683" s="67"/>
      <c r="BF683" s="68"/>
      <c r="BG683" s="69"/>
      <c r="BH683" s="84"/>
      <c r="BI683" s="70"/>
      <c r="BJ683" s="73"/>
      <c r="BK683" s="78"/>
      <c r="BL683" s="78">
        <f t="shared" ca="1" si="3"/>
        <v>0</v>
      </c>
      <c r="BM683" s="78"/>
      <c r="BN683" s="78">
        <f t="shared" ca="1" si="4"/>
        <v>0</v>
      </c>
      <c r="BO683" s="66"/>
      <c r="BP683" s="66"/>
    </row>
    <row r="684" spans="1:68" ht="13.2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>
        <f t="shared" ref="AP684:AQ684" si="677">AR684+AT684+AV684</f>
        <v>0</v>
      </c>
      <c r="AQ684" s="75">
        <f t="shared" si="677"/>
        <v>0</v>
      </c>
      <c r="AR684" s="75"/>
      <c r="AS684" s="75"/>
      <c r="AT684" s="75"/>
      <c r="AU684" s="75"/>
      <c r="AV684" s="75"/>
      <c r="AW684" s="75"/>
      <c r="AX684" s="75"/>
      <c r="AY684" s="67">
        <f t="shared" ca="1" si="1"/>
        <v>0</v>
      </c>
      <c r="AZ684" s="75"/>
      <c r="BA684" s="67">
        <f t="shared" ca="1" si="2"/>
        <v>0</v>
      </c>
      <c r="BB684" s="66"/>
      <c r="BC684" s="4"/>
      <c r="BD684" s="67"/>
      <c r="BE684" s="67"/>
      <c r="BF684" s="68"/>
      <c r="BG684" s="69"/>
      <c r="BH684" s="84"/>
      <c r="BI684" s="70"/>
      <c r="BJ684" s="73"/>
      <c r="BK684" s="78"/>
      <c r="BL684" s="78">
        <f t="shared" ca="1" si="3"/>
        <v>0</v>
      </c>
      <c r="BM684" s="78"/>
      <c r="BN684" s="78">
        <f t="shared" ca="1" si="4"/>
        <v>0</v>
      </c>
      <c r="BO684" s="66"/>
      <c r="BP684" s="66"/>
    </row>
    <row r="685" spans="1:68" ht="13.2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>
        <f t="shared" ref="AP685:AQ685" si="678">AR685+AT685+AV685</f>
        <v>0</v>
      </c>
      <c r="AQ685" s="75">
        <f t="shared" si="678"/>
        <v>0</v>
      </c>
      <c r="AR685" s="75"/>
      <c r="AS685" s="75"/>
      <c r="AT685" s="75"/>
      <c r="AU685" s="75"/>
      <c r="AV685" s="75"/>
      <c r="AW685" s="75"/>
      <c r="AX685" s="75"/>
      <c r="AY685" s="67">
        <f t="shared" ca="1" si="1"/>
        <v>0</v>
      </c>
      <c r="AZ685" s="75"/>
      <c r="BA685" s="67">
        <f t="shared" ca="1" si="2"/>
        <v>0</v>
      </c>
      <c r="BB685" s="66"/>
      <c r="BC685" s="4"/>
      <c r="BD685" s="67"/>
      <c r="BE685" s="67"/>
      <c r="BF685" s="68"/>
      <c r="BG685" s="69"/>
      <c r="BH685" s="84"/>
      <c r="BI685" s="70"/>
      <c r="BJ685" s="73"/>
      <c r="BK685" s="78"/>
      <c r="BL685" s="78">
        <f t="shared" ca="1" si="3"/>
        <v>0</v>
      </c>
      <c r="BM685" s="78"/>
      <c r="BN685" s="78">
        <f t="shared" ca="1" si="4"/>
        <v>0</v>
      </c>
      <c r="BO685" s="66"/>
      <c r="BP685" s="66"/>
    </row>
    <row r="686" spans="1:68" ht="13.2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>
        <f t="shared" ref="AP686:AQ686" si="679">AR686+AT686+AV686</f>
        <v>0</v>
      </c>
      <c r="AQ686" s="75">
        <f t="shared" si="679"/>
        <v>0</v>
      </c>
      <c r="AR686" s="75"/>
      <c r="AS686" s="75"/>
      <c r="AT686" s="75"/>
      <c r="AU686" s="75"/>
      <c r="AV686" s="75"/>
      <c r="AW686" s="75"/>
      <c r="AX686" s="75"/>
      <c r="AY686" s="67">
        <f t="shared" ca="1" si="1"/>
        <v>0</v>
      </c>
      <c r="AZ686" s="75"/>
      <c r="BA686" s="67">
        <f t="shared" ca="1" si="2"/>
        <v>0</v>
      </c>
      <c r="BB686" s="66"/>
      <c r="BC686" s="4"/>
      <c r="BD686" s="67"/>
      <c r="BE686" s="67"/>
      <c r="BF686" s="68"/>
      <c r="BG686" s="69"/>
      <c r="BH686" s="84"/>
      <c r="BI686" s="70"/>
      <c r="BJ686" s="73"/>
      <c r="BK686" s="78"/>
      <c r="BL686" s="78">
        <f t="shared" ca="1" si="3"/>
        <v>0</v>
      </c>
      <c r="BM686" s="78"/>
      <c r="BN686" s="78">
        <f t="shared" ca="1" si="4"/>
        <v>0</v>
      </c>
      <c r="BO686" s="66"/>
      <c r="BP686" s="66"/>
    </row>
    <row r="687" spans="1:68" ht="13.2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>
        <f t="shared" ref="AP687:AQ687" si="680">AR687+AT687+AV687</f>
        <v>0</v>
      </c>
      <c r="AQ687" s="75">
        <f t="shared" si="680"/>
        <v>0</v>
      </c>
      <c r="AR687" s="75"/>
      <c r="AS687" s="75"/>
      <c r="AT687" s="75"/>
      <c r="AU687" s="75"/>
      <c r="AV687" s="75"/>
      <c r="AW687" s="75"/>
      <c r="AX687" s="75"/>
      <c r="AY687" s="67">
        <f t="shared" ca="1" si="1"/>
        <v>0</v>
      </c>
      <c r="AZ687" s="75"/>
      <c r="BA687" s="67">
        <f t="shared" ca="1" si="2"/>
        <v>0</v>
      </c>
      <c r="BB687" s="66"/>
      <c r="BC687" s="4"/>
      <c r="BD687" s="67"/>
      <c r="BE687" s="67"/>
      <c r="BF687" s="68"/>
      <c r="BG687" s="69"/>
      <c r="BH687" s="84"/>
      <c r="BI687" s="70"/>
      <c r="BJ687" s="73"/>
      <c r="BK687" s="78"/>
      <c r="BL687" s="78">
        <f t="shared" ca="1" si="3"/>
        <v>0</v>
      </c>
      <c r="BM687" s="78"/>
      <c r="BN687" s="78">
        <f t="shared" ca="1" si="4"/>
        <v>0</v>
      </c>
      <c r="BO687" s="66"/>
      <c r="BP687" s="66"/>
    </row>
    <row r="688" spans="1:68" ht="13.2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>
        <f t="shared" ref="AP688:AQ688" si="681">AR688+AT688+AV688</f>
        <v>0</v>
      </c>
      <c r="AQ688" s="75">
        <f t="shared" si="681"/>
        <v>0</v>
      </c>
      <c r="AR688" s="75"/>
      <c r="AS688" s="75"/>
      <c r="AT688" s="75"/>
      <c r="AU688" s="75"/>
      <c r="AV688" s="75"/>
      <c r="AW688" s="75"/>
      <c r="AX688" s="75"/>
      <c r="AY688" s="67">
        <f t="shared" ca="1" si="1"/>
        <v>0</v>
      </c>
      <c r="AZ688" s="75"/>
      <c r="BA688" s="67">
        <f t="shared" ca="1" si="2"/>
        <v>0</v>
      </c>
      <c r="BB688" s="66"/>
      <c r="BC688" s="4"/>
      <c r="BD688" s="67"/>
      <c r="BE688" s="67"/>
      <c r="BF688" s="68"/>
      <c r="BG688" s="69"/>
      <c r="BH688" s="84"/>
      <c r="BI688" s="70"/>
      <c r="BJ688" s="73"/>
      <c r="BK688" s="78"/>
      <c r="BL688" s="78">
        <f t="shared" ca="1" si="3"/>
        <v>0</v>
      </c>
      <c r="BM688" s="78"/>
      <c r="BN688" s="78">
        <f t="shared" ca="1" si="4"/>
        <v>0</v>
      </c>
      <c r="BO688" s="66"/>
      <c r="BP688" s="66"/>
    </row>
    <row r="689" spans="1:68" ht="13.2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>
        <f t="shared" ref="AP689:AQ689" si="682">AR689+AT689+AV689</f>
        <v>0</v>
      </c>
      <c r="AQ689" s="75">
        <f t="shared" si="682"/>
        <v>0</v>
      </c>
      <c r="AR689" s="75"/>
      <c r="AS689" s="75"/>
      <c r="AT689" s="75"/>
      <c r="AU689" s="75"/>
      <c r="AV689" s="75"/>
      <c r="AW689" s="75"/>
      <c r="AX689" s="75"/>
      <c r="AY689" s="67">
        <f t="shared" ca="1" si="1"/>
        <v>0</v>
      </c>
      <c r="AZ689" s="75"/>
      <c r="BA689" s="67">
        <f t="shared" ca="1" si="2"/>
        <v>0</v>
      </c>
      <c r="BB689" s="66"/>
      <c r="BC689" s="4"/>
      <c r="BD689" s="67"/>
      <c r="BE689" s="67"/>
      <c r="BF689" s="68"/>
      <c r="BG689" s="69"/>
      <c r="BH689" s="84"/>
      <c r="BI689" s="70"/>
      <c r="BJ689" s="73"/>
      <c r="BK689" s="78"/>
      <c r="BL689" s="78">
        <f t="shared" ca="1" si="3"/>
        <v>0</v>
      </c>
      <c r="BM689" s="78"/>
      <c r="BN689" s="78">
        <f t="shared" ca="1" si="4"/>
        <v>0</v>
      </c>
      <c r="BO689" s="66"/>
      <c r="BP689" s="66"/>
    </row>
    <row r="690" spans="1:68" ht="13.2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>
        <f t="shared" ref="AP690:AQ690" si="683">AR690+AT690+AV690</f>
        <v>0</v>
      </c>
      <c r="AQ690" s="75">
        <f t="shared" si="683"/>
        <v>0</v>
      </c>
      <c r="AR690" s="75"/>
      <c r="AS690" s="75"/>
      <c r="AT690" s="75"/>
      <c r="AU690" s="75"/>
      <c r="AV690" s="75"/>
      <c r="AW690" s="75"/>
      <c r="AX690" s="75"/>
      <c r="AY690" s="67">
        <f t="shared" ca="1" si="1"/>
        <v>0</v>
      </c>
      <c r="AZ690" s="75"/>
      <c r="BA690" s="67">
        <f t="shared" ca="1" si="2"/>
        <v>0</v>
      </c>
      <c r="BB690" s="66"/>
      <c r="BC690" s="4"/>
      <c r="BD690" s="67"/>
      <c r="BE690" s="67"/>
      <c r="BF690" s="68"/>
      <c r="BG690" s="69"/>
      <c r="BH690" s="84"/>
      <c r="BI690" s="70"/>
      <c r="BJ690" s="73"/>
      <c r="BK690" s="78"/>
      <c r="BL690" s="78">
        <f t="shared" ca="1" si="3"/>
        <v>0</v>
      </c>
      <c r="BM690" s="78"/>
      <c r="BN690" s="78">
        <f t="shared" ca="1" si="4"/>
        <v>0</v>
      </c>
      <c r="BO690" s="66"/>
      <c r="BP690" s="66"/>
    </row>
    <row r="691" spans="1:68" ht="13.2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>
        <f t="shared" ref="AP691:AQ691" si="684">AR691+AT691+AV691</f>
        <v>0</v>
      </c>
      <c r="AQ691" s="75">
        <f t="shared" si="684"/>
        <v>0</v>
      </c>
      <c r="AR691" s="75"/>
      <c r="AS691" s="75"/>
      <c r="AT691" s="75"/>
      <c r="AU691" s="75"/>
      <c r="AV691" s="75"/>
      <c r="AW691" s="75"/>
      <c r="AX691" s="75"/>
      <c r="AY691" s="67">
        <f t="shared" ca="1" si="1"/>
        <v>0</v>
      </c>
      <c r="AZ691" s="75"/>
      <c r="BA691" s="67">
        <f t="shared" ca="1" si="2"/>
        <v>0</v>
      </c>
      <c r="BB691" s="66"/>
      <c r="BC691" s="4"/>
      <c r="BD691" s="67"/>
      <c r="BE691" s="67"/>
      <c r="BF691" s="68"/>
      <c r="BG691" s="69"/>
      <c r="BH691" s="84"/>
      <c r="BI691" s="70"/>
      <c r="BJ691" s="73"/>
      <c r="BK691" s="78"/>
      <c r="BL691" s="78">
        <f t="shared" ca="1" si="3"/>
        <v>0</v>
      </c>
      <c r="BM691" s="78"/>
      <c r="BN691" s="78">
        <f t="shared" ca="1" si="4"/>
        <v>0</v>
      </c>
      <c r="BO691" s="66"/>
      <c r="BP691" s="66"/>
    </row>
    <row r="692" spans="1:68" ht="13.2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>
        <f t="shared" ref="AP692:AQ692" si="685">AR692+AT692+AV692</f>
        <v>0</v>
      </c>
      <c r="AQ692" s="75">
        <f t="shared" si="685"/>
        <v>0</v>
      </c>
      <c r="AR692" s="75"/>
      <c r="AS692" s="75"/>
      <c r="AT692" s="75"/>
      <c r="AU692" s="75"/>
      <c r="AV692" s="75"/>
      <c r="AW692" s="75"/>
      <c r="AX692" s="75"/>
      <c r="AY692" s="67">
        <f t="shared" ca="1" si="1"/>
        <v>0</v>
      </c>
      <c r="AZ692" s="75"/>
      <c r="BA692" s="67">
        <f t="shared" ca="1" si="2"/>
        <v>0</v>
      </c>
      <c r="BB692" s="66"/>
      <c r="BC692" s="4"/>
      <c r="BD692" s="67"/>
      <c r="BE692" s="67"/>
      <c r="BF692" s="68"/>
      <c r="BG692" s="69"/>
      <c r="BH692" s="84"/>
      <c r="BI692" s="70"/>
      <c r="BJ692" s="73"/>
      <c r="BK692" s="78"/>
      <c r="BL692" s="78">
        <f t="shared" ca="1" si="3"/>
        <v>0</v>
      </c>
      <c r="BM692" s="78"/>
      <c r="BN692" s="78">
        <f t="shared" ca="1" si="4"/>
        <v>0</v>
      </c>
      <c r="BO692" s="66"/>
      <c r="BP692" s="66"/>
    </row>
    <row r="693" spans="1:68" ht="13.2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>
        <f t="shared" ref="AP693:AQ693" si="686">AR693+AT693+AV693</f>
        <v>0</v>
      </c>
      <c r="AQ693" s="75">
        <f t="shared" si="686"/>
        <v>0</v>
      </c>
      <c r="AR693" s="75"/>
      <c r="AS693" s="75"/>
      <c r="AT693" s="75"/>
      <c r="AU693" s="75"/>
      <c r="AV693" s="75"/>
      <c r="AW693" s="75"/>
      <c r="AX693" s="75"/>
      <c r="AY693" s="67">
        <f t="shared" ca="1" si="1"/>
        <v>0</v>
      </c>
      <c r="AZ693" s="75"/>
      <c r="BA693" s="67">
        <f t="shared" ca="1" si="2"/>
        <v>0</v>
      </c>
      <c r="BB693" s="66"/>
      <c r="BC693" s="4"/>
      <c r="BD693" s="67"/>
      <c r="BE693" s="67"/>
      <c r="BF693" s="68"/>
      <c r="BG693" s="69"/>
      <c r="BH693" s="84"/>
      <c r="BI693" s="70"/>
      <c r="BJ693" s="73"/>
      <c r="BK693" s="78"/>
      <c r="BL693" s="78">
        <f t="shared" ca="1" si="3"/>
        <v>0</v>
      </c>
      <c r="BM693" s="78"/>
      <c r="BN693" s="78">
        <f t="shared" ca="1" si="4"/>
        <v>0</v>
      </c>
      <c r="BO693" s="66"/>
      <c r="BP693" s="66"/>
    </row>
    <row r="694" spans="1:68" ht="13.2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>
        <f t="shared" ref="AP694:AQ694" si="687">AR694+AT694+AV694</f>
        <v>0</v>
      </c>
      <c r="AQ694" s="75">
        <f t="shared" si="687"/>
        <v>0</v>
      </c>
      <c r="AR694" s="75"/>
      <c r="AS694" s="75"/>
      <c r="AT694" s="75"/>
      <c r="AU694" s="75"/>
      <c r="AV694" s="75"/>
      <c r="AW694" s="75"/>
      <c r="AX694" s="75"/>
      <c r="AY694" s="67">
        <f t="shared" ca="1" si="1"/>
        <v>0</v>
      </c>
      <c r="AZ694" s="75"/>
      <c r="BA694" s="67">
        <f t="shared" ca="1" si="2"/>
        <v>0</v>
      </c>
      <c r="BB694" s="66"/>
      <c r="BC694" s="4"/>
      <c r="BD694" s="67"/>
      <c r="BE694" s="67"/>
      <c r="BF694" s="68"/>
      <c r="BG694" s="69"/>
      <c r="BH694" s="84"/>
      <c r="BI694" s="70"/>
      <c r="BJ694" s="73"/>
      <c r="BK694" s="78"/>
      <c r="BL694" s="78">
        <f t="shared" ca="1" si="3"/>
        <v>0</v>
      </c>
      <c r="BM694" s="78"/>
      <c r="BN694" s="78">
        <f t="shared" ca="1" si="4"/>
        <v>0</v>
      </c>
      <c r="BO694" s="66"/>
      <c r="BP694" s="66"/>
    </row>
    <row r="695" spans="1:68" ht="13.2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>
        <f t="shared" ref="AP695:AQ695" si="688">AR695+AT695+AV695</f>
        <v>0</v>
      </c>
      <c r="AQ695" s="75">
        <f t="shared" si="688"/>
        <v>0</v>
      </c>
      <c r="AR695" s="75"/>
      <c r="AS695" s="75"/>
      <c r="AT695" s="75"/>
      <c r="AU695" s="75"/>
      <c r="AV695" s="75"/>
      <c r="AW695" s="75"/>
      <c r="AX695" s="75"/>
      <c r="AY695" s="67">
        <f t="shared" ca="1" si="1"/>
        <v>0</v>
      </c>
      <c r="AZ695" s="75"/>
      <c r="BA695" s="67">
        <f t="shared" ca="1" si="2"/>
        <v>0</v>
      </c>
      <c r="BB695" s="66"/>
      <c r="BC695" s="4"/>
      <c r="BD695" s="67"/>
      <c r="BE695" s="67"/>
      <c r="BF695" s="68"/>
      <c r="BG695" s="69"/>
      <c r="BH695" s="84"/>
      <c r="BI695" s="70"/>
      <c r="BJ695" s="73"/>
      <c r="BK695" s="78"/>
      <c r="BL695" s="78">
        <f t="shared" ca="1" si="3"/>
        <v>0</v>
      </c>
      <c r="BM695" s="78"/>
      <c r="BN695" s="78">
        <f t="shared" ca="1" si="4"/>
        <v>0</v>
      </c>
      <c r="BO695" s="66"/>
      <c r="BP695" s="66"/>
    </row>
    <row r="696" spans="1:68" ht="13.2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>
        <f t="shared" ref="AP696:AQ696" si="689">AR696+AT696+AV696</f>
        <v>0</v>
      </c>
      <c r="AQ696" s="75">
        <f t="shared" si="689"/>
        <v>0</v>
      </c>
      <c r="AR696" s="75"/>
      <c r="AS696" s="75"/>
      <c r="AT696" s="75"/>
      <c r="AU696" s="75"/>
      <c r="AV696" s="75"/>
      <c r="AW696" s="75"/>
      <c r="AX696" s="75"/>
      <c r="AY696" s="67">
        <f t="shared" ca="1" si="1"/>
        <v>0</v>
      </c>
      <c r="AZ696" s="75"/>
      <c r="BA696" s="67">
        <f t="shared" ca="1" si="2"/>
        <v>0</v>
      </c>
      <c r="BB696" s="66"/>
      <c r="BC696" s="4"/>
      <c r="BD696" s="67"/>
      <c r="BE696" s="67"/>
      <c r="BF696" s="68"/>
      <c r="BG696" s="69"/>
      <c r="BH696" s="84"/>
      <c r="BI696" s="70"/>
      <c r="BJ696" s="73"/>
      <c r="BK696" s="78"/>
      <c r="BL696" s="78">
        <f t="shared" ca="1" si="3"/>
        <v>0</v>
      </c>
      <c r="BM696" s="78"/>
      <c r="BN696" s="78">
        <f t="shared" ca="1" si="4"/>
        <v>0</v>
      </c>
      <c r="BO696" s="66"/>
      <c r="BP696" s="66"/>
    </row>
    <row r="697" spans="1:68" ht="13.2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>
        <f t="shared" ref="AP697:AQ697" si="690">AR697+AT697+AV697</f>
        <v>0</v>
      </c>
      <c r="AQ697" s="75">
        <f t="shared" si="690"/>
        <v>0</v>
      </c>
      <c r="AR697" s="75"/>
      <c r="AS697" s="75"/>
      <c r="AT697" s="75"/>
      <c r="AU697" s="75"/>
      <c r="AV697" s="75"/>
      <c r="AW697" s="75"/>
      <c r="AX697" s="75"/>
      <c r="AY697" s="67">
        <f t="shared" ca="1" si="1"/>
        <v>0</v>
      </c>
      <c r="AZ697" s="75"/>
      <c r="BA697" s="67">
        <f t="shared" ca="1" si="2"/>
        <v>0</v>
      </c>
      <c r="BB697" s="66"/>
      <c r="BC697" s="4"/>
      <c r="BD697" s="67"/>
      <c r="BE697" s="67"/>
      <c r="BF697" s="68"/>
      <c r="BG697" s="69"/>
      <c r="BH697" s="84"/>
      <c r="BI697" s="70"/>
      <c r="BJ697" s="73"/>
      <c r="BK697" s="78"/>
      <c r="BL697" s="78">
        <f t="shared" ca="1" si="3"/>
        <v>0</v>
      </c>
      <c r="BM697" s="78"/>
      <c r="BN697" s="78">
        <f t="shared" ca="1" si="4"/>
        <v>0</v>
      </c>
      <c r="BO697" s="66"/>
      <c r="BP697" s="66"/>
    </row>
    <row r="698" spans="1:68" ht="13.2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>
        <f t="shared" ref="AP698:AQ698" si="691">AR698+AT698+AV698</f>
        <v>0</v>
      </c>
      <c r="AQ698" s="75">
        <f t="shared" si="691"/>
        <v>0</v>
      </c>
      <c r="AR698" s="75"/>
      <c r="AS698" s="75"/>
      <c r="AT698" s="75"/>
      <c r="AU698" s="75"/>
      <c r="AV698" s="75"/>
      <c r="AW698" s="75"/>
      <c r="AX698" s="75"/>
      <c r="AY698" s="67">
        <f t="shared" ca="1" si="1"/>
        <v>0</v>
      </c>
      <c r="AZ698" s="75"/>
      <c r="BA698" s="67">
        <f t="shared" ca="1" si="2"/>
        <v>0</v>
      </c>
      <c r="BB698" s="66"/>
      <c r="BC698" s="4"/>
      <c r="BD698" s="67"/>
      <c r="BE698" s="67"/>
      <c r="BF698" s="68"/>
      <c r="BG698" s="69"/>
      <c r="BH698" s="84"/>
      <c r="BI698" s="70"/>
      <c r="BJ698" s="73"/>
      <c r="BK698" s="78"/>
      <c r="BL698" s="78">
        <f t="shared" ca="1" si="3"/>
        <v>0</v>
      </c>
      <c r="BM698" s="78"/>
      <c r="BN698" s="78">
        <f t="shared" ca="1" si="4"/>
        <v>0</v>
      </c>
      <c r="BO698" s="66"/>
      <c r="BP698" s="66"/>
    </row>
    <row r="699" spans="1:68" ht="13.2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>
        <f t="shared" ref="AP699:AQ699" si="692">AR699+AT699+AV699</f>
        <v>0</v>
      </c>
      <c r="AQ699" s="75">
        <f t="shared" si="692"/>
        <v>0</v>
      </c>
      <c r="AR699" s="75"/>
      <c r="AS699" s="75"/>
      <c r="AT699" s="75"/>
      <c r="AU699" s="75"/>
      <c r="AV699" s="75"/>
      <c r="AW699" s="75"/>
      <c r="AX699" s="75"/>
      <c r="AY699" s="67">
        <f t="shared" ca="1" si="1"/>
        <v>0</v>
      </c>
      <c r="AZ699" s="75"/>
      <c r="BA699" s="67">
        <f t="shared" ca="1" si="2"/>
        <v>0</v>
      </c>
      <c r="BB699" s="66"/>
      <c r="BC699" s="4"/>
      <c r="BD699" s="67"/>
      <c r="BE699" s="67"/>
      <c r="BF699" s="68"/>
      <c r="BG699" s="69"/>
      <c r="BH699" s="84"/>
      <c r="BI699" s="70"/>
      <c r="BJ699" s="73"/>
      <c r="BK699" s="78"/>
      <c r="BL699" s="78">
        <f t="shared" ca="1" si="3"/>
        <v>0</v>
      </c>
      <c r="BM699" s="78"/>
      <c r="BN699" s="78">
        <f t="shared" ca="1" si="4"/>
        <v>0</v>
      </c>
      <c r="BO699" s="66"/>
      <c r="BP699" s="66"/>
    </row>
    <row r="700" spans="1:68" ht="13.2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>
        <f t="shared" ref="AP700:AQ700" si="693">AR700+AT700+AV700</f>
        <v>0</v>
      </c>
      <c r="AQ700" s="75">
        <f t="shared" si="693"/>
        <v>0</v>
      </c>
      <c r="AR700" s="75"/>
      <c r="AS700" s="75"/>
      <c r="AT700" s="75"/>
      <c r="AU700" s="75"/>
      <c r="AV700" s="75"/>
      <c r="AW700" s="75"/>
      <c r="AX700" s="75"/>
      <c r="AY700" s="67">
        <f t="shared" ca="1" si="1"/>
        <v>0</v>
      </c>
      <c r="AZ700" s="75"/>
      <c r="BA700" s="67">
        <f t="shared" ca="1" si="2"/>
        <v>0</v>
      </c>
      <c r="BB700" s="66"/>
      <c r="BC700" s="4"/>
      <c r="BD700" s="67"/>
      <c r="BE700" s="67"/>
      <c r="BF700" s="68"/>
      <c r="BG700" s="69"/>
      <c r="BH700" s="84"/>
      <c r="BI700" s="70"/>
      <c r="BJ700" s="73"/>
      <c r="BK700" s="78"/>
      <c r="BL700" s="78">
        <f t="shared" ca="1" si="3"/>
        <v>0</v>
      </c>
      <c r="BM700" s="78"/>
      <c r="BN700" s="78">
        <f t="shared" ca="1" si="4"/>
        <v>0</v>
      </c>
      <c r="BO700" s="66"/>
      <c r="BP700" s="66"/>
    </row>
    <row r="701" spans="1:68" ht="13.2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>
        <f t="shared" ref="AP701:AQ701" si="694">AR701+AT701+AV701</f>
        <v>0</v>
      </c>
      <c r="AQ701" s="75">
        <f t="shared" si="694"/>
        <v>0</v>
      </c>
      <c r="AR701" s="75"/>
      <c r="AS701" s="75"/>
      <c r="AT701" s="75"/>
      <c r="AU701" s="75"/>
      <c r="AV701" s="75"/>
      <c r="AW701" s="75"/>
      <c r="AX701" s="75"/>
      <c r="AY701" s="67">
        <f t="shared" ca="1" si="1"/>
        <v>0</v>
      </c>
      <c r="AZ701" s="75"/>
      <c r="BA701" s="67">
        <f t="shared" ca="1" si="2"/>
        <v>0</v>
      </c>
      <c r="BB701" s="66"/>
      <c r="BC701" s="4"/>
      <c r="BD701" s="67"/>
      <c r="BE701" s="67"/>
      <c r="BF701" s="68"/>
      <c r="BG701" s="69"/>
      <c r="BH701" s="84"/>
      <c r="BI701" s="70"/>
      <c r="BJ701" s="73"/>
      <c r="BK701" s="78"/>
      <c r="BL701" s="78">
        <f t="shared" ca="1" si="3"/>
        <v>0</v>
      </c>
      <c r="BM701" s="78"/>
      <c r="BN701" s="78">
        <f t="shared" ca="1" si="4"/>
        <v>0</v>
      </c>
      <c r="BO701" s="66"/>
      <c r="BP701" s="66"/>
    </row>
    <row r="702" spans="1:68" ht="13.2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>
        <f t="shared" ref="AP702:AQ702" si="695">AR702+AT702+AV702</f>
        <v>0</v>
      </c>
      <c r="AQ702" s="75">
        <f t="shared" si="695"/>
        <v>0</v>
      </c>
      <c r="AR702" s="75"/>
      <c r="AS702" s="75"/>
      <c r="AT702" s="75"/>
      <c r="AU702" s="75"/>
      <c r="AV702" s="75"/>
      <c r="AW702" s="75"/>
      <c r="AX702" s="75"/>
      <c r="AY702" s="67">
        <f t="shared" ca="1" si="1"/>
        <v>0</v>
      </c>
      <c r="AZ702" s="75"/>
      <c r="BA702" s="67">
        <f t="shared" ca="1" si="2"/>
        <v>0</v>
      </c>
      <c r="BB702" s="66"/>
      <c r="BC702" s="4"/>
      <c r="BD702" s="67"/>
      <c r="BE702" s="67"/>
      <c r="BF702" s="68"/>
      <c r="BG702" s="69"/>
      <c r="BH702" s="84"/>
      <c r="BI702" s="70"/>
      <c r="BJ702" s="73"/>
      <c r="BK702" s="78"/>
      <c r="BL702" s="78">
        <f t="shared" ca="1" si="3"/>
        <v>0</v>
      </c>
      <c r="BM702" s="78"/>
      <c r="BN702" s="78">
        <f t="shared" ca="1" si="4"/>
        <v>0</v>
      </c>
      <c r="BO702" s="66"/>
      <c r="BP702" s="66"/>
    </row>
    <row r="703" spans="1:68" ht="13.2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>
        <f t="shared" ref="AP703:AQ703" si="696">AR703+AT703+AV703</f>
        <v>0</v>
      </c>
      <c r="AQ703" s="75">
        <f t="shared" si="696"/>
        <v>0</v>
      </c>
      <c r="AR703" s="75"/>
      <c r="AS703" s="75"/>
      <c r="AT703" s="75"/>
      <c r="AU703" s="75"/>
      <c r="AV703" s="75"/>
      <c r="AW703" s="75"/>
      <c r="AX703" s="75"/>
      <c r="AY703" s="67">
        <f t="shared" ca="1" si="1"/>
        <v>0</v>
      </c>
      <c r="AZ703" s="75"/>
      <c r="BA703" s="67">
        <f t="shared" ca="1" si="2"/>
        <v>0</v>
      </c>
      <c r="BB703" s="66"/>
      <c r="BC703" s="4"/>
      <c r="BD703" s="67"/>
      <c r="BE703" s="67"/>
      <c r="BF703" s="68"/>
      <c r="BG703" s="69"/>
      <c r="BH703" s="84"/>
      <c r="BI703" s="70"/>
      <c r="BJ703" s="73"/>
      <c r="BK703" s="78"/>
      <c r="BL703" s="78">
        <f t="shared" ca="1" si="3"/>
        <v>0</v>
      </c>
      <c r="BM703" s="78"/>
      <c r="BN703" s="78">
        <f t="shared" ca="1" si="4"/>
        <v>0</v>
      </c>
      <c r="BO703" s="66"/>
      <c r="BP703" s="66"/>
    </row>
    <row r="704" spans="1:68" ht="13.2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>
        <f t="shared" ref="AP704:AQ704" si="697">AR704+AT704+AV704</f>
        <v>0</v>
      </c>
      <c r="AQ704" s="75">
        <f t="shared" si="697"/>
        <v>0</v>
      </c>
      <c r="AR704" s="75"/>
      <c r="AS704" s="75"/>
      <c r="AT704" s="75"/>
      <c r="AU704" s="75"/>
      <c r="AV704" s="75"/>
      <c r="AW704" s="75"/>
      <c r="AX704" s="75"/>
      <c r="AY704" s="67">
        <f t="shared" ca="1" si="1"/>
        <v>0</v>
      </c>
      <c r="AZ704" s="75"/>
      <c r="BA704" s="67">
        <f t="shared" ca="1" si="2"/>
        <v>0</v>
      </c>
      <c r="BB704" s="66"/>
      <c r="BC704" s="4"/>
      <c r="BD704" s="67"/>
      <c r="BE704" s="67"/>
      <c r="BF704" s="68"/>
      <c r="BG704" s="69"/>
      <c r="BH704" s="84"/>
      <c r="BI704" s="70"/>
      <c r="BJ704" s="73"/>
      <c r="BK704" s="78"/>
      <c r="BL704" s="78">
        <f t="shared" ca="1" si="3"/>
        <v>0</v>
      </c>
      <c r="BM704" s="78"/>
      <c r="BN704" s="78">
        <f t="shared" ca="1" si="4"/>
        <v>0</v>
      </c>
      <c r="BO704" s="66"/>
      <c r="BP704" s="66"/>
    </row>
    <row r="705" spans="1:68" ht="13.2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>
        <f t="shared" ref="AP705:AQ705" si="698">AR705+AT705+AV705</f>
        <v>0</v>
      </c>
      <c r="AQ705" s="75">
        <f t="shared" si="698"/>
        <v>0</v>
      </c>
      <c r="AR705" s="75"/>
      <c r="AS705" s="75"/>
      <c r="AT705" s="75"/>
      <c r="AU705" s="75"/>
      <c r="AV705" s="75"/>
      <c r="AW705" s="75"/>
      <c r="AX705" s="75"/>
      <c r="AY705" s="67">
        <f t="shared" ca="1" si="1"/>
        <v>0</v>
      </c>
      <c r="AZ705" s="75"/>
      <c r="BA705" s="67">
        <f t="shared" ca="1" si="2"/>
        <v>0</v>
      </c>
      <c r="BB705" s="66"/>
      <c r="BC705" s="4"/>
      <c r="BD705" s="67"/>
      <c r="BE705" s="67"/>
      <c r="BF705" s="68"/>
      <c r="BG705" s="69"/>
      <c r="BH705" s="84"/>
      <c r="BI705" s="70"/>
      <c r="BJ705" s="73"/>
      <c r="BK705" s="78"/>
      <c r="BL705" s="78">
        <f t="shared" ca="1" si="3"/>
        <v>0</v>
      </c>
      <c r="BM705" s="78"/>
      <c r="BN705" s="78">
        <f t="shared" ca="1" si="4"/>
        <v>0</v>
      </c>
      <c r="BO705" s="66"/>
      <c r="BP705" s="66"/>
    </row>
    <row r="706" spans="1:68" ht="13.2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>
        <f t="shared" ref="AP706:AQ706" si="699">AR706+AT706+AV706</f>
        <v>0</v>
      </c>
      <c r="AQ706" s="75">
        <f t="shared" si="699"/>
        <v>0</v>
      </c>
      <c r="AR706" s="75"/>
      <c r="AS706" s="75"/>
      <c r="AT706" s="75"/>
      <c r="AU706" s="75"/>
      <c r="AV706" s="75"/>
      <c r="AW706" s="75"/>
      <c r="AX706" s="75"/>
      <c r="AY706" s="67">
        <f t="shared" ca="1" si="1"/>
        <v>0</v>
      </c>
      <c r="AZ706" s="75"/>
      <c r="BA706" s="67">
        <f t="shared" ca="1" si="2"/>
        <v>0</v>
      </c>
      <c r="BB706" s="66"/>
      <c r="BC706" s="4"/>
      <c r="BD706" s="67"/>
      <c r="BE706" s="67"/>
      <c r="BF706" s="68"/>
      <c r="BG706" s="69"/>
      <c r="BH706" s="84"/>
      <c r="BI706" s="70"/>
      <c r="BJ706" s="73"/>
      <c r="BK706" s="78"/>
      <c r="BL706" s="78">
        <f t="shared" ca="1" si="3"/>
        <v>0</v>
      </c>
      <c r="BM706" s="78"/>
      <c r="BN706" s="78">
        <f t="shared" ca="1" si="4"/>
        <v>0</v>
      </c>
      <c r="BO706" s="66"/>
      <c r="BP706" s="66"/>
    </row>
    <row r="707" spans="1:68" ht="13.2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>
        <f t="shared" ref="AP707:AQ707" si="700">AR707+AT707+AV707</f>
        <v>0</v>
      </c>
      <c r="AQ707" s="75">
        <f t="shared" si="700"/>
        <v>0</v>
      </c>
      <c r="AR707" s="75"/>
      <c r="AS707" s="75"/>
      <c r="AT707" s="75"/>
      <c r="AU707" s="75"/>
      <c r="AV707" s="75"/>
      <c r="AW707" s="75"/>
      <c r="AX707" s="75"/>
      <c r="AY707" s="67">
        <f t="shared" ca="1" si="1"/>
        <v>0</v>
      </c>
      <c r="AZ707" s="75"/>
      <c r="BA707" s="67">
        <f t="shared" ca="1" si="2"/>
        <v>0</v>
      </c>
      <c r="BB707" s="66"/>
      <c r="BC707" s="4"/>
      <c r="BD707" s="67"/>
      <c r="BE707" s="67"/>
      <c r="BF707" s="68"/>
      <c r="BG707" s="69"/>
      <c r="BH707" s="84"/>
      <c r="BI707" s="70"/>
      <c r="BJ707" s="73"/>
      <c r="BK707" s="78"/>
      <c r="BL707" s="78">
        <f t="shared" ca="1" si="3"/>
        <v>0</v>
      </c>
      <c r="BM707" s="78"/>
      <c r="BN707" s="78">
        <f t="shared" ca="1" si="4"/>
        <v>0</v>
      </c>
      <c r="BO707" s="66"/>
      <c r="BP707" s="66"/>
    </row>
    <row r="708" spans="1:68" ht="13.2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>
        <f t="shared" ref="AP708:AQ708" si="701">AR708+AT708+AV708</f>
        <v>0</v>
      </c>
      <c r="AQ708" s="75">
        <f t="shared" si="701"/>
        <v>0</v>
      </c>
      <c r="AR708" s="75"/>
      <c r="AS708" s="75"/>
      <c r="AT708" s="75"/>
      <c r="AU708" s="75"/>
      <c r="AV708" s="75"/>
      <c r="AW708" s="75"/>
      <c r="AX708" s="75"/>
      <c r="AY708" s="67">
        <f t="shared" ca="1" si="1"/>
        <v>0</v>
      </c>
      <c r="AZ708" s="75"/>
      <c r="BA708" s="67">
        <f t="shared" ca="1" si="2"/>
        <v>0</v>
      </c>
      <c r="BB708" s="66"/>
      <c r="BC708" s="4"/>
      <c r="BD708" s="67"/>
      <c r="BE708" s="67"/>
      <c r="BF708" s="68"/>
      <c r="BG708" s="69"/>
      <c r="BH708" s="84"/>
      <c r="BI708" s="70"/>
      <c r="BJ708" s="73"/>
      <c r="BK708" s="78"/>
      <c r="BL708" s="78">
        <f t="shared" ca="1" si="3"/>
        <v>0</v>
      </c>
      <c r="BM708" s="78"/>
      <c r="BN708" s="78">
        <f t="shared" ca="1" si="4"/>
        <v>0</v>
      </c>
      <c r="BO708" s="66"/>
      <c r="BP708" s="66"/>
    </row>
    <row r="709" spans="1:68" ht="13.2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>
        <f t="shared" ref="AP709:AQ709" si="702">AR709+AT709+AV709</f>
        <v>0</v>
      </c>
      <c r="AQ709" s="75">
        <f t="shared" si="702"/>
        <v>0</v>
      </c>
      <c r="AR709" s="75"/>
      <c r="AS709" s="75"/>
      <c r="AT709" s="75"/>
      <c r="AU709" s="75"/>
      <c r="AV709" s="75"/>
      <c r="AW709" s="75"/>
      <c r="AX709" s="75"/>
      <c r="AY709" s="67">
        <f t="shared" ca="1" si="1"/>
        <v>0</v>
      </c>
      <c r="AZ709" s="75"/>
      <c r="BA709" s="67">
        <f t="shared" ca="1" si="2"/>
        <v>0</v>
      </c>
      <c r="BB709" s="66"/>
      <c r="BC709" s="4"/>
      <c r="BD709" s="67"/>
      <c r="BE709" s="67"/>
      <c r="BF709" s="68"/>
      <c r="BG709" s="69"/>
      <c r="BH709" s="84"/>
      <c r="BI709" s="70"/>
      <c r="BJ709" s="73"/>
      <c r="BK709" s="78"/>
      <c r="BL709" s="78">
        <f t="shared" ca="1" si="3"/>
        <v>0</v>
      </c>
      <c r="BM709" s="78"/>
      <c r="BN709" s="78">
        <f t="shared" ca="1" si="4"/>
        <v>0</v>
      </c>
      <c r="BO709" s="66"/>
      <c r="BP709" s="66"/>
    </row>
    <row r="710" spans="1:68" ht="13.2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>
        <f t="shared" ref="AP710:AQ710" si="703">AR710+AT710+AV710</f>
        <v>0</v>
      </c>
      <c r="AQ710" s="75">
        <f t="shared" si="703"/>
        <v>0</v>
      </c>
      <c r="AR710" s="75"/>
      <c r="AS710" s="75"/>
      <c r="AT710" s="75"/>
      <c r="AU710" s="75"/>
      <c r="AV710" s="75"/>
      <c r="AW710" s="75"/>
      <c r="AX710" s="75"/>
      <c r="AY710" s="67">
        <f t="shared" ca="1" si="1"/>
        <v>0</v>
      </c>
      <c r="AZ710" s="75"/>
      <c r="BA710" s="67">
        <f t="shared" ca="1" si="2"/>
        <v>0</v>
      </c>
      <c r="BB710" s="66"/>
      <c r="BC710" s="4"/>
      <c r="BD710" s="67"/>
      <c r="BE710" s="67"/>
      <c r="BF710" s="68"/>
      <c r="BG710" s="69"/>
      <c r="BH710" s="84"/>
      <c r="BI710" s="70"/>
      <c r="BJ710" s="73"/>
      <c r="BK710" s="78"/>
      <c r="BL710" s="78">
        <f t="shared" ca="1" si="3"/>
        <v>0</v>
      </c>
      <c r="BM710" s="78"/>
      <c r="BN710" s="78">
        <f t="shared" ca="1" si="4"/>
        <v>0</v>
      </c>
      <c r="BO710" s="66"/>
      <c r="BP710" s="66"/>
    </row>
    <row r="711" spans="1:68" ht="13.2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>
        <f t="shared" ref="AP711:AQ711" si="704">AR711+AT711+AV711</f>
        <v>0</v>
      </c>
      <c r="AQ711" s="75">
        <f t="shared" si="704"/>
        <v>0</v>
      </c>
      <c r="AR711" s="75"/>
      <c r="AS711" s="75"/>
      <c r="AT711" s="75"/>
      <c r="AU711" s="75"/>
      <c r="AV711" s="75"/>
      <c r="AW711" s="75"/>
      <c r="AX711" s="75"/>
      <c r="AY711" s="67">
        <f t="shared" ca="1" si="1"/>
        <v>0</v>
      </c>
      <c r="AZ711" s="75"/>
      <c r="BA711" s="67">
        <f t="shared" ca="1" si="2"/>
        <v>0</v>
      </c>
      <c r="BB711" s="66"/>
      <c r="BC711" s="4"/>
      <c r="BD711" s="67"/>
      <c r="BE711" s="67"/>
      <c r="BF711" s="68"/>
      <c r="BG711" s="69"/>
      <c r="BH711" s="84"/>
      <c r="BI711" s="70"/>
      <c r="BJ711" s="73"/>
      <c r="BK711" s="78"/>
      <c r="BL711" s="78">
        <f t="shared" ca="1" si="3"/>
        <v>0</v>
      </c>
      <c r="BM711" s="78"/>
      <c r="BN711" s="78">
        <f t="shared" ca="1" si="4"/>
        <v>0</v>
      </c>
      <c r="BO711" s="66"/>
      <c r="BP711" s="66"/>
    </row>
    <row r="712" spans="1:68" ht="13.2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>
        <f t="shared" ref="AP712:AQ712" si="705">AR712+AT712+AV712</f>
        <v>0</v>
      </c>
      <c r="AQ712" s="75">
        <f t="shared" si="705"/>
        <v>0</v>
      </c>
      <c r="AR712" s="75"/>
      <c r="AS712" s="75"/>
      <c r="AT712" s="75"/>
      <c r="AU712" s="75"/>
      <c r="AV712" s="75"/>
      <c r="AW712" s="75"/>
      <c r="AX712" s="75"/>
      <c r="AY712" s="67">
        <f t="shared" ca="1" si="1"/>
        <v>0</v>
      </c>
      <c r="AZ712" s="75"/>
      <c r="BA712" s="67">
        <f t="shared" ca="1" si="2"/>
        <v>0</v>
      </c>
      <c r="BB712" s="66"/>
      <c r="BC712" s="4"/>
      <c r="BD712" s="67"/>
      <c r="BE712" s="67"/>
      <c r="BF712" s="68"/>
      <c r="BG712" s="69"/>
      <c r="BH712" s="84"/>
      <c r="BI712" s="70"/>
      <c r="BJ712" s="73"/>
      <c r="BK712" s="78"/>
      <c r="BL712" s="78">
        <f t="shared" ca="1" si="3"/>
        <v>0</v>
      </c>
      <c r="BM712" s="78"/>
      <c r="BN712" s="78">
        <f t="shared" ca="1" si="4"/>
        <v>0</v>
      </c>
      <c r="BO712" s="66"/>
      <c r="BP712" s="66"/>
    </row>
    <row r="713" spans="1:68" ht="13.2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>
        <f t="shared" ref="AP713:AQ713" si="706">AR713+AT713+AV713</f>
        <v>0</v>
      </c>
      <c r="AQ713" s="75">
        <f t="shared" si="706"/>
        <v>0</v>
      </c>
      <c r="AR713" s="75"/>
      <c r="AS713" s="75"/>
      <c r="AT713" s="75"/>
      <c r="AU713" s="75"/>
      <c r="AV713" s="75"/>
      <c r="AW713" s="75"/>
      <c r="AX713" s="75"/>
      <c r="AY713" s="67">
        <f t="shared" ca="1" si="1"/>
        <v>0</v>
      </c>
      <c r="AZ713" s="75"/>
      <c r="BA713" s="67">
        <f t="shared" ca="1" si="2"/>
        <v>0</v>
      </c>
      <c r="BB713" s="66"/>
      <c r="BC713" s="4"/>
      <c r="BD713" s="67"/>
      <c r="BE713" s="67"/>
      <c r="BF713" s="68"/>
      <c r="BG713" s="69"/>
      <c r="BH713" s="84"/>
      <c r="BI713" s="70"/>
      <c r="BJ713" s="73"/>
      <c r="BK713" s="78"/>
      <c r="BL713" s="78">
        <f t="shared" ca="1" si="3"/>
        <v>0</v>
      </c>
      <c r="BM713" s="78"/>
      <c r="BN713" s="78">
        <f t="shared" ca="1" si="4"/>
        <v>0</v>
      </c>
      <c r="BO713" s="66"/>
      <c r="BP713" s="66"/>
    </row>
    <row r="714" spans="1:68" ht="13.2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>
        <f t="shared" ref="AP714:AQ714" si="707">AR714+AT714+AV714</f>
        <v>0</v>
      </c>
      <c r="AQ714" s="75">
        <f t="shared" si="707"/>
        <v>0</v>
      </c>
      <c r="AR714" s="75"/>
      <c r="AS714" s="75"/>
      <c r="AT714" s="75"/>
      <c r="AU714" s="75"/>
      <c r="AV714" s="75"/>
      <c r="AW714" s="75"/>
      <c r="AX714" s="75"/>
      <c r="AY714" s="67">
        <f t="shared" ca="1" si="1"/>
        <v>0</v>
      </c>
      <c r="AZ714" s="75"/>
      <c r="BA714" s="67">
        <f t="shared" ca="1" si="2"/>
        <v>0</v>
      </c>
      <c r="BB714" s="66"/>
      <c r="BC714" s="4"/>
      <c r="BD714" s="67"/>
      <c r="BE714" s="67"/>
      <c r="BF714" s="68"/>
      <c r="BG714" s="69"/>
      <c r="BH714" s="84"/>
      <c r="BI714" s="70"/>
      <c r="BJ714" s="73"/>
      <c r="BK714" s="78"/>
      <c r="BL714" s="78">
        <f t="shared" ca="1" si="3"/>
        <v>0</v>
      </c>
      <c r="BM714" s="78"/>
      <c r="BN714" s="78">
        <f t="shared" ca="1" si="4"/>
        <v>0</v>
      </c>
      <c r="BO714" s="66"/>
      <c r="BP714" s="66"/>
    </row>
    <row r="715" spans="1:68" ht="13.2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>
        <f t="shared" ref="AP715:AQ715" si="708">AR715+AT715+AV715</f>
        <v>0</v>
      </c>
      <c r="AQ715" s="75">
        <f t="shared" si="708"/>
        <v>0</v>
      </c>
      <c r="AR715" s="75"/>
      <c r="AS715" s="75"/>
      <c r="AT715" s="75"/>
      <c r="AU715" s="75"/>
      <c r="AV715" s="75"/>
      <c r="AW715" s="75"/>
      <c r="AX715" s="75"/>
      <c r="AY715" s="67">
        <f t="shared" ca="1" si="1"/>
        <v>0</v>
      </c>
      <c r="AZ715" s="75"/>
      <c r="BA715" s="67">
        <f t="shared" ca="1" si="2"/>
        <v>0</v>
      </c>
      <c r="BB715" s="66"/>
      <c r="BC715" s="4"/>
      <c r="BD715" s="67"/>
      <c r="BE715" s="67"/>
      <c r="BF715" s="68"/>
      <c r="BG715" s="69"/>
      <c r="BH715" s="84"/>
      <c r="BI715" s="70"/>
      <c r="BJ715" s="73"/>
      <c r="BK715" s="78"/>
      <c r="BL715" s="78">
        <f t="shared" ca="1" si="3"/>
        <v>0</v>
      </c>
      <c r="BM715" s="78"/>
      <c r="BN715" s="78">
        <f t="shared" ca="1" si="4"/>
        <v>0</v>
      </c>
      <c r="BO715" s="66"/>
      <c r="BP715" s="66"/>
    </row>
    <row r="716" spans="1:68" ht="13.2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>
        <f t="shared" ref="AP716:AQ716" si="709">AR716+AT716+AV716</f>
        <v>0</v>
      </c>
      <c r="AQ716" s="75">
        <f t="shared" si="709"/>
        <v>0</v>
      </c>
      <c r="AR716" s="75"/>
      <c r="AS716" s="75"/>
      <c r="AT716" s="75"/>
      <c r="AU716" s="75"/>
      <c r="AV716" s="75"/>
      <c r="AW716" s="75"/>
      <c r="AX716" s="75"/>
      <c r="AY716" s="67">
        <f t="shared" ca="1" si="1"/>
        <v>0</v>
      </c>
      <c r="AZ716" s="75"/>
      <c r="BA716" s="67">
        <f t="shared" ca="1" si="2"/>
        <v>0</v>
      </c>
      <c r="BB716" s="66"/>
      <c r="BC716" s="4"/>
      <c r="BD716" s="67"/>
      <c r="BE716" s="67"/>
      <c r="BF716" s="68"/>
      <c r="BG716" s="69"/>
      <c r="BH716" s="84"/>
      <c r="BI716" s="70"/>
      <c r="BJ716" s="73"/>
      <c r="BK716" s="78"/>
      <c r="BL716" s="78">
        <f t="shared" ca="1" si="3"/>
        <v>0</v>
      </c>
      <c r="BM716" s="78"/>
      <c r="BN716" s="78">
        <f t="shared" ca="1" si="4"/>
        <v>0</v>
      </c>
      <c r="BO716" s="66"/>
      <c r="BP716" s="66"/>
    </row>
    <row r="717" spans="1:68" ht="13.2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>
        <f t="shared" ref="AP717:AQ717" si="710">AR717+AT717+AV717</f>
        <v>0</v>
      </c>
      <c r="AQ717" s="75">
        <f t="shared" si="710"/>
        <v>0</v>
      </c>
      <c r="AR717" s="75"/>
      <c r="AS717" s="75"/>
      <c r="AT717" s="75"/>
      <c r="AU717" s="75"/>
      <c r="AV717" s="75"/>
      <c r="AW717" s="75"/>
      <c r="AX717" s="75"/>
      <c r="AY717" s="67">
        <f t="shared" ca="1" si="1"/>
        <v>0</v>
      </c>
      <c r="AZ717" s="75"/>
      <c r="BA717" s="67">
        <f t="shared" ca="1" si="2"/>
        <v>0</v>
      </c>
      <c r="BB717" s="66"/>
      <c r="BC717" s="4"/>
      <c r="BD717" s="67"/>
      <c r="BE717" s="67"/>
      <c r="BF717" s="68"/>
      <c r="BG717" s="69"/>
      <c r="BH717" s="84"/>
      <c r="BI717" s="70"/>
      <c r="BJ717" s="73"/>
      <c r="BK717" s="78"/>
      <c r="BL717" s="78">
        <f t="shared" ca="1" si="3"/>
        <v>0</v>
      </c>
      <c r="BM717" s="78"/>
      <c r="BN717" s="78">
        <f t="shared" ca="1" si="4"/>
        <v>0</v>
      </c>
      <c r="BO717" s="66"/>
      <c r="BP717" s="66"/>
    </row>
    <row r="718" spans="1:68" ht="13.2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>
        <f t="shared" ref="AP718:AQ718" si="711">AR718+AT718+AV718</f>
        <v>0</v>
      </c>
      <c r="AQ718" s="75">
        <f t="shared" si="711"/>
        <v>0</v>
      </c>
      <c r="AR718" s="75"/>
      <c r="AS718" s="75"/>
      <c r="AT718" s="75"/>
      <c r="AU718" s="75"/>
      <c r="AV718" s="75"/>
      <c r="AW718" s="75"/>
      <c r="AX718" s="75"/>
      <c r="AY718" s="67">
        <f t="shared" ca="1" si="1"/>
        <v>0</v>
      </c>
      <c r="AZ718" s="75"/>
      <c r="BA718" s="67">
        <f t="shared" ca="1" si="2"/>
        <v>0</v>
      </c>
      <c r="BB718" s="66"/>
      <c r="BC718" s="4"/>
      <c r="BD718" s="67"/>
      <c r="BE718" s="67"/>
      <c r="BF718" s="68"/>
      <c r="BG718" s="69"/>
      <c r="BH718" s="84"/>
      <c r="BI718" s="70"/>
      <c r="BJ718" s="73"/>
      <c r="BK718" s="78"/>
      <c r="BL718" s="78">
        <f t="shared" ca="1" si="3"/>
        <v>0</v>
      </c>
      <c r="BM718" s="78"/>
      <c r="BN718" s="78">
        <f t="shared" ca="1" si="4"/>
        <v>0</v>
      </c>
      <c r="BO718" s="66"/>
      <c r="BP718" s="66"/>
    </row>
    <row r="719" spans="1:68" ht="13.2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>
        <f t="shared" ref="AP719:AQ719" si="712">AR719+AT719+AV719</f>
        <v>0</v>
      </c>
      <c r="AQ719" s="75">
        <f t="shared" si="712"/>
        <v>0</v>
      </c>
      <c r="AR719" s="75"/>
      <c r="AS719" s="75"/>
      <c r="AT719" s="75"/>
      <c r="AU719" s="75"/>
      <c r="AV719" s="75"/>
      <c r="AW719" s="75"/>
      <c r="AX719" s="75"/>
      <c r="AY719" s="67">
        <f t="shared" ca="1" si="1"/>
        <v>0</v>
      </c>
      <c r="AZ719" s="75"/>
      <c r="BA719" s="67">
        <f t="shared" ca="1" si="2"/>
        <v>0</v>
      </c>
      <c r="BB719" s="66"/>
      <c r="BC719" s="4"/>
      <c r="BD719" s="67"/>
      <c r="BE719" s="67"/>
      <c r="BF719" s="68"/>
      <c r="BG719" s="69"/>
      <c r="BH719" s="84"/>
      <c r="BI719" s="70"/>
      <c r="BJ719" s="73"/>
      <c r="BK719" s="78"/>
      <c r="BL719" s="78">
        <f t="shared" ca="1" si="3"/>
        <v>0</v>
      </c>
      <c r="BM719" s="78"/>
      <c r="BN719" s="78">
        <f t="shared" ca="1" si="4"/>
        <v>0</v>
      </c>
      <c r="BO719" s="66"/>
      <c r="BP719" s="66"/>
    </row>
    <row r="720" spans="1:68" ht="13.2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>
        <f t="shared" ref="AP720:AQ720" si="713">AR720+AT720+AV720</f>
        <v>0</v>
      </c>
      <c r="AQ720" s="75">
        <f t="shared" si="713"/>
        <v>0</v>
      </c>
      <c r="AR720" s="75"/>
      <c r="AS720" s="75"/>
      <c r="AT720" s="75"/>
      <c r="AU720" s="75"/>
      <c r="AV720" s="75"/>
      <c r="AW720" s="75"/>
      <c r="AX720" s="75"/>
      <c r="AY720" s="67">
        <f t="shared" ca="1" si="1"/>
        <v>0</v>
      </c>
      <c r="AZ720" s="75"/>
      <c r="BA720" s="67">
        <f t="shared" ca="1" si="2"/>
        <v>0</v>
      </c>
      <c r="BB720" s="66"/>
      <c r="BC720" s="4"/>
      <c r="BD720" s="67"/>
      <c r="BE720" s="67"/>
      <c r="BF720" s="68"/>
      <c r="BG720" s="69"/>
      <c r="BH720" s="84"/>
      <c r="BI720" s="70"/>
      <c r="BJ720" s="73"/>
      <c r="BK720" s="78"/>
      <c r="BL720" s="78">
        <f t="shared" ca="1" si="3"/>
        <v>0</v>
      </c>
      <c r="BM720" s="78"/>
      <c r="BN720" s="78">
        <f t="shared" ca="1" si="4"/>
        <v>0</v>
      </c>
      <c r="BO720" s="66"/>
      <c r="BP720" s="66"/>
    </row>
    <row r="721" spans="1:68" ht="13.2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>
        <f t="shared" ref="AP721:AQ721" si="714">AR721+AT721+AV721</f>
        <v>0</v>
      </c>
      <c r="AQ721" s="75">
        <f t="shared" si="714"/>
        <v>0</v>
      </c>
      <c r="AR721" s="75"/>
      <c r="AS721" s="75"/>
      <c r="AT721" s="75"/>
      <c r="AU721" s="75"/>
      <c r="AV721" s="75"/>
      <c r="AW721" s="75"/>
      <c r="AX721" s="75"/>
      <c r="AY721" s="67">
        <f t="shared" ca="1" si="1"/>
        <v>0</v>
      </c>
      <c r="AZ721" s="75"/>
      <c r="BA721" s="67">
        <f t="shared" ca="1" si="2"/>
        <v>0</v>
      </c>
      <c r="BB721" s="66"/>
      <c r="BC721" s="4"/>
      <c r="BD721" s="67"/>
      <c r="BE721" s="67"/>
      <c r="BF721" s="68"/>
      <c r="BG721" s="69"/>
      <c r="BH721" s="84"/>
      <c r="BI721" s="70"/>
      <c r="BJ721" s="73"/>
      <c r="BK721" s="78"/>
      <c r="BL721" s="78">
        <f t="shared" ca="1" si="3"/>
        <v>0</v>
      </c>
      <c r="BM721" s="78"/>
      <c r="BN721" s="78">
        <f t="shared" ca="1" si="4"/>
        <v>0</v>
      </c>
      <c r="BO721" s="66"/>
      <c r="BP721" s="66"/>
    </row>
    <row r="722" spans="1:68" ht="13.2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>
        <f t="shared" ref="AP722:AQ722" si="715">AR722+AT722+AV722</f>
        <v>0</v>
      </c>
      <c r="AQ722" s="75">
        <f t="shared" si="715"/>
        <v>0</v>
      </c>
      <c r="AR722" s="75"/>
      <c r="AS722" s="75"/>
      <c r="AT722" s="75"/>
      <c r="AU722" s="75"/>
      <c r="AV722" s="75"/>
      <c r="AW722" s="75"/>
      <c r="AX722" s="75"/>
      <c r="AY722" s="67">
        <f t="shared" ca="1" si="1"/>
        <v>0</v>
      </c>
      <c r="AZ722" s="75"/>
      <c r="BA722" s="67">
        <f t="shared" ca="1" si="2"/>
        <v>0</v>
      </c>
      <c r="BB722" s="66"/>
      <c r="BC722" s="4"/>
      <c r="BD722" s="67"/>
      <c r="BE722" s="67"/>
      <c r="BF722" s="68"/>
      <c r="BG722" s="69"/>
      <c r="BH722" s="84"/>
      <c r="BI722" s="70"/>
      <c r="BJ722" s="73"/>
      <c r="BK722" s="78"/>
      <c r="BL722" s="78">
        <f t="shared" ca="1" si="3"/>
        <v>0</v>
      </c>
      <c r="BM722" s="78"/>
      <c r="BN722" s="78">
        <f t="shared" ca="1" si="4"/>
        <v>0</v>
      </c>
      <c r="BO722" s="66"/>
      <c r="BP722" s="66"/>
    </row>
    <row r="723" spans="1:68" ht="13.2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>
        <f t="shared" ref="AP723:AQ723" si="716">AR723+AT723+AV723</f>
        <v>0</v>
      </c>
      <c r="AQ723" s="75">
        <f t="shared" si="716"/>
        <v>0</v>
      </c>
      <c r="AR723" s="75"/>
      <c r="AS723" s="75"/>
      <c r="AT723" s="75"/>
      <c r="AU723" s="75"/>
      <c r="AV723" s="75"/>
      <c r="AW723" s="75"/>
      <c r="AX723" s="75"/>
      <c r="AY723" s="67">
        <f t="shared" ca="1" si="1"/>
        <v>0</v>
      </c>
      <c r="AZ723" s="75"/>
      <c r="BA723" s="67">
        <f t="shared" ca="1" si="2"/>
        <v>0</v>
      </c>
      <c r="BB723" s="66"/>
      <c r="BC723" s="4"/>
      <c r="BD723" s="67"/>
      <c r="BE723" s="67"/>
      <c r="BF723" s="68"/>
      <c r="BG723" s="69"/>
      <c r="BH723" s="84"/>
      <c r="BI723" s="70"/>
      <c r="BJ723" s="73"/>
      <c r="BK723" s="78"/>
      <c r="BL723" s="78">
        <f t="shared" ca="1" si="3"/>
        <v>0</v>
      </c>
      <c r="BM723" s="78"/>
      <c r="BN723" s="78">
        <f t="shared" ca="1" si="4"/>
        <v>0</v>
      </c>
      <c r="BO723" s="66"/>
      <c r="BP723" s="66"/>
    </row>
    <row r="724" spans="1:68" ht="13.2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>
        <f t="shared" ref="AP724:AQ724" si="717">AR724+AT724+AV724</f>
        <v>0</v>
      </c>
      <c r="AQ724" s="75">
        <f t="shared" si="717"/>
        <v>0</v>
      </c>
      <c r="AR724" s="75"/>
      <c r="AS724" s="75"/>
      <c r="AT724" s="75"/>
      <c r="AU724" s="75"/>
      <c r="AV724" s="75"/>
      <c r="AW724" s="75"/>
      <c r="AX724" s="75"/>
      <c r="AY724" s="67">
        <f t="shared" ca="1" si="1"/>
        <v>0</v>
      </c>
      <c r="AZ724" s="75"/>
      <c r="BA724" s="67">
        <f t="shared" ca="1" si="2"/>
        <v>0</v>
      </c>
      <c r="BB724" s="66"/>
      <c r="BC724" s="4"/>
      <c r="BD724" s="67"/>
      <c r="BE724" s="67"/>
      <c r="BF724" s="68"/>
      <c r="BG724" s="69"/>
      <c r="BH724" s="84"/>
      <c r="BI724" s="70"/>
      <c r="BJ724" s="73"/>
      <c r="BK724" s="78"/>
      <c r="BL724" s="78">
        <f t="shared" ca="1" si="3"/>
        <v>0</v>
      </c>
      <c r="BM724" s="78"/>
      <c r="BN724" s="78">
        <f t="shared" ca="1" si="4"/>
        <v>0</v>
      </c>
      <c r="BO724" s="66"/>
      <c r="BP724" s="66"/>
    </row>
    <row r="725" spans="1:68" ht="13.2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>
        <f t="shared" ref="AP725:AQ725" si="718">AR725+AT725+AV725</f>
        <v>0</v>
      </c>
      <c r="AQ725" s="75">
        <f t="shared" si="718"/>
        <v>0</v>
      </c>
      <c r="AR725" s="75"/>
      <c r="AS725" s="75"/>
      <c r="AT725" s="75"/>
      <c r="AU725" s="75"/>
      <c r="AV725" s="75"/>
      <c r="AW725" s="75"/>
      <c r="AX725" s="75"/>
      <c r="AY725" s="67">
        <f t="shared" ca="1" si="1"/>
        <v>0</v>
      </c>
      <c r="AZ725" s="75"/>
      <c r="BA725" s="67">
        <f t="shared" ca="1" si="2"/>
        <v>0</v>
      </c>
      <c r="BB725" s="66"/>
      <c r="BC725" s="4"/>
      <c r="BD725" s="67"/>
      <c r="BE725" s="67"/>
      <c r="BF725" s="68"/>
      <c r="BG725" s="69"/>
      <c r="BH725" s="84"/>
      <c r="BI725" s="70"/>
      <c r="BJ725" s="73"/>
      <c r="BK725" s="78"/>
      <c r="BL725" s="78">
        <f t="shared" ca="1" si="3"/>
        <v>0</v>
      </c>
      <c r="BM725" s="78"/>
      <c r="BN725" s="78">
        <f t="shared" ca="1" si="4"/>
        <v>0</v>
      </c>
      <c r="BO725" s="66"/>
      <c r="BP725" s="66"/>
    </row>
    <row r="726" spans="1:68" ht="13.2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>
        <f t="shared" ref="AP726:AQ726" si="719">AR726+AT726+AV726</f>
        <v>0</v>
      </c>
      <c r="AQ726" s="75">
        <f t="shared" si="719"/>
        <v>0</v>
      </c>
      <c r="AR726" s="75"/>
      <c r="AS726" s="75"/>
      <c r="AT726" s="75"/>
      <c r="AU726" s="75"/>
      <c r="AV726" s="75"/>
      <c r="AW726" s="75"/>
      <c r="AX726" s="75"/>
      <c r="AY726" s="67">
        <f t="shared" ca="1" si="1"/>
        <v>0</v>
      </c>
      <c r="AZ726" s="75"/>
      <c r="BA726" s="67">
        <f t="shared" ca="1" si="2"/>
        <v>0</v>
      </c>
      <c r="BB726" s="66"/>
      <c r="BC726" s="4"/>
      <c r="BD726" s="67"/>
      <c r="BE726" s="67"/>
      <c r="BF726" s="68"/>
      <c r="BG726" s="69"/>
      <c r="BH726" s="84"/>
      <c r="BI726" s="70"/>
      <c r="BJ726" s="73"/>
      <c r="BK726" s="78"/>
      <c r="BL726" s="78">
        <f t="shared" ca="1" si="3"/>
        <v>0</v>
      </c>
      <c r="BM726" s="78"/>
      <c r="BN726" s="78">
        <f t="shared" ca="1" si="4"/>
        <v>0</v>
      </c>
      <c r="BO726" s="66"/>
      <c r="BP726" s="66"/>
    </row>
    <row r="727" spans="1:68" ht="13.2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>
        <f t="shared" ref="AP727:AQ727" si="720">AR727+AT727+AV727</f>
        <v>0</v>
      </c>
      <c r="AQ727" s="75">
        <f t="shared" si="720"/>
        <v>0</v>
      </c>
      <c r="AR727" s="75"/>
      <c r="AS727" s="75"/>
      <c r="AT727" s="75"/>
      <c r="AU727" s="75"/>
      <c r="AV727" s="75"/>
      <c r="AW727" s="75"/>
      <c r="AX727" s="75"/>
      <c r="AY727" s="67">
        <f t="shared" ca="1" si="1"/>
        <v>0</v>
      </c>
      <c r="AZ727" s="75"/>
      <c r="BA727" s="67">
        <f t="shared" ca="1" si="2"/>
        <v>0</v>
      </c>
      <c r="BB727" s="66"/>
      <c r="BC727" s="4"/>
      <c r="BD727" s="67"/>
      <c r="BE727" s="67"/>
      <c r="BF727" s="68"/>
      <c r="BG727" s="69"/>
      <c r="BH727" s="84"/>
      <c r="BI727" s="70"/>
      <c r="BJ727" s="73"/>
      <c r="BK727" s="78"/>
      <c r="BL727" s="78">
        <f t="shared" ca="1" si="3"/>
        <v>0</v>
      </c>
      <c r="BM727" s="78"/>
      <c r="BN727" s="78">
        <f t="shared" ca="1" si="4"/>
        <v>0</v>
      </c>
      <c r="BO727" s="66"/>
      <c r="BP727" s="66"/>
    </row>
    <row r="728" spans="1:68" ht="13.2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>
        <f t="shared" ref="AP728:AQ728" si="721">AR728+AT728+AV728</f>
        <v>0</v>
      </c>
      <c r="AQ728" s="75">
        <f t="shared" si="721"/>
        <v>0</v>
      </c>
      <c r="AR728" s="75"/>
      <c r="AS728" s="75"/>
      <c r="AT728" s="75"/>
      <c r="AU728" s="75"/>
      <c r="AV728" s="75"/>
      <c r="AW728" s="75"/>
      <c r="AX728" s="75"/>
      <c r="AY728" s="67">
        <f t="shared" ca="1" si="1"/>
        <v>0</v>
      </c>
      <c r="AZ728" s="75"/>
      <c r="BA728" s="67">
        <f t="shared" ca="1" si="2"/>
        <v>0</v>
      </c>
      <c r="BB728" s="66"/>
      <c r="BC728" s="4"/>
      <c r="BD728" s="67"/>
      <c r="BE728" s="67"/>
      <c r="BF728" s="68"/>
      <c r="BG728" s="69"/>
      <c r="BH728" s="84"/>
      <c r="BI728" s="70"/>
      <c r="BJ728" s="73"/>
      <c r="BK728" s="78"/>
      <c r="BL728" s="78">
        <f t="shared" ca="1" si="3"/>
        <v>0</v>
      </c>
      <c r="BM728" s="78"/>
      <c r="BN728" s="78">
        <f t="shared" ca="1" si="4"/>
        <v>0</v>
      </c>
      <c r="BO728" s="66"/>
      <c r="BP728" s="66"/>
    </row>
    <row r="729" spans="1:68" ht="13.2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>
        <f t="shared" ref="AP729:AQ729" si="722">AR729+AT729+AV729</f>
        <v>0</v>
      </c>
      <c r="AQ729" s="75">
        <f t="shared" si="722"/>
        <v>0</v>
      </c>
      <c r="AR729" s="75"/>
      <c r="AS729" s="75"/>
      <c r="AT729" s="75"/>
      <c r="AU729" s="75"/>
      <c r="AV729" s="75"/>
      <c r="AW729" s="75"/>
      <c r="AX729" s="75"/>
      <c r="AY729" s="67">
        <f t="shared" ca="1" si="1"/>
        <v>0</v>
      </c>
      <c r="AZ729" s="75"/>
      <c r="BA729" s="67">
        <f t="shared" ca="1" si="2"/>
        <v>0</v>
      </c>
      <c r="BB729" s="66"/>
      <c r="BC729" s="4"/>
      <c r="BD729" s="67"/>
      <c r="BE729" s="67"/>
      <c r="BF729" s="68"/>
      <c r="BG729" s="69"/>
      <c r="BH729" s="84"/>
      <c r="BI729" s="70"/>
      <c r="BJ729" s="73"/>
      <c r="BK729" s="78"/>
      <c r="BL729" s="78">
        <f t="shared" ca="1" si="3"/>
        <v>0</v>
      </c>
      <c r="BM729" s="78"/>
      <c r="BN729" s="78">
        <f t="shared" ca="1" si="4"/>
        <v>0</v>
      </c>
      <c r="BO729" s="66"/>
      <c r="BP729" s="66"/>
    </row>
    <row r="730" spans="1:68" ht="13.2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>
        <f t="shared" ref="AP730:AQ730" si="723">AR730+AT730+AV730</f>
        <v>0</v>
      </c>
      <c r="AQ730" s="75">
        <f t="shared" si="723"/>
        <v>0</v>
      </c>
      <c r="AR730" s="75"/>
      <c r="AS730" s="75"/>
      <c r="AT730" s="75"/>
      <c r="AU730" s="75"/>
      <c r="AV730" s="75"/>
      <c r="AW730" s="75"/>
      <c r="AX730" s="75"/>
      <c r="AY730" s="67">
        <f t="shared" ca="1" si="1"/>
        <v>0</v>
      </c>
      <c r="AZ730" s="75"/>
      <c r="BA730" s="67">
        <f t="shared" ca="1" si="2"/>
        <v>0</v>
      </c>
      <c r="BB730" s="66"/>
      <c r="BC730" s="4"/>
      <c r="BD730" s="67"/>
      <c r="BE730" s="67"/>
      <c r="BF730" s="68"/>
      <c r="BG730" s="69"/>
      <c r="BH730" s="84"/>
      <c r="BI730" s="70"/>
      <c r="BJ730" s="73"/>
      <c r="BK730" s="78"/>
      <c r="BL730" s="78">
        <f t="shared" ca="1" si="3"/>
        <v>0</v>
      </c>
      <c r="BM730" s="78"/>
      <c r="BN730" s="78">
        <f t="shared" ca="1" si="4"/>
        <v>0</v>
      </c>
      <c r="BO730" s="66"/>
      <c r="BP730" s="66"/>
    </row>
    <row r="731" spans="1:68" ht="13.2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>
        <f t="shared" ref="AP731:AQ731" si="724">AR731+AT731+AV731</f>
        <v>0</v>
      </c>
      <c r="AQ731" s="75">
        <f t="shared" si="724"/>
        <v>0</v>
      </c>
      <c r="AR731" s="75"/>
      <c r="AS731" s="75"/>
      <c r="AT731" s="75"/>
      <c r="AU731" s="75"/>
      <c r="AV731" s="75"/>
      <c r="AW731" s="75"/>
      <c r="AX731" s="75"/>
      <c r="AY731" s="67">
        <f t="shared" ca="1" si="1"/>
        <v>0</v>
      </c>
      <c r="AZ731" s="75"/>
      <c r="BA731" s="67">
        <f t="shared" ca="1" si="2"/>
        <v>0</v>
      </c>
      <c r="BB731" s="66"/>
      <c r="BC731" s="4"/>
      <c r="BD731" s="67"/>
      <c r="BE731" s="67"/>
      <c r="BF731" s="68"/>
      <c r="BG731" s="69"/>
      <c r="BH731" s="84"/>
      <c r="BI731" s="70"/>
      <c r="BJ731" s="73"/>
      <c r="BK731" s="78"/>
      <c r="BL731" s="78">
        <f t="shared" ca="1" si="3"/>
        <v>0</v>
      </c>
      <c r="BM731" s="78"/>
      <c r="BN731" s="78">
        <f t="shared" ca="1" si="4"/>
        <v>0</v>
      </c>
      <c r="BO731" s="66"/>
      <c r="BP731" s="66"/>
    </row>
    <row r="732" spans="1:68" ht="13.2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>
        <f t="shared" ref="AP732:AQ732" si="725">AR732+AT732+AV732</f>
        <v>0</v>
      </c>
      <c r="AQ732" s="75">
        <f t="shared" si="725"/>
        <v>0</v>
      </c>
      <c r="AR732" s="75"/>
      <c r="AS732" s="75"/>
      <c r="AT732" s="75"/>
      <c r="AU732" s="75"/>
      <c r="AV732" s="75"/>
      <c r="AW732" s="75"/>
      <c r="AX732" s="75"/>
      <c r="AY732" s="67">
        <f t="shared" ca="1" si="1"/>
        <v>0</v>
      </c>
      <c r="AZ732" s="75"/>
      <c r="BA732" s="67">
        <f t="shared" ca="1" si="2"/>
        <v>0</v>
      </c>
      <c r="BB732" s="66"/>
      <c r="BC732" s="4"/>
      <c r="BD732" s="67"/>
      <c r="BE732" s="67"/>
      <c r="BF732" s="68"/>
      <c r="BG732" s="69"/>
      <c r="BH732" s="84"/>
      <c r="BI732" s="70"/>
      <c r="BJ732" s="73"/>
      <c r="BK732" s="78"/>
      <c r="BL732" s="78">
        <f t="shared" ca="1" si="3"/>
        <v>0</v>
      </c>
      <c r="BM732" s="78"/>
      <c r="BN732" s="78">
        <f t="shared" ca="1" si="4"/>
        <v>0</v>
      </c>
      <c r="BO732" s="66"/>
      <c r="BP732" s="66"/>
    </row>
    <row r="733" spans="1:68" ht="13.2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>
        <f t="shared" ref="AP733:AQ733" si="726">AR733+AT733+AV733</f>
        <v>0</v>
      </c>
      <c r="AQ733" s="75">
        <f t="shared" si="726"/>
        <v>0</v>
      </c>
      <c r="AR733" s="75"/>
      <c r="AS733" s="75"/>
      <c r="AT733" s="75"/>
      <c r="AU733" s="75"/>
      <c r="AV733" s="75"/>
      <c r="AW733" s="75"/>
      <c r="AX733" s="75"/>
      <c r="AY733" s="67">
        <f t="shared" ca="1" si="1"/>
        <v>0</v>
      </c>
      <c r="AZ733" s="75"/>
      <c r="BA733" s="67">
        <f t="shared" ca="1" si="2"/>
        <v>0</v>
      </c>
      <c r="BB733" s="66"/>
      <c r="BC733" s="4"/>
      <c r="BD733" s="67"/>
      <c r="BE733" s="67"/>
      <c r="BF733" s="68"/>
      <c r="BG733" s="69"/>
      <c r="BH733" s="84"/>
      <c r="BI733" s="70"/>
      <c r="BJ733" s="73"/>
      <c r="BK733" s="78"/>
      <c r="BL733" s="78">
        <f t="shared" ca="1" si="3"/>
        <v>0</v>
      </c>
      <c r="BM733" s="78"/>
      <c r="BN733" s="78">
        <f t="shared" ca="1" si="4"/>
        <v>0</v>
      </c>
      <c r="BO733" s="66"/>
      <c r="BP733" s="66"/>
    </row>
    <row r="734" spans="1:68" ht="13.2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>
        <f t="shared" ref="AP734:AQ734" si="727">AR734+AT734+AV734</f>
        <v>0</v>
      </c>
      <c r="AQ734" s="75">
        <f t="shared" si="727"/>
        <v>0</v>
      </c>
      <c r="AR734" s="75"/>
      <c r="AS734" s="75"/>
      <c r="AT734" s="75"/>
      <c r="AU734" s="75"/>
      <c r="AV734" s="75"/>
      <c r="AW734" s="75"/>
      <c r="AX734" s="75"/>
      <c r="AY734" s="67">
        <f t="shared" ca="1" si="1"/>
        <v>0</v>
      </c>
      <c r="AZ734" s="75"/>
      <c r="BA734" s="67">
        <f t="shared" ca="1" si="2"/>
        <v>0</v>
      </c>
      <c r="BB734" s="66"/>
      <c r="BC734" s="4"/>
      <c r="BD734" s="67"/>
      <c r="BE734" s="67"/>
      <c r="BF734" s="68"/>
      <c r="BG734" s="69"/>
      <c r="BH734" s="84"/>
      <c r="BI734" s="70"/>
      <c r="BJ734" s="73"/>
      <c r="BK734" s="78"/>
      <c r="BL734" s="78">
        <f t="shared" ca="1" si="3"/>
        <v>0</v>
      </c>
      <c r="BM734" s="78"/>
      <c r="BN734" s="78">
        <f t="shared" ca="1" si="4"/>
        <v>0</v>
      </c>
      <c r="BO734" s="66"/>
      <c r="BP734" s="66"/>
    </row>
    <row r="735" spans="1:68" ht="13.2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>
        <f t="shared" ref="AP735:AQ735" si="728">AR735+AT735+AV735</f>
        <v>0</v>
      </c>
      <c r="AQ735" s="75">
        <f t="shared" si="728"/>
        <v>0</v>
      </c>
      <c r="AR735" s="75"/>
      <c r="AS735" s="75"/>
      <c r="AT735" s="75"/>
      <c r="AU735" s="75"/>
      <c r="AV735" s="75"/>
      <c r="AW735" s="75"/>
      <c r="AX735" s="75"/>
      <c r="AY735" s="67">
        <f t="shared" ca="1" si="1"/>
        <v>0</v>
      </c>
      <c r="AZ735" s="75"/>
      <c r="BA735" s="67">
        <f t="shared" ca="1" si="2"/>
        <v>0</v>
      </c>
      <c r="BB735" s="66"/>
      <c r="BC735" s="4"/>
      <c r="BD735" s="67"/>
      <c r="BE735" s="67"/>
      <c r="BF735" s="68"/>
      <c r="BG735" s="69"/>
      <c r="BH735" s="84"/>
      <c r="BI735" s="70"/>
      <c r="BJ735" s="73"/>
      <c r="BK735" s="78"/>
      <c r="BL735" s="78">
        <f t="shared" ca="1" si="3"/>
        <v>0</v>
      </c>
      <c r="BM735" s="78"/>
      <c r="BN735" s="78">
        <f t="shared" ca="1" si="4"/>
        <v>0</v>
      </c>
      <c r="BO735" s="66"/>
      <c r="BP735" s="66"/>
    </row>
    <row r="736" spans="1:68" ht="13.2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>
        <f t="shared" ref="AP736:AQ736" si="729">AR736+AT736+AV736</f>
        <v>0</v>
      </c>
      <c r="AQ736" s="75">
        <f t="shared" si="729"/>
        <v>0</v>
      </c>
      <c r="AR736" s="75"/>
      <c r="AS736" s="75"/>
      <c r="AT736" s="75"/>
      <c r="AU736" s="75"/>
      <c r="AV736" s="75"/>
      <c r="AW736" s="75"/>
      <c r="AX736" s="75"/>
      <c r="AY736" s="67">
        <f t="shared" ca="1" si="1"/>
        <v>0</v>
      </c>
      <c r="AZ736" s="75"/>
      <c r="BA736" s="67">
        <f t="shared" ca="1" si="2"/>
        <v>0</v>
      </c>
      <c r="BB736" s="66"/>
      <c r="BC736" s="4"/>
      <c r="BD736" s="67"/>
      <c r="BE736" s="67"/>
      <c r="BF736" s="68"/>
      <c r="BG736" s="69"/>
      <c r="BH736" s="84"/>
      <c r="BI736" s="70"/>
      <c r="BJ736" s="73"/>
      <c r="BK736" s="78"/>
      <c r="BL736" s="78">
        <f t="shared" ca="1" si="3"/>
        <v>0</v>
      </c>
      <c r="BM736" s="78"/>
      <c r="BN736" s="78">
        <f t="shared" ca="1" si="4"/>
        <v>0</v>
      </c>
      <c r="BO736" s="66"/>
      <c r="BP736" s="66"/>
    </row>
    <row r="737" spans="1:68" ht="13.2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>
        <f t="shared" ref="AP737:AQ737" si="730">AR737+AT737+AV737</f>
        <v>0</v>
      </c>
      <c r="AQ737" s="75">
        <f t="shared" si="730"/>
        <v>0</v>
      </c>
      <c r="AR737" s="75"/>
      <c r="AS737" s="75"/>
      <c r="AT737" s="75"/>
      <c r="AU737" s="75"/>
      <c r="AV737" s="75"/>
      <c r="AW737" s="75"/>
      <c r="AX737" s="75"/>
      <c r="AY737" s="67">
        <f t="shared" ca="1" si="1"/>
        <v>0</v>
      </c>
      <c r="AZ737" s="75"/>
      <c r="BA737" s="67">
        <f t="shared" ca="1" si="2"/>
        <v>0</v>
      </c>
      <c r="BB737" s="66"/>
      <c r="BC737" s="4"/>
      <c r="BD737" s="67"/>
      <c r="BE737" s="67"/>
      <c r="BF737" s="68"/>
      <c r="BG737" s="69"/>
      <c r="BH737" s="84"/>
      <c r="BI737" s="70"/>
      <c r="BJ737" s="73"/>
      <c r="BK737" s="78"/>
      <c r="BL737" s="78">
        <f t="shared" ca="1" si="3"/>
        <v>0</v>
      </c>
      <c r="BM737" s="78"/>
      <c r="BN737" s="78">
        <f t="shared" ca="1" si="4"/>
        <v>0</v>
      </c>
      <c r="BO737" s="66"/>
      <c r="BP737" s="66"/>
    </row>
    <row r="738" spans="1:68" ht="13.2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>
        <f t="shared" ref="AP738:AQ738" si="731">AR738+AT738+AV738</f>
        <v>0</v>
      </c>
      <c r="AQ738" s="75">
        <f t="shared" si="731"/>
        <v>0</v>
      </c>
      <c r="AR738" s="75"/>
      <c r="AS738" s="75"/>
      <c r="AT738" s="75"/>
      <c r="AU738" s="75"/>
      <c r="AV738" s="75"/>
      <c r="AW738" s="75"/>
      <c r="AX738" s="75"/>
      <c r="AY738" s="67">
        <f t="shared" ca="1" si="1"/>
        <v>0</v>
      </c>
      <c r="AZ738" s="75"/>
      <c r="BA738" s="67">
        <f t="shared" ca="1" si="2"/>
        <v>0</v>
      </c>
      <c r="BB738" s="66"/>
      <c r="BC738" s="4"/>
      <c r="BD738" s="67"/>
      <c r="BE738" s="67"/>
      <c r="BF738" s="68"/>
      <c r="BG738" s="69"/>
      <c r="BH738" s="84"/>
      <c r="BI738" s="70"/>
      <c r="BJ738" s="73"/>
      <c r="BK738" s="78"/>
      <c r="BL738" s="78">
        <f t="shared" ca="1" si="3"/>
        <v>0</v>
      </c>
      <c r="BM738" s="78"/>
      <c r="BN738" s="78">
        <f t="shared" ca="1" si="4"/>
        <v>0</v>
      </c>
      <c r="BO738" s="66"/>
      <c r="BP738" s="66"/>
    </row>
    <row r="739" spans="1:68" ht="13.2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>
        <f t="shared" ref="AP739:AQ739" si="732">AR739+AT739+AV739</f>
        <v>0</v>
      </c>
      <c r="AQ739" s="75">
        <f t="shared" si="732"/>
        <v>0</v>
      </c>
      <c r="AR739" s="75"/>
      <c r="AS739" s="75"/>
      <c r="AT739" s="75"/>
      <c r="AU739" s="75"/>
      <c r="AV739" s="75"/>
      <c r="AW739" s="75"/>
      <c r="AX739" s="75"/>
      <c r="AY739" s="67">
        <f t="shared" ca="1" si="1"/>
        <v>0</v>
      </c>
      <c r="AZ739" s="75"/>
      <c r="BA739" s="67">
        <f t="shared" ca="1" si="2"/>
        <v>0</v>
      </c>
      <c r="BB739" s="66"/>
      <c r="BC739" s="4"/>
      <c r="BD739" s="67"/>
      <c r="BE739" s="67"/>
      <c r="BF739" s="68"/>
      <c r="BG739" s="69"/>
      <c r="BH739" s="84"/>
      <c r="BI739" s="70"/>
      <c r="BJ739" s="73"/>
      <c r="BK739" s="78"/>
      <c r="BL739" s="78">
        <f t="shared" ca="1" si="3"/>
        <v>0</v>
      </c>
      <c r="BM739" s="78"/>
      <c r="BN739" s="78">
        <f t="shared" ca="1" si="4"/>
        <v>0</v>
      </c>
      <c r="BO739" s="66"/>
      <c r="BP739" s="66"/>
    </row>
    <row r="740" spans="1:68" ht="13.2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>
        <f t="shared" ref="AP740:AQ740" si="733">AR740+AT740+AV740</f>
        <v>0</v>
      </c>
      <c r="AQ740" s="75">
        <f t="shared" si="733"/>
        <v>0</v>
      </c>
      <c r="AR740" s="75"/>
      <c r="AS740" s="75"/>
      <c r="AT740" s="75"/>
      <c r="AU740" s="75"/>
      <c r="AV740" s="75"/>
      <c r="AW740" s="75"/>
      <c r="AX740" s="75"/>
      <c r="AY740" s="67">
        <f t="shared" ca="1" si="1"/>
        <v>0</v>
      </c>
      <c r="AZ740" s="75"/>
      <c r="BA740" s="67">
        <f t="shared" ca="1" si="2"/>
        <v>0</v>
      </c>
      <c r="BB740" s="66"/>
      <c r="BC740" s="4"/>
      <c r="BD740" s="67"/>
      <c r="BE740" s="67"/>
      <c r="BF740" s="68"/>
      <c r="BG740" s="69"/>
      <c r="BH740" s="84"/>
      <c r="BI740" s="70"/>
      <c r="BJ740" s="73"/>
      <c r="BK740" s="78"/>
      <c r="BL740" s="78">
        <f t="shared" ca="1" si="3"/>
        <v>0</v>
      </c>
      <c r="BM740" s="78"/>
      <c r="BN740" s="78">
        <f t="shared" ca="1" si="4"/>
        <v>0</v>
      </c>
      <c r="BO740" s="66"/>
      <c r="BP740" s="66"/>
    </row>
    <row r="741" spans="1:68" ht="13.2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>
        <f t="shared" ref="AP741:AQ741" si="734">AR741+AT741+AV741</f>
        <v>0</v>
      </c>
      <c r="AQ741" s="75">
        <f t="shared" si="734"/>
        <v>0</v>
      </c>
      <c r="AR741" s="75"/>
      <c r="AS741" s="75"/>
      <c r="AT741" s="75"/>
      <c r="AU741" s="75"/>
      <c r="AV741" s="75"/>
      <c r="AW741" s="75"/>
      <c r="AX741" s="75"/>
      <c r="AY741" s="67">
        <f t="shared" ca="1" si="1"/>
        <v>0</v>
      </c>
      <c r="AZ741" s="75"/>
      <c r="BA741" s="67">
        <f t="shared" ca="1" si="2"/>
        <v>0</v>
      </c>
      <c r="BB741" s="66"/>
      <c r="BC741" s="4"/>
      <c r="BD741" s="67"/>
      <c r="BE741" s="67"/>
      <c r="BF741" s="68"/>
      <c r="BG741" s="69"/>
      <c r="BH741" s="84"/>
      <c r="BI741" s="70"/>
      <c r="BJ741" s="73"/>
      <c r="BK741" s="78"/>
      <c r="BL741" s="78">
        <f t="shared" ca="1" si="3"/>
        <v>0</v>
      </c>
      <c r="BM741" s="78"/>
      <c r="BN741" s="78">
        <f t="shared" ca="1" si="4"/>
        <v>0</v>
      </c>
      <c r="BO741" s="66"/>
      <c r="BP741" s="66"/>
    </row>
    <row r="742" spans="1:68" ht="13.2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>
        <f t="shared" ref="AP742:AQ742" si="735">AR742+AT742+AV742</f>
        <v>0</v>
      </c>
      <c r="AQ742" s="75">
        <f t="shared" si="735"/>
        <v>0</v>
      </c>
      <c r="AR742" s="75"/>
      <c r="AS742" s="75"/>
      <c r="AT742" s="75"/>
      <c r="AU742" s="75"/>
      <c r="AV742" s="75"/>
      <c r="AW742" s="75"/>
      <c r="AX742" s="75"/>
      <c r="AY742" s="67">
        <f t="shared" ca="1" si="1"/>
        <v>0</v>
      </c>
      <c r="AZ742" s="75"/>
      <c r="BA742" s="67">
        <f t="shared" ca="1" si="2"/>
        <v>0</v>
      </c>
      <c r="BB742" s="66"/>
      <c r="BC742" s="4"/>
      <c r="BD742" s="67"/>
      <c r="BE742" s="67"/>
      <c r="BF742" s="68"/>
      <c r="BG742" s="69"/>
      <c r="BH742" s="84"/>
      <c r="BI742" s="70"/>
      <c r="BJ742" s="73"/>
      <c r="BK742" s="78"/>
      <c r="BL742" s="78">
        <f t="shared" ca="1" si="3"/>
        <v>0</v>
      </c>
      <c r="BM742" s="78"/>
      <c r="BN742" s="78">
        <f t="shared" ca="1" si="4"/>
        <v>0</v>
      </c>
      <c r="BO742" s="66"/>
      <c r="BP742" s="66"/>
    </row>
    <row r="743" spans="1:68" ht="13.2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>
        <f t="shared" ref="AP743:AQ743" si="736">AR743+AT743+AV743</f>
        <v>0</v>
      </c>
      <c r="AQ743" s="75">
        <f t="shared" si="736"/>
        <v>0</v>
      </c>
      <c r="AR743" s="75"/>
      <c r="AS743" s="75"/>
      <c r="AT743" s="75"/>
      <c r="AU743" s="75"/>
      <c r="AV743" s="75"/>
      <c r="AW743" s="75"/>
      <c r="AX743" s="75"/>
      <c r="AY743" s="67">
        <f t="shared" ca="1" si="1"/>
        <v>0</v>
      </c>
      <c r="AZ743" s="75"/>
      <c r="BA743" s="67">
        <f t="shared" ca="1" si="2"/>
        <v>0</v>
      </c>
      <c r="BB743" s="66"/>
      <c r="BC743" s="4"/>
      <c r="BD743" s="67"/>
      <c r="BE743" s="67"/>
      <c r="BF743" s="68"/>
      <c r="BG743" s="69"/>
      <c r="BH743" s="84"/>
      <c r="BI743" s="70"/>
      <c r="BJ743" s="73"/>
      <c r="BK743" s="78"/>
      <c r="BL743" s="78">
        <f t="shared" ca="1" si="3"/>
        <v>0</v>
      </c>
      <c r="BM743" s="78"/>
      <c r="BN743" s="78">
        <f t="shared" ca="1" si="4"/>
        <v>0</v>
      </c>
      <c r="BO743" s="66"/>
      <c r="BP743" s="66"/>
    </row>
    <row r="744" spans="1:68" ht="13.2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>
        <f t="shared" ref="AP744:AQ744" si="737">AR744+AT744+AV744</f>
        <v>0</v>
      </c>
      <c r="AQ744" s="75">
        <f t="shared" si="737"/>
        <v>0</v>
      </c>
      <c r="AR744" s="75"/>
      <c r="AS744" s="75"/>
      <c r="AT744" s="75"/>
      <c r="AU744" s="75"/>
      <c r="AV744" s="75"/>
      <c r="AW744" s="75"/>
      <c r="AX744" s="75"/>
      <c r="AY744" s="67">
        <f t="shared" ca="1" si="1"/>
        <v>0</v>
      </c>
      <c r="AZ744" s="75"/>
      <c r="BA744" s="67">
        <f t="shared" ca="1" si="2"/>
        <v>0</v>
      </c>
      <c r="BB744" s="66"/>
      <c r="BC744" s="4"/>
      <c r="BD744" s="67"/>
      <c r="BE744" s="67"/>
      <c r="BF744" s="68"/>
      <c r="BG744" s="69"/>
      <c r="BH744" s="84"/>
      <c r="BI744" s="70"/>
      <c r="BJ744" s="73"/>
      <c r="BK744" s="78"/>
      <c r="BL744" s="78">
        <f t="shared" ca="1" si="3"/>
        <v>0</v>
      </c>
      <c r="BM744" s="78"/>
      <c r="BN744" s="78">
        <f t="shared" ca="1" si="4"/>
        <v>0</v>
      </c>
      <c r="BO744" s="66"/>
      <c r="BP744" s="66"/>
    </row>
    <row r="745" spans="1:68" ht="13.2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>
        <f t="shared" ref="AP745:AQ745" si="738">AR745+AT745+AV745</f>
        <v>0</v>
      </c>
      <c r="AQ745" s="75">
        <f t="shared" si="738"/>
        <v>0</v>
      </c>
      <c r="AR745" s="75"/>
      <c r="AS745" s="75"/>
      <c r="AT745" s="75"/>
      <c r="AU745" s="75"/>
      <c r="AV745" s="75"/>
      <c r="AW745" s="75"/>
      <c r="AX745" s="75"/>
      <c r="AY745" s="67">
        <f t="shared" ca="1" si="1"/>
        <v>0</v>
      </c>
      <c r="AZ745" s="75"/>
      <c r="BA745" s="67">
        <f t="shared" ca="1" si="2"/>
        <v>0</v>
      </c>
      <c r="BB745" s="66"/>
      <c r="BC745" s="4"/>
      <c r="BD745" s="67"/>
      <c r="BE745" s="67"/>
      <c r="BF745" s="68"/>
      <c r="BG745" s="69"/>
      <c r="BH745" s="84"/>
      <c r="BI745" s="70"/>
      <c r="BJ745" s="73"/>
      <c r="BK745" s="78"/>
      <c r="BL745" s="78">
        <f t="shared" ca="1" si="3"/>
        <v>0</v>
      </c>
      <c r="BM745" s="78"/>
      <c r="BN745" s="78">
        <f t="shared" ca="1" si="4"/>
        <v>0</v>
      </c>
      <c r="BO745" s="66"/>
      <c r="BP745" s="66"/>
    </row>
    <row r="746" spans="1:68" ht="13.2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>
        <f t="shared" ref="AP746:AQ746" si="739">AR746+AT746+AV746</f>
        <v>0</v>
      </c>
      <c r="AQ746" s="75">
        <f t="shared" si="739"/>
        <v>0</v>
      </c>
      <c r="AR746" s="75"/>
      <c r="AS746" s="75"/>
      <c r="AT746" s="75"/>
      <c r="AU746" s="75"/>
      <c r="AV746" s="75"/>
      <c r="AW746" s="75"/>
      <c r="AX746" s="75"/>
      <c r="AY746" s="67">
        <f t="shared" ca="1" si="1"/>
        <v>0</v>
      </c>
      <c r="AZ746" s="75"/>
      <c r="BA746" s="67">
        <f t="shared" ca="1" si="2"/>
        <v>0</v>
      </c>
      <c r="BB746" s="66"/>
      <c r="BC746" s="4"/>
      <c r="BD746" s="67"/>
      <c r="BE746" s="67"/>
      <c r="BF746" s="68"/>
      <c r="BG746" s="69"/>
      <c r="BH746" s="84"/>
      <c r="BI746" s="70"/>
      <c r="BJ746" s="73"/>
      <c r="BK746" s="78"/>
      <c r="BL746" s="78">
        <f t="shared" ca="1" si="3"/>
        <v>0</v>
      </c>
      <c r="BM746" s="78"/>
      <c r="BN746" s="78">
        <f t="shared" ca="1" si="4"/>
        <v>0</v>
      </c>
      <c r="BO746" s="66"/>
      <c r="BP746" s="66"/>
    </row>
    <row r="747" spans="1:68" ht="13.2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>
        <f t="shared" ref="AP747:AQ747" si="740">AR747+AT747+AV747</f>
        <v>0</v>
      </c>
      <c r="AQ747" s="75">
        <f t="shared" si="740"/>
        <v>0</v>
      </c>
      <c r="AR747" s="75"/>
      <c r="AS747" s="75"/>
      <c r="AT747" s="75"/>
      <c r="AU747" s="75"/>
      <c r="AV747" s="75"/>
      <c r="AW747" s="75"/>
      <c r="AX747" s="75"/>
      <c r="AY747" s="67">
        <f t="shared" ca="1" si="1"/>
        <v>0</v>
      </c>
      <c r="AZ747" s="75"/>
      <c r="BA747" s="67">
        <f t="shared" ca="1" si="2"/>
        <v>0</v>
      </c>
      <c r="BB747" s="66"/>
      <c r="BC747" s="4"/>
      <c r="BD747" s="67"/>
      <c r="BE747" s="67"/>
      <c r="BF747" s="68"/>
      <c r="BG747" s="69"/>
      <c r="BH747" s="84"/>
      <c r="BI747" s="70"/>
      <c r="BJ747" s="73"/>
      <c r="BK747" s="78"/>
      <c r="BL747" s="78">
        <f t="shared" ca="1" si="3"/>
        <v>0</v>
      </c>
      <c r="BM747" s="78"/>
      <c r="BN747" s="78">
        <f t="shared" ca="1" si="4"/>
        <v>0</v>
      </c>
      <c r="BO747" s="66"/>
      <c r="BP747" s="66"/>
    </row>
    <row r="748" spans="1:68" ht="13.2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>
        <f t="shared" ref="AP748:AQ748" si="741">AR748+AT748+AV748</f>
        <v>0</v>
      </c>
      <c r="AQ748" s="75">
        <f t="shared" si="741"/>
        <v>0</v>
      </c>
      <c r="AR748" s="75"/>
      <c r="AS748" s="75"/>
      <c r="AT748" s="75"/>
      <c r="AU748" s="75"/>
      <c r="AV748" s="75"/>
      <c r="AW748" s="75"/>
      <c r="AX748" s="75"/>
      <c r="AY748" s="67">
        <f t="shared" ca="1" si="1"/>
        <v>0</v>
      </c>
      <c r="AZ748" s="75"/>
      <c r="BA748" s="67">
        <f t="shared" ca="1" si="2"/>
        <v>0</v>
      </c>
      <c r="BB748" s="66"/>
      <c r="BC748" s="4"/>
      <c r="BD748" s="67"/>
      <c r="BE748" s="67"/>
      <c r="BF748" s="68"/>
      <c r="BG748" s="69"/>
      <c r="BH748" s="84"/>
      <c r="BI748" s="70"/>
      <c r="BJ748" s="73"/>
      <c r="BK748" s="78"/>
      <c r="BL748" s="78">
        <f t="shared" ca="1" si="3"/>
        <v>0</v>
      </c>
      <c r="BM748" s="78"/>
      <c r="BN748" s="78">
        <f t="shared" ca="1" si="4"/>
        <v>0</v>
      </c>
      <c r="BO748" s="66"/>
      <c r="BP748" s="66"/>
    </row>
    <row r="749" spans="1:68" ht="13.2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>
        <f t="shared" ref="AP749:AQ749" si="742">AR749+AT749+AV749</f>
        <v>0</v>
      </c>
      <c r="AQ749" s="75">
        <f t="shared" si="742"/>
        <v>0</v>
      </c>
      <c r="AR749" s="75"/>
      <c r="AS749" s="75"/>
      <c r="AT749" s="75"/>
      <c r="AU749" s="75"/>
      <c r="AV749" s="75"/>
      <c r="AW749" s="75"/>
      <c r="AX749" s="75"/>
      <c r="AY749" s="67">
        <f t="shared" ca="1" si="1"/>
        <v>0</v>
      </c>
      <c r="AZ749" s="75"/>
      <c r="BA749" s="67">
        <f t="shared" ca="1" si="2"/>
        <v>0</v>
      </c>
      <c r="BB749" s="66"/>
      <c r="BC749" s="4"/>
      <c r="BD749" s="67"/>
      <c r="BE749" s="67"/>
      <c r="BF749" s="68"/>
      <c r="BG749" s="69"/>
      <c r="BH749" s="84"/>
      <c r="BI749" s="70"/>
      <c r="BJ749" s="73"/>
      <c r="BK749" s="78"/>
      <c r="BL749" s="78">
        <f t="shared" ca="1" si="3"/>
        <v>0</v>
      </c>
      <c r="BM749" s="78"/>
      <c r="BN749" s="78">
        <f t="shared" ca="1" si="4"/>
        <v>0</v>
      </c>
      <c r="BO749" s="66"/>
      <c r="BP749" s="66"/>
    </row>
    <row r="750" spans="1:68" ht="13.2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>
        <f t="shared" ref="AP750:AQ750" si="743">AR750+AT750+AV750</f>
        <v>0</v>
      </c>
      <c r="AQ750" s="75">
        <f t="shared" si="743"/>
        <v>0</v>
      </c>
      <c r="AR750" s="75"/>
      <c r="AS750" s="75"/>
      <c r="AT750" s="75"/>
      <c r="AU750" s="75"/>
      <c r="AV750" s="75"/>
      <c r="AW750" s="75"/>
      <c r="AX750" s="75"/>
      <c r="AY750" s="67">
        <f t="shared" ca="1" si="1"/>
        <v>0</v>
      </c>
      <c r="AZ750" s="75"/>
      <c r="BA750" s="67">
        <f t="shared" ca="1" si="2"/>
        <v>0</v>
      </c>
      <c r="BB750" s="66"/>
      <c r="BC750" s="4"/>
      <c r="BD750" s="67"/>
      <c r="BE750" s="67"/>
      <c r="BF750" s="68"/>
      <c r="BG750" s="69"/>
      <c r="BH750" s="84"/>
      <c r="BI750" s="70"/>
      <c r="BJ750" s="73"/>
      <c r="BK750" s="78"/>
      <c r="BL750" s="78">
        <f t="shared" ca="1" si="3"/>
        <v>0</v>
      </c>
      <c r="BM750" s="78"/>
      <c r="BN750" s="78">
        <f t="shared" ca="1" si="4"/>
        <v>0</v>
      </c>
      <c r="BO750" s="66"/>
      <c r="BP750" s="66"/>
    </row>
    <row r="751" spans="1:68" ht="13.2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>
        <f t="shared" ref="AP751:AQ751" si="744">AR751+AT751+AV751</f>
        <v>0</v>
      </c>
      <c r="AQ751" s="75">
        <f t="shared" si="744"/>
        <v>0</v>
      </c>
      <c r="AR751" s="75"/>
      <c r="AS751" s="75"/>
      <c r="AT751" s="75"/>
      <c r="AU751" s="75"/>
      <c r="AV751" s="75"/>
      <c r="AW751" s="75"/>
      <c r="AX751" s="75"/>
      <c r="AY751" s="67">
        <f t="shared" ca="1" si="1"/>
        <v>0</v>
      </c>
      <c r="AZ751" s="75"/>
      <c r="BA751" s="67">
        <f t="shared" ca="1" si="2"/>
        <v>0</v>
      </c>
      <c r="BB751" s="66"/>
      <c r="BC751" s="4"/>
      <c r="BD751" s="67"/>
      <c r="BE751" s="67"/>
      <c r="BF751" s="68"/>
      <c r="BG751" s="69"/>
      <c r="BH751" s="84"/>
      <c r="BI751" s="70"/>
      <c r="BJ751" s="73"/>
      <c r="BK751" s="78"/>
      <c r="BL751" s="78">
        <f t="shared" ca="1" si="3"/>
        <v>0</v>
      </c>
      <c r="BM751" s="78"/>
      <c r="BN751" s="78">
        <f t="shared" ca="1" si="4"/>
        <v>0</v>
      </c>
      <c r="BO751" s="66"/>
      <c r="BP751" s="66"/>
    </row>
    <row r="752" spans="1:68" ht="13.2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>
        <f t="shared" ref="AP752:AQ752" si="745">AR752+AT752+AV752</f>
        <v>0</v>
      </c>
      <c r="AQ752" s="75">
        <f t="shared" si="745"/>
        <v>0</v>
      </c>
      <c r="AR752" s="75"/>
      <c r="AS752" s="75"/>
      <c r="AT752" s="75"/>
      <c r="AU752" s="75"/>
      <c r="AV752" s="75"/>
      <c r="AW752" s="75"/>
      <c r="AX752" s="75"/>
      <c r="AY752" s="67">
        <f t="shared" ca="1" si="1"/>
        <v>0</v>
      </c>
      <c r="AZ752" s="75"/>
      <c r="BA752" s="67">
        <f t="shared" ca="1" si="2"/>
        <v>0</v>
      </c>
      <c r="BB752" s="66"/>
      <c r="BC752" s="4"/>
      <c r="BD752" s="67"/>
      <c r="BE752" s="67"/>
      <c r="BF752" s="68"/>
      <c r="BG752" s="69"/>
      <c r="BH752" s="84"/>
      <c r="BI752" s="70"/>
      <c r="BJ752" s="73"/>
      <c r="BK752" s="78"/>
      <c r="BL752" s="78">
        <f t="shared" ca="1" si="3"/>
        <v>0</v>
      </c>
      <c r="BM752" s="78"/>
      <c r="BN752" s="78">
        <f t="shared" ca="1" si="4"/>
        <v>0</v>
      </c>
      <c r="BO752" s="66"/>
      <c r="BP752" s="66"/>
    </row>
    <row r="753" spans="1:68" ht="13.2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>
        <f t="shared" ref="AP753:AQ753" si="746">AR753+AT753+AV753</f>
        <v>0</v>
      </c>
      <c r="AQ753" s="75">
        <f t="shared" si="746"/>
        <v>0</v>
      </c>
      <c r="AR753" s="75"/>
      <c r="AS753" s="75"/>
      <c r="AT753" s="75"/>
      <c r="AU753" s="75"/>
      <c r="AV753" s="75"/>
      <c r="AW753" s="75"/>
      <c r="AX753" s="75"/>
      <c r="AY753" s="67">
        <f t="shared" ca="1" si="1"/>
        <v>0</v>
      </c>
      <c r="AZ753" s="75"/>
      <c r="BA753" s="67">
        <f t="shared" ca="1" si="2"/>
        <v>0</v>
      </c>
      <c r="BB753" s="66"/>
      <c r="BC753" s="4"/>
      <c r="BD753" s="67"/>
      <c r="BE753" s="67"/>
      <c r="BF753" s="68"/>
      <c r="BG753" s="69"/>
      <c r="BH753" s="84"/>
      <c r="BI753" s="70"/>
      <c r="BJ753" s="73"/>
      <c r="BK753" s="78"/>
      <c r="BL753" s="78">
        <f t="shared" ca="1" si="3"/>
        <v>0</v>
      </c>
      <c r="BM753" s="78"/>
      <c r="BN753" s="78">
        <f t="shared" ca="1" si="4"/>
        <v>0</v>
      </c>
      <c r="BO753" s="66"/>
      <c r="BP753" s="66"/>
    </row>
    <row r="754" spans="1:68" ht="13.2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>
        <f t="shared" ref="AP754:AQ754" si="747">AR754+AT754+AV754</f>
        <v>0</v>
      </c>
      <c r="AQ754" s="75">
        <f t="shared" si="747"/>
        <v>0</v>
      </c>
      <c r="AR754" s="75"/>
      <c r="AS754" s="75"/>
      <c r="AT754" s="75"/>
      <c r="AU754" s="75"/>
      <c r="AV754" s="75"/>
      <c r="AW754" s="75"/>
      <c r="AX754" s="75"/>
      <c r="AY754" s="67">
        <f t="shared" ca="1" si="1"/>
        <v>0</v>
      </c>
      <c r="AZ754" s="75"/>
      <c r="BA754" s="67">
        <f t="shared" ca="1" si="2"/>
        <v>0</v>
      </c>
      <c r="BB754" s="66"/>
      <c r="BC754" s="4"/>
      <c r="BD754" s="67"/>
      <c r="BE754" s="67"/>
      <c r="BF754" s="68"/>
      <c r="BG754" s="69"/>
      <c r="BH754" s="84"/>
      <c r="BI754" s="70"/>
      <c r="BJ754" s="73"/>
      <c r="BK754" s="78"/>
      <c r="BL754" s="78">
        <f t="shared" ca="1" si="3"/>
        <v>0</v>
      </c>
      <c r="BM754" s="78"/>
      <c r="BN754" s="78">
        <f t="shared" ca="1" si="4"/>
        <v>0</v>
      </c>
      <c r="BO754" s="66"/>
      <c r="BP754" s="66"/>
    </row>
    <row r="755" spans="1:68" ht="13.2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>
        <f t="shared" ref="AP755:AQ755" si="748">AR755+AT755+AV755</f>
        <v>0</v>
      </c>
      <c r="AQ755" s="75">
        <f t="shared" si="748"/>
        <v>0</v>
      </c>
      <c r="AR755" s="75"/>
      <c r="AS755" s="75"/>
      <c r="AT755" s="75"/>
      <c r="AU755" s="75"/>
      <c r="AV755" s="75"/>
      <c r="AW755" s="75"/>
      <c r="AX755" s="75"/>
      <c r="AY755" s="67">
        <f t="shared" ca="1" si="1"/>
        <v>0</v>
      </c>
      <c r="AZ755" s="75"/>
      <c r="BA755" s="67">
        <f t="shared" ca="1" si="2"/>
        <v>0</v>
      </c>
      <c r="BB755" s="66"/>
      <c r="BC755" s="4"/>
      <c r="BD755" s="67"/>
      <c r="BE755" s="67"/>
      <c r="BF755" s="68"/>
      <c r="BG755" s="69"/>
      <c r="BH755" s="84"/>
      <c r="BI755" s="70"/>
      <c r="BJ755" s="73"/>
      <c r="BK755" s="78"/>
      <c r="BL755" s="78">
        <f t="shared" ca="1" si="3"/>
        <v>0</v>
      </c>
      <c r="BM755" s="78"/>
      <c r="BN755" s="78">
        <f t="shared" ca="1" si="4"/>
        <v>0</v>
      </c>
      <c r="BO755" s="66"/>
      <c r="BP755" s="66"/>
    </row>
    <row r="756" spans="1:68" ht="13.2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>
        <f t="shared" ref="AP756:AQ756" si="749">AR756+AT756+AV756</f>
        <v>0</v>
      </c>
      <c r="AQ756" s="75">
        <f t="shared" si="749"/>
        <v>0</v>
      </c>
      <c r="AR756" s="75"/>
      <c r="AS756" s="75"/>
      <c r="AT756" s="75"/>
      <c r="AU756" s="75"/>
      <c r="AV756" s="75"/>
      <c r="AW756" s="75"/>
      <c r="AX756" s="75"/>
      <c r="AY756" s="67">
        <f t="shared" ca="1" si="1"/>
        <v>0</v>
      </c>
      <c r="AZ756" s="75"/>
      <c r="BA756" s="67">
        <f t="shared" ca="1" si="2"/>
        <v>0</v>
      </c>
      <c r="BB756" s="66"/>
      <c r="BC756" s="4"/>
      <c r="BD756" s="67"/>
      <c r="BE756" s="67"/>
      <c r="BF756" s="68"/>
      <c r="BG756" s="69"/>
      <c r="BH756" s="84"/>
      <c r="BI756" s="70"/>
      <c r="BJ756" s="73"/>
      <c r="BK756" s="78"/>
      <c r="BL756" s="78">
        <f t="shared" ca="1" si="3"/>
        <v>0</v>
      </c>
      <c r="BM756" s="78"/>
      <c r="BN756" s="78">
        <f t="shared" ca="1" si="4"/>
        <v>0</v>
      </c>
      <c r="BO756" s="66"/>
      <c r="BP756" s="66"/>
    </row>
    <row r="757" spans="1:68" ht="13.2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>
        <f t="shared" ref="AP757:AQ757" si="750">AR757+AT757+AV757</f>
        <v>0</v>
      </c>
      <c r="AQ757" s="75">
        <f t="shared" si="750"/>
        <v>0</v>
      </c>
      <c r="AR757" s="75"/>
      <c r="AS757" s="75"/>
      <c r="AT757" s="75"/>
      <c r="AU757" s="75"/>
      <c r="AV757" s="75"/>
      <c r="AW757" s="75"/>
      <c r="AX757" s="75"/>
      <c r="AY757" s="67">
        <f t="shared" ca="1" si="1"/>
        <v>0</v>
      </c>
      <c r="AZ757" s="75"/>
      <c r="BA757" s="67">
        <f t="shared" ca="1" si="2"/>
        <v>0</v>
      </c>
      <c r="BB757" s="66"/>
      <c r="BC757" s="4"/>
      <c r="BD757" s="67"/>
      <c r="BE757" s="67"/>
      <c r="BF757" s="68"/>
      <c r="BG757" s="69"/>
      <c r="BH757" s="84"/>
      <c r="BI757" s="70"/>
      <c r="BJ757" s="73"/>
      <c r="BK757" s="78"/>
      <c r="BL757" s="78">
        <f t="shared" ca="1" si="3"/>
        <v>0</v>
      </c>
      <c r="BM757" s="78"/>
      <c r="BN757" s="78">
        <f t="shared" ca="1" si="4"/>
        <v>0</v>
      </c>
      <c r="BO757" s="66"/>
      <c r="BP757" s="66"/>
    </row>
    <row r="758" spans="1:68" ht="13.2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>
        <f t="shared" ref="AP758:AQ758" si="751">AR758+AT758+AV758</f>
        <v>0</v>
      </c>
      <c r="AQ758" s="75">
        <f t="shared" si="751"/>
        <v>0</v>
      </c>
      <c r="AR758" s="75"/>
      <c r="AS758" s="75"/>
      <c r="AT758" s="75"/>
      <c r="AU758" s="75"/>
      <c r="AV758" s="75"/>
      <c r="AW758" s="75"/>
      <c r="AX758" s="75"/>
      <c r="AY758" s="67">
        <f t="shared" ca="1" si="1"/>
        <v>0</v>
      </c>
      <c r="AZ758" s="75"/>
      <c r="BA758" s="67">
        <f t="shared" ca="1" si="2"/>
        <v>0</v>
      </c>
      <c r="BB758" s="66"/>
      <c r="BC758" s="4"/>
      <c r="BD758" s="67"/>
      <c r="BE758" s="67"/>
      <c r="BF758" s="68"/>
      <c r="BG758" s="69"/>
      <c r="BH758" s="84"/>
      <c r="BI758" s="70"/>
      <c r="BJ758" s="73"/>
      <c r="BK758" s="78"/>
      <c r="BL758" s="78">
        <f t="shared" ca="1" si="3"/>
        <v>0</v>
      </c>
      <c r="BM758" s="78"/>
      <c r="BN758" s="78">
        <f t="shared" ca="1" si="4"/>
        <v>0</v>
      </c>
      <c r="BO758" s="66"/>
      <c r="BP758" s="66"/>
    </row>
    <row r="759" spans="1:68" ht="13.2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>
        <f t="shared" ref="AP759:AQ759" si="752">AR759+AT759+AV759</f>
        <v>0</v>
      </c>
      <c r="AQ759" s="75">
        <f t="shared" si="752"/>
        <v>0</v>
      </c>
      <c r="AR759" s="75"/>
      <c r="AS759" s="75"/>
      <c r="AT759" s="75"/>
      <c r="AU759" s="75"/>
      <c r="AV759" s="75"/>
      <c r="AW759" s="75"/>
      <c r="AX759" s="75"/>
      <c r="AY759" s="67">
        <f t="shared" ca="1" si="1"/>
        <v>0</v>
      </c>
      <c r="AZ759" s="75"/>
      <c r="BA759" s="67">
        <f t="shared" ca="1" si="2"/>
        <v>0</v>
      </c>
      <c r="BB759" s="66"/>
      <c r="BC759" s="4"/>
      <c r="BD759" s="67"/>
      <c r="BE759" s="67"/>
      <c r="BF759" s="68"/>
      <c r="BG759" s="69"/>
      <c r="BH759" s="84"/>
      <c r="BI759" s="70"/>
      <c r="BJ759" s="73"/>
      <c r="BK759" s="78"/>
      <c r="BL759" s="78">
        <f t="shared" ca="1" si="3"/>
        <v>0</v>
      </c>
      <c r="BM759" s="78"/>
      <c r="BN759" s="78">
        <f t="shared" ca="1" si="4"/>
        <v>0</v>
      </c>
      <c r="BO759" s="66"/>
      <c r="BP759" s="66"/>
    </row>
    <row r="760" spans="1:68" ht="13.2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>
        <f t="shared" ref="AP760:AQ760" si="753">AR760+AT760+AV760</f>
        <v>0</v>
      </c>
      <c r="AQ760" s="75">
        <f t="shared" si="753"/>
        <v>0</v>
      </c>
      <c r="AR760" s="75"/>
      <c r="AS760" s="75"/>
      <c r="AT760" s="75"/>
      <c r="AU760" s="75"/>
      <c r="AV760" s="75"/>
      <c r="AW760" s="75"/>
      <c r="AX760" s="75"/>
      <c r="AY760" s="67">
        <f t="shared" ca="1" si="1"/>
        <v>0</v>
      </c>
      <c r="AZ760" s="75"/>
      <c r="BA760" s="67">
        <f t="shared" ca="1" si="2"/>
        <v>0</v>
      </c>
      <c r="BB760" s="66"/>
      <c r="BC760" s="4"/>
      <c r="BD760" s="67"/>
      <c r="BE760" s="67"/>
      <c r="BF760" s="68"/>
      <c r="BG760" s="69"/>
      <c r="BH760" s="84"/>
      <c r="BI760" s="70"/>
      <c r="BJ760" s="73"/>
      <c r="BK760" s="78"/>
      <c r="BL760" s="78">
        <f t="shared" ca="1" si="3"/>
        <v>0</v>
      </c>
      <c r="BM760" s="78"/>
      <c r="BN760" s="78">
        <f t="shared" ca="1" si="4"/>
        <v>0</v>
      </c>
      <c r="BO760" s="66"/>
      <c r="BP760" s="66"/>
    </row>
    <row r="761" spans="1:68" ht="13.2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>
        <f t="shared" ref="AP761:AQ761" si="754">AR761+AT761+AV761</f>
        <v>0</v>
      </c>
      <c r="AQ761" s="75">
        <f t="shared" si="754"/>
        <v>0</v>
      </c>
      <c r="AR761" s="75"/>
      <c r="AS761" s="75"/>
      <c r="AT761" s="75"/>
      <c r="AU761" s="75"/>
      <c r="AV761" s="75"/>
      <c r="AW761" s="75"/>
      <c r="AX761" s="75"/>
      <c r="AY761" s="67">
        <f t="shared" ca="1" si="1"/>
        <v>0</v>
      </c>
      <c r="AZ761" s="75"/>
      <c r="BA761" s="67">
        <f t="shared" ca="1" si="2"/>
        <v>0</v>
      </c>
      <c r="BB761" s="66"/>
      <c r="BC761" s="4"/>
      <c r="BD761" s="67"/>
      <c r="BE761" s="67"/>
      <c r="BF761" s="68"/>
      <c r="BG761" s="69"/>
      <c r="BH761" s="84"/>
      <c r="BI761" s="70"/>
      <c r="BJ761" s="73"/>
      <c r="BK761" s="78"/>
      <c r="BL761" s="78">
        <f t="shared" ca="1" si="3"/>
        <v>0</v>
      </c>
      <c r="BM761" s="78"/>
      <c r="BN761" s="78">
        <f t="shared" ca="1" si="4"/>
        <v>0</v>
      </c>
      <c r="BO761" s="66"/>
      <c r="BP761" s="66"/>
    </row>
    <row r="762" spans="1:68" ht="13.2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>
        <f t="shared" ref="AP762:AQ762" si="755">AR762+AT762+AV762</f>
        <v>0</v>
      </c>
      <c r="AQ762" s="75">
        <f t="shared" si="755"/>
        <v>0</v>
      </c>
      <c r="AR762" s="75"/>
      <c r="AS762" s="75"/>
      <c r="AT762" s="75"/>
      <c r="AU762" s="75"/>
      <c r="AV762" s="75"/>
      <c r="AW762" s="75"/>
      <c r="AX762" s="75"/>
      <c r="AY762" s="67">
        <f t="shared" ca="1" si="1"/>
        <v>0</v>
      </c>
      <c r="AZ762" s="75"/>
      <c r="BA762" s="67">
        <f t="shared" ca="1" si="2"/>
        <v>0</v>
      </c>
      <c r="BB762" s="66"/>
      <c r="BC762" s="4"/>
      <c r="BD762" s="67"/>
      <c r="BE762" s="67"/>
      <c r="BF762" s="68"/>
      <c r="BG762" s="69"/>
      <c r="BH762" s="84"/>
      <c r="BI762" s="70"/>
      <c r="BJ762" s="73"/>
      <c r="BK762" s="78"/>
      <c r="BL762" s="78">
        <f t="shared" ca="1" si="3"/>
        <v>0</v>
      </c>
      <c r="BM762" s="78"/>
      <c r="BN762" s="78">
        <f t="shared" ca="1" si="4"/>
        <v>0</v>
      </c>
      <c r="BO762" s="66"/>
      <c r="BP762" s="66"/>
    </row>
    <row r="763" spans="1:68" ht="13.2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>
        <f t="shared" ref="AP763:AQ763" si="756">AR763+AT763+AV763</f>
        <v>0</v>
      </c>
      <c r="AQ763" s="75">
        <f t="shared" si="756"/>
        <v>0</v>
      </c>
      <c r="AR763" s="75"/>
      <c r="AS763" s="75"/>
      <c r="AT763" s="75"/>
      <c r="AU763" s="75"/>
      <c r="AV763" s="75"/>
      <c r="AW763" s="75"/>
      <c r="AX763" s="75"/>
      <c r="AY763" s="67">
        <f t="shared" ca="1" si="1"/>
        <v>0</v>
      </c>
      <c r="AZ763" s="75"/>
      <c r="BA763" s="67">
        <f t="shared" ca="1" si="2"/>
        <v>0</v>
      </c>
      <c r="BB763" s="66"/>
      <c r="BC763" s="4"/>
      <c r="BD763" s="67"/>
      <c r="BE763" s="67"/>
      <c r="BF763" s="68"/>
      <c r="BG763" s="69"/>
      <c r="BH763" s="84"/>
      <c r="BI763" s="70"/>
      <c r="BJ763" s="73"/>
      <c r="BK763" s="78"/>
      <c r="BL763" s="78">
        <f t="shared" ca="1" si="3"/>
        <v>0</v>
      </c>
      <c r="BM763" s="78"/>
      <c r="BN763" s="78">
        <f t="shared" ca="1" si="4"/>
        <v>0</v>
      </c>
      <c r="BO763" s="66"/>
      <c r="BP763" s="66"/>
    </row>
    <row r="764" spans="1:68" ht="13.2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>
        <f t="shared" ref="AP764:AQ764" si="757">AR764+AT764+AV764</f>
        <v>0</v>
      </c>
      <c r="AQ764" s="75">
        <f t="shared" si="757"/>
        <v>0</v>
      </c>
      <c r="AR764" s="75"/>
      <c r="AS764" s="75"/>
      <c r="AT764" s="75"/>
      <c r="AU764" s="75"/>
      <c r="AV764" s="75"/>
      <c r="AW764" s="75"/>
      <c r="AX764" s="75"/>
      <c r="AY764" s="67">
        <f t="shared" ca="1" si="1"/>
        <v>0</v>
      </c>
      <c r="AZ764" s="75"/>
      <c r="BA764" s="67">
        <f t="shared" ca="1" si="2"/>
        <v>0</v>
      </c>
      <c r="BB764" s="66"/>
      <c r="BC764" s="4"/>
      <c r="BD764" s="67"/>
      <c r="BE764" s="67"/>
      <c r="BF764" s="68"/>
      <c r="BG764" s="69"/>
      <c r="BH764" s="84"/>
      <c r="BI764" s="70"/>
      <c r="BJ764" s="73"/>
      <c r="BK764" s="78"/>
      <c r="BL764" s="78">
        <f t="shared" ca="1" si="3"/>
        <v>0</v>
      </c>
      <c r="BM764" s="78"/>
      <c r="BN764" s="78">
        <f t="shared" ca="1" si="4"/>
        <v>0</v>
      </c>
      <c r="BO764" s="66"/>
      <c r="BP764" s="66"/>
    </row>
    <row r="765" spans="1:68" ht="13.2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>
        <f t="shared" ref="AP765:AQ765" si="758">AR765+AT765+AV765</f>
        <v>0</v>
      </c>
      <c r="AQ765" s="75">
        <f t="shared" si="758"/>
        <v>0</v>
      </c>
      <c r="AR765" s="75"/>
      <c r="AS765" s="75"/>
      <c r="AT765" s="75"/>
      <c r="AU765" s="75"/>
      <c r="AV765" s="75"/>
      <c r="AW765" s="75"/>
      <c r="AX765" s="75"/>
      <c r="AY765" s="67">
        <f t="shared" ca="1" si="1"/>
        <v>0</v>
      </c>
      <c r="AZ765" s="75"/>
      <c r="BA765" s="67">
        <f t="shared" ca="1" si="2"/>
        <v>0</v>
      </c>
      <c r="BB765" s="66"/>
      <c r="BC765" s="4"/>
      <c r="BD765" s="67"/>
      <c r="BE765" s="67"/>
      <c r="BF765" s="68"/>
      <c r="BG765" s="69"/>
      <c r="BH765" s="84"/>
      <c r="BI765" s="70"/>
      <c r="BJ765" s="73"/>
      <c r="BK765" s="78"/>
      <c r="BL765" s="78">
        <f t="shared" ca="1" si="3"/>
        <v>0</v>
      </c>
      <c r="BM765" s="78"/>
      <c r="BN765" s="78">
        <f t="shared" ca="1" si="4"/>
        <v>0</v>
      </c>
      <c r="BO765" s="66"/>
      <c r="BP765" s="66"/>
    </row>
    <row r="766" spans="1:68" ht="13.2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>
        <f t="shared" ref="AP766:AQ766" si="759">AR766+AT766+AV766</f>
        <v>0</v>
      </c>
      <c r="AQ766" s="75">
        <f t="shared" si="759"/>
        <v>0</v>
      </c>
      <c r="AR766" s="75"/>
      <c r="AS766" s="75"/>
      <c r="AT766" s="75"/>
      <c r="AU766" s="75"/>
      <c r="AV766" s="75"/>
      <c r="AW766" s="75"/>
      <c r="AX766" s="75"/>
      <c r="AY766" s="67">
        <f t="shared" ca="1" si="1"/>
        <v>0</v>
      </c>
      <c r="AZ766" s="75"/>
      <c r="BA766" s="67">
        <f t="shared" ca="1" si="2"/>
        <v>0</v>
      </c>
      <c r="BB766" s="66"/>
      <c r="BC766" s="4"/>
      <c r="BD766" s="67"/>
      <c r="BE766" s="67"/>
      <c r="BF766" s="68"/>
      <c r="BG766" s="69"/>
      <c r="BH766" s="84"/>
      <c r="BI766" s="70"/>
      <c r="BJ766" s="73"/>
      <c r="BK766" s="78"/>
      <c r="BL766" s="78">
        <f t="shared" ca="1" si="3"/>
        <v>0</v>
      </c>
      <c r="BM766" s="78"/>
      <c r="BN766" s="78">
        <f t="shared" ca="1" si="4"/>
        <v>0</v>
      </c>
      <c r="BO766" s="66"/>
      <c r="BP766" s="66"/>
    </row>
    <row r="767" spans="1:68" ht="13.2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>
        <f t="shared" ref="AP767:AQ767" si="760">AR767+AT767+AV767</f>
        <v>0</v>
      </c>
      <c r="AQ767" s="75">
        <f t="shared" si="760"/>
        <v>0</v>
      </c>
      <c r="AR767" s="75"/>
      <c r="AS767" s="75"/>
      <c r="AT767" s="75"/>
      <c r="AU767" s="75"/>
      <c r="AV767" s="75"/>
      <c r="AW767" s="75"/>
      <c r="AX767" s="75"/>
      <c r="AY767" s="67">
        <f t="shared" ca="1" si="1"/>
        <v>0</v>
      </c>
      <c r="AZ767" s="75"/>
      <c r="BA767" s="67">
        <f t="shared" ca="1" si="2"/>
        <v>0</v>
      </c>
      <c r="BB767" s="66"/>
      <c r="BC767" s="4"/>
      <c r="BD767" s="67"/>
      <c r="BE767" s="67"/>
      <c r="BF767" s="68"/>
      <c r="BG767" s="69"/>
      <c r="BH767" s="84"/>
      <c r="BI767" s="70"/>
      <c r="BJ767" s="73"/>
      <c r="BK767" s="78"/>
      <c r="BL767" s="78">
        <f t="shared" ca="1" si="3"/>
        <v>0</v>
      </c>
      <c r="BM767" s="78"/>
      <c r="BN767" s="78">
        <f t="shared" ca="1" si="4"/>
        <v>0</v>
      </c>
      <c r="BO767" s="66"/>
      <c r="BP767" s="66"/>
    </row>
    <row r="768" spans="1:68" ht="13.2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>
        <f t="shared" ref="AP768:AQ768" si="761">AR768+AT768+AV768</f>
        <v>0</v>
      </c>
      <c r="AQ768" s="75">
        <f t="shared" si="761"/>
        <v>0</v>
      </c>
      <c r="AR768" s="75"/>
      <c r="AS768" s="75"/>
      <c r="AT768" s="75"/>
      <c r="AU768" s="75"/>
      <c r="AV768" s="75"/>
      <c r="AW768" s="75"/>
      <c r="AX768" s="75"/>
      <c r="AY768" s="67">
        <f t="shared" ca="1" si="1"/>
        <v>0</v>
      </c>
      <c r="AZ768" s="75"/>
      <c r="BA768" s="67">
        <f t="shared" ca="1" si="2"/>
        <v>0</v>
      </c>
      <c r="BB768" s="66"/>
      <c r="BC768" s="4"/>
      <c r="BD768" s="67"/>
      <c r="BE768" s="67"/>
      <c r="BF768" s="68"/>
      <c r="BG768" s="69"/>
      <c r="BH768" s="84"/>
      <c r="BI768" s="70"/>
      <c r="BJ768" s="73"/>
      <c r="BK768" s="78"/>
      <c r="BL768" s="78">
        <f t="shared" ca="1" si="3"/>
        <v>0</v>
      </c>
      <c r="BM768" s="78"/>
      <c r="BN768" s="78">
        <f t="shared" ca="1" si="4"/>
        <v>0</v>
      </c>
      <c r="BO768" s="66"/>
      <c r="BP768" s="66"/>
    </row>
    <row r="769" spans="1:68" ht="13.2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>
        <f t="shared" ref="AP769:AQ769" si="762">AR769+AT769+AV769</f>
        <v>0</v>
      </c>
      <c r="AQ769" s="75">
        <f t="shared" si="762"/>
        <v>0</v>
      </c>
      <c r="AR769" s="75"/>
      <c r="AS769" s="75"/>
      <c r="AT769" s="75"/>
      <c r="AU769" s="75"/>
      <c r="AV769" s="75"/>
      <c r="AW769" s="75"/>
      <c r="AX769" s="75"/>
      <c r="AY769" s="67">
        <f t="shared" ca="1" si="1"/>
        <v>0</v>
      </c>
      <c r="AZ769" s="75"/>
      <c r="BA769" s="67">
        <f t="shared" ca="1" si="2"/>
        <v>0</v>
      </c>
      <c r="BB769" s="66"/>
      <c r="BC769" s="4"/>
      <c r="BD769" s="67"/>
      <c r="BE769" s="67"/>
      <c r="BF769" s="68"/>
      <c r="BG769" s="69"/>
      <c r="BH769" s="84"/>
      <c r="BI769" s="70"/>
      <c r="BJ769" s="73"/>
      <c r="BK769" s="78"/>
      <c r="BL769" s="78">
        <f t="shared" ca="1" si="3"/>
        <v>0</v>
      </c>
      <c r="BM769" s="78"/>
      <c r="BN769" s="78">
        <f t="shared" ca="1" si="4"/>
        <v>0</v>
      </c>
      <c r="BO769" s="66"/>
      <c r="BP769" s="66"/>
    </row>
    <row r="770" spans="1:68" ht="13.2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>
        <f t="shared" ref="AP770:AQ770" si="763">AR770+AT770+AV770</f>
        <v>0</v>
      </c>
      <c r="AQ770" s="75">
        <f t="shared" si="763"/>
        <v>0</v>
      </c>
      <c r="AR770" s="75"/>
      <c r="AS770" s="75"/>
      <c r="AT770" s="75"/>
      <c r="AU770" s="75"/>
      <c r="AV770" s="75"/>
      <c r="AW770" s="75"/>
      <c r="AX770" s="75"/>
      <c r="AY770" s="67">
        <f t="shared" ca="1" si="1"/>
        <v>0</v>
      </c>
      <c r="AZ770" s="75"/>
      <c r="BA770" s="67">
        <f t="shared" ca="1" si="2"/>
        <v>0</v>
      </c>
      <c r="BB770" s="66"/>
      <c r="BC770" s="4"/>
      <c r="BD770" s="67"/>
      <c r="BE770" s="67"/>
      <c r="BF770" s="68"/>
      <c r="BG770" s="69"/>
      <c r="BH770" s="84"/>
      <c r="BI770" s="70"/>
      <c r="BJ770" s="73"/>
      <c r="BK770" s="78"/>
      <c r="BL770" s="78">
        <f t="shared" ca="1" si="3"/>
        <v>0</v>
      </c>
      <c r="BM770" s="78"/>
      <c r="BN770" s="78">
        <f t="shared" ca="1" si="4"/>
        <v>0</v>
      </c>
      <c r="BO770" s="66"/>
      <c r="BP770" s="66"/>
    </row>
    <row r="771" spans="1:68" ht="13.2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>
        <f t="shared" ref="AP771:AQ771" si="764">AR771+AT771+AV771</f>
        <v>0</v>
      </c>
      <c r="AQ771" s="75">
        <f t="shared" si="764"/>
        <v>0</v>
      </c>
      <c r="AR771" s="75"/>
      <c r="AS771" s="75"/>
      <c r="AT771" s="75"/>
      <c r="AU771" s="75"/>
      <c r="AV771" s="75"/>
      <c r="AW771" s="75"/>
      <c r="AX771" s="75"/>
      <c r="AY771" s="67">
        <f t="shared" ca="1" si="1"/>
        <v>0</v>
      </c>
      <c r="AZ771" s="75"/>
      <c r="BA771" s="67">
        <f t="shared" ca="1" si="2"/>
        <v>0</v>
      </c>
      <c r="BB771" s="66"/>
      <c r="BC771" s="4"/>
      <c r="BD771" s="67"/>
      <c r="BE771" s="67"/>
      <c r="BF771" s="68"/>
      <c r="BG771" s="69"/>
      <c r="BH771" s="84"/>
      <c r="BI771" s="70"/>
      <c r="BJ771" s="73"/>
      <c r="BK771" s="78"/>
      <c r="BL771" s="78">
        <f t="shared" ca="1" si="3"/>
        <v>0</v>
      </c>
      <c r="BM771" s="78"/>
      <c r="BN771" s="78">
        <f t="shared" ca="1" si="4"/>
        <v>0</v>
      </c>
      <c r="BO771" s="66"/>
      <c r="BP771" s="66"/>
    </row>
    <row r="772" spans="1:68" ht="13.2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>
        <f t="shared" ref="AP772:AQ772" si="765">AR772+AT772+AV772</f>
        <v>0</v>
      </c>
      <c r="AQ772" s="75">
        <f t="shared" si="765"/>
        <v>0</v>
      </c>
      <c r="AR772" s="75"/>
      <c r="AS772" s="75"/>
      <c r="AT772" s="75"/>
      <c r="AU772" s="75"/>
      <c r="AV772" s="75"/>
      <c r="AW772" s="75"/>
      <c r="AX772" s="75"/>
      <c r="AY772" s="67">
        <f t="shared" ca="1" si="1"/>
        <v>0</v>
      </c>
      <c r="AZ772" s="75"/>
      <c r="BA772" s="67">
        <f t="shared" ca="1" si="2"/>
        <v>0</v>
      </c>
      <c r="BB772" s="66"/>
      <c r="BC772" s="4"/>
      <c r="BD772" s="67"/>
      <c r="BE772" s="67"/>
      <c r="BF772" s="68"/>
      <c r="BG772" s="69"/>
      <c r="BH772" s="84"/>
      <c r="BI772" s="70"/>
      <c r="BJ772" s="73"/>
      <c r="BK772" s="78"/>
      <c r="BL772" s="78">
        <f t="shared" ca="1" si="3"/>
        <v>0</v>
      </c>
      <c r="BM772" s="78"/>
      <c r="BN772" s="78">
        <f t="shared" ca="1" si="4"/>
        <v>0</v>
      </c>
      <c r="BO772" s="66"/>
      <c r="BP772" s="66"/>
    </row>
    <row r="773" spans="1:68" ht="13.2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>
        <f t="shared" ref="AP773:AQ773" si="766">AR773+AT773+AV773</f>
        <v>0</v>
      </c>
      <c r="AQ773" s="75">
        <f t="shared" si="766"/>
        <v>0</v>
      </c>
      <c r="AR773" s="75"/>
      <c r="AS773" s="75"/>
      <c r="AT773" s="75"/>
      <c r="AU773" s="75"/>
      <c r="AV773" s="75"/>
      <c r="AW773" s="75"/>
      <c r="AX773" s="75"/>
      <c r="AY773" s="67">
        <f t="shared" ca="1" si="1"/>
        <v>0</v>
      </c>
      <c r="AZ773" s="75"/>
      <c r="BA773" s="67">
        <f t="shared" ca="1" si="2"/>
        <v>0</v>
      </c>
      <c r="BB773" s="66"/>
      <c r="BC773" s="4"/>
      <c r="BD773" s="67"/>
      <c r="BE773" s="67"/>
      <c r="BF773" s="68"/>
      <c r="BG773" s="69"/>
      <c r="BH773" s="84"/>
      <c r="BI773" s="70"/>
      <c r="BJ773" s="73"/>
      <c r="BK773" s="78"/>
      <c r="BL773" s="78">
        <f t="shared" ca="1" si="3"/>
        <v>0</v>
      </c>
      <c r="BM773" s="78"/>
      <c r="BN773" s="78">
        <f t="shared" ca="1" si="4"/>
        <v>0</v>
      </c>
      <c r="BO773" s="66"/>
      <c r="BP773" s="66"/>
    </row>
    <row r="774" spans="1:68" ht="13.2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>
        <f t="shared" ref="AP774:AQ774" si="767">AR774+AT774+AV774</f>
        <v>0</v>
      </c>
      <c r="AQ774" s="75">
        <f t="shared" si="767"/>
        <v>0</v>
      </c>
      <c r="AR774" s="75"/>
      <c r="AS774" s="75"/>
      <c r="AT774" s="75"/>
      <c r="AU774" s="75"/>
      <c r="AV774" s="75"/>
      <c r="AW774" s="75"/>
      <c r="AX774" s="75"/>
      <c r="AY774" s="67">
        <f t="shared" ca="1" si="1"/>
        <v>0</v>
      </c>
      <c r="AZ774" s="75"/>
      <c r="BA774" s="67">
        <f t="shared" ca="1" si="2"/>
        <v>0</v>
      </c>
      <c r="BB774" s="66"/>
      <c r="BC774" s="4"/>
      <c r="BD774" s="67"/>
      <c r="BE774" s="67"/>
      <c r="BF774" s="68"/>
      <c r="BG774" s="69"/>
      <c r="BH774" s="84"/>
      <c r="BI774" s="70"/>
      <c r="BJ774" s="73"/>
      <c r="BK774" s="78"/>
      <c r="BL774" s="78">
        <f t="shared" ca="1" si="3"/>
        <v>0</v>
      </c>
      <c r="BM774" s="78"/>
      <c r="BN774" s="78">
        <f t="shared" ca="1" si="4"/>
        <v>0</v>
      </c>
      <c r="BO774" s="66"/>
      <c r="BP774" s="66"/>
    </row>
    <row r="775" spans="1:68" ht="13.2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>
        <f t="shared" ref="AP775:AQ775" si="768">AR775+AT775+AV775</f>
        <v>0</v>
      </c>
      <c r="AQ775" s="75">
        <f t="shared" si="768"/>
        <v>0</v>
      </c>
      <c r="AR775" s="75"/>
      <c r="AS775" s="75"/>
      <c r="AT775" s="75"/>
      <c r="AU775" s="75"/>
      <c r="AV775" s="75"/>
      <c r="AW775" s="75"/>
      <c r="AX775" s="75"/>
      <c r="AY775" s="67">
        <f t="shared" ca="1" si="1"/>
        <v>0</v>
      </c>
      <c r="AZ775" s="75"/>
      <c r="BA775" s="67">
        <f t="shared" ca="1" si="2"/>
        <v>0</v>
      </c>
      <c r="BB775" s="66"/>
      <c r="BC775" s="4"/>
      <c r="BD775" s="67"/>
      <c r="BE775" s="67"/>
      <c r="BF775" s="68"/>
      <c r="BG775" s="69"/>
      <c r="BH775" s="84"/>
      <c r="BI775" s="70"/>
      <c r="BJ775" s="73"/>
      <c r="BK775" s="78"/>
      <c r="BL775" s="78">
        <f t="shared" ca="1" si="3"/>
        <v>0</v>
      </c>
      <c r="BM775" s="78"/>
      <c r="BN775" s="78">
        <f t="shared" ca="1" si="4"/>
        <v>0</v>
      </c>
      <c r="BO775" s="66"/>
      <c r="BP775" s="66"/>
    </row>
    <row r="776" spans="1:68" ht="13.2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>
        <f t="shared" ref="AP776:AQ776" si="769">AR776+AT776+AV776</f>
        <v>0</v>
      </c>
      <c r="AQ776" s="75">
        <f t="shared" si="769"/>
        <v>0</v>
      </c>
      <c r="AR776" s="75"/>
      <c r="AS776" s="75"/>
      <c r="AT776" s="75"/>
      <c r="AU776" s="75"/>
      <c r="AV776" s="75"/>
      <c r="AW776" s="75"/>
      <c r="AX776" s="75"/>
      <c r="AY776" s="67">
        <f t="shared" ca="1" si="1"/>
        <v>0</v>
      </c>
      <c r="AZ776" s="75"/>
      <c r="BA776" s="67">
        <f t="shared" ca="1" si="2"/>
        <v>0</v>
      </c>
      <c r="BB776" s="66"/>
      <c r="BC776" s="4"/>
      <c r="BD776" s="67"/>
      <c r="BE776" s="67"/>
      <c r="BF776" s="68"/>
      <c r="BG776" s="69"/>
      <c r="BH776" s="84"/>
      <c r="BI776" s="70"/>
      <c r="BJ776" s="73"/>
      <c r="BK776" s="78"/>
      <c r="BL776" s="78">
        <f t="shared" ca="1" si="3"/>
        <v>0</v>
      </c>
      <c r="BM776" s="78"/>
      <c r="BN776" s="78">
        <f t="shared" ca="1" si="4"/>
        <v>0</v>
      </c>
      <c r="BO776" s="66"/>
      <c r="BP776" s="66"/>
    </row>
    <row r="777" spans="1:68" ht="13.2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>
        <f t="shared" ref="AP777:AQ777" si="770">AR777+AT777+AV777</f>
        <v>0</v>
      </c>
      <c r="AQ777" s="75">
        <f t="shared" si="770"/>
        <v>0</v>
      </c>
      <c r="AR777" s="75"/>
      <c r="AS777" s="75"/>
      <c r="AT777" s="75"/>
      <c r="AU777" s="75"/>
      <c r="AV777" s="75"/>
      <c r="AW777" s="75"/>
      <c r="AX777" s="75"/>
      <c r="AY777" s="67">
        <f t="shared" ca="1" si="1"/>
        <v>0</v>
      </c>
      <c r="AZ777" s="75"/>
      <c r="BA777" s="67">
        <f t="shared" ca="1" si="2"/>
        <v>0</v>
      </c>
      <c r="BB777" s="66"/>
      <c r="BC777" s="4"/>
      <c r="BD777" s="67"/>
      <c r="BE777" s="67"/>
      <c r="BF777" s="68"/>
      <c r="BG777" s="69"/>
      <c r="BH777" s="84"/>
      <c r="BI777" s="70"/>
      <c r="BJ777" s="73"/>
      <c r="BK777" s="78"/>
      <c r="BL777" s="78">
        <f t="shared" ca="1" si="3"/>
        <v>0</v>
      </c>
      <c r="BM777" s="78"/>
      <c r="BN777" s="78">
        <f t="shared" ca="1" si="4"/>
        <v>0</v>
      </c>
      <c r="BO777" s="66"/>
      <c r="BP777" s="66"/>
    </row>
    <row r="778" spans="1:68" ht="13.2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>
        <f t="shared" ref="AP778:AQ778" si="771">AR778+AT778+AV778</f>
        <v>0</v>
      </c>
      <c r="AQ778" s="75">
        <f t="shared" si="771"/>
        <v>0</v>
      </c>
      <c r="AR778" s="75"/>
      <c r="AS778" s="75"/>
      <c r="AT778" s="75"/>
      <c r="AU778" s="75"/>
      <c r="AV778" s="75"/>
      <c r="AW778" s="75"/>
      <c r="AX778" s="75"/>
      <c r="AY778" s="67">
        <f t="shared" ca="1" si="1"/>
        <v>0</v>
      </c>
      <c r="AZ778" s="75"/>
      <c r="BA778" s="67">
        <f t="shared" ca="1" si="2"/>
        <v>0</v>
      </c>
      <c r="BB778" s="66"/>
      <c r="BC778" s="4"/>
      <c r="BD778" s="67"/>
      <c r="BE778" s="67"/>
      <c r="BF778" s="68"/>
      <c r="BG778" s="69"/>
      <c r="BH778" s="84"/>
      <c r="BI778" s="70"/>
      <c r="BJ778" s="73"/>
      <c r="BK778" s="78"/>
      <c r="BL778" s="78">
        <f t="shared" ca="1" si="3"/>
        <v>0</v>
      </c>
      <c r="BM778" s="78"/>
      <c r="BN778" s="78">
        <f t="shared" ca="1" si="4"/>
        <v>0</v>
      </c>
      <c r="BO778" s="66"/>
      <c r="BP778" s="66"/>
    </row>
    <row r="779" spans="1:68" ht="13.2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>
        <f t="shared" ref="AP779:AQ779" si="772">AR779+AT779+AV779</f>
        <v>0</v>
      </c>
      <c r="AQ779" s="75">
        <f t="shared" si="772"/>
        <v>0</v>
      </c>
      <c r="AR779" s="75"/>
      <c r="AS779" s="75"/>
      <c r="AT779" s="75"/>
      <c r="AU779" s="75"/>
      <c r="AV779" s="75"/>
      <c r="AW779" s="75"/>
      <c r="AX779" s="75"/>
      <c r="AY779" s="67">
        <f t="shared" ca="1" si="1"/>
        <v>0</v>
      </c>
      <c r="AZ779" s="75"/>
      <c r="BA779" s="67">
        <f t="shared" ca="1" si="2"/>
        <v>0</v>
      </c>
      <c r="BB779" s="66"/>
      <c r="BC779" s="4"/>
      <c r="BD779" s="67"/>
      <c r="BE779" s="67"/>
      <c r="BF779" s="68"/>
      <c r="BG779" s="69"/>
      <c r="BH779" s="84"/>
      <c r="BI779" s="70"/>
      <c r="BJ779" s="73"/>
      <c r="BK779" s="78"/>
      <c r="BL779" s="78">
        <f t="shared" ca="1" si="3"/>
        <v>0</v>
      </c>
      <c r="BM779" s="78"/>
      <c r="BN779" s="78">
        <f t="shared" ca="1" si="4"/>
        <v>0</v>
      </c>
      <c r="BO779" s="66"/>
      <c r="BP779" s="66"/>
    </row>
    <row r="780" spans="1:68" ht="13.2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>
        <f t="shared" ref="AP780:AQ780" si="773">AR780+AT780+AV780</f>
        <v>0</v>
      </c>
      <c r="AQ780" s="75">
        <f t="shared" si="773"/>
        <v>0</v>
      </c>
      <c r="AR780" s="75"/>
      <c r="AS780" s="75"/>
      <c r="AT780" s="75"/>
      <c r="AU780" s="75"/>
      <c r="AV780" s="75"/>
      <c r="AW780" s="75"/>
      <c r="AX780" s="75"/>
      <c r="AY780" s="67">
        <f t="shared" ca="1" si="1"/>
        <v>0</v>
      </c>
      <c r="AZ780" s="75"/>
      <c r="BA780" s="67">
        <f t="shared" ca="1" si="2"/>
        <v>0</v>
      </c>
      <c r="BB780" s="66"/>
      <c r="BC780" s="4"/>
      <c r="BD780" s="67"/>
      <c r="BE780" s="67"/>
      <c r="BF780" s="68"/>
      <c r="BG780" s="69"/>
      <c r="BH780" s="84"/>
      <c r="BI780" s="70"/>
      <c r="BJ780" s="73"/>
      <c r="BK780" s="78"/>
      <c r="BL780" s="78">
        <f t="shared" ca="1" si="3"/>
        <v>0</v>
      </c>
      <c r="BM780" s="78"/>
      <c r="BN780" s="78">
        <f t="shared" ca="1" si="4"/>
        <v>0</v>
      </c>
      <c r="BO780" s="66"/>
      <c r="BP780" s="66"/>
    </row>
    <row r="781" spans="1:68" ht="13.2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>
        <f t="shared" ref="AP781:AQ781" si="774">AR781+AT781+AV781</f>
        <v>0</v>
      </c>
      <c r="AQ781" s="75">
        <f t="shared" si="774"/>
        <v>0</v>
      </c>
      <c r="AR781" s="75"/>
      <c r="AS781" s="75"/>
      <c r="AT781" s="75"/>
      <c r="AU781" s="75"/>
      <c r="AV781" s="75"/>
      <c r="AW781" s="75"/>
      <c r="AX781" s="75"/>
      <c r="AY781" s="67">
        <f t="shared" ca="1" si="1"/>
        <v>0</v>
      </c>
      <c r="AZ781" s="75"/>
      <c r="BA781" s="67">
        <f t="shared" ca="1" si="2"/>
        <v>0</v>
      </c>
      <c r="BB781" s="66"/>
      <c r="BC781" s="4"/>
      <c r="BD781" s="67"/>
      <c r="BE781" s="67"/>
      <c r="BF781" s="68"/>
      <c r="BG781" s="69"/>
      <c r="BH781" s="84"/>
      <c r="BI781" s="70"/>
      <c r="BJ781" s="73"/>
      <c r="BK781" s="78"/>
      <c r="BL781" s="78">
        <f t="shared" ca="1" si="3"/>
        <v>0</v>
      </c>
      <c r="BM781" s="78"/>
      <c r="BN781" s="78">
        <f t="shared" ca="1" si="4"/>
        <v>0</v>
      </c>
      <c r="BO781" s="66"/>
      <c r="BP781" s="66"/>
    </row>
    <row r="782" spans="1:68" ht="13.2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>
        <f t="shared" ref="AP782:AQ782" si="775">AR782+AT782+AV782</f>
        <v>0</v>
      </c>
      <c r="AQ782" s="75">
        <f t="shared" si="775"/>
        <v>0</v>
      </c>
      <c r="AR782" s="75"/>
      <c r="AS782" s="75"/>
      <c r="AT782" s="75"/>
      <c r="AU782" s="75"/>
      <c r="AV782" s="75"/>
      <c r="AW782" s="75"/>
      <c r="AX782" s="75"/>
      <c r="AY782" s="67">
        <f t="shared" ca="1" si="1"/>
        <v>0</v>
      </c>
      <c r="AZ782" s="75"/>
      <c r="BA782" s="67">
        <f t="shared" ca="1" si="2"/>
        <v>0</v>
      </c>
      <c r="BB782" s="66"/>
      <c r="BC782" s="4"/>
      <c r="BD782" s="67"/>
      <c r="BE782" s="67"/>
      <c r="BF782" s="68"/>
      <c r="BG782" s="69"/>
      <c r="BH782" s="84"/>
      <c r="BI782" s="70"/>
      <c r="BJ782" s="73"/>
      <c r="BK782" s="78"/>
      <c r="BL782" s="78">
        <f t="shared" ca="1" si="3"/>
        <v>0</v>
      </c>
      <c r="BM782" s="78"/>
      <c r="BN782" s="78">
        <f t="shared" ca="1" si="4"/>
        <v>0</v>
      </c>
      <c r="BO782" s="66"/>
      <c r="BP782" s="66"/>
    </row>
    <row r="783" spans="1:68" ht="13.2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>
        <f t="shared" ref="AP783:AQ783" si="776">AR783+AT783+AV783</f>
        <v>0</v>
      </c>
      <c r="AQ783" s="75">
        <f t="shared" si="776"/>
        <v>0</v>
      </c>
      <c r="AR783" s="75"/>
      <c r="AS783" s="75"/>
      <c r="AT783" s="75"/>
      <c r="AU783" s="75"/>
      <c r="AV783" s="75"/>
      <c r="AW783" s="75"/>
      <c r="AX783" s="75"/>
      <c r="AY783" s="67">
        <f t="shared" ca="1" si="1"/>
        <v>0</v>
      </c>
      <c r="AZ783" s="75"/>
      <c r="BA783" s="67">
        <f t="shared" ca="1" si="2"/>
        <v>0</v>
      </c>
      <c r="BB783" s="66"/>
      <c r="BC783" s="4"/>
      <c r="BD783" s="67"/>
      <c r="BE783" s="67"/>
      <c r="BF783" s="68"/>
      <c r="BG783" s="69"/>
      <c r="BH783" s="84"/>
      <c r="BI783" s="70"/>
      <c r="BJ783" s="73"/>
      <c r="BK783" s="78"/>
      <c r="BL783" s="78">
        <f t="shared" ca="1" si="3"/>
        <v>0</v>
      </c>
      <c r="BM783" s="78"/>
      <c r="BN783" s="78">
        <f t="shared" ca="1" si="4"/>
        <v>0</v>
      </c>
      <c r="BO783" s="66"/>
      <c r="BP783" s="66"/>
    </row>
    <row r="784" spans="1:68" ht="13.2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>
        <f t="shared" ref="AP784:AQ784" si="777">AR784+AT784+AV784</f>
        <v>0</v>
      </c>
      <c r="AQ784" s="75">
        <f t="shared" si="777"/>
        <v>0</v>
      </c>
      <c r="AR784" s="75"/>
      <c r="AS784" s="75"/>
      <c r="AT784" s="75"/>
      <c r="AU784" s="75"/>
      <c r="AV784" s="75"/>
      <c r="AW784" s="75"/>
      <c r="AX784" s="75"/>
      <c r="AY784" s="67">
        <f t="shared" ca="1" si="1"/>
        <v>0</v>
      </c>
      <c r="AZ784" s="75"/>
      <c r="BA784" s="67">
        <f t="shared" ca="1" si="2"/>
        <v>0</v>
      </c>
      <c r="BB784" s="66"/>
      <c r="BC784" s="4"/>
      <c r="BD784" s="67"/>
      <c r="BE784" s="67"/>
      <c r="BF784" s="68"/>
      <c r="BG784" s="69"/>
      <c r="BH784" s="84"/>
      <c r="BI784" s="70"/>
      <c r="BJ784" s="73"/>
      <c r="BK784" s="78"/>
      <c r="BL784" s="78">
        <f t="shared" ca="1" si="3"/>
        <v>0</v>
      </c>
      <c r="BM784" s="78"/>
      <c r="BN784" s="78">
        <f t="shared" ca="1" si="4"/>
        <v>0</v>
      </c>
      <c r="BO784" s="66"/>
      <c r="BP784" s="66"/>
    </row>
    <row r="785" spans="1:68" ht="13.2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>
        <f t="shared" ref="AP785:AQ785" si="778">AR785+AT785+AV785</f>
        <v>0</v>
      </c>
      <c r="AQ785" s="75">
        <f t="shared" si="778"/>
        <v>0</v>
      </c>
      <c r="AR785" s="75"/>
      <c r="AS785" s="75"/>
      <c r="AT785" s="75"/>
      <c r="AU785" s="75"/>
      <c r="AV785" s="75"/>
      <c r="AW785" s="75"/>
      <c r="AX785" s="75"/>
      <c r="AY785" s="67">
        <f t="shared" ca="1" si="1"/>
        <v>0</v>
      </c>
      <c r="AZ785" s="75"/>
      <c r="BA785" s="67">
        <f t="shared" ca="1" si="2"/>
        <v>0</v>
      </c>
      <c r="BB785" s="66"/>
      <c r="BC785" s="4"/>
      <c r="BD785" s="67"/>
      <c r="BE785" s="67"/>
      <c r="BF785" s="68"/>
      <c r="BG785" s="69"/>
      <c r="BH785" s="84"/>
      <c r="BI785" s="70"/>
      <c r="BJ785" s="73"/>
      <c r="BK785" s="78"/>
      <c r="BL785" s="78">
        <f t="shared" ca="1" si="3"/>
        <v>0</v>
      </c>
      <c r="BM785" s="78"/>
      <c r="BN785" s="78">
        <f t="shared" ca="1" si="4"/>
        <v>0</v>
      </c>
      <c r="BO785" s="66"/>
      <c r="BP785" s="66"/>
    </row>
    <row r="786" spans="1:68" ht="13.2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>
        <f t="shared" ref="AP786:AQ786" si="779">AR786+AT786+AV786</f>
        <v>0</v>
      </c>
      <c r="AQ786" s="75">
        <f t="shared" si="779"/>
        <v>0</v>
      </c>
      <c r="AR786" s="75"/>
      <c r="AS786" s="75"/>
      <c r="AT786" s="75"/>
      <c r="AU786" s="75"/>
      <c r="AV786" s="75"/>
      <c r="AW786" s="75"/>
      <c r="AX786" s="75"/>
      <c r="AY786" s="67">
        <f t="shared" ca="1" si="1"/>
        <v>0</v>
      </c>
      <c r="AZ786" s="75"/>
      <c r="BA786" s="67">
        <f t="shared" ca="1" si="2"/>
        <v>0</v>
      </c>
      <c r="BB786" s="66"/>
      <c r="BC786" s="4"/>
      <c r="BD786" s="67"/>
      <c r="BE786" s="67"/>
      <c r="BF786" s="68"/>
      <c r="BG786" s="69"/>
      <c r="BH786" s="84"/>
      <c r="BI786" s="70"/>
      <c r="BJ786" s="73"/>
      <c r="BK786" s="78"/>
      <c r="BL786" s="78">
        <f t="shared" ca="1" si="3"/>
        <v>0</v>
      </c>
      <c r="BM786" s="78"/>
      <c r="BN786" s="78">
        <f t="shared" ca="1" si="4"/>
        <v>0</v>
      </c>
      <c r="BO786" s="66"/>
      <c r="BP786" s="66"/>
    </row>
    <row r="787" spans="1:68" ht="13.2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>
        <f t="shared" ref="AP787:AQ787" si="780">AR787+AT787+AV787</f>
        <v>0</v>
      </c>
      <c r="AQ787" s="75">
        <f t="shared" si="780"/>
        <v>0</v>
      </c>
      <c r="AR787" s="75"/>
      <c r="AS787" s="75"/>
      <c r="AT787" s="75"/>
      <c r="AU787" s="75"/>
      <c r="AV787" s="75"/>
      <c r="AW787" s="75"/>
      <c r="AX787" s="75"/>
      <c r="AY787" s="67">
        <f t="shared" ca="1" si="1"/>
        <v>0</v>
      </c>
      <c r="AZ787" s="75"/>
      <c r="BA787" s="67">
        <f t="shared" ca="1" si="2"/>
        <v>0</v>
      </c>
      <c r="BB787" s="66"/>
      <c r="BC787" s="4"/>
      <c r="BD787" s="67"/>
      <c r="BE787" s="67"/>
      <c r="BF787" s="68"/>
      <c r="BG787" s="69"/>
      <c r="BH787" s="84"/>
      <c r="BI787" s="70"/>
      <c r="BJ787" s="73"/>
      <c r="BK787" s="78"/>
      <c r="BL787" s="78">
        <f t="shared" ca="1" si="3"/>
        <v>0</v>
      </c>
      <c r="BM787" s="78"/>
      <c r="BN787" s="78">
        <f t="shared" ca="1" si="4"/>
        <v>0</v>
      </c>
      <c r="BO787" s="66"/>
      <c r="BP787" s="66"/>
    </row>
    <row r="788" spans="1:68" ht="13.2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>
        <f t="shared" ref="AP788:AQ788" si="781">AR788+AT788+AV788</f>
        <v>0</v>
      </c>
      <c r="AQ788" s="75">
        <f t="shared" si="781"/>
        <v>0</v>
      </c>
      <c r="AR788" s="75"/>
      <c r="AS788" s="75"/>
      <c r="AT788" s="75"/>
      <c r="AU788" s="75"/>
      <c r="AV788" s="75"/>
      <c r="AW788" s="75"/>
      <c r="AX788" s="75"/>
      <c r="AY788" s="67">
        <f t="shared" ca="1" si="1"/>
        <v>0</v>
      </c>
      <c r="AZ788" s="75"/>
      <c r="BA788" s="67">
        <f t="shared" ca="1" si="2"/>
        <v>0</v>
      </c>
      <c r="BB788" s="66"/>
      <c r="BC788" s="4"/>
      <c r="BD788" s="67"/>
      <c r="BE788" s="67"/>
      <c r="BF788" s="68"/>
      <c r="BG788" s="69"/>
      <c r="BH788" s="84"/>
      <c r="BI788" s="70"/>
      <c r="BJ788" s="73"/>
      <c r="BK788" s="78"/>
      <c r="BL788" s="78">
        <f t="shared" ca="1" si="3"/>
        <v>0</v>
      </c>
      <c r="BM788" s="78"/>
      <c r="BN788" s="78">
        <f t="shared" ca="1" si="4"/>
        <v>0</v>
      </c>
      <c r="BO788" s="66"/>
      <c r="BP788" s="66"/>
    </row>
    <row r="789" spans="1:68" ht="13.2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>
        <f t="shared" ref="AP789:AQ789" si="782">AR789+AT789+AV789</f>
        <v>0</v>
      </c>
      <c r="AQ789" s="75">
        <f t="shared" si="782"/>
        <v>0</v>
      </c>
      <c r="AR789" s="75"/>
      <c r="AS789" s="75"/>
      <c r="AT789" s="75"/>
      <c r="AU789" s="75"/>
      <c r="AV789" s="75"/>
      <c r="AW789" s="75"/>
      <c r="AX789" s="75"/>
      <c r="AY789" s="67">
        <f t="shared" ca="1" si="1"/>
        <v>0</v>
      </c>
      <c r="AZ789" s="75"/>
      <c r="BA789" s="67">
        <f t="shared" ca="1" si="2"/>
        <v>0</v>
      </c>
      <c r="BB789" s="66"/>
      <c r="BC789" s="4"/>
      <c r="BD789" s="67"/>
      <c r="BE789" s="67"/>
      <c r="BF789" s="68"/>
      <c r="BG789" s="69"/>
      <c r="BH789" s="84"/>
      <c r="BI789" s="70"/>
      <c r="BJ789" s="73"/>
      <c r="BK789" s="78"/>
      <c r="BL789" s="78">
        <f t="shared" ca="1" si="3"/>
        <v>0</v>
      </c>
      <c r="BM789" s="78"/>
      <c r="BN789" s="78">
        <f t="shared" ca="1" si="4"/>
        <v>0</v>
      </c>
      <c r="BO789" s="66"/>
      <c r="BP789" s="66"/>
    </row>
    <row r="790" spans="1:68" ht="13.2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>
        <f t="shared" ref="AP790:AQ790" si="783">AR790+AT790+AV790</f>
        <v>0</v>
      </c>
      <c r="AQ790" s="75">
        <f t="shared" si="783"/>
        <v>0</v>
      </c>
      <c r="AR790" s="75"/>
      <c r="AS790" s="75"/>
      <c r="AT790" s="75"/>
      <c r="AU790" s="75"/>
      <c r="AV790" s="75"/>
      <c r="AW790" s="75"/>
      <c r="AX790" s="75"/>
      <c r="AY790" s="67">
        <f t="shared" ca="1" si="1"/>
        <v>0</v>
      </c>
      <c r="AZ790" s="75"/>
      <c r="BA790" s="67">
        <f t="shared" ca="1" si="2"/>
        <v>0</v>
      </c>
      <c r="BB790" s="66"/>
      <c r="BC790" s="4"/>
      <c r="BD790" s="67"/>
      <c r="BE790" s="67"/>
      <c r="BF790" s="68"/>
      <c r="BG790" s="69"/>
      <c r="BH790" s="84"/>
      <c r="BI790" s="70"/>
      <c r="BJ790" s="73"/>
      <c r="BK790" s="78"/>
      <c r="BL790" s="78">
        <f t="shared" ca="1" si="3"/>
        <v>0</v>
      </c>
      <c r="BM790" s="78"/>
      <c r="BN790" s="78">
        <f t="shared" ca="1" si="4"/>
        <v>0</v>
      </c>
      <c r="BO790" s="66"/>
      <c r="BP790" s="66"/>
    </row>
    <row r="791" spans="1:68" ht="13.2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>
        <f t="shared" ref="AP791:AQ791" si="784">AR791+AT791+AV791</f>
        <v>0</v>
      </c>
      <c r="AQ791" s="75">
        <f t="shared" si="784"/>
        <v>0</v>
      </c>
      <c r="AR791" s="75"/>
      <c r="AS791" s="75"/>
      <c r="AT791" s="75"/>
      <c r="AU791" s="75"/>
      <c r="AV791" s="75"/>
      <c r="AW791" s="75"/>
      <c r="AX791" s="75"/>
      <c r="AY791" s="67">
        <f t="shared" ca="1" si="1"/>
        <v>0</v>
      </c>
      <c r="AZ791" s="75"/>
      <c r="BA791" s="67">
        <f t="shared" ca="1" si="2"/>
        <v>0</v>
      </c>
      <c r="BB791" s="66"/>
      <c r="BC791" s="4"/>
      <c r="BD791" s="67"/>
      <c r="BE791" s="67"/>
      <c r="BF791" s="68"/>
      <c r="BG791" s="69"/>
      <c r="BH791" s="84"/>
      <c r="BI791" s="70"/>
      <c r="BJ791" s="73"/>
      <c r="BK791" s="78"/>
      <c r="BL791" s="78">
        <f t="shared" ca="1" si="3"/>
        <v>0</v>
      </c>
      <c r="BM791" s="78"/>
      <c r="BN791" s="78">
        <f t="shared" ca="1" si="4"/>
        <v>0</v>
      </c>
      <c r="BO791" s="66"/>
      <c r="BP791" s="66"/>
    </row>
    <row r="792" spans="1:68" ht="13.2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>
        <f t="shared" ref="AP792:AQ792" si="785">AR792+AT792+AV792</f>
        <v>0</v>
      </c>
      <c r="AQ792" s="75">
        <f t="shared" si="785"/>
        <v>0</v>
      </c>
      <c r="AR792" s="75"/>
      <c r="AS792" s="75"/>
      <c r="AT792" s="75"/>
      <c r="AU792" s="75"/>
      <c r="AV792" s="75"/>
      <c r="AW792" s="75"/>
      <c r="AX792" s="75"/>
      <c r="AY792" s="67">
        <f t="shared" ca="1" si="1"/>
        <v>0</v>
      </c>
      <c r="AZ792" s="75"/>
      <c r="BA792" s="67">
        <f t="shared" ca="1" si="2"/>
        <v>0</v>
      </c>
      <c r="BB792" s="66"/>
      <c r="BC792" s="4"/>
      <c r="BD792" s="67"/>
      <c r="BE792" s="67"/>
      <c r="BF792" s="68"/>
      <c r="BG792" s="69"/>
      <c r="BH792" s="84"/>
      <c r="BI792" s="70"/>
      <c r="BJ792" s="73"/>
      <c r="BK792" s="78"/>
      <c r="BL792" s="78">
        <f t="shared" ca="1" si="3"/>
        <v>0</v>
      </c>
      <c r="BM792" s="78"/>
      <c r="BN792" s="78">
        <f t="shared" ca="1" si="4"/>
        <v>0</v>
      </c>
      <c r="BO792" s="66"/>
      <c r="BP792" s="66"/>
    </row>
    <row r="793" spans="1:68" ht="13.2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>
        <f t="shared" ref="AP793:AQ793" si="786">AR793+AT793+AV793</f>
        <v>0</v>
      </c>
      <c r="AQ793" s="75">
        <f t="shared" si="786"/>
        <v>0</v>
      </c>
      <c r="AR793" s="75"/>
      <c r="AS793" s="75"/>
      <c r="AT793" s="75"/>
      <c r="AU793" s="75"/>
      <c r="AV793" s="75"/>
      <c r="AW793" s="75"/>
      <c r="AX793" s="75"/>
      <c r="AY793" s="67">
        <f t="shared" ca="1" si="1"/>
        <v>0</v>
      </c>
      <c r="AZ793" s="75"/>
      <c r="BA793" s="67">
        <f t="shared" ca="1" si="2"/>
        <v>0</v>
      </c>
      <c r="BB793" s="66"/>
      <c r="BC793" s="4"/>
      <c r="BD793" s="67"/>
      <c r="BE793" s="67"/>
      <c r="BF793" s="68"/>
      <c r="BG793" s="69"/>
      <c r="BH793" s="84"/>
      <c r="BI793" s="70"/>
      <c r="BJ793" s="73"/>
      <c r="BK793" s="78"/>
      <c r="BL793" s="78">
        <f t="shared" ca="1" si="3"/>
        <v>0</v>
      </c>
      <c r="BM793" s="78"/>
      <c r="BN793" s="78">
        <f t="shared" ca="1" si="4"/>
        <v>0</v>
      </c>
      <c r="BO793" s="66"/>
      <c r="BP793" s="66"/>
    </row>
    <row r="794" spans="1:68" ht="13.2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>
        <f t="shared" ref="AP794:AQ794" si="787">AR794+AT794+AV794</f>
        <v>0</v>
      </c>
      <c r="AQ794" s="75">
        <f t="shared" si="787"/>
        <v>0</v>
      </c>
      <c r="AR794" s="75"/>
      <c r="AS794" s="75"/>
      <c r="AT794" s="75"/>
      <c r="AU794" s="75"/>
      <c r="AV794" s="75"/>
      <c r="AW794" s="75"/>
      <c r="AX794" s="75"/>
      <c r="AY794" s="67">
        <f t="shared" ca="1" si="1"/>
        <v>0</v>
      </c>
      <c r="AZ794" s="75"/>
      <c r="BA794" s="67">
        <f t="shared" ca="1" si="2"/>
        <v>0</v>
      </c>
      <c r="BB794" s="66"/>
      <c r="BC794" s="4"/>
      <c r="BD794" s="67"/>
      <c r="BE794" s="67"/>
      <c r="BF794" s="68"/>
      <c r="BG794" s="69"/>
      <c r="BH794" s="84"/>
      <c r="BI794" s="70"/>
      <c r="BJ794" s="73"/>
      <c r="BK794" s="78"/>
      <c r="BL794" s="78">
        <f t="shared" ca="1" si="3"/>
        <v>0</v>
      </c>
      <c r="BM794" s="78"/>
      <c r="BN794" s="78">
        <f t="shared" ca="1" si="4"/>
        <v>0</v>
      </c>
      <c r="BO794" s="66"/>
      <c r="BP794" s="66"/>
    </row>
    <row r="795" spans="1:68" ht="13.2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>
        <f t="shared" ref="AP795:AQ795" si="788">AR795+AT795+AV795</f>
        <v>0</v>
      </c>
      <c r="AQ795" s="75">
        <f t="shared" si="788"/>
        <v>0</v>
      </c>
      <c r="AR795" s="75"/>
      <c r="AS795" s="75"/>
      <c r="AT795" s="75"/>
      <c r="AU795" s="75"/>
      <c r="AV795" s="75"/>
      <c r="AW795" s="75"/>
      <c r="AX795" s="75"/>
      <c r="AY795" s="67">
        <f t="shared" ca="1" si="1"/>
        <v>0</v>
      </c>
      <c r="AZ795" s="75"/>
      <c r="BA795" s="67">
        <f t="shared" ca="1" si="2"/>
        <v>0</v>
      </c>
      <c r="BB795" s="66"/>
      <c r="BC795" s="4"/>
      <c r="BD795" s="67"/>
      <c r="BE795" s="67"/>
      <c r="BF795" s="68"/>
      <c r="BG795" s="69"/>
      <c r="BH795" s="84"/>
      <c r="BI795" s="70"/>
      <c r="BJ795" s="73"/>
      <c r="BK795" s="78"/>
      <c r="BL795" s="78">
        <f t="shared" ca="1" si="3"/>
        <v>0</v>
      </c>
      <c r="BM795" s="78"/>
      <c r="BN795" s="78">
        <f t="shared" ca="1" si="4"/>
        <v>0</v>
      </c>
      <c r="BO795" s="66"/>
      <c r="BP795" s="66"/>
    </row>
    <row r="796" spans="1:68" ht="13.2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>
        <f t="shared" ref="AP796:AQ796" si="789">AR796+AT796+AV796</f>
        <v>0</v>
      </c>
      <c r="AQ796" s="75">
        <f t="shared" si="789"/>
        <v>0</v>
      </c>
      <c r="AR796" s="75"/>
      <c r="AS796" s="75"/>
      <c r="AT796" s="75"/>
      <c r="AU796" s="75"/>
      <c r="AV796" s="75"/>
      <c r="AW796" s="75"/>
      <c r="AX796" s="75"/>
      <c r="AY796" s="67">
        <f t="shared" ca="1" si="1"/>
        <v>0</v>
      </c>
      <c r="AZ796" s="75"/>
      <c r="BA796" s="67">
        <f t="shared" ca="1" si="2"/>
        <v>0</v>
      </c>
      <c r="BB796" s="66"/>
      <c r="BC796" s="4"/>
      <c r="BD796" s="67"/>
      <c r="BE796" s="67"/>
      <c r="BF796" s="68"/>
      <c r="BG796" s="69"/>
      <c r="BH796" s="84"/>
      <c r="BI796" s="70"/>
      <c r="BJ796" s="73"/>
      <c r="BK796" s="78"/>
      <c r="BL796" s="78">
        <f t="shared" ca="1" si="3"/>
        <v>0</v>
      </c>
      <c r="BM796" s="78"/>
      <c r="BN796" s="78">
        <f t="shared" ca="1" si="4"/>
        <v>0</v>
      </c>
      <c r="BO796" s="66"/>
      <c r="BP796" s="66"/>
    </row>
    <row r="797" spans="1:68" ht="13.2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>
        <f t="shared" ref="AP797:AQ797" si="790">AR797+AT797+AV797</f>
        <v>0</v>
      </c>
      <c r="AQ797" s="75">
        <f t="shared" si="790"/>
        <v>0</v>
      </c>
      <c r="AR797" s="75"/>
      <c r="AS797" s="75"/>
      <c r="AT797" s="75"/>
      <c r="AU797" s="75"/>
      <c r="AV797" s="75"/>
      <c r="AW797" s="75"/>
      <c r="AX797" s="75"/>
      <c r="AY797" s="67">
        <f t="shared" ca="1" si="1"/>
        <v>0</v>
      </c>
      <c r="AZ797" s="75"/>
      <c r="BA797" s="67">
        <f t="shared" ca="1" si="2"/>
        <v>0</v>
      </c>
      <c r="BB797" s="66"/>
      <c r="BC797" s="4"/>
      <c r="BD797" s="67"/>
      <c r="BE797" s="67"/>
      <c r="BF797" s="68"/>
      <c r="BG797" s="69"/>
      <c r="BH797" s="84"/>
      <c r="BI797" s="70"/>
      <c r="BJ797" s="73"/>
      <c r="BK797" s="78"/>
      <c r="BL797" s="78">
        <f t="shared" ca="1" si="3"/>
        <v>0</v>
      </c>
      <c r="BM797" s="78"/>
      <c r="BN797" s="78">
        <f t="shared" ca="1" si="4"/>
        <v>0</v>
      </c>
      <c r="BO797" s="66"/>
      <c r="BP797" s="66"/>
    </row>
    <row r="798" spans="1:68" ht="13.2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>
        <f t="shared" ref="AP798:AQ798" si="791">AR798+AT798+AV798</f>
        <v>0</v>
      </c>
      <c r="AQ798" s="75">
        <f t="shared" si="791"/>
        <v>0</v>
      </c>
      <c r="AR798" s="75"/>
      <c r="AS798" s="75"/>
      <c r="AT798" s="75"/>
      <c r="AU798" s="75"/>
      <c r="AV798" s="75"/>
      <c r="AW798" s="75"/>
      <c r="AX798" s="75"/>
      <c r="AY798" s="67">
        <f t="shared" ca="1" si="1"/>
        <v>0</v>
      </c>
      <c r="AZ798" s="75"/>
      <c r="BA798" s="67">
        <f t="shared" ca="1" si="2"/>
        <v>0</v>
      </c>
      <c r="BB798" s="66"/>
      <c r="BC798" s="4"/>
      <c r="BD798" s="67"/>
      <c r="BE798" s="67"/>
      <c r="BF798" s="68"/>
      <c r="BG798" s="69"/>
      <c r="BH798" s="84"/>
      <c r="BI798" s="70"/>
      <c r="BJ798" s="73"/>
      <c r="BK798" s="78"/>
      <c r="BL798" s="78">
        <f t="shared" ca="1" si="3"/>
        <v>0</v>
      </c>
      <c r="BM798" s="78"/>
      <c r="BN798" s="78">
        <f t="shared" ca="1" si="4"/>
        <v>0</v>
      </c>
      <c r="BO798" s="66"/>
      <c r="BP798" s="66"/>
    </row>
    <row r="799" spans="1:68" ht="13.2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>
        <f t="shared" ref="AP799:AQ799" si="792">AR799+AT799+AV799</f>
        <v>0</v>
      </c>
      <c r="AQ799" s="75">
        <f t="shared" si="792"/>
        <v>0</v>
      </c>
      <c r="AR799" s="75"/>
      <c r="AS799" s="75"/>
      <c r="AT799" s="75"/>
      <c r="AU799" s="75"/>
      <c r="AV799" s="75"/>
      <c r="AW799" s="75"/>
      <c r="AX799" s="75"/>
      <c r="AY799" s="67">
        <f t="shared" ca="1" si="1"/>
        <v>0</v>
      </c>
      <c r="AZ799" s="75"/>
      <c r="BA799" s="67">
        <f t="shared" ca="1" si="2"/>
        <v>0</v>
      </c>
      <c r="BB799" s="66"/>
      <c r="BC799" s="4"/>
      <c r="BD799" s="67"/>
      <c r="BE799" s="67"/>
      <c r="BF799" s="68"/>
      <c r="BG799" s="69"/>
      <c r="BH799" s="84"/>
      <c r="BI799" s="70"/>
      <c r="BJ799" s="73"/>
      <c r="BK799" s="78"/>
      <c r="BL799" s="78">
        <f t="shared" ca="1" si="3"/>
        <v>0</v>
      </c>
      <c r="BM799" s="78"/>
      <c r="BN799" s="78">
        <f t="shared" ca="1" si="4"/>
        <v>0</v>
      </c>
      <c r="BO799" s="66"/>
      <c r="BP799" s="66"/>
    </row>
    <row r="800" spans="1:68" ht="13.2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>
        <f t="shared" ref="AP800:AQ800" si="793">AR800+AT800+AV800</f>
        <v>0</v>
      </c>
      <c r="AQ800" s="75">
        <f t="shared" si="793"/>
        <v>0</v>
      </c>
      <c r="AR800" s="75"/>
      <c r="AS800" s="75"/>
      <c r="AT800" s="75"/>
      <c r="AU800" s="75"/>
      <c r="AV800" s="75"/>
      <c r="AW800" s="75"/>
      <c r="AX800" s="75"/>
      <c r="AY800" s="67">
        <f t="shared" ca="1" si="1"/>
        <v>0</v>
      </c>
      <c r="AZ800" s="75"/>
      <c r="BA800" s="67">
        <f t="shared" ca="1" si="2"/>
        <v>0</v>
      </c>
      <c r="BB800" s="66"/>
      <c r="BC800" s="4"/>
      <c r="BD800" s="67"/>
      <c r="BE800" s="67"/>
      <c r="BF800" s="68"/>
      <c r="BG800" s="69"/>
      <c r="BH800" s="84"/>
      <c r="BI800" s="70"/>
      <c r="BJ800" s="73"/>
      <c r="BK800" s="78"/>
      <c r="BL800" s="78">
        <f t="shared" ca="1" si="3"/>
        <v>0</v>
      </c>
      <c r="BM800" s="78"/>
      <c r="BN800" s="78">
        <f t="shared" ca="1" si="4"/>
        <v>0</v>
      </c>
      <c r="BO800" s="66"/>
      <c r="BP800" s="66"/>
    </row>
    <row r="801" spans="1:68" ht="13.2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>
        <f t="shared" ref="AP801:AQ801" si="794">AR801+AT801+AV801</f>
        <v>0</v>
      </c>
      <c r="AQ801" s="75">
        <f t="shared" si="794"/>
        <v>0</v>
      </c>
      <c r="AR801" s="75"/>
      <c r="AS801" s="75"/>
      <c r="AT801" s="75"/>
      <c r="AU801" s="75"/>
      <c r="AV801" s="75"/>
      <c r="AW801" s="75"/>
      <c r="AX801" s="75"/>
      <c r="AY801" s="67">
        <f t="shared" ca="1" si="1"/>
        <v>0</v>
      </c>
      <c r="AZ801" s="75"/>
      <c r="BA801" s="67">
        <f t="shared" ca="1" si="2"/>
        <v>0</v>
      </c>
      <c r="BB801" s="66"/>
      <c r="BC801" s="4"/>
      <c r="BD801" s="67"/>
      <c r="BE801" s="67"/>
      <c r="BF801" s="68"/>
      <c r="BG801" s="69"/>
      <c r="BH801" s="84"/>
      <c r="BI801" s="70"/>
      <c r="BJ801" s="73"/>
      <c r="BK801" s="78"/>
      <c r="BL801" s="78">
        <f t="shared" ca="1" si="3"/>
        <v>0</v>
      </c>
      <c r="BM801" s="78"/>
      <c r="BN801" s="78">
        <f t="shared" ca="1" si="4"/>
        <v>0</v>
      </c>
      <c r="BO801" s="66"/>
      <c r="BP801" s="66"/>
    </row>
    <row r="802" spans="1:68" ht="13.2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>
        <f t="shared" ref="AP802:AQ802" si="795">AR802+AT802+AV802</f>
        <v>0</v>
      </c>
      <c r="AQ802" s="75">
        <f t="shared" si="795"/>
        <v>0</v>
      </c>
      <c r="AR802" s="75"/>
      <c r="AS802" s="75"/>
      <c r="AT802" s="75"/>
      <c r="AU802" s="75"/>
      <c r="AV802" s="75"/>
      <c r="AW802" s="75"/>
      <c r="AX802" s="75"/>
      <c r="AY802" s="67">
        <f t="shared" ca="1" si="1"/>
        <v>0</v>
      </c>
      <c r="AZ802" s="75"/>
      <c r="BA802" s="67">
        <f t="shared" ca="1" si="2"/>
        <v>0</v>
      </c>
      <c r="BB802" s="66"/>
      <c r="BC802" s="4"/>
      <c r="BD802" s="67"/>
      <c r="BE802" s="67"/>
      <c r="BF802" s="68"/>
      <c r="BG802" s="69"/>
      <c r="BH802" s="84"/>
      <c r="BI802" s="70"/>
      <c r="BJ802" s="73"/>
      <c r="BK802" s="78"/>
      <c r="BL802" s="78">
        <f t="shared" ca="1" si="3"/>
        <v>0</v>
      </c>
      <c r="BM802" s="78"/>
      <c r="BN802" s="78">
        <f t="shared" ca="1" si="4"/>
        <v>0</v>
      </c>
      <c r="BO802" s="66"/>
      <c r="BP802" s="66"/>
    </row>
    <row r="803" spans="1:68" ht="13.2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>
        <f t="shared" ref="AP803:AQ803" si="796">AR803+AT803+AV803</f>
        <v>0</v>
      </c>
      <c r="AQ803" s="75">
        <f t="shared" si="796"/>
        <v>0</v>
      </c>
      <c r="AR803" s="75"/>
      <c r="AS803" s="75"/>
      <c r="AT803" s="75"/>
      <c r="AU803" s="75"/>
      <c r="AV803" s="75"/>
      <c r="AW803" s="75"/>
      <c r="AX803" s="75"/>
      <c r="AY803" s="67">
        <f t="shared" ca="1" si="1"/>
        <v>0</v>
      </c>
      <c r="AZ803" s="75"/>
      <c r="BA803" s="67">
        <f t="shared" ca="1" si="2"/>
        <v>0</v>
      </c>
      <c r="BB803" s="66"/>
      <c r="BC803" s="4"/>
      <c r="BD803" s="67"/>
      <c r="BE803" s="67"/>
      <c r="BF803" s="68"/>
      <c r="BG803" s="69"/>
      <c r="BH803" s="84"/>
      <c r="BI803" s="70"/>
      <c r="BJ803" s="73"/>
      <c r="BK803" s="78"/>
      <c r="BL803" s="78">
        <f t="shared" ca="1" si="3"/>
        <v>0</v>
      </c>
      <c r="BM803" s="78"/>
      <c r="BN803" s="78">
        <f t="shared" ca="1" si="4"/>
        <v>0</v>
      </c>
      <c r="BO803" s="66"/>
      <c r="BP803" s="66"/>
    </row>
    <row r="804" spans="1:68" ht="13.2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>
        <f t="shared" ref="AP804:AQ804" si="797">AR804+AT804+AV804</f>
        <v>0</v>
      </c>
      <c r="AQ804" s="75">
        <f t="shared" si="797"/>
        <v>0</v>
      </c>
      <c r="AR804" s="75"/>
      <c r="AS804" s="75"/>
      <c r="AT804" s="75"/>
      <c r="AU804" s="75"/>
      <c r="AV804" s="75"/>
      <c r="AW804" s="75"/>
      <c r="AX804" s="75"/>
      <c r="AY804" s="67">
        <f t="shared" ca="1" si="1"/>
        <v>0</v>
      </c>
      <c r="AZ804" s="75"/>
      <c r="BA804" s="67">
        <f t="shared" ca="1" si="2"/>
        <v>0</v>
      </c>
      <c r="BB804" s="66"/>
      <c r="BC804" s="4"/>
      <c r="BD804" s="67"/>
      <c r="BE804" s="67"/>
      <c r="BF804" s="68"/>
      <c r="BG804" s="69"/>
      <c r="BH804" s="84"/>
      <c r="BI804" s="70"/>
      <c r="BJ804" s="73"/>
      <c r="BK804" s="78"/>
      <c r="BL804" s="78">
        <f t="shared" ca="1" si="3"/>
        <v>0</v>
      </c>
      <c r="BM804" s="78"/>
      <c r="BN804" s="78">
        <f t="shared" ca="1" si="4"/>
        <v>0</v>
      </c>
      <c r="BO804" s="66"/>
      <c r="BP804" s="66"/>
    </row>
    <row r="805" spans="1:68" ht="13.2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>
        <f t="shared" ref="AP805:AQ805" si="798">AR805+AT805+AV805</f>
        <v>0</v>
      </c>
      <c r="AQ805" s="75">
        <f t="shared" si="798"/>
        <v>0</v>
      </c>
      <c r="AR805" s="75"/>
      <c r="AS805" s="75"/>
      <c r="AT805" s="75"/>
      <c r="AU805" s="75"/>
      <c r="AV805" s="75"/>
      <c r="AW805" s="75"/>
      <c r="AX805" s="75"/>
      <c r="AY805" s="67">
        <f t="shared" ca="1" si="1"/>
        <v>0</v>
      </c>
      <c r="AZ805" s="75"/>
      <c r="BA805" s="67">
        <f t="shared" ca="1" si="2"/>
        <v>0</v>
      </c>
      <c r="BB805" s="66"/>
      <c r="BC805" s="4"/>
      <c r="BD805" s="67"/>
      <c r="BE805" s="67"/>
      <c r="BF805" s="68"/>
      <c r="BG805" s="69"/>
      <c r="BH805" s="84"/>
      <c r="BI805" s="70"/>
      <c r="BJ805" s="73"/>
      <c r="BK805" s="78"/>
      <c r="BL805" s="78">
        <f t="shared" ca="1" si="3"/>
        <v>0</v>
      </c>
      <c r="BM805" s="78"/>
      <c r="BN805" s="78">
        <f t="shared" ca="1" si="4"/>
        <v>0</v>
      </c>
      <c r="BO805" s="66"/>
      <c r="BP805" s="66"/>
    </row>
    <row r="806" spans="1:68" ht="13.2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>
        <f t="shared" ref="AP806:AQ806" si="799">AR806+AT806+AV806</f>
        <v>0</v>
      </c>
      <c r="AQ806" s="75">
        <f t="shared" si="799"/>
        <v>0</v>
      </c>
      <c r="AR806" s="75"/>
      <c r="AS806" s="75"/>
      <c r="AT806" s="75"/>
      <c r="AU806" s="75"/>
      <c r="AV806" s="75"/>
      <c r="AW806" s="75"/>
      <c r="AX806" s="75"/>
      <c r="AY806" s="67">
        <f t="shared" ca="1" si="1"/>
        <v>0</v>
      </c>
      <c r="AZ806" s="75"/>
      <c r="BA806" s="67">
        <f t="shared" ca="1" si="2"/>
        <v>0</v>
      </c>
      <c r="BB806" s="66"/>
      <c r="BC806" s="4"/>
      <c r="BD806" s="67"/>
      <c r="BE806" s="67"/>
      <c r="BF806" s="68"/>
      <c r="BG806" s="69"/>
      <c r="BH806" s="84"/>
      <c r="BI806" s="70"/>
      <c r="BJ806" s="73"/>
      <c r="BK806" s="78"/>
      <c r="BL806" s="78">
        <f t="shared" ca="1" si="3"/>
        <v>0</v>
      </c>
      <c r="BM806" s="78"/>
      <c r="BN806" s="78">
        <f t="shared" ca="1" si="4"/>
        <v>0</v>
      </c>
      <c r="BO806" s="66"/>
      <c r="BP806" s="66"/>
    </row>
    <row r="807" spans="1:68" ht="13.2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>
        <f t="shared" ref="AP807:AQ807" si="800">AR807+AT807+AV807</f>
        <v>0</v>
      </c>
      <c r="AQ807" s="75">
        <f t="shared" si="800"/>
        <v>0</v>
      </c>
      <c r="AR807" s="75"/>
      <c r="AS807" s="75"/>
      <c r="AT807" s="75"/>
      <c r="AU807" s="75"/>
      <c r="AV807" s="75"/>
      <c r="AW807" s="75"/>
      <c r="AX807" s="75"/>
      <c r="AY807" s="67">
        <f t="shared" ca="1" si="1"/>
        <v>0</v>
      </c>
      <c r="AZ807" s="75"/>
      <c r="BA807" s="67">
        <f t="shared" ca="1" si="2"/>
        <v>0</v>
      </c>
      <c r="BB807" s="66"/>
      <c r="BC807" s="4"/>
      <c r="BD807" s="67"/>
      <c r="BE807" s="67"/>
      <c r="BF807" s="68"/>
      <c r="BG807" s="69"/>
      <c r="BH807" s="70"/>
      <c r="BI807" s="70"/>
      <c r="BJ807" s="73"/>
      <c r="BK807" s="78"/>
      <c r="BL807" s="78">
        <f t="shared" ca="1" si="3"/>
        <v>0</v>
      </c>
      <c r="BM807" s="78"/>
      <c r="BN807" s="78">
        <f t="shared" ca="1" si="4"/>
        <v>0</v>
      </c>
      <c r="BO807" s="66"/>
      <c r="BP807" s="66"/>
    </row>
    <row r="808" spans="1:68" ht="13.2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>
        <f t="shared" ref="AP808:AQ808" si="801">AR808+AT808+AV808</f>
        <v>0</v>
      </c>
      <c r="AQ808" s="75">
        <f t="shared" si="801"/>
        <v>0</v>
      </c>
      <c r="AR808" s="75"/>
      <c r="AS808" s="75"/>
      <c r="AT808" s="75"/>
      <c r="AU808" s="75"/>
      <c r="AV808" s="75"/>
      <c r="AW808" s="75"/>
      <c r="AX808" s="75"/>
      <c r="AY808" s="67">
        <f t="shared" ca="1" si="1"/>
        <v>0</v>
      </c>
      <c r="AZ808" s="75"/>
      <c r="BA808" s="67">
        <f t="shared" ca="1" si="2"/>
        <v>0</v>
      </c>
      <c r="BB808" s="66"/>
      <c r="BC808" s="4"/>
      <c r="BD808" s="67"/>
      <c r="BE808" s="67"/>
      <c r="BF808" s="68"/>
      <c r="BG808" s="69"/>
      <c r="BH808" s="70"/>
      <c r="BI808" s="70"/>
      <c r="BJ808" s="73"/>
      <c r="BK808" s="78"/>
      <c r="BL808" s="78">
        <f t="shared" ca="1" si="3"/>
        <v>0</v>
      </c>
      <c r="BM808" s="78"/>
      <c r="BN808" s="78">
        <f t="shared" ca="1" si="4"/>
        <v>0</v>
      </c>
      <c r="BO808" s="66"/>
      <c r="BP808" s="66"/>
    </row>
    <row r="809" spans="1:68" ht="13.2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>
        <f t="shared" ref="AP809:AQ809" si="802">AR809+AT809+AV809</f>
        <v>0</v>
      </c>
      <c r="AQ809" s="75">
        <f t="shared" si="802"/>
        <v>0</v>
      </c>
      <c r="AR809" s="75"/>
      <c r="AS809" s="75"/>
      <c r="AT809" s="75"/>
      <c r="AU809" s="75"/>
      <c r="AV809" s="75"/>
      <c r="AW809" s="75"/>
      <c r="AX809" s="75"/>
      <c r="AY809" s="67">
        <f t="shared" ca="1" si="1"/>
        <v>0</v>
      </c>
      <c r="AZ809" s="75"/>
      <c r="BA809" s="67">
        <f t="shared" ca="1" si="2"/>
        <v>0</v>
      </c>
      <c r="BB809" s="66"/>
      <c r="BC809" s="4"/>
      <c r="BD809" s="67"/>
      <c r="BE809" s="67"/>
      <c r="BF809" s="68"/>
      <c r="BG809" s="69"/>
      <c r="BH809" s="70"/>
      <c r="BI809" s="70"/>
      <c r="BJ809" s="73"/>
      <c r="BK809" s="78"/>
      <c r="BL809" s="78">
        <f t="shared" ca="1" si="3"/>
        <v>0</v>
      </c>
      <c r="BM809" s="78"/>
      <c r="BN809" s="78">
        <f t="shared" ca="1" si="4"/>
        <v>0</v>
      </c>
      <c r="BO809" s="66"/>
      <c r="BP809" s="66"/>
    </row>
    <row r="810" spans="1:68" ht="13.2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>
        <f t="shared" ref="AP810:AQ810" si="803">AR810+AT810+AV810</f>
        <v>0</v>
      </c>
      <c r="AQ810" s="75">
        <f t="shared" si="803"/>
        <v>0</v>
      </c>
      <c r="AR810" s="75"/>
      <c r="AS810" s="75"/>
      <c r="AT810" s="75"/>
      <c r="AU810" s="75"/>
      <c r="AV810" s="75"/>
      <c r="AW810" s="75"/>
      <c r="AX810" s="75"/>
      <c r="AY810" s="67">
        <f t="shared" ca="1" si="1"/>
        <v>0</v>
      </c>
      <c r="AZ810" s="75"/>
      <c r="BA810" s="67">
        <f t="shared" ca="1" si="2"/>
        <v>0</v>
      </c>
      <c r="BB810" s="66"/>
      <c r="BC810" s="4"/>
      <c r="BD810" s="67"/>
      <c r="BE810" s="67"/>
      <c r="BF810" s="68"/>
      <c r="BG810" s="69"/>
      <c r="BH810" s="70"/>
      <c r="BI810" s="70"/>
      <c r="BJ810" s="73"/>
      <c r="BK810" s="78"/>
      <c r="BL810" s="78">
        <f t="shared" ca="1" si="3"/>
        <v>0</v>
      </c>
      <c r="BM810" s="78"/>
      <c r="BN810" s="78">
        <f t="shared" ca="1" si="4"/>
        <v>0</v>
      </c>
      <c r="BO810" s="66"/>
      <c r="BP810" s="66"/>
    </row>
    <row r="811" spans="1:68" ht="13.2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>
        <f t="shared" ref="AP811:AQ811" si="804">AR811+AT811+AV811</f>
        <v>0</v>
      </c>
      <c r="AQ811" s="75">
        <f t="shared" si="804"/>
        <v>0</v>
      </c>
      <c r="AR811" s="75"/>
      <c r="AS811" s="75"/>
      <c r="AT811" s="75"/>
      <c r="AU811" s="75"/>
      <c r="AV811" s="75"/>
      <c r="AW811" s="75"/>
      <c r="AX811" s="75"/>
      <c r="AY811" s="67">
        <f t="shared" ca="1" si="1"/>
        <v>0</v>
      </c>
      <c r="AZ811" s="75"/>
      <c r="BA811" s="67">
        <f t="shared" ca="1" si="2"/>
        <v>0</v>
      </c>
      <c r="BB811" s="66"/>
      <c r="BC811" s="4"/>
      <c r="BD811" s="67"/>
      <c r="BE811" s="67"/>
      <c r="BF811" s="68"/>
      <c r="BG811" s="69"/>
      <c r="BH811" s="84"/>
      <c r="BI811" s="70"/>
      <c r="BJ811" s="73"/>
      <c r="BK811" s="78"/>
      <c r="BL811" s="78">
        <f t="shared" ca="1" si="3"/>
        <v>0</v>
      </c>
      <c r="BM811" s="78"/>
      <c r="BN811" s="78">
        <f t="shared" ca="1" si="4"/>
        <v>0</v>
      </c>
      <c r="BO811" s="66"/>
      <c r="BP811" s="66"/>
    </row>
    <row r="812" spans="1:68" ht="13.2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>
        <f t="shared" ref="AP812:AQ812" si="805">AR812+AT812+AV812</f>
        <v>0</v>
      </c>
      <c r="AQ812" s="75">
        <f t="shared" si="805"/>
        <v>0</v>
      </c>
      <c r="AR812" s="75"/>
      <c r="AS812" s="75"/>
      <c r="AT812" s="75"/>
      <c r="AU812" s="75"/>
      <c r="AV812" s="75"/>
      <c r="AW812" s="75"/>
      <c r="AX812" s="75"/>
      <c r="AY812" s="67">
        <f t="shared" ca="1" si="1"/>
        <v>0</v>
      </c>
      <c r="AZ812" s="75"/>
      <c r="BA812" s="67">
        <f t="shared" ca="1" si="2"/>
        <v>0</v>
      </c>
      <c r="BB812" s="66"/>
      <c r="BC812" s="4"/>
      <c r="BD812" s="67"/>
      <c r="BE812" s="67"/>
      <c r="BF812" s="68"/>
      <c r="BG812" s="69"/>
      <c r="BH812" s="70"/>
      <c r="BI812" s="70"/>
      <c r="BJ812" s="73"/>
      <c r="BK812" s="78"/>
      <c r="BL812" s="78">
        <f t="shared" ca="1" si="3"/>
        <v>0</v>
      </c>
      <c r="BM812" s="78"/>
      <c r="BN812" s="78">
        <f t="shared" ca="1" si="4"/>
        <v>0</v>
      </c>
      <c r="BO812" s="66"/>
      <c r="BP812" s="66"/>
    </row>
    <row r="813" spans="1:68" ht="13.2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>
        <f t="shared" ref="AP813:AQ813" si="806">AR813+AT813+AV813</f>
        <v>0</v>
      </c>
      <c r="AQ813" s="75">
        <f t="shared" si="806"/>
        <v>0</v>
      </c>
      <c r="AR813" s="75"/>
      <c r="AS813" s="75"/>
      <c r="AT813" s="75"/>
      <c r="AU813" s="75"/>
      <c r="AV813" s="75"/>
      <c r="AW813" s="75"/>
      <c r="AX813" s="75"/>
      <c r="AY813" s="67">
        <f t="shared" ca="1" si="1"/>
        <v>0</v>
      </c>
      <c r="AZ813" s="75"/>
      <c r="BA813" s="67">
        <f t="shared" ca="1" si="2"/>
        <v>0</v>
      </c>
      <c r="BB813" s="66"/>
      <c r="BC813" s="4"/>
      <c r="BD813" s="67"/>
      <c r="BE813" s="67"/>
      <c r="BF813" s="68"/>
      <c r="BG813" s="69"/>
      <c r="BH813" s="70"/>
      <c r="BI813" s="70"/>
      <c r="BJ813" s="73"/>
      <c r="BK813" s="78"/>
      <c r="BL813" s="78">
        <f t="shared" ca="1" si="3"/>
        <v>0</v>
      </c>
      <c r="BM813" s="78"/>
      <c r="BN813" s="78">
        <f t="shared" ca="1" si="4"/>
        <v>0</v>
      </c>
      <c r="BO813" s="66"/>
      <c r="BP813" s="66"/>
    </row>
    <row r="814" spans="1:68" ht="13.2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>
        <f t="shared" ref="AP814:AQ814" si="807">AR814+AT814+AV814</f>
        <v>0</v>
      </c>
      <c r="AQ814" s="75">
        <f t="shared" si="807"/>
        <v>0</v>
      </c>
      <c r="AR814" s="75"/>
      <c r="AS814" s="75"/>
      <c r="AT814" s="75"/>
      <c r="AU814" s="75"/>
      <c r="AV814" s="75"/>
      <c r="AW814" s="75"/>
      <c r="AX814" s="75"/>
      <c r="AY814" s="67">
        <f t="shared" ca="1" si="1"/>
        <v>0</v>
      </c>
      <c r="AZ814" s="75"/>
      <c r="BA814" s="67">
        <f t="shared" ca="1" si="2"/>
        <v>0</v>
      </c>
      <c r="BB814" s="66"/>
      <c r="BC814" s="4"/>
      <c r="BD814" s="67"/>
      <c r="BE814" s="67"/>
      <c r="BF814" s="68"/>
      <c r="BG814" s="69"/>
      <c r="BH814" s="70"/>
      <c r="BI814" s="70"/>
      <c r="BJ814" s="73"/>
      <c r="BK814" s="78"/>
      <c r="BL814" s="78">
        <f t="shared" ca="1" si="3"/>
        <v>0</v>
      </c>
      <c r="BM814" s="78"/>
      <c r="BN814" s="78">
        <f t="shared" ca="1" si="4"/>
        <v>0</v>
      </c>
      <c r="BO814" s="66"/>
      <c r="BP814" s="66"/>
    </row>
    <row r="815" spans="1:68" ht="13.2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>
        <f t="shared" ref="AP815:AQ815" si="808">AR815+AT815+AV815</f>
        <v>0</v>
      </c>
      <c r="AQ815" s="75">
        <f t="shared" si="808"/>
        <v>0</v>
      </c>
      <c r="AR815" s="75"/>
      <c r="AS815" s="75"/>
      <c r="AT815" s="75"/>
      <c r="AU815" s="75"/>
      <c r="AV815" s="75"/>
      <c r="AW815" s="75"/>
      <c r="AX815" s="75"/>
      <c r="AY815" s="67">
        <f t="shared" ca="1" si="1"/>
        <v>0</v>
      </c>
      <c r="AZ815" s="75"/>
      <c r="BA815" s="67">
        <f t="shared" ca="1" si="2"/>
        <v>0</v>
      </c>
      <c r="BB815" s="66"/>
      <c r="BC815" s="4"/>
      <c r="BD815" s="67"/>
      <c r="BE815" s="67"/>
      <c r="BF815" s="68"/>
      <c r="BG815" s="69"/>
      <c r="BH815" s="70"/>
      <c r="BI815" s="70"/>
      <c r="BJ815" s="73"/>
      <c r="BK815" s="78"/>
      <c r="BL815" s="78">
        <f t="shared" ca="1" si="3"/>
        <v>0</v>
      </c>
      <c r="BM815" s="78"/>
      <c r="BN815" s="78">
        <f t="shared" ca="1" si="4"/>
        <v>0</v>
      </c>
      <c r="BO815" s="66"/>
      <c r="BP815" s="66"/>
    </row>
    <row r="816" spans="1:68" ht="13.2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>
        <f t="shared" ref="AP816:AQ816" si="809">AR816+AT816+AV816</f>
        <v>0</v>
      </c>
      <c r="AQ816" s="75">
        <f t="shared" si="809"/>
        <v>0</v>
      </c>
      <c r="AR816" s="75"/>
      <c r="AS816" s="75"/>
      <c r="AT816" s="75"/>
      <c r="AU816" s="75"/>
      <c r="AV816" s="75"/>
      <c r="AW816" s="75"/>
      <c r="AX816" s="75"/>
      <c r="AY816" s="67">
        <f t="shared" ca="1" si="1"/>
        <v>0</v>
      </c>
      <c r="AZ816" s="75"/>
      <c r="BA816" s="67">
        <f t="shared" ca="1" si="2"/>
        <v>0</v>
      </c>
      <c r="BB816" s="66"/>
      <c r="BC816" s="4"/>
      <c r="BD816" s="67"/>
      <c r="BE816" s="67"/>
      <c r="BF816" s="68"/>
      <c r="BG816" s="69"/>
      <c r="BH816" s="70"/>
      <c r="BI816" s="70"/>
      <c r="BJ816" s="73"/>
      <c r="BK816" s="78"/>
      <c r="BL816" s="78">
        <f t="shared" ca="1" si="3"/>
        <v>0</v>
      </c>
      <c r="BM816" s="78"/>
      <c r="BN816" s="78">
        <f t="shared" ca="1" si="4"/>
        <v>0</v>
      </c>
      <c r="BO816" s="66"/>
      <c r="BP816" s="66"/>
    </row>
    <row r="817" spans="1:68" ht="13.2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>
        <f t="shared" ref="AP817:AQ817" si="810">AR817+AT817+AV817</f>
        <v>0</v>
      </c>
      <c r="AQ817" s="75">
        <f t="shared" si="810"/>
        <v>0</v>
      </c>
      <c r="AR817" s="75"/>
      <c r="AS817" s="75"/>
      <c r="AT817" s="75"/>
      <c r="AU817" s="75"/>
      <c r="AV817" s="75"/>
      <c r="AW817" s="75"/>
      <c r="AX817" s="75"/>
      <c r="AY817" s="67">
        <f t="shared" ca="1" si="1"/>
        <v>0</v>
      </c>
      <c r="AZ817" s="75"/>
      <c r="BA817" s="67">
        <f t="shared" ca="1" si="2"/>
        <v>0</v>
      </c>
      <c r="BB817" s="66"/>
      <c r="BC817" s="4"/>
      <c r="BD817" s="67"/>
      <c r="BE817" s="67"/>
      <c r="BF817" s="68"/>
      <c r="BG817" s="69"/>
      <c r="BH817" s="70"/>
      <c r="BI817" s="70"/>
      <c r="BJ817" s="73"/>
      <c r="BK817" s="78"/>
      <c r="BL817" s="78">
        <f t="shared" ca="1" si="3"/>
        <v>0</v>
      </c>
      <c r="BM817" s="78"/>
      <c r="BN817" s="78">
        <f t="shared" ca="1" si="4"/>
        <v>0</v>
      </c>
      <c r="BO817" s="66"/>
      <c r="BP817" s="66"/>
    </row>
    <row r="818" spans="1:68" ht="13.2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>
        <f t="shared" ref="AP818:AQ818" si="811">AR818+AT818+AV818</f>
        <v>0</v>
      </c>
      <c r="AQ818" s="75">
        <f t="shared" si="811"/>
        <v>0</v>
      </c>
      <c r="AR818" s="75"/>
      <c r="AS818" s="75"/>
      <c r="AT818" s="75"/>
      <c r="AU818" s="75"/>
      <c r="AV818" s="75"/>
      <c r="AW818" s="75"/>
      <c r="AX818" s="75"/>
      <c r="AY818" s="67">
        <f t="shared" ca="1" si="1"/>
        <v>0</v>
      </c>
      <c r="AZ818" s="75"/>
      <c r="BA818" s="67">
        <f t="shared" ca="1" si="2"/>
        <v>0</v>
      </c>
      <c r="BB818" s="66"/>
      <c r="BC818" s="4"/>
      <c r="BD818" s="67"/>
      <c r="BE818" s="67"/>
      <c r="BF818" s="68"/>
      <c r="BG818" s="69"/>
      <c r="BH818" s="70"/>
      <c r="BI818" s="70"/>
      <c r="BJ818" s="73"/>
      <c r="BK818" s="78"/>
      <c r="BL818" s="78">
        <f t="shared" ca="1" si="3"/>
        <v>0</v>
      </c>
      <c r="BM818" s="78"/>
      <c r="BN818" s="78">
        <f t="shared" ca="1" si="4"/>
        <v>0</v>
      </c>
      <c r="BO818" s="66"/>
      <c r="BP818" s="66"/>
    </row>
    <row r="819" spans="1:68" ht="13.2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>
        <f t="shared" ref="AP819:AQ819" si="812">AR819+AT819+AV819</f>
        <v>0</v>
      </c>
      <c r="AQ819" s="75">
        <f t="shared" si="812"/>
        <v>0</v>
      </c>
      <c r="AR819" s="75"/>
      <c r="AS819" s="75"/>
      <c r="AT819" s="75"/>
      <c r="AU819" s="75"/>
      <c r="AV819" s="75"/>
      <c r="AW819" s="75"/>
      <c r="AX819" s="75"/>
      <c r="AY819" s="67">
        <f t="shared" ca="1" si="1"/>
        <v>0</v>
      </c>
      <c r="AZ819" s="75"/>
      <c r="BA819" s="67">
        <f t="shared" ca="1" si="2"/>
        <v>0</v>
      </c>
      <c r="BB819" s="66"/>
      <c r="BC819" s="4"/>
      <c r="BD819" s="67"/>
      <c r="BE819" s="67"/>
      <c r="BF819" s="68"/>
      <c r="BG819" s="69"/>
      <c r="BH819" s="70"/>
      <c r="BI819" s="70"/>
      <c r="BJ819" s="73"/>
      <c r="BK819" s="78"/>
      <c r="BL819" s="78">
        <f t="shared" ca="1" si="3"/>
        <v>0</v>
      </c>
      <c r="BM819" s="78"/>
      <c r="BN819" s="78">
        <f t="shared" ca="1" si="4"/>
        <v>0</v>
      </c>
      <c r="BO819" s="66"/>
      <c r="BP819" s="66"/>
    </row>
    <row r="820" spans="1:68" ht="13.2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>
        <f t="shared" ref="AP820:AQ820" si="813">AR820+AT820+AV820</f>
        <v>0</v>
      </c>
      <c r="AQ820" s="75">
        <f t="shared" si="813"/>
        <v>0</v>
      </c>
      <c r="AR820" s="75"/>
      <c r="AS820" s="75"/>
      <c r="AT820" s="75"/>
      <c r="AU820" s="75"/>
      <c r="AV820" s="75"/>
      <c r="AW820" s="75"/>
      <c r="AX820" s="75"/>
      <c r="AY820" s="67">
        <f t="shared" ca="1" si="1"/>
        <v>0</v>
      </c>
      <c r="AZ820" s="75"/>
      <c r="BA820" s="67">
        <f t="shared" ca="1" si="2"/>
        <v>0</v>
      </c>
      <c r="BB820" s="66"/>
      <c r="BC820" s="4"/>
      <c r="BD820" s="67"/>
      <c r="BE820" s="67"/>
      <c r="BF820" s="68"/>
      <c r="BG820" s="69"/>
      <c r="BH820" s="70"/>
      <c r="BI820" s="70"/>
      <c r="BJ820" s="73"/>
      <c r="BK820" s="78"/>
      <c r="BL820" s="78">
        <f t="shared" ca="1" si="3"/>
        <v>0</v>
      </c>
      <c r="BM820" s="78"/>
      <c r="BN820" s="78">
        <f t="shared" ca="1" si="4"/>
        <v>0</v>
      </c>
      <c r="BO820" s="66"/>
      <c r="BP820" s="66"/>
    </row>
    <row r="821" spans="1:68" ht="13.2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>
        <f t="shared" ref="AP821:AQ821" si="814">AR821+AT821+AV821</f>
        <v>0</v>
      </c>
      <c r="AQ821" s="75">
        <f t="shared" si="814"/>
        <v>0</v>
      </c>
      <c r="AR821" s="75"/>
      <c r="AS821" s="75"/>
      <c r="AT821" s="75"/>
      <c r="AU821" s="75"/>
      <c r="AV821" s="75"/>
      <c r="AW821" s="75"/>
      <c r="AX821" s="75"/>
      <c r="AY821" s="67">
        <f t="shared" ca="1" si="1"/>
        <v>0</v>
      </c>
      <c r="AZ821" s="75"/>
      <c r="BA821" s="67">
        <f t="shared" ca="1" si="2"/>
        <v>0</v>
      </c>
      <c r="BB821" s="66"/>
      <c r="BC821" s="4"/>
      <c r="BD821" s="67"/>
      <c r="BE821" s="67"/>
      <c r="BF821" s="68"/>
      <c r="BG821" s="69"/>
      <c r="BH821" s="84"/>
      <c r="BI821" s="70"/>
      <c r="BJ821" s="73"/>
      <c r="BK821" s="78"/>
      <c r="BL821" s="78">
        <f t="shared" ca="1" si="3"/>
        <v>0</v>
      </c>
      <c r="BM821" s="78"/>
      <c r="BN821" s="78">
        <f t="shared" ca="1" si="4"/>
        <v>0</v>
      </c>
      <c r="BO821" s="66"/>
      <c r="BP821" s="66"/>
    </row>
    <row r="822" spans="1:68" ht="13.2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>
        <f t="shared" ref="AP822:AQ822" si="815">AR822+AT822+AV822</f>
        <v>0</v>
      </c>
      <c r="AQ822" s="75">
        <f t="shared" si="815"/>
        <v>0</v>
      </c>
      <c r="AR822" s="75"/>
      <c r="AS822" s="75"/>
      <c r="AT822" s="75"/>
      <c r="AU822" s="75"/>
      <c r="AV822" s="75"/>
      <c r="AW822" s="75"/>
      <c r="AX822" s="75"/>
      <c r="AY822" s="67">
        <f t="shared" ca="1" si="1"/>
        <v>0</v>
      </c>
      <c r="AZ822" s="75"/>
      <c r="BA822" s="67">
        <f t="shared" ca="1" si="2"/>
        <v>0</v>
      </c>
      <c r="BB822" s="66"/>
      <c r="BC822" s="4"/>
      <c r="BD822" s="67"/>
      <c r="BE822" s="67"/>
      <c r="BF822" s="68"/>
      <c r="BG822" s="69"/>
      <c r="BH822" s="70"/>
      <c r="BI822" s="70"/>
      <c r="BJ822" s="73"/>
      <c r="BK822" s="78"/>
      <c r="BL822" s="78">
        <f t="shared" ca="1" si="3"/>
        <v>0</v>
      </c>
      <c r="BM822" s="78"/>
      <c r="BN822" s="78">
        <f t="shared" ca="1" si="4"/>
        <v>0</v>
      </c>
      <c r="BO822" s="66"/>
      <c r="BP822" s="66"/>
    </row>
    <row r="823" spans="1:68" ht="13.2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>
        <f t="shared" ref="AP823:AQ823" si="816">AR823+AT823+AV823</f>
        <v>0</v>
      </c>
      <c r="AQ823" s="75">
        <f t="shared" si="816"/>
        <v>0</v>
      </c>
      <c r="AR823" s="75"/>
      <c r="AS823" s="75"/>
      <c r="AT823" s="75"/>
      <c r="AU823" s="75"/>
      <c r="AV823" s="75"/>
      <c r="AW823" s="75"/>
      <c r="AX823" s="75"/>
      <c r="AY823" s="67">
        <f t="shared" ca="1" si="1"/>
        <v>0</v>
      </c>
      <c r="AZ823" s="75"/>
      <c r="BA823" s="67">
        <f t="shared" ca="1" si="2"/>
        <v>0</v>
      </c>
      <c r="BB823" s="66"/>
      <c r="BC823" s="4"/>
      <c r="BD823" s="67"/>
      <c r="BE823" s="67"/>
      <c r="BF823" s="68"/>
      <c r="BG823" s="69"/>
      <c r="BH823" s="70"/>
      <c r="BI823" s="70"/>
      <c r="BJ823" s="73"/>
      <c r="BK823" s="78"/>
      <c r="BL823" s="78">
        <f t="shared" ca="1" si="3"/>
        <v>0</v>
      </c>
      <c r="BM823" s="78"/>
      <c r="BN823" s="78">
        <f t="shared" ca="1" si="4"/>
        <v>0</v>
      </c>
      <c r="BO823" s="66"/>
      <c r="BP823" s="66"/>
    </row>
    <row r="824" spans="1:68" ht="13.2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>
        <f t="shared" ref="AP824:AQ824" si="817">AR824+AT824+AV824</f>
        <v>0</v>
      </c>
      <c r="AQ824" s="75">
        <f t="shared" si="817"/>
        <v>0</v>
      </c>
      <c r="AR824" s="75"/>
      <c r="AS824" s="75"/>
      <c r="AT824" s="75"/>
      <c r="AU824" s="75"/>
      <c r="AV824" s="75"/>
      <c r="AW824" s="75"/>
      <c r="AX824" s="75"/>
      <c r="AY824" s="67">
        <f t="shared" ca="1" si="1"/>
        <v>0</v>
      </c>
      <c r="AZ824" s="75"/>
      <c r="BA824" s="67">
        <f t="shared" ca="1" si="2"/>
        <v>0</v>
      </c>
      <c r="BB824" s="66"/>
      <c r="BC824" s="4"/>
      <c r="BD824" s="67"/>
      <c r="BE824" s="67"/>
      <c r="BF824" s="68"/>
      <c r="BG824" s="69"/>
      <c r="BH824" s="84"/>
      <c r="BI824" s="70"/>
      <c r="BJ824" s="73"/>
      <c r="BK824" s="78"/>
      <c r="BL824" s="78">
        <f t="shared" ca="1" si="3"/>
        <v>0</v>
      </c>
      <c r="BM824" s="78"/>
      <c r="BN824" s="78">
        <f t="shared" ca="1" si="4"/>
        <v>0</v>
      </c>
      <c r="BO824" s="66"/>
      <c r="BP824" s="66"/>
    </row>
    <row r="825" spans="1:68" ht="13.2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>
        <f t="shared" ref="AP825:AQ825" si="818">AR825+AT825+AV825</f>
        <v>0</v>
      </c>
      <c r="AQ825" s="75">
        <f t="shared" si="818"/>
        <v>0</v>
      </c>
      <c r="AR825" s="75"/>
      <c r="AS825" s="75"/>
      <c r="AT825" s="75"/>
      <c r="AU825" s="75"/>
      <c r="AV825" s="75"/>
      <c r="AW825" s="75"/>
      <c r="AX825" s="75"/>
      <c r="AY825" s="67">
        <f t="shared" ca="1" si="1"/>
        <v>0</v>
      </c>
      <c r="AZ825" s="75"/>
      <c r="BA825" s="67">
        <f t="shared" ca="1" si="2"/>
        <v>0</v>
      </c>
      <c r="BB825" s="66"/>
      <c r="BC825" s="4"/>
      <c r="BD825" s="67"/>
      <c r="BE825" s="67"/>
      <c r="BF825" s="68"/>
      <c r="BG825" s="69"/>
      <c r="BH825" s="84"/>
      <c r="BI825" s="70"/>
      <c r="BJ825" s="73"/>
      <c r="BK825" s="78"/>
      <c r="BL825" s="78">
        <f t="shared" ca="1" si="3"/>
        <v>0</v>
      </c>
      <c r="BM825" s="78"/>
      <c r="BN825" s="78">
        <f t="shared" ca="1" si="4"/>
        <v>0</v>
      </c>
      <c r="BO825" s="66"/>
      <c r="BP825" s="66"/>
    </row>
    <row r="826" spans="1:68" ht="13.2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>
        <f t="shared" ref="AP826:AQ826" si="819">AR826+AT826+AV826</f>
        <v>0</v>
      </c>
      <c r="AQ826" s="75">
        <f t="shared" si="819"/>
        <v>0</v>
      </c>
      <c r="AR826" s="75"/>
      <c r="AS826" s="75"/>
      <c r="AT826" s="75"/>
      <c r="AU826" s="75"/>
      <c r="AV826" s="75"/>
      <c r="AW826" s="75"/>
      <c r="AX826" s="75"/>
      <c r="AY826" s="67">
        <f t="shared" ca="1" si="1"/>
        <v>0</v>
      </c>
      <c r="AZ826" s="75"/>
      <c r="BA826" s="67">
        <f t="shared" ca="1" si="2"/>
        <v>0</v>
      </c>
      <c r="BB826" s="66"/>
      <c r="BC826" s="4"/>
      <c r="BD826" s="67"/>
      <c r="BE826" s="67"/>
      <c r="BF826" s="68"/>
      <c r="BG826" s="69"/>
      <c r="BH826" s="84"/>
      <c r="BI826" s="70"/>
      <c r="BJ826" s="73"/>
      <c r="BK826" s="78"/>
      <c r="BL826" s="78">
        <f t="shared" ca="1" si="3"/>
        <v>0</v>
      </c>
      <c r="BM826" s="78"/>
      <c r="BN826" s="78">
        <f t="shared" ca="1" si="4"/>
        <v>0</v>
      </c>
      <c r="BO826" s="66"/>
      <c r="BP826" s="66"/>
    </row>
    <row r="827" spans="1:68" ht="13.2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>
        <f t="shared" ref="AP827:AQ827" si="820">AR827+AT827+AV827</f>
        <v>0</v>
      </c>
      <c r="AQ827" s="75">
        <f t="shared" si="820"/>
        <v>0</v>
      </c>
      <c r="AR827" s="75"/>
      <c r="AS827" s="75"/>
      <c r="AT827" s="75"/>
      <c r="AU827" s="75"/>
      <c r="AV827" s="75"/>
      <c r="AW827" s="75"/>
      <c r="AX827" s="75"/>
      <c r="AY827" s="67">
        <f t="shared" ca="1" si="1"/>
        <v>0</v>
      </c>
      <c r="AZ827" s="75"/>
      <c r="BA827" s="67">
        <f t="shared" ca="1" si="2"/>
        <v>0</v>
      </c>
      <c r="BB827" s="66"/>
      <c r="BC827" s="4"/>
      <c r="BD827" s="67"/>
      <c r="BE827" s="67"/>
      <c r="BF827" s="68"/>
      <c r="BG827" s="69"/>
      <c r="BH827" s="84"/>
      <c r="BI827" s="70"/>
      <c r="BJ827" s="73"/>
      <c r="BK827" s="78"/>
      <c r="BL827" s="78">
        <f t="shared" ca="1" si="3"/>
        <v>0</v>
      </c>
      <c r="BM827" s="78"/>
      <c r="BN827" s="78">
        <f t="shared" ca="1" si="4"/>
        <v>0</v>
      </c>
      <c r="BO827" s="66"/>
      <c r="BP827" s="66"/>
    </row>
    <row r="828" spans="1:68" ht="13.2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>
        <f t="shared" ref="AP828:AQ828" si="821">AR828+AT828+AV828</f>
        <v>0</v>
      </c>
      <c r="AQ828" s="75">
        <f t="shared" si="821"/>
        <v>0</v>
      </c>
      <c r="AR828" s="75"/>
      <c r="AS828" s="75"/>
      <c r="AT828" s="75"/>
      <c r="AU828" s="75"/>
      <c r="AV828" s="75"/>
      <c r="AW828" s="75"/>
      <c r="AX828" s="75"/>
      <c r="AY828" s="67">
        <f t="shared" ca="1" si="1"/>
        <v>0</v>
      </c>
      <c r="AZ828" s="75"/>
      <c r="BA828" s="67">
        <f t="shared" ca="1" si="2"/>
        <v>0</v>
      </c>
      <c r="BB828" s="66"/>
      <c r="BC828" s="4"/>
      <c r="BD828" s="67"/>
      <c r="BE828" s="67"/>
      <c r="BF828" s="68"/>
      <c r="BG828" s="69"/>
      <c r="BH828" s="84"/>
      <c r="BI828" s="70"/>
      <c r="BJ828" s="73"/>
      <c r="BK828" s="78"/>
      <c r="BL828" s="78">
        <f t="shared" ca="1" si="3"/>
        <v>0</v>
      </c>
      <c r="BM828" s="78"/>
      <c r="BN828" s="78">
        <f t="shared" ca="1" si="4"/>
        <v>0</v>
      </c>
      <c r="BO828" s="66"/>
      <c r="BP828" s="66"/>
    </row>
    <row r="829" spans="1:68" ht="13.2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>
        <f t="shared" ref="AP829:AQ829" si="822">AR829+AT829+AV829</f>
        <v>0</v>
      </c>
      <c r="AQ829" s="75">
        <f t="shared" si="822"/>
        <v>0</v>
      </c>
      <c r="AR829" s="75"/>
      <c r="AS829" s="75"/>
      <c r="AT829" s="75"/>
      <c r="AU829" s="75"/>
      <c r="AV829" s="75"/>
      <c r="AW829" s="75"/>
      <c r="AX829" s="75"/>
      <c r="AY829" s="67">
        <f t="shared" ca="1" si="1"/>
        <v>0</v>
      </c>
      <c r="AZ829" s="75"/>
      <c r="BA829" s="67">
        <f t="shared" ca="1" si="2"/>
        <v>0</v>
      </c>
      <c r="BB829" s="66"/>
      <c r="BC829" s="4"/>
      <c r="BD829" s="67"/>
      <c r="BE829" s="67"/>
      <c r="BF829" s="68"/>
      <c r="BG829" s="69"/>
      <c r="BH829" s="84"/>
      <c r="BI829" s="70"/>
      <c r="BJ829" s="73"/>
      <c r="BK829" s="78"/>
      <c r="BL829" s="78">
        <f t="shared" ca="1" si="3"/>
        <v>0</v>
      </c>
      <c r="BM829" s="78"/>
      <c r="BN829" s="78">
        <f t="shared" ca="1" si="4"/>
        <v>0</v>
      </c>
      <c r="BO829" s="66"/>
      <c r="BP829" s="66"/>
    </row>
    <row r="830" spans="1:68" ht="13.2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>
        <f t="shared" ref="AP830:AQ830" si="823">AR830+AT830+AV830</f>
        <v>0</v>
      </c>
      <c r="AQ830" s="75">
        <f t="shared" si="823"/>
        <v>0</v>
      </c>
      <c r="AR830" s="75"/>
      <c r="AS830" s="75"/>
      <c r="AT830" s="75"/>
      <c r="AU830" s="75"/>
      <c r="AV830" s="75"/>
      <c r="AW830" s="75"/>
      <c r="AX830" s="75"/>
      <c r="AY830" s="67">
        <f t="shared" ca="1" si="1"/>
        <v>0</v>
      </c>
      <c r="AZ830" s="75"/>
      <c r="BA830" s="67">
        <f t="shared" ca="1" si="2"/>
        <v>0</v>
      </c>
      <c r="BB830" s="66"/>
      <c r="BC830" s="4"/>
      <c r="BD830" s="67"/>
      <c r="BE830" s="67"/>
      <c r="BF830" s="68"/>
      <c r="BG830" s="69"/>
      <c r="BH830" s="84"/>
      <c r="BI830" s="70"/>
      <c r="BJ830" s="73"/>
      <c r="BK830" s="78"/>
      <c r="BL830" s="78">
        <f t="shared" ca="1" si="3"/>
        <v>0</v>
      </c>
      <c r="BM830" s="78"/>
      <c r="BN830" s="78">
        <f t="shared" ca="1" si="4"/>
        <v>0</v>
      </c>
      <c r="BO830" s="66"/>
      <c r="BP830" s="66"/>
    </row>
    <row r="831" spans="1:68" ht="13.2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>
        <f t="shared" ref="AP831:AQ831" si="824">AR831+AT831+AV831</f>
        <v>0</v>
      </c>
      <c r="AQ831" s="75">
        <f t="shared" si="824"/>
        <v>0</v>
      </c>
      <c r="AR831" s="75"/>
      <c r="AS831" s="75"/>
      <c r="AT831" s="75"/>
      <c r="AU831" s="75"/>
      <c r="AV831" s="75"/>
      <c r="AW831" s="75"/>
      <c r="AX831" s="75"/>
      <c r="AY831" s="67">
        <f t="shared" ca="1" si="1"/>
        <v>0</v>
      </c>
      <c r="AZ831" s="75"/>
      <c r="BA831" s="67">
        <f t="shared" ca="1" si="2"/>
        <v>0</v>
      </c>
      <c r="BB831" s="66"/>
      <c r="BC831" s="4"/>
      <c r="BD831" s="67"/>
      <c r="BE831" s="67"/>
      <c r="BF831" s="68"/>
      <c r="BG831" s="69"/>
      <c r="BH831" s="84"/>
      <c r="BI831" s="70"/>
      <c r="BJ831" s="73"/>
      <c r="BK831" s="78"/>
      <c r="BL831" s="78">
        <f t="shared" ca="1" si="3"/>
        <v>0</v>
      </c>
      <c r="BM831" s="78"/>
      <c r="BN831" s="78">
        <f t="shared" ca="1" si="4"/>
        <v>0</v>
      </c>
      <c r="BO831" s="66"/>
      <c r="BP831" s="66"/>
    </row>
    <row r="832" spans="1:68" ht="13.2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>
        <f t="shared" ref="AP832:AQ832" si="825">AR832+AT832+AV832</f>
        <v>0</v>
      </c>
      <c r="AQ832" s="75">
        <f t="shared" si="825"/>
        <v>0</v>
      </c>
      <c r="AR832" s="75"/>
      <c r="AS832" s="75"/>
      <c r="AT832" s="75"/>
      <c r="AU832" s="75"/>
      <c r="AV832" s="75"/>
      <c r="AW832" s="75"/>
      <c r="AX832" s="75"/>
      <c r="AY832" s="67">
        <f t="shared" ca="1" si="1"/>
        <v>0</v>
      </c>
      <c r="AZ832" s="75"/>
      <c r="BA832" s="67">
        <f t="shared" ca="1" si="2"/>
        <v>0</v>
      </c>
      <c r="BB832" s="66"/>
      <c r="BC832" s="4"/>
      <c r="BD832" s="67"/>
      <c r="BE832" s="67"/>
      <c r="BF832" s="68"/>
      <c r="BG832" s="69"/>
      <c r="BH832" s="84"/>
      <c r="BI832" s="70"/>
      <c r="BJ832" s="73"/>
      <c r="BK832" s="78"/>
      <c r="BL832" s="78">
        <f t="shared" ca="1" si="3"/>
        <v>0</v>
      </c>
      <c r="BM832" s="78"/>
      <c r="BN832" s="78">
        <f t="shared" ca="1" si="4"/>
        <v>0</v>
      </c>
      <c r="BO832" s="66"/>
      <c r="BP832" s="66"/>
    </row>
    <row r="833" spans="1:68" ht="13.2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>
        <f t="shared" ref="AP833:AQ833" si="826">AR833+AT833+AV833</f>
        <v>0</v>
      </c>
      <c r="AQ833" s="75">
        <f t="shared" si="826"/>
        <v>0</v>
      </c>
      <c r="AR833" s="75"/>
      <c r="AS833" s="75"/>
      <c r="AT833" s="75"/>
      <c r="AU833" s="75"/>
      <c r="AV833" s="75"/>
      <c r="AW833" s="75"/>
      <c r="AX833" s="75"/>
      <c r="AY833" s="67">
        <f t="shared" ca="1" si="1"/>
        <v>0</v>
      </c>
      <c r="AZ833" s="75"/>
      <c r="BA833" s="67">
        <f t="shared" ca="1" si="2"/>
        <v>0</v>
      </c>
      <c r="BB833" s="66"/>
      <c r="BC833" s="4"/>
      <c r="BD833" s="67"/>
      <c r="BE833" s="67"/>
      <c r="BF833" s="68"/>
      <c r="BG833" s="69"/>
      <c r="BH833" s="84"/>
      <c r="BI833" s="70"/>
      <c r="BJ833" s="73"/>
      <c r="BK833" s="78"/>
      <c r="BL833" s="78">
        <f t="shared" ca="1" si="3"/>
        <v>0</v>
      </c>
      <c r="BM833" s="78"/>
      <c r="BN833" s="78">
        <f t="shared" ca="1" si="4"/>
        <v>0</v>
      </c>
      <c r="BO833" s="66"/>
      <c r="BP833" s="66"/>
    </row>
    <row r="834" spans="1:68" ht="13.2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>
        <f t="shared" ref="AP834:AQ834" si="827">AR834+AT834+AV834</f>
        <v>0</v>
      </c>
      <c r="AQ834" s="75">
        <f t="shared" si="827"/>
        <v>0</v>
      </c>
      <c r="AR834" s="75"/>
      <c r="AS834" s="75"/>
      <c r="AT834" s="75"/>
      <c r="AU834" s="75"/>
      <c r="AV834" s="75"/>
      <c r="AW834" s="75"/>
      <c r="AX834" s="75"/>
      <c r="AY834" s="67">
        <f t="shared" ca="1" si="1"/>
        <v>0</v>
      </c>
      <c r="AZ834" s="75"/>
      <c r="BA834" s="67">
        <f t="shared" ca="1" si="2"/>
        <v>0</v>
      </c>
      <c r="BB834" s="66"/>
      <c r="BC834" s="4"/>
      <c r="BD834" s="67"/>
      <c r="BE834" s="67"/>
      <c r="BF834" s="68"/>
      <c r="BG834" s="69"/>
      <c r="BH834" s="84"/>
      <c r="BI834" s="70"/>
      <c r="BJ834" s="73"/>
      <c r="BK834" s="78"/>
      <c r="BL834" s="78">
        <f t="shared" ca="1" si="3"/>
        <v>0</v>
      </c>
      <c r="BM834" s="78"/>
      <c r="BN834" s="78">
        <f t="shared" ca="1" si="4"/>
        <v>0</v>
      </c>
      <c r="BO834" s="66"/>
      <c r="BP834" s="66"/>
    </row>
    <row r="835" spans="1:68" ht="13.2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>
        <f t="shared" ref="AP835:AQ835" si="828">AR835+AT835+AV835</f>
        <v>0</v>
      </c>
      <c r="AQ835" s="75">
        <f t="shared" si="828"/>
        <v>0</v>
      </c>
      <c r="AR835" s="75"/>
      <c r="AS835" s="75"/>
      <c r="AT835" s="75"/>
      <c r="AU835" s="75"/>
      <c r="AV835" s="75"/>
      <c r="AW835" s="75"/>
      <c r="AX835" s="75"/>
      <c r="AY835" s="67">
        <f t="shared" ca="1" si="1"/>
        <v>0</v>
      </c>
      <c r="AZ835" s="75"/>
      <c r="BA835" s="67">
        <f t="shared" ca="1" si="2"/>
        <v>0</v>
      </c>
      <c r="BB835" s="66"/>
      <c r="BC835" s="4"/>
      <c r="BD835" s="67"/>
      <c r="BE835" s="67"/>
      <c r="BF835" s="68"/>
      <c r="BG835" s="69"/>
      <c r="BH835" s="84"/>
      <c r="BI835" s="70"/>
      <c r="BJ835" s="73"/>
      <c r="BK835" s="78"/>
      <c r="BL835" s="78">
        <f t="shared" ca="1" si="3"/>
        <v>0</v>
      </c>
      <c r="BM835" s="78"/>
      <c r="BN835" s="78">
        <f t="shared" ca="1" si="4"/>
        <v>0</v>
      </c>
      <c r="BO835" s="66"/>
      <c r="BP835" s="66"/>
    </row>
    <row r="836" spans="1:68" ht="13.2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>
        <f t="shared" ref="AP836:AQ836" si="829">AR836+AT836+AV836</f>
        <v>0</v>
      </c>
      <c r="AQ836" s="75">
        <f t="shared" si="829"/>
        <v>0</v>
      </c>
      <c r="AR836" s="75"/>
      <c r="AS836" s="75"/>
      <c r="AT836" s="75"/>
      <c r="AU836" s="75"/>
      <c r="AV836" s="75"/>
      <c r="AW836" s="75"/>
      <c r="AX836" s="75"/>
      <c r="AY836" s="67">
        <f t="shared" ca="1" si="1"/>
        <v>0</v>
      </c>
      <c r="AZ836" s="75"/>
      <c r="BA836" s="67">
        <f t="shared" ca="1" si="2"/>
        <v>0</v>
      </c>
      <c r="BB836" s="66"/>
      <c r="BC836" s="4"/>
      <c r="BD836" s="67"/>
      <c r="BE836" s="67"/>
      <c r="BF836" s="68"/>
      <c r="BG836" s="69"/>
      <c r="BH836" s="84"/>
      <c r="BI836" s="70"/>
      <c r="BJ836" s="73"/>
      <c r="BK836" s="78"/>
      <c r="BL836" s="78">
        <f t="shared" ca="1" si="3"/>
        <v>0</v>
      </c>
      <c r="BM836" s="78"/>
      <c r="BN836" s="78">
        <f t="shared" ca="1" si="4"/>
        <v>0</v>
      </c>
      <c r="BO836" s="66"/>
      <c r="BP836" s="66"/>
    </row>
    <row r="837" spans="1:68" ht="13.2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>
        <f t="shared" ref="AP837:AQ837" si="830">AR837+AT837+AV837</f>
        <v>0</v>
      </c>
      <c r="AQ837" s="75">
        <f t="shared" si="830"/>
        <v>0</v>
      </c>
      <c r="AR837" s="75"/>
      <c r="AS837" s="75"/>
      <c r="AT837" s="75"/>
      <c r="AU837" s="75"/>
      <c r="AV837" s="75"/>
      <c r="AW837" s="75"/>
      <c r="AX837" s="75"/>
      <c r="AY837" s="67">
        <f t="shared" ca="1" si="1"/>
        <v>0</v>
      </c>
      <c r="AZ837" s="75"/>
      <c r="BA837" s="67">
        <f t="shared" ca="1" si="2"/>
        <v>0</v>
      </c>
      <c r="BB837" s="66"/>
      <c r="BC837" s="4"/>
      <c r="BD837" s="67"/>
      <c r="BE837" s="67"/>
      <c r="BF837" s="68"/>
      <c r="BG837" s="69"/>
      <c r="BH837" s="84"/>
      <c r="BI837" s="70"/>
      <c r="BJ837" s="73"/>
      <c r="BK837" s="78"/>
      <c r="BL837" s="78">
        <f t="shared" ca="1" si="3"/>
        <v>0</v>
      </c>
      <c r="BM837" s="78"/>
      <c r="BN837" s="78">
        <f t="shared" ca="1" si="4"/>
        <v>0</v>
      </c>
      <c r="BO837" s="66"/>
      <c r="BP837" s="66"/>
    </row>
    <row r="838" spans="1:68" ht="13.2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>
        <f t="shared" ref="AP838:AQ838" si="831">AR838+AT838+AV838</f>
        <v>0</v>
      </c>
      <c r="AQ838" s="75">
        <f t="shared" si="831"/>
        <v>0</v>
      </c>
      <c r="AR838" s="75"/>
      <c r="AS838" s="75"/>
      <c r="AT838" s="75"/>
      <c r="AU838" s="75"/>
      <c r="AV838" s="75"/>
      <c r="AW838" s="75"/>
      <c r="AX838" s="75"/>
      <c r="AY838" s="67">
        <f t="shared" ca="1" si="1"/>
        <v>0</v>
      </c>
      <c r="AZ838" s="75"/>
      <c r="BA838" s="67">
        <f t="shared" ca="1" si="2"/>
        <v>0</v>
      </c>
      <c r="BB838" s="66"/>
      <c r="BC838" s="4"/>
      <c r="BD838" s="67"/>
      <c r="BE838" s="67"/>
      <c r="BF838" s="68"/>
      <c r="BG838" s="69"/>
      <c r="BH838" s="84"/>
      <c r="BI838" s="70"/>
      <c r="BJ838" s="73"/>
      <c r="BK838" s="78"/>
      <c r="BL838" s="78">
        <f t="shared" ca="1" si="3"/>
        <v>0</v>
      </c>
      <c r="BM838" s="78"/>
      <c r="BN838" s="78">
        <f t="shared" ca="1" si="4"/>
        <v>0</v>
      </c>
      <c r="BO838" s="66"/>
      <c r="BP838" s="66"/>
    </row>
    <row r="839" spans="1:68" ht="13.2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>
        <f t="shared" ref="AP839:AQ839" si="832">AR839+AT839+AV839</f>
        <v>0</v>
      </c>
      <c r="AQ839" s="75">
        <f t="shared" si="832"/>
        <v>0</v>
      </c>
      <c r="AR839" s="75"/>
      <c r="AS839" s="75"/>
      <c r="AT839" s="75"/>
      <c r="AU839" s="75"/>
      <c r="AV839" s="75"/>
      <c r="AW839" s="75"/>
      <c r="AX839" s="75"/>
      <c r="AY839" s="67">
        <f t="shared" ca="1" si="1"/>
        <v>0</v>
      </c>
      <c r="AZ839" s="75"/>
      <c r="BA839" s="67">
        <f t="shared" ca="1" si="2"/>
        <v>0</v>
      </c>
      <c r="BB839" s="66"/>
      <c r="BC839" s="4"/>
      <c r="BD839" s="67"/>
      <c r="BE839" s="67"/>
      <c r="BF839" s="68"/>
      <c r="BG839" s="69"/>
      <c r="BH839" s="84"/>
      <c r="BI839" s="70"/>
      <c r="BJ839" s="73"/>
      <c r="BK839" s="78"/>
      <c r="BL839" s="78">
        <f t="shared" ca="1" si="3"/>
        <v>0</v>
      </c>
      <c r="BM839" s="78"/>
      <c r="BN839" s="78">
        <f t="shared" ca="1" si="4"/>
        <v>0</v>
      </c>
      <c r="BO839" s="66"/>
      <c r="BP839" s="66"/>
    </row>
    <row r="840" spans="1:68" ht="13.2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>
        <f t="shared" ref="AP840:AQ840" si="833">AR840+AT840+AV840</f>
        <v>0</v>
      </c>
      <c r="AQ840" s="75">
        <f t="shared" si="833"/>
        <v>0</v>
      </c>
      <c r="AR840" s="75"/>
      <c r="AS840" s="75"/>
      <c r="AT840" s="75"/>
      <c r="AU840" s="75"/>
      <c r="AV840" s="75"/>
      <c r="AW840" s="75"/>
      <c r="AX840" s="75"/>
      <c r="AY840" s="67">
        <f t="shared" ca="1" si="1"/>
        <v>0</v>
      </c>
      <c r="AZ840" s="75"/>
      <c r="BA840" s="67">
        <f t="shared" ca="1" si="2"/>
        <v>0</v>
      </c>
      <c r="BB840" s="66"/>
      <c r="BC840" s="4"/>
      <c r="BD840" s="67"/>
      <c r="BE840" s="67"/>
      <c r="BF840" s="68"/>
      <c r="BG840" s="69"/>
      <c r="BH840" s="84"/>
      <c r="BI840" s="70"/>
      <c r="BJ840" s="73"/>
      <c r="BK840" s="78"/>
      <c r="BL840" s="78">
        <f t="shared" ca="1" si="3"/>
        <v>0</v>
      </c>
      <c r="BM840" s="78"/>
      <c r="BN840" s="78">
        <f t="shared" ca="1" si="4"/>
        <v>0</v>
      </c>
      <c r="BO840" s="66"/>
      <c r="BP840" s="66"/>
    </row>
    <row r="841" spans="1:68" ht="13.2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>
        <f t="shared" ref="AP841:AQ841" si="834">AR841+AT841+AV841</f>
        <v>0</v>
      </c>
      <c r="AQ841" s="75">
        <f t="shared" si="834"/>
        <v>0</v>
      </c>
      <c r="AR841" s="75"/>
      <c r="AS841" s="75"/>
      <c r="AT841" s="75"/>
      <c r="AU841" s="75"/>
      <c r="AV841" s="75"/>
      <c r="AW841" s="75"/>
      <c r="AX841" s="75"/>
      <c r="AY841" s="67">
        <f t="shared" ca="1" si="1"/>
        <v>0</v>
      </c>
      <c r="AZ841" s="75"/>
      <c r="BA841" s="67">
        <f t="shared" ca="1" si="2"/>
        <v>0</v>
      </c>
      <c r="BB841" s="66"/>
      <c r="BC841" s="4"/>
      <c r="BD841" s="67"/>
      <c r="BE841" s="67"/>
      <c r="BF841" s="68"/>
      <c r="BG841" s="69"/>
      <c r="BH841" s="84"/>
      <c r="BI841" s="70"/>
      <c r="BJ841" s="73"/>
      <c r="BK841" s="78"/>
      <c r="BL841" s="78">
        <f t="shared" ca="1" si="3"/>
        <v>0</v>
      </c>
      <c r="BM841" s="78"/>
      <c r="BN841" s="78">
        <f t="shared" ca="1" si="4"/>
        <v>0</v>
      </c>
      <c r="BO841" s="66"/>
      <c r="BP841" s="66"/>
    </row>
    <row r="842" spans="1:68" ht="13.2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>
        <f t="shared" ref="AP842:AQ842" si="835">AR842+AT842+AV842</f>
        <v>0</v>
      </c>
      <c r="AQ842" s="75">
        <f t="shared" si="835"/>
        <v>0</v>
      </c>
      <c r="AR842" s="75"/>
      <c r="AS842" s="75"/>
      <c r="AT842" s="75"/>
      <c r="AU842" s="75"/>
      <c r="AV842" s="75"/>
      <c r="AW842" s="75"/>
      <c r="AX842" s="75"/>
      <c r="AY842" s="67">
        <f t="shared" ca="1" si="1"/>
        <v>0</v>
      </c>
      <c r="AZ842" s="75"/>
      <c r="BA842" s="67">
        <f t="shared" ca="1" si="2"/>
        <v>0</v>
      </c>
      <c r="BB842" s="66"/>
      <c r="BC842" s="4"/>
      <c r="BD842" s="67"/>
      <c r="BE842" s="67"/>
      <c r="BF842" s="68"/>
      <c r="BG842" s="69"/>
      <c r="BH842" s="84"/>
      <c r="BI842" s="70"/>
      <c r="BJ842" s="73"/>
      <c r="BK842" s="78"/>
      <c r="BL842" s="78">
        <f t="shared" ca="1" si="3"/>
        <v>0</v>
      </c>
      <c r="BM842" s="78"/>
      <c r="BN842" s="78">
        <f t="shared" ca="1" si="4"/>
        <v>0</v>
      </c>
      <c r="BO842" s="66"/>
      <c r="BP842" s="66"/>
    </row>
    <row r="843" spans="1:68" ht="13.2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>
        <f t="shared" ref="AP843:AQ843" si="836">AR843+AT843+AV843</f>
        <v>0</v>
      </c>
      <c r="AQ843" s="75">
        <f t="shared" si="836"/>
        <v>0</v>
      </c>
      <c r="AR843" s="75"/>
      <c r="AS843" s="75"/>
      <c r="AT843" s="75"/>
      <c r="AU843" s="75"/>
      <c r="AV843" s="75"/>
      <c r="AW843" s="75"/>
      <c r="AX843" s="75"/>
      <c r="AY843" s="67">
        <f t="shared" ca="1" si="1"/>
        <v>0</v>
      </c>
      <c r="AZ843" s="75"/>
      <c r="BA843" s="67">
        <f t="shared" ca="1" si="2"/>
        <v>0</v>
      </c>
      <c r="BB843" s="66"/>
      <c r="BC843" s="4"/>
      <c r="BD843" s="67"/>
      <c r="BE843" s="67"/>
      <c r="BF843" s="68"/>
      <c r="BG843" s="69"/>
      <c r="BH843" s="84"/>
      <c r="BI843" s="70"/>
      <c r="BJ843" s="73"/>
      <c r="BK843" s="78"/>
      <c r="BL843" s="78">
        <f t="shared" ca="1" si="3"/>
        <v>0</v>
      </c>
      <c r="BM843" s="78"/>
      <c r="BN843" s="78">
        <f t="shared" ca="1" si="4"/>
        <v>0</v>
      </c>
      <c r="BO843" s="66"/>
      <c r="BP843" s="66"/>
    </row>
    <row r="844" spans="1:68" ht="13.2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>
        <f t="shared" ref="AP844:AQ844" si="837">AR844+AT844+AV844</f>
        <v>0</v>
      </c>
      <c r="AQ844" s="75">
        <f t="shared" si="837"/>
        <v>0</v>
      </c>
      <c r="AR844" s="75"/>
      <c r="AS844" s="75"/>
      <c r="AT844" s="75"/>
      <c r="AU844" s="75"/>
      <c r="AV844" s="75"/>
      <c r="AW844" s="75"/>
      <c r="AX844" s="75"/>
      <c r="AY844" s="67">
        <f t="shared" ca="1" si="1"/>
        <v>0</v>
      </c>
      <c r="AZ844" s="75"/>
      <c r="BA844" s="67">
        <f t="shared" ca="1" si="2"/>
        <v>0</v>
      </c>
      <c r="BB844" s="66"/>
      <c r="BC844" s="4"/>
      <c r="BD844" s="67"/>
      <c r="BE844" s="67"/>
      <c r="BF844" s="68"/>
      <c r="BG844" s="69"/>
      <c r="BH844" s="84"/>
      <c r="BI844" s="70"/>
      <c r="BJ844" s="73"/>
      <c r="BK844" s="78"/>
      <c r="BL844" s="78">
        <f t="shared" ca="1" si="3"/>
        <v>0</v>
      </c>
      <c r="BM844" s="78"/>
      <c r="BN844" s="78">
        <f t="shared" ca="1" si="4"/>
        <v>0</v>
      </c>
      <c r="BO844" s="66"/>
      <c r="BP844" s="66"/>
    </row>
    <row r="845" spans="1:68" ht="13.2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>
        <f t="shared" ref="AP845:AQ845" si="838">AR845+AT845+AV845</f>
        <v>0</v>
      </c>
      <c r="AQ845" s="75">
        <f t="shared" si="838"/>
        <v>0</v>
      </c>
      <c r="AR845" s="75"/>
      <c r="AS845" s="75"/>
      <c r="AT845" s="75"/>
      <c r="AU845" s="75"/>
      <c r="AV845" s="75"/>
      <c r="AW845" s="75"/>
      <c r="AX845" s="75"/>
      <c r="AY845" s="67">
        <f t="shared" ca="1" si="1"/>
        <v>0</v>
      </c>
      <c r="AZ845" s="75"/>
      <c r="BA845" s="67">
        <f t="shared" ca="1" si="2"/>
        <v>0</v>
      </c>
      <c r="BB845" s="66"/>
      <c r="BC845" s="4"/>
      <c r="BD845" s="67"/>
      <c r="BE845" s="67"/>
      <c r="BF845" s="68"/>
      <c r="BG845" s="69"/>
      <c r="BH845" s="84"/>
      <c r="BI845" s="70"/>
      <c r="BJ845" s="73"/>
      <c r="BK845" s="78"/>
      <c r="BL845" s="78">
        <f t="shared" ca="1" si="3"/>
        <v>0</v>
      </c>
      <c r="BM845" s="78"/>
      <c r="BN845" s="78">
        <f t="shared" ca="1" si="4"/>
        <v>0</v>
      </c>
      <c r="BO845" s="66"/>
      <c r="BP845" s="66"/>
    </row>
    <row r="846" spans="1:68" ht="13.2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>
        <f t="shared" ref="AP846:AQ846" si="839">AR846+AT846+AV846</f>
        <v>0</v>
      </c>
      <c r="AQ846" s="75">
        <f t="shared" si="839"/>
        <v>0</v>
      </c>
      <c r="AR846" s="75"/>
      <c r="AS846" s="75"/>
      <c r="AT846" s="75"/>
      <c r="AU846" s="75"/>
      <c r="AV846" s="75"/>
      <c r="AW846" s="75"/>
      <c r="AX846" s="75"/>
      <c r="AY846" s="67">
        <f t="shared" ca="1" si="1"/>
        <v>0</v>
      </c>
      <c r="AZ846" s="75"/>
      <c r="BA846" s="67">
        <f t="shared" ca="1" si="2"/>
        <v>0</v>
      </c>
      <c r="BB846" s="66"/>
      <c r="BC846" s="4"/>
      <c r="BD846" s="67"/>
      <c r="BE846" s="67"/>
      <c r="BF846" s="68"/>
      <c r="BG846" s="69"/>
      <c r="BH846" s="84"/>
      <c r="BI846" s="70"/>
      <c r="BJ846" s="73"/>
      <c r="BK846" s="78"/>
      <c r="BL846" s="78">
        <f t="shared" ca="1" si="3"/>
        <v>0</v>
      </c>
      <c r="BM846" s="78"/>
      <c r="BN846" s="78">
        <f t="shared" ca="1" si="4"/>
        <v>0</v>
      </c>
      <c r="BO846" s="66"/>
      <c r="BP846" s="66"/>
    </row>
    <row r="847" spans="1:68" ht="13.2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>
        <f t="shared" ref="AP847:AQ847" si="840">AR847+AT847+AV847</f>
        <v>0</v>
      </c>
      <c r="AQ847" s="75">
        <f t="shared" si="840"/>
        <v>0</v>
      </c>
      <c r="AR847" s="75"/>
      <c r="AS847" s="75"/>
      <c r="AT847" s="75"/>
      <c r="AU847" s="75"/>
      <c r="AV847" s="75"/>
      <c r="AW847" s="75"/>
      <c r="AX847" s="75"/>
      <c r="AY847" s="67">
        <f t="shared" ca="1" si="1"/>
        <v>0</v>
      </c>
      <c r="AZ847" s="75"/>
      <c r="BA847" s="67">
        <f t="shared" ca="1" si="2"/>
        <v>0</v>
      </c>
      <c r="BB847" s="66"/>
      <c r="BC847" s="4"/>
      <c r="BD847" s="67"/>
      <c r="BE847" s="67"/>
      <c r="BF847" s="68"/>
      <c r="BG847" s="69"/>
      <c r="BH847" s="84"/>
      <c r="BI847" s="70"/>
      <c r="BJ847" s="73"/>
      <c r="BK847" s="78"/>
      <c r="BL847" s="78">
        <f t="shared" ca="1" si="3"/>
        <v>0</v>
      </c>
      <c r="BM847" s="78"/>
      <c r="BN847" s="78">
        <f t="shared" ca="1" si="4"/>
        <v>0</v>
      </c>
      <c r="BO847" s="66"/>
      <c r="BP847" s="66"/>
    </row>
    <row r="848" spans="1:68" ht="13.2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>
        <f t="shared" ref="AP848:AQ848" si="841">AR848+AT848+AV848</f>
        <v>0</v>
      </c>
      <c r="AQ848" s="75">
        <f t="shared" si="841"/>
        <v>0</v>
      </c>
      <c r="AR848" s="75"/>
      <c r="AS848" s="75"/>
      <c r="AT848" s="75"/>
      <c r="AU848" s="75"/>
      <c r="AV848" s="75"/>
      <c r="AW848" s="75"/>
      <c r="AX848" s="75"/>
      <c r="AY848" s="67">
        <f t="shared" ca="1" si="1"/>
        <v>0</v>
      </c>
      <c r="AZ848" s="75"/>
      <c r="BA848" s="67">
        <f t="shared" ca="1" si="2"/>
        <v>0</v>
      </c>
      <c r="BB848" s="66"/>
      <c r="BC848" s="4"/>
      <c r="BD848" s="67"/>
      <c r="BE848" s="67"/>
      <c r="BF848" s="68"/>
      <c r="BG848" s="69"/>
      <c r="BH848" s="84"/>
      <c r="BI848" s="70"/>
      <c r="BJ848" s="73"/>
      <c r="BK848" s="78"/>
      <c r="BL848" s="78">
        <f t="shared" ca="1" si="3"/>
        <v>0</v>
      </c>
      <c r="BM848" s="78"/>
      <c r="BN848" s="78">
        <f t="shared" ca="1" si="4"/>
        <v>0</v>
      </c>
      <c r="BO848" s="66"/>
      <c r="BP848" s="66"/>
    </row>
    <row r="849" spans="1:68" ht="13.2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>
        <f t="shared" ref="AP849:AQ849" si="842">AR849+AT849+AV849</f>
        <v>0</v>
      </c>
      <c r="AQ849" s="75">
        <f t="shared" si="842"/>
        <v>0</v>
      </c>
      <c r="AR849" s="75"/>
      <c r="AS849" s="75"/>
      <c r="AT849" s="75"/>
      <c r="AU849" s="75"/>
      <c r="AV849" s="75"/>
      <c r="AW849" s="75"/>
      <c r="AX849" s="75"/>
      <c r="AY849" s="67">
        <f t="shared" ca="1" si="1"/>
        <v>0</v>
      </c>
      <c r="AZ849" s="75"/>
      <c r="BA849" s="67">
        <f t="shared" ca="1" si="2"/>
        <v>0</v>
      </c>
      <c r="BB849" s="66"/>
      <c r="BC849" s="4"/>
      <c r="BD849" s="67"/>
      <c r="BE849" s="67"/>
      <c r="BF849" s="68"/>
      <c r="BG849" s="69"/>
      <c r="BH849" s="84"/>
      <c r="BI849" s="70"/>
      <c r="BJ849" s="73"/>
      <c r="BK849" s="78"/>
      <c r="BL849" s="78">
        <f t="shared" ca="1" si="3"/>
        <v>0</v>
      </c>
      <c r="BM849" s="78"/>
      <c r="BN849" s="78">
        <f t="shared" ca="1" si="4"/>
        <v>0</v>
      </c>
      <c r="BO849" s="66"/>
      <c r="BP849" s="66"/>
    </row>
    <row r="850" spans="1:68" ht="13.2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>
        <f t="shared" ref="AP850:AQ850" si="843">AR850+AT850+AV850</f>
        <v>0</v>
      </c>
      <c r="AQ850" s="75">
        <f t="shared" si="843"/>
        <v>0</v>
      </c>
      <c r="AR850" s="75"/>
      <c r="AS850" s="75"/>
      <c r="AT850" s="75"/>
      <c r="AU850" s="75"/>
      <c r="AV850" s="75"/>
      <c r="AW850" s="75"/>
      <c r="AX850" s="75"/>
      <c r="AY850" s="67">
        <f t="shared" ca="1" si="1"/>
        <v>0</v>
      </c>
      <c r="AZ850" s="75"/>
      <c r="BA850" s="67">
        <f t="shared" ca="1" si="2"/>
        <v>0</v>
      </c>
      <c r="BB850" s="66"/>
      <c r="BC850" s="4"/>
      <c r="BD850" s="67"/>
      <c r="BE850" s="67"/>
      <c r="BF850" s="68"/>
      <c r="BG850" s="69"/>
      <c r="BH850" s="84"/>
      <c r="BI850" s="70"/>
      <c r="BJ850" s="73"/>
      <c r="BK850" s="78"/>
      <c r="BL850" s="78">
        <f t="shared" ca="1" si="3"/>
        <v>0</v>
      </c>
      <c r="BM850" s="78"/>
      <c r="BN850" s="78">
        <f t="shared" ca="1" si="4"/>
        <v>0</v>
      </c>
      <c r="BO850" s="66"/>
      <c r="BP850" s="66"/>
    </row>
    <row r="851" spans="1:68" ht="13.2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>
        <f t="shared" ref="AP851:AQ851" si="844">AR851+AT851+AV851</f>
        <v>0</v>
      </c>
      <c r="AQ851" s="75">
        <f t="shared" si="844"/>
        <v>0</v>
      </c>
      <c r="AR851" s="75"/>
      <c r="AS851" s="75"/>
      <c r="AT851" s="75"/>
      <c r="AU851" s="75"/>
      <c r="AV851" s="75"/>
      <c r="AW851" s="75"/>
      <c r="AX851" s="75"/>
      <c r="AY851" s="67">
        <f t="shared" ca="1" si="1"/>
        <v>0</v>
      </c>
      <c r="AZ851" s="75"/>
      <c r="BA851" s="67">
        <f t="shared" ca="1" si="2"/>
        <v>0</v>
      </c>
      <c r="BB851" s="66"/>
      <c r="BC851" s="4"/>
      <c r="BD851" s="67"/>
      <c r="BE851" s="67"/>
      <c r="BF851" s="68"/>
      <c r="BG851" s="69"/>
      <c r="BH851" s="84"/>
      <c r="BI851" s="70"/>
      <c r="BJ851" s="73"/>
      <c r="BK851" s="78"/>
      <c r="BL851" s="78">
        <f t="shared" ca="1" si="3"/>
        <v>0</v>
      </c>
      <c r="BM851" s="78"/>
      <c r="BN851" s="78">
        <f t="shared" ca="1" si="4"/>
        <v>0</v>
      </c>
      <c r="BO851" s="66"/>
      <c r="BP851" s="66"/>
    </row>
    <row r="852" spans="1:68" ht="13.2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>
        <f t="shared" ref="AP852:AQ852" si="845">AR852+AT852+AV852</f>
        <v>0</v>
      </c>
      <c r="AQ852" s="75">
        <f t="shared" si="845"/>
        <v>0</v>
      </c>
      <c r="AR852" s="75"/>
      <c r="AS852" s="75"/>
      <c r="AT852" s="75"/>
      <c r="AU852" s="75"/>
      <c r="AV852" s="75"/>
      <c r="AW852" s="75"/>
      <c r="AX852" s="75"/>
      <c r="AY852" s="67">
        <f t="shared" ca="1" si="1"/>
        <v>0</v>
      </c>
      <c r="AZ852" s="75"/>
      <c r="BA852" s="67">
        <f t="shared" ca="1" si="2"/>
        <v>0</v>
      </c>
      <c r="BB852" s="66"/>
      <c r="BC852" s="4"/>
      <c r="BD852" s="67"/>
      <c r="BE852" s="67"/>
      <c r="BF852" s="68"/>
      <c r="BG852" s="69"/>
      <c r="BH852" s="84"/>
      <c r="BI852" s="70"/>
      <c r="BJ852" s="73"/>
      <c r="BK852" s="78"/>
      <c r="BL852" s="78">
        <f t="shared" ca="1" si="3"/>
        <v>0</v>
      </c>
      <c r="BM852" s="78"/>
      <c r="BN852" s="78">
        <f t="shared" ca="1" si="4"/>
        <v>0</v>
      </c>
      <c r="BO852" s="66"/>
      <c r="BP852" s="66"/>
    </row>
    <row r="853" spans="1:68" ht="13.2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>
        <f t="shared" ref="AP853:AQ853" si="846">AR853+AT853+AV853</f>
        <v>0</v>
      </c>
      <c r="AQ853" s="75">
        <f t="shared" si="846"/>
        <v>0</v>
      </c>
      <c r="AR853" s="75"/>
      <c r="AS853" s="75"/>
      <c r="AT853" s="75"/>
      <c r="AU853" s="75"/>
      <c r="AV853" s="75"/>
      <c r="AW853" s="75"/>
      <c r="AX853" s="75"/>
      <c r="AY853" s="67">
        <f t="shared" ca="1" si="1"/>
        <v>0</v>
      </c>
      <c r="AZ853" s="75"/>
      <c r="BA853" s="67">
        <f t="shared" ca="1" si="2"/>
        <v>0</v>
      </c>
      <c r="BB853" s="66"/>
      <c r="BC853" s="4"/>
      <c r="BD853" s="67"/>
      <c r="BE853" s="67"/>
      <c r="BF853" s="68"/>
      <c r="BG853" s="69"/>
      <c r="BH853" s="84"/>
      <c r="BI853" s="70"/>
      <c r="BJ853" s="73"/>
      <c r="BK853" s="78"/>
      <c r="BL853" s="78">
        <f t="shared" ca="1" si="3"/>
        <v>0</v>
      </c>
      <c r="BM853" s="78"/>
      <c r="BN853" s="78">
        <f t="shared" ca="1" si="4"/>
        <v>0</v>
      </c>
      <c r="BO853" s="66"/>
      <c r="BP853" s="66"/>
    </row>
    <row r="854" spans="1:68" ht="13.2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>
        <f t="shared" ref="AP854:AQ854" si="847">AR854+AT854+AV854</f>
        <v>0</v>
      </c>
      <c r="AQ854" s="75">
        <f t="shared" si="847"/>
        <v>0</v>
      </c>
      <c r="AR854" s="75"/>
      <c r="AS854" s="75"/>
      <c r="AT854" s="75"/>
      <c r="AU854" s="75"/>
      <c r="AV854" s="75"/>
      <c r="AW854" s="75"/>
      <c r="AX854" s="75"/>
      <c r="AY854" s="67">
        <f t="shared" ca="1" si="1"/>
        <v>0</v>
      </c>
      <c r="AZ854" s="75"/>
      <c r="BA854" s="67">
        <f t="shared" ca="1" si="2"/>
        <v>0</v>
      </c>
      <c r="BB854" s="66"/>
      <c r="BC854" s="4"/>
      <c r="BD854" s="67"/>
      <c r="BE854" s="67"/>
      <c r="BF854" s="68"/>
      <c r="BG854" s="69"/>
      <c r="BH854" s="84"/>
      <c r="BI854" s="70"/>
      <c r="BJ854" s="73"/>
      <c r="BK854" s="78"/>
      <c r="BL854" s="78">
        <f t="shared" ca="1" si="3"/>
        <v>0</v>
      </c>
      <c r="BM854" s="78"/>
      <c r="BN854" s="78">
        <f t="shared" ca="1" si="4"/>
        <v>0</v>
      </c>
      <c r="BO854" s="66"/>
      <c r="BP854" s="66"/>
    </row>
    <row r="855" spans="1:68" ht="13.2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>
        <f t="shared" ref="AP855:AQ855" si="848">AR855+AT855+AV855</f>
        <v>0</v>
      </c>
      <c r="AQ855" s="75">
        <f t="shared" si="848"/>
        <v>0</v>
      </c>
      <c r="AR855" s="75"/>
      <c r="AS855" s="75"/>
      <c r="AT855" s="75"/>
      <c r="AU855" s="75"/>
      <c r="AV855" s="75"/>
      <c r="AW855" s="75"/>
      <c r="AX855" s="75"/>
      <c r="AY855" s="67">
        <f t="shared" ca="1" si="1"/>
        <v>0</v>
      </c>
      <c r="AZ855" s="75"/>
      <c r="BA855" s="67">
        <f t="shared" ca="1" si="2"/>
        <v>0</v>
      </c>
      <c r="BB855" s="66"/>
      <c r="BC855" s="4"/>
      <c r="BD855" s="67"/>
      <c r="BE855" s="67"/>
      <c r="BF855" s="68"/>
      <c r="BG855" s="69"/>
      <c r="BH855" s="84"/>
      <c r="BI855" s="70"/>
      <c r="BJ855" s="73"/>
      <c r="BK855" s="78"/>
      <c r="BL855" s="78">
        <f t="shared" ca="1" si="3"/>
        <v>0</v>
      </c>
      <c r="BM855" s="78"/>
      <c r="BN855" s="78">
        <f t="shared" ca="1" si="4"/>
        <v>0</v>
      </c>
      <c r="BO855" s="66"/>
      <c r="BP855" s="66"/>
    </row>
    <row r="856" spans="1:68" ht="13.2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>
        <f t="shared" ref="AP856:AQ856" si="849">AR856+AT856+AV856</f>
        <v>0</v>
      </c>
      <c r="AQ856" s="75">
        <f t="shared" si="849"/>
        <v>0</v>
      </c>
      <c r="AR856" s="75"/>
      <c r="AS856" s="75"/>
      <c r="AT856" s="75"/>
      <c r="AU856" s="75"/>
      <c r="AV856" s="75"/>
      <c r="AW856" s="75"/>
      <c r="AX856" s="75"/>
      <c r="AY856" s="67">
        <f t="shared" ca="1" si="1"/>
        <v>0</v>
      </c>
      <c r="AZ856" s="75"/>
      <c r="BA856" s="67">
        <f t="shared" ca="1" si="2"/>
        <v>0</v>
      </c>
      <c r="BB856" s="66"/>
      <c r="BC856" s="4"/>
      <c r="BD856" s="67"/>
      <c r="BE856" s="67"/>
      <c r="BF856" s="68"/>
      <c r="BG856" s="69"/>
      <c r="BH856" s="84"/>
      <c r="BI856" s="70"/>
      <c r="BJ856" s="73"/>
      <c r="BK856" s="78"/>
      <c r="BL856" s="78">
        <f t="shared" ca="1" si="3"/>
        <v>0</v>
      </c>
      <c r="BM856" s="78"/>
      <c r="BN856" s="78">
        <f t="shared" ca="1" si="4"/>
        <v>0</v>
      </c>
      <c r="BO856" s="66"/>
      <c r="BP856" s="66"/>
    </row>
    <row r="857" spans="1:68" ht="13.2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>
        <f t="shared" ref="AP857:AQ857" si="850">AR857+AT857+AV857</f>
        <v>0</v>
      </c>
      <c r="AQ857" s="75">
        <f t="shared" si="850"/>
        <v>0</v>
      </c>
      <c r="AR857" s="75"/>
      <c r="AS857" s="75"/>
      <c r="AT857" s="75"/>
      <c r="AU857" s="75"/>
      <c r="AV857" s="75"/>
      <c r="AW857" s="75"/>
      <c r="AX857" s="75"/>
      <c r="AY857" s="67">
        <f t="shared" ca="1" si="1"/>
        <v>0</v>
      </c>
      <c r="AZ857" s="75"/>
      <c r="BA857" s="67">
        <f t="shared" ca="1" si="2"/>
        <v>0</v>
      </c>
      <c r="BB857" s="66"/>
      <c r="BC857" s="4"/>
      <c r="BD857" s="67"/>
      <c r="BE857" s="67"/>
      <c r="BF857" s="68"/>
      <c r="BG857" s="69"/>
      <c r="BH857" s="84"/>
      <c r="BI857" s="70"/>
      <c r="BJ857" s="73"/>
      <c r="BK857" s="78"/>
      <c r="BL857" s="78">
        <f t="shared" ca="1" si="3"/>
        <v>0</v>
      </c>
      <c r="BM857" s="78"/>
      <c r="BN857" s="78">
        <f t="shared" ca="1" si="4"/>
        <v>0</v>
      </c>
      <c r="BO857" s="66"/>
      <c r="BP857" s="66"/>
    </row>
    <row r="858" spans="1:68" ht="13.2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>
        <f t="shared" ref="AP858:AQ858" si="851">AR858+AT858+AV858</f>
        <v>0</v>
      </c>
      <c r="AQ858" s="75">
        <f t="shared" si="851"/>
        <v>0</v>
      </c>
      <c r="AR858" s="75"/>
      <c r="AS858" s="75"/>
      <c r="AT858" s="75"/>
      <c r="AU858" s="75"/>
      <c r="AV858" s="75"/>
      <c r="AW858" s="75"/>
      <c r="AX858" s="75"/>
      <c r="AY858" s="67">
        <f t="shared" ca="1" si="1"/>
        <v>0</v>
      </c>
      <c r="AZ858" s="75"/>
      <c r="BA858" s="67">
        <f t="shared" ca="1" si="2"/>
        <v>0</v>
      </c>
      <c r="BB858" s="66"/>
      <c r="BC858" s="4"/>
      <c r="BD858" s="67"/>
      <c r="BE858" s="67"/>
      <c r="BF858" s="68"/>
      <c r="BG858" s="69"/>
      <c r="BH858" s="84"/>
      <c r="BI858" s="70"/>
      <c r="BJ858" s="73"/>
      <c r="BK858" s="78"/>
      <c r="BL858" s="78">
        <f t="shared" ca="1" si="3"/>
        <v>0</v>
      </c>
      <c r="BM858" s="78"/>
      <c r="BN858" s="78">
        <f t="shared" ca="1" si="4"/>
        <v>0</v>
      </c>
      <c r="BO858" s="66"/>
      <c r="BP858" s="66"/>
    </row>
    <row r="859" spans="1:68" ht="13.2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>
        <f t="shared" ref="AP859:AQ859" si="852">AR859+AT859+AV859</f>
        <v>0</v>
      </c>
      <c r="AQ859" s="75">
        <f t="shared" si="852"/>
        <v>0</v>
      </c>
      <c r="AR859" s="75"/>
      <c r="AS859" s="75"/>
      <c r="AT859" s="75"/>
      <c r="AU859" s="75"/>
      <c r="AV859" s="75"/>
      <c r="AW859" s="75"/>
      <c r="AX859" s="75"/>
      <c r="AY859" s="67">
        <f t="shared" ca="1" si="1"/>
        <v>0</v>
      </c>
      <c r="AZ859" s="75"/>
      <c r="BA859" s="67">
        <f t="shared" ca="1" si="2"/>
        <v>0</v>
      </c>
      <c r="BB859" s="66"/>
      <c r="BC859" s="4"/>
      <c r="BD859" s="67"/>
      <c r="BE859" s="67"/>
      <c r="BF859" s="68"/>
      <c r="BG859" s="69"/>
      <c r="BH859" s="84"/>
      <c r="BI859" s="70"/>
      <c r="BJ859" s="73"/>
      <c r="BK859" s="78"/>
      <c r="BL859" s="78">
        <f t="shared" ca="1" si="3"/>
        <v>0</v>
      </c>
      <c r="BM859" s="78"/>
      <c r="BN859" s="78">
        <f t="shared" ca="1" si="4"/>
        <v>0</v>
      </c>
      <c r="BO859" s="66"/>
      <c r="BP859" s="66"/>
    </row>
    <row r="860" spans="1:68" ht="13.2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>
        <f t="shared" ref="AP860:AQ860" si="853">AR860+AT860+AV860</f>
        <v>0</v>
      </c>
      <c r="AQ860" s="75">
        <f t="shared" si="853"/>
        <v>0</v>
      </c>
      <c r="AR860" s="75"/>
      <c r="AS860" s="75"/>
      <c r="AT860" s="75"/>
      <c r="AU860" s="75"/>
      <c r="AV860" s="75"/>
      <c r="AW860" s="75"/>
      <c r="AX860" s="75"/>
      <c r="AY860" s="67">
        <f t="shared" ca="1" si="1"/>
        <v>0</v>
      </c>
      <c r="AZ860" s="75"/>
      <c r="BA860" s="67">
        <f t="shared" ca="1" si="2"/>
        <v>0</v>
      </c>
      <c r="BB860" s="66"/>
      <c r="BC860" s="4"/>
      <c r="BD860" s="67"/>
      <c r="BE860" s="67"/>
      <c r="BF860" s="68"/>
      <c r="BG860" s="69"/>
      <c r="BH860" s="84"/>
      <c r="BI860" s="70"/>
      <c r="BJ860" s="73"/>
      <c r="BK860" s="78"/>
      <c r="BL860" s="78">
        <f t="shared" ca="1" si="3"/>
        <v>0</v>
      </c>
      <c r="BM860" s="78"/>
      <c r="BN860" s="78">
        <f t="shared" ca="1" si="4"/>
        <v>0</v>
      </c>
      <c r="BO860" s="66"/>
      <c r="BP860" s="66"/>
    </row>
    <row r="861" spans="1:68" ht="13.2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>
        <f t="shared" ref="AP861:AQ861" si="854">AR861+AT861+AV861</f>
        <v>0</v>
      </c>
      <c r="AQ861" s="75">
        <f t="shared" si="854"/>
        <v>0</v>
      </c>
      <c r="AR861" s="75"/>
      <c r="AS861" s="75"/>
      <c r="AT861" s="75"/>
      <c r="AU861" s="75"/>
      <c r="AV861" s="75"/>
      <c r="AW861" s="75"/>
      <c r="AX861" s="75"/>
      <c r="AY861" s="67">
        <f t="shared" ca="1" si="1"/>
        <v>0</v>
      </c>
      <c r="AZ861" s="75"/>
      <c r="BA861" s="67">
        <f t="shared" ca="1" si="2"/>
        <v>0</v>
      </c>
      <c r="BB861" s="66"/>
      <c r="BC861" s="4"/>
      <c r="BD861" s="67"/>
      <c r="BE861" s="67"/>
      <c r="BF861" s="68"/>
      <c r="BG861" s="69"/>
      <c r="BH861" s="84"/>
      <c r="BI861" s="70"/>
      <c r="BJ861" s="73"/>
      <c r="BK861" s="78"/>
      <c r="BL861" s="78">
        <f t="shared" ca="1" si="3"/>
        <v>0</v>
      </c>
      <c r="BM861" s="78"/>
      <c r="BN861" s="78">
        <f t="shared" ca="1" si="4"/>
        <v>0</v>
      </c>
      <c r="BO861" s="66"/>
      <c r="BP861" s="66"/>
    </row>
    <row r="862" spans="1:68" ht="13.2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>
        <f t="shared" ref="AP862:AQ862" si="855">AR862+AT862+AV862</f>
        <v>0</v>
      </c>
      <c r="AQ862" s="75">
        <f t="shared" si="855"/>
        <v>0</v>
      </c>
      <c r="AR862" s="75"/>
      <c r="AS862" s="75"/>
      <c r="AT862" s="75"/>
      <c r="AU862" s="75"/>
      <c r="AV862" s="75"/>
      <c r="AW862" s="75"/>
      <c r="AX862" s="75"/>
      <c r="AY862" s="67">
        <f t="shared" ca="1" si="1"/>
        <v>0</v>
      </c>
      <c r="AZ862" s="75"/>
      <c r="BA862" s="67">
        <f t="shared" ca="1" si="2"/>
        <v>0</v>
      </c>
      <c r="BB862" s="66"/>
      <c r="BC862" s="4"/>
      <c r="BD862" s="67"/>
      <c r="BE862" s="67"/>
      <c r="BF862" s="68"/>
      <c r="BG862" s="69"/>
      <c r="BH862" s="84"/>
      <c r="BI862" s="70"/>
      <c r="BJ862" s="73"/>
      <c r="BK862" s="78"/>
      <c r="BL862" s="78">
        <f t="shared" ca="1" si="3"/>
        <v>0</v>
      </c>
      <c r="BM862" s="78"/>
      <c r="BN862" s="78">
        <f t="shared" ca="1" si="4"/>
        <v>0</v>
      </c>
      <c r="BO862" s="66"/>
      <c r="BP862" s="66"/>
    </row>
    <row r="863" spans="1:68" ht="13.2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>
        <f t="shared" ref="AP863:AQ863" si="856">AR863+AT863+AV863</f>
        <v>0</v>
      </c>
      <c r="AQ863" s="75">
        <f t="shared" si="856"/>
        <v>0</v>
      </c>
      <c r="AR863" s="75"/>
      <c r="AS863" s="75"/>
      <c r="AT863" s="75"/>
      <c r="AU863" s="75"/>
      <c r="AV863" s="75"/>
      <c r="AW863" s="75"/>
      <c r="AX863" s="75"/>
      <c r="AY863" s="67">
        <f t="shared" ca="1" si="1"/>
        <v>0</v>
      </c>
      <c r="AZ863" s="75"/>
      <c r="BA863" s="67">
        <f t="shared" ca="1" si="2"/>
        <v>0</v>
      </c>
      <c r="BB863" s="66"/>
      <c r="BC863" s="4"/>
      <c r="BD863" s="67"/>
      <c r="BE863" s="67"/>
      <c r="BF863" s="68"/>
      <c r="BG863" s="69"/>
      <c r="BH863" s="84"/>
      <c r="BI863" s="70"/>
      <c r="BJ863" s="73"/>
      <c r="BK863" s="78"/>
      <c r="BL863" s="78">
        <f t="shared" ca="1" si="3"/>
        <v>0</v>
      </c>
      <c r="BM863" s="78"/>
      <c r="BN863" s="78">
        <f t="shared" ca="1" si="4"/>
        <v>0</v>
      </c>
      <c r="BO863" s="66"/>
      <c r="BP863" s="66"/>
    </row>
    <row r="864" spans="1:68" ht="13.2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>
        <f t="shared" ref="AP864:AQ864" si="857">AR864+AT864+AV864</f>
        <v>0</v>
      </c>
      <c r="AQ864" s="75">
        <f t="shared" si="857"/>
        <v>0</v>
      </c>
      <c r="AR864" s="75"/>
      <c r="AS864" s="75"/>
      <c r="AT864" s="75"/>
      <c r="AU864" s="75"/>
      <c r="AV864" s="75"/>
      <c r="AW864" s="75"/>
      <c r="AX864" s="75"/>
      <c r="AY864" s="67">
        <f t="shared" ca="1" si="1"/>
        <v>0</v>
      </c>
      <c r="AZ864" s="75"/>
      <c r="BA864" s="67">
        <f t="shared" ca="1" si="2"/>
        <v>0</v>
      </c>
      <c r="BB864" s="66"/>
      <c r="BC864" s="4"/>
      <c r="BD864" s="67"/>
      <c r="BE864" s="67"/>
      <c r="BF864" s="68"/>
      <c r="BG864" s="69"/>
      <c r="BH864" s="84"/>
      <c r="BI864" s="70"/>
      <c r="BJ864" s="73"/>
      <c r="BK864" s="78"/>
      <c r="BL864" s="78">
        <f t="shared" ca="1" si="3"/>
        <v>0</v>
      </c>
      <c r="BM864" s="78"/>
      <c r="BN864" s="78">
        <f t="shared" ca="1" si="4"/>
        <v>0</v>
      </c>
      <c r="BO864" s="66"/>
      <c r="BP864" s="66"/>
    </row>
    <row r="865" spans="1:68" ht="13.2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>
        <f t="shared" ref="AP865:AQ865" si="858">AR865+AT865+AV865</f>
        <v>0</v>
      </c>
      <c r="AQ865" s="75">
        <f t="shared" si="858"/>
        <v>0</v>
      </c>
      <c r="AR865" s="75"/>
      <c r="AS865" s="75"/>
      <c r="AT865" s="75"/>
      <c r="AU865" s="75"/>
      <c r="AV865" s="75"/>
      <c r="AW865" s="75"/>
      <c r="AX865" s="75"/>
      <c r="AY865" s="67">
        <f t="shared" ca="1" si="1"/>
        <v>0</v>
      </c>
      <c r="AZ865" s="75"/>
      <c r="BA865" s="67">
        <f t="shared" ca="1" si="2"/>
        <v>0</v>
      </c>
      <c r="BB865" s="66"/>
      <c r="BC865" s="4"/>
      <c r="BD865" s="67"/>
      <c r="BE865" s="67"/>
      <c r="BF865" s="68"/>
      <c r="BG865" s="69"/>
      <c r="BH865" s="84"/>
      <c r="BI865" s="70"/>
      <c r="BJ865" s="73"/>
      <c r="BK865" s="78"/>
      <c r="BL865" s="78">
        <f t="shared" ca="1" si="3"/>
        <v>0</v>
      </c>
      <c r="BM865" s="78"/>
      <c r="BN865" s="78">
        <f t="shared" ca="1" si="4"/>
        <v>0</v>
      </c>
      <c r="BO865" s="66"/>
      <c r="BP865" s="66"/>
    </row>
    <row r="866" spans="1:68" ht="13.2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>
        <f t="shared" ref="AP866:AQ866" si="859">AR866+AT866+AV866</f>
        <v>0</v>
      </c>
      <c r="AQ866" s="75">
        <f t="shared" si="859"/>
        <v>0</v>
      </c>
      <c r="AR866" s="75"/>
      <c r="AS866" s="75"/>
      <c r="AT866" s="75"/>
      <c r="AU866" s="75"/>
      <c r="AV866" s="75"/>
      <c r="AW866" s="75"/>
      <c r="AX866" s="75"/>
      <c r="AY866" s="67">
        <f t="shared" ca="1" si="1"/>
        <v>0</v>
      </c>
      <c r="AZ866" s="75"/>
      <c r="BA866" s="67">
        <f t="shared" ca="1" si="2"/>
        <v>0</v>
      </c>
      <c r="BB866" s="66"/>
      <c r="BC866" s="4"/>
      <c r="BD866" s="67"/>
      <c r="BE866" s="67"/>
      <c r="BF866" s="68"/>
      <c r="BG866" s="69"/>
      <c r="BH866" s="84"/>
      <c r="BI866" s="70"/>
      <c r="BJ866" s="73"/>
      <c r="BK866" s="78"/>
      <c r="BL866" s="78">
        <f t="shared" ca="1" si="3"/>
        <v>0</v>
      </c>
      <c r="BM866" s="78"/>
      <c r="BN866" s="78">
        <f t="shared" ca="1" si="4"/>
        <v>0</v>
      </c>
      <c r="BO866" s="66"/>
      <c r="BP866" s="66"/>
    </row>
    <row r="867" spans="1:68" ht="13.2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>
        <f t="shared" ref="AP867:AQ867" si="860">AR867+AT867+AV867</f>
        <v>0</v>
      </c>
      <c r="AQ867" s="75">
        <f t="shared" si="860"/>
        <v>0</v>
      </c>
      <c r="AR867" s="75"/>
      <c r="AS867" s="75"/>
      <c r="AT867" s="75"/>
      <c r="AU867" s="75"/>
      <c r="AV867" s="75"/>
      <c r="AW867" s="75"/>
      <c r="AX867" s="75"/>
      <c r="AY867" s="67">
        <f t="shared" ca="1" si="1"/>
        <v>0</v>
      </c>
      <c r="AZ867" s="75"/>
      <c r="BA867" s="67">
        <f t="shared" ca="1" si="2"/>
        <v>0</v>
      </c>
      <c r="BB867" s="66"/>
      <c r="BC867" s="4"/>
      <c r="BD867" s="67"/>
      <c r="BE867" s="67"/>
      <c r="BF867" s="68"/>
      <c r="BG867" s="69"/>
      <c r="BH867" s="84"/>
      <c r="BI867" s="70"/>
      <c r="BJ867" s="73"/>
      <c r="BK867" s="78"/>
      <c r="BL867" s="78">
        <f t="shared" ca="1" si="3"/>
        <v>0</v>
      </c>
      <c r="BM867" s="78"/>
      <c r="BN867" s="78">
        <f t="shared" ca="1" si="4"/>
        <v>0</v>
      </c>
      <c r="BO867" s="66"/>
      <c r="BP867" s="66"/>
    </row>
    <row r="868" spans="1:68" ht="13.2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>
        <f t="shared" ref="AP868:AQ868" si="861">AR868+AT868+AV868</f>
        <v>0</v>
      </c>
      <c r="AQ868" s="75">
        <f t="shared" si="861"/>
        <v>0</v>
      </c>
      <c r="AR868" s="75"/>
      <c r="AS868" s="75"/>
      <c r="AT868" s="75"/>
      <c r="AU868" s="75"/>
      <c r="AV868" s="75"/>
      <c r="AW868" s="75"/>
      <c r="AX868" s="75"/>
      <c r="AY868" s="67">
        <f t="shared" ca="1" si="1"/>
        <v>0</v>
      </c>
      <c r="AZ868" s="75"/>
      <c r="BA868" s="67">
        <f t="shared" ca="1" si="2"/>
        <v>0</v>
      </c>
      <c r="BB868" s="66"/>
      <c r="BC868" s="4"/>
      <c r="BD868" s="67"/>
      <c r="BE868" s="67"/>
      <c r="BF868" s="68"/>
      <c r="BG868" s="69"/>
      <c r="BH868" s="84"/>
      <c r="BI868" s="70"/>
      <c r="BJ868" s="73"/>
      <c r="BK868" s="78"/>
      <c r="BL868" s="78">
        <f t="shared" ca="1" si="3"/>
        <v>0</v>
      </c>
      <c r="BM868" s="78"/>
      <c r="BN868" s="78">
        <f t="shared" ca="1" si="4"/>
        <v>0</v>
      </c>
      <c r="BO868" s="66"/>
      <c r="BP868" s="66"/>
    </row>
    <row r="869" spans="1:68" ht="13.2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>
        <f t="shared" ref="AP869:AQ869" si="862">AR869+AT869+AV869</f>
        <v>0</v>
      </c>
      <c r="AQ869" s="75">
        <f t="shared" si="862"/>
        <v>0</v>
      </c>
      <c r="AR869" s="75"/>
      <c r="AS869" s="75"/>
      <c r="AT869" s="75"/>
      <c r="AU869" s="75"/>
      <c r="AV869" s="75"/>
      <c r="AW869" s="75"/>
      <c r="AX869" s="75"/>
      <c r="AY869" s="67">
        <f t="shared" ca="1" si="1"/>
        <v>0</v>
      </c>
      <c r="AZ869" s="75"/>
      <c r="BA869" s="67">
        <f t="shared" ca="1" si="2"/>
        <v>0</v>
      </c>
      <c r="BB869" s="66"/>
      <c r="BC869" s="4"/>
      <c r="BD869" s="67"/>
      <c r="BE869" s="67"/>
      <c r="BF869" s="68"/>
      <c r="BG869" s="69"/>
      <c r="BH869" s="84"/>
      <c r="BI869" s="70"/>
      <c r="BJ869" s="73"/>
      <c r="BK869" s="78"/>
      <c r="BL869" s="78">
        <f t="shared" ca="1" si="3"/>
        <v>0</v>
      </c>
      <c r="BM869" s="78"/>
      <c r="BN869" s="78">
        <f t="shared" ca="1" si="4"/>
        <v>0</v>
      </c>
      <c r="BO869" s="66"/>
      <c r="BP869" s="66"/>
    </row>
    <row r="870" spans="1:68" ht="13.2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>
        <f t="shared" ref="AP870:AQ870" si="863">AR870+AT870+AV870</f>
        <v>0</v>
      </c>
      <c r="AQ870" s="75">
        <f t="shared" si="863"/>
        <v>0</v>
      </c>
      <c r="AR870" s="75"/>
      <c r="AS870" s="75"/>
      <c r="AT870" s="75"/>
      <c r="AU870" s="75"/>
      <c r="AV870" s="75"/>
      <c r="AW870" s="75"/>
      <c r="AX870" s="75"/>
      <c r="AY870" s="67">
        <f t="shared" ca="1" si="1"/>
        <v>0</v>
      </c>
      <c r="AZ870" s="75"/>
      <c r="BA870" s="67">
        <f t="shared" ca="1" si="2"/>
        <v>0</v>
      </c>
      <c r="BB870" s="66"/>
      <c r="BC870" s="4"/>
      <c r="BD870" s="67"/>
      <c r="BE870" s="67"/>
      <c r="BF870" s="68"/>
      <c r="BG870" s="69"/>
      <c r="BH870" s="84"/>
      <c r="BI870" s="70"/>
      <c r="BJ870" s="73"/>
      <c r="BK870" s="78"/>
      <c r="BL870" s="78">
        <f t="shared" ca="1" si="3"/>
        <v>0</v>
      </c>
      <c r="BM870" s="78"/>
      <c r="BN870" s="78">
        <f t="shared" ca="1" si="4"/>
        <v>0</v>
      </c>
      <c r="BO870" s="66"/>
      <c r="BP870" s="66"/>
    </row>
    <row r="871" spans="1:68" ht="13.2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>
        <f t="shared" ref="AP871:AQ871" si="864">AR871+AT871+AV871</f>
        <v>0</v>
      </c>
      <c r="AQ871" s="75">
        <f t="shared" si="864"/>
        <v>0</v>
      </c>
      <c r="AR871" s="75"/>
      <c r="AS871" s="75"/>
      <c r="AT871" s="75"/>
      <c r="AU871" s="75"/>
      <c r="AV871" s="75"/>
      <c r="AW871" s="75"/>
      <c r="AX871" s="75"/>
      <c r="AY871" s="67">
        <f t="shared" ca="1" si="1"/>
        <v>0</v>
      </c>
      <c r="AZ871" s="75"/>
      <c r="BA871" s="67">
        <f t="shared" ca="1" si="2"/>
        <v>0</v>
      </c>
      <c r="BB871" s="66"/>
      <c r="BC871" s="4"/>
      <c r="BD871" s="67"/>
      <c r="BE871" s="67"/>
      <c r="BF871" s="68"/>
      <c r="BG871" s="69"/>
      <c r="BH871" s="84"/>
      <c r="BI871" s="70"/>
      <c r="BJ871" s="73"/>
      <c r="BK871" s="78"/>
      <c r="BL871" s="78">
        <f t="shared" ca="1" si="3"/>
        <v>0</v>
      </c>
      <c r="BM871" s="78"/>
      <c r="BN871" s="78">
        <f t="shared" ca="1" si="4"/>
        <v>0</v>
      </c>
      <c r="BO871" s="66"/>
      <c r="BP871" s="66"/>
    </row>
    <row r="872" spans="1:68" ht="13.2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>
        <f t="shared" ref="AP872:AQ872" si="865">AR872+AT872+AV872</f>
        <v>0</v>
      </c>
      <c r="AQ872" s="75">
        <f t="shared" si="865"/>
        <v>0</v>
      </c>
      <c r="AR872" s="75"/>
      <c r="AS872" s="75"/>
      <c r="AT872" s="75"/>
      <c r="AU872" s="75"/>
      <c r="AV872" s="75"/>
      <c r="AW872" s="75"/>
      <c r="AX872" s="75"/>
      <c r="AY872" s="67">
        <f t="shared" ca="1" si="1"/>
        <v>0</v>
      </c>
      <c r="AZ872" s="75"/>
      <c r="BA872" s="67">
        <f t="shared" ca="1" si="2"/>
        <v>0</v>
      </c>
      <c r="BB872" s="66"/>
      <c r="BC872" s="4"/>
      <c r="BD872" s="67"/>
      <c r="BE872" s="67"/>
      <c r="BF872" s="68"/>
      <c r="BG872" s="69"/>
      <c r="BH872" s="84"/>
      <c r="BI872" s="70"/>
      <c r="BJ872" s="73"/>
      <c r="BK872" s="78"/>
      <c r="BL872" s="78">
        <f t="shared" ca="1" si="3"/>
        <v>0</v>
      </c>
      <c r="BM872" s="78"/>
      <c r="BN872" s="78">
        <f t="shared" ca="1" si="4"/>
        <v>0</v>
      </c>
      <c r="BO872" s="66"/>
      <c r="BP872" s="66"/>
    </row>
    <row r="873" spans="1:68" ht="13.2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>
        <f t="shared" ref="AP873:AQ873" si="866">AR873+AT873+AV873</f>
        <v>0</v>
      </c>
      <c r="AQ873" s="75">
        <f t="shared" si="866"/>
        <v>0</v>
      </c>
      <c r="AR873" s="75"/>
      <c r="AS873" s="75"/>
      <c r="AT873" s="75"/>
      <c r="AU873" s="75"/>
      <c r="AV873" s="75"/>
      <c r="AW873" s="75"/>
      <c r="AX873" s="75"/>
      <c r="AY873" s="67">
        <f t="shared" ca="1" si="1"/>
        <v>0</v>
      </c>
      <c r="AZ873" s="75"/>
      <c r="BA873" s="67">
        <f t="shared" ca="1" si="2"/>
        <v>0</v>
      </c>
      <c r="BB873" s="66"/>
      <c r="BC873" s="4"/>
      <c r="BD873" s="67"/>
      <c r="BE873" s="67"/>
      <c r="BF873" s="68"/>
      <c r="BG873" s="69"/>
      <c r="BH873" s="84"/>
      <c r="BI873" s="70"/>
      <c r="BJ873" s="73"/>
      <c r="BK873" s="78"/>
      <c r="BL873" s="78">
        <f t="shared" ca="1" si="3"/>
        <v>0</v>
      </c>
      <c r="BM873" s="78"/>
      <c r="BN873" s="78">
        <f t="shared" ca="1" si="4"/>
        <v>0</v>
      </c>
      <c r="BO873" s="66"/>
      <c r="BP873" s="66"/>
    </row>
    <row r="874" spans="1:68" ht="13.2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>
        <f t="shared" ref="AP874:AQ874" si="867">AR874+AT874+AV874</f>
        <v>0</v>
      </c>
      <c r="AQ874" s="75">
        <f t="shared" si="867"/>
        <v>0</v>
      </c>
      <c r="AR874" s="75"/>
      <c r="AS874" s="75"/>
      <c r="AT874" s="75"/>
      <c r="AU874" s="75"/>
      <c r="AV874" s="75"/>
      <c r="AW874" s="75"/>
      <c r="AX874" s="75"/>
      <c r="AY874" s="67">
        <f t="shared" ca="1" si="1"/>
        <v>0</v>
      </c>
      <c r="AZ874" s="75"/>
      <c r="BA874" s="67">
        <f t="shared" ca="1" si="2"/>
        <v>0</v>
      </c>
      <c r="BB874" s="66"/>
      <c r="BC874" s="4"/>
      <c r="BD874" s="67"/>
      <c r="BE874" s="67"/>
      <c r="BF874" s="68"/>
      <c r="BG874" s="69"/>
      <c r="BH874" s="84"/>
      <c r="BI874" s="70"/>
      <c r="BJ874" s="73"/>
      <c r="BK874" s="78"/>
      <c r="BL874" s="78">
        <f t="shared" ca="1" si="3"/>
        <v>0</v>
      </c>
      <c r="BM874" s="78"/>
      <c r="BN874" s="78">
        <f t="shared" ca="1" si="4"/>
        <v>0</v>
      </c>
      <c r="BO874" s="66"/>
      <c r="BP874" s="66"/>
    </row>
    <row r="875" spans="1:68" ht="13.2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>
        <f t="shared" ref="AP875:AQ875" si="868">AR875+AT875+AV875</f>
        <v>0</v>
      </c>
      <c r="AQ875" s="75">
        <f t="shared" si="868"/>
        <v>0</v>
      </c>
      <c r="AR875" s="75"/>
      <c r="AS875" s="75"/>
      <c r="AT875" s="75"/>
      <c r="AU875" s="75"/>
      <c r="AV875" s="75"/>
      <c r="AW875" s="75"/>
      <c r="AX875" s="75"/>
      <c r="AY875" s="67">
        <f t="shared" ca="1" si="1"/>
        <v>0</v>
      </c>
      <c r="AZ875" s="75"/>
      <c r="BA875" s="67">
        <f t="shared" ca="1" si="2"/>
        <v>0</v>
      </c>
      <c r="BB875" s="66"/>
      <c r="BC875" s="4"/>
      <c r="BD875" s="67"/>
      <c r="BE875" s="67"/>
      <c r="BF875" s="68"/>
      <c r="BG875" s="69"/>
      <c r="BH875" s="84"/>
      <c r="BI875" s="70"/>
      <c r="BJ875" s="73"/>
      <c r="BK875" s="78"/>
      <c r="BL875" s="78">
        <f t="shared" ca="1" si="3"/>
        <v>0</v>
      </c>
      <c r="BM875" s="78"/>
      <c r="BN875" s="78">
        <f t="shared" ca="1" si="4"/>
        <v>0</v>
      </c>
      <c r="BO875" s="66"/>
      <c r="BP875" s="66"/>
    </row>
    <row r="876" spans="1:68" ht="13.2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>
        <f t="shared" ref="AP876:AQ876" si="869">AR876+AT876+AV876</f>
        <v>0</v>
      </c>
      <c r="AQ876" s="75">
        <f t="shared" si="869"/>
        <v>0</v>
      </c>
      <c r="AR876" s="75"/>
      <c r="AS876" s="75"/>
      <c r="AT876" s="75"/>
      <c r="AU876" s="75"/>
      <c r="AV876" s="75"/>
      <c r="AW876" s="75"/>
      <c r="AX876" s="75"/>
      <c r="AY876" s="67">
        <f t="shared" ca="1" si="1"/>
        <v>0</v>
      </c>
      <c r="AZ876" s="75"/>
      <c r="BA876" s="67">
        <f t="shared" ca="1" si="2"/>
        <v>0</v>
      </c>
      <c r="BB876" s="66"/>
      <c r="BC876" s="4"/>
      <c r="BD876" s="67"/>
      <c r="BE876" s="67"/>
      <c r="BF876" s="68"/>
      <c r="BG876" s="69"/>
      <c r="BH876" s="84"/>
      <c r="BI876" s="70"/>
      <c r="BJ876" s="73"/>
      <c r="BK876" s="78"/>
      <c r="BL876" s="78">
        <f t="shared" ca="1" si="3"/>
        <v>0</v>
      </c>
      <c r="BM876" s="78"/>
      <c r="BN876" s="78">
        <f t="shared" ca="1" si="4"/>
        <v>0</v>
      </c>
      <c r="BO876" s="66"/>
      <c r="BP876" s="66"/>
    </row>
    <row r="877" spans="1:68" ht="13.2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>
        <f t="shared" ref="AP877:AQ877" si="870">AR877+AT877+AV877</f>
        <v>0</v>
      </c>
      <c r="AQ877" s="75">
        <f t="shared" si="870"/>
        <v>0</v>
      </c>
      <c r="AR877" s="75"/>
      <c r="AS877" s="75"/>
      <c r="AT877" s="75"/>
      <c r="AU877" s="75"/>
      <c r="AV877" s="75"/>
      <c r="AW877" s="75"/>
      <c r="AX877" s="75"/>
      <c r="AY877" s="67">
        <f t="shared" ca="1" si="1"/>
        <v>0</v>
      </c>
      <c r="AZ877" s="75"/>
      <c r="BA877" s="67">
        <f t="shared" ca="1" si="2"/>
        <v>0</v>
      </c>
      <c r="BB877" s="66"/>
      <c r="BC877" s="4"/>
      <c r="BD877" s="67"/>
      <c r="BE877" s="67"/>
      <c r="BF877" s="68"/>
      <c r="BG877" s="69"/>
      <c r="BH877" s="84"/>
      <c r="BI877" s="70"/>
      <c r="BJ877" s="73"/>
      <c r="BK877" s="78"/>
      <c r="BL877" s="78">
        <f t="shared" ca="1" si="3"/>
        <v>0</v>
      </c>
      <c r="BM877" s="78"/>
      <c r="BN877" s="78">
        <f t="shared" ca="1" si="4"/>
        <v>0</v>
      </c>
      <c r="BO877" s="66"/>
      <c r="BP877" s="66"/>
    </row>
    <row r="878" spans="1:68" ht="13.2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>
        <f t="shared" ref="AP878:AQ878" si="871">AR878+AT878+AV878</f>
        <v>0</v>
      </c>
      <c r="AQ878" s="75">
        <f t="shared" si="871"/>
        <v>0</v>
      </c>
      <c r="AR878" s="75"/>
      <c r="AS878" s="75"/>
      <c r="AT878" s="75"/>
      <c r="AU878" s="75"/>
      <c r="AV878" s="75"/>
      <c r="AW878" s="75"/>
      <c r="AX878" s="75"/>
      <c r="AY878" s="67">
        <f t="shared" ca="1" si="1"/>
        <v>0</v>
      </c>
      <c r="AZ878" s="75"/>
      <c r="BA878" s="67">
        <f t="shared" ca="1" si="2"/>
        <v>0</v>
      </c>
      <c r="BB878" s="66"/>
      <c r="BC878" s="4"/>
      <c r="BD878" s="67"/>
      <c r="BE878" s="67"/>
      <c r="BF878" s="68"/>
      <c r="BG878" s="69"/>
      <c r="BH878" s="84"/>
      <c r="BI878" s="70"/>
      <c r="BJ878" s="73"/>
      <c r="BK878" s="78"/>
      <c r="BL878" s="78">
        <f t="shared" ca="1" si="3"/>
        <v>0</v>
      </c>
      <c r="BM878" s="78"/>
      <c r="BN878" s="78">
        <f t="shared" ca="1" si="4"/>
        <v>0</v>
      </c>
      <c r="BO878" s="66"/>
      <c r="BP878" s="66"/>
    </row>
    <row r="879" spans="1:68" ht="13.2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>
        <f t="shared" ref="AP879:AQ879" si="872">AR879+AT879+AV879</f>
        <v>0</v>
      </c>
      <c r="AQ879" s="75">
        <f t="shared" si="872"/>
        <v>0</v>
      </c>
      <c r="AR879" s="75"/>
      <c r="AS879" s="75"/>
      <c r="AT879" s="75"/>
      <c r="AU879" s="75"/>
      <c r="AV879" s="75"/>
      <c r="AW879" s="75"/>
      <c r="AX879" s="75"/>
      <c r="AY879" s="67">
        <f t="shared" ca="1" si="1"/>
        <v>0</v>
      </c>
      <c r="AZ879" s="75"/>
      <c r="BA879" s="67">
        <f t="shared" ca="1" si="2"/>
        <v>0</v>
      </c>
      <c r="BB879" s="66"/>
      <c r="BC879" s="4"/>
      <c r="BD879" s="67"/>
      <c r="BE879" s="67"/>
      <c r="BF879" s="68"/>
      <c r="BG879" s="69"/>
      <c r="BH879" s="84"/>
      <c r="BI879" s="70"/>
      <c r="BJ879" s="73"/>
      <c r="BK879" s="78"/>
      <c r="BL879" s="78">
        <f t="shared" ca="1" si="3"/>
        <v>0</v>
      </c>
      <c r="BM879" s="78"/>
      <c r="BN879" s="78">
        <f t="shared" ca="1" si="4"/>
        <v>0</v>
      </c>
      <c r="BO879" s="66"/>
      <c r="BP879" s="66"/>
    </row>
    <row r="880" spans="1:68" ht="13.2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>
        <f t="shared" ref="AP880:AQ880" si="873">AR880+AT880+AV880</f>
        <v>0</v>
      </c>
      <c r="AQ880" s="75">
        <f t="shared" si="873"/>
        <v>0</v>
      </c>
      <c r="AR880" s="75"/>
      <c r="AS880" s="75"/>
      <c r="AT880" s="75"/>
      <c r="AU880" s="75"/>
      <c r="AV880" s="75"/>
      <c r="AW880" s="75"/>
      <c r="AX880" s="75"/>
      <c r="AY880" s="67">
        <f t="shared" ca="1" si="1"/>
        <v>0</v>
      </c>
      <c r="AZ880" s="75"/>
      <c r="BA880" s="67">
        <f t="shared" ca="1" si="2"/>
        <v>0</v>
      </c>
      <c r="BB880" s="66"/>
      <c r="BC880" s="4"/>
      <c r="BD880" s="67"/>
      <c r="BE880" s="67"/>
      <c r="BF880" s="68"/>
      <c r="BG880" s="69"/>
      <c r="BH880" s="84"/>
      <c r="BI880" s="70"/>
      <c r="BJ880" s="73"/>
      <c r="BK880" s="78"/>
      <c r="BL880" s="78">
        <f t="shared" ca="1" si="3"/>
        <v>0</v>
      </c>
      <c r="BM880" s="78"/>
      <c r="BN880" s="78">
        <f t="shared" ca="1" si="4"/>
        <v>0</v>
      </c>
      <c r="BO880" s="66"/>
      <c r="BP880" s="66"/>
    </row>
    <row r="881" spans="1:68" ht="13.2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>
        <f t="shared" ref="AP881:AQ881" si="874">AR881+AT881+AV881</f>
        <v>0</v>
      </c>
      <c r="AQ881" s="75">
        <f t="shared" si="874"/>
        <v>0</v>
      </c>
      <c r="AR881" s="75"/>
      <c r="AS881" s="75"/>
      <c r="AT881" s="75"/>
      <c r="AU881" s="75"/>
      <c r="AV881" s="75"/>
      <c r="AW881" s="75"/>
      <c r="AX881" s="75"/>
      <c r="AY881" s="67">
        <f t="shared" ca="1" si="1"/>
        <v>0</v>
      </c>
      <c r="AZ881" s="75"/>
      <c r="BA881" s="67">
        <f t="shared" ca="1" si="2"/>
        <v>0</v>
      </c>
      <c r="BB881" s="66"/>
      <c r="BC881" s="4"/>
      <c r="BD881" s="67"/>
      <c r="BE881" s="67"/>
      <c r="BF881" s="68"/>
      <c r="BG881" s="69"/>
      <c r="BH881" s="84"/>
      <c r="BI881" s="70"/>
      <c r="BJ881" s="73"/>
      <c r="BK881" s="78"/>
      <c r="BL881" s="78">
        <f t="shared" ca="1" si="3"/>
        <v>0</v>
      </c>
      <c r="BM881" s="78"/>
      <c r="BN881" s="78">
        <f t="shared" ca="1" si="4"/>
        <v>0</v>
      </c>
      <c r="BO881" s="66"/>
      <c r="BP881" s="66"/>
    </row>
    <row r="882" spans="1:68" ht="13.2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>
        <f t="shared" ref="AP882:AQ882" si="875">AR882+AT882+AV882</f>
        <v>0</v>
      </c>
      <c r="AQ882" s="75">
        <f t="shared" si="875"/>
        <v>0</v>
      </c>
      <c r="AR882" s="75"/>
      <c r="AS882" s="75"/>
      <c r="AT882" s="75"/>
      <c r="AU882" s="75"/>
      <c r="AV882" s="75"/>
      <c r="AW882" s="75"/>
      <c r="AX882" s="75"/>
      <c r="AY882" s="67">
        <f t="shared" ca="1" si="1"/>
        <v>0</v>
      </c>
      <c r="AZ882" s="75"/>
      <c r="BA882" s="67">
        <f t="shared" ca="1" si="2"/>
        <v>0</v>
      </c>
      <c r="BB882" s="66"/>
      <c r="BC882" s="4"/>
      <c r="BD882" s="67"/>
      <c r="BE882" s="67"/>
      <c r="BF882" s="68"/>
      <c r="BG882" s="69"/>
      <c r="BH882" s="84"/>
      <c r="BI882" s="70"/>
      <c r="BJ882" s="73"/>
      <c r="BK882" s="78"/>
      <c r="BL882" s="78">
        <f t="shared" ca="1" si="3"/>
        <v>0</v>
      </c>
      <c r="BM882" s="78"/>
      <c r="BN882" s="78">
        <f t="shared" ca="1" si="4"/>
        <v>0</v>
      </c>
      <c r="BO882" s="66"/>
      <c r="BP882" s="66"/>
    </row>
    <row r="883" spans="1:68" ht="13.2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>
        <f t="shared" ref="AP883:AQ883" si="876">AR883+AT883+AV883</f>
        <v>0</v>
      </c>
      <c r="AQ883" s="75">
        <f t="shared" si="876"/>
        <v>0</v>
      </c>
      <c r="AR883" s="75"/>
      <c r="AS883" s="75"/>
      <c r="AT883" s="75"/>
      <c r="AU883" s="75"/>
      <c r="AV883" s="75"/>
      <c r="AW883" s="75"/>
      <c r="AX883" s="75"/>
      <c r="AY883" s="67">
        <f t="shared" ca="1" si="1"/>
        <v>0</v>
      </c>
      <c r="AZ883" s="75"/>
      <c r="BA883" s="67">
        <f t="shared" ca="1" si="2"/>
        <v>0</v>
      </c>
      <c r="BB883" s="66"/>
      <c r="BC883" s="4"/>
      <c r="BD883" s="67"/>
      <c r="BE883" s="67"/>
      <c r="BF883" s="68"/>
      <c r="BG883" s="69"/>
      <c r="BH883" s="84"/>
      <c r="BI883" s="70"/>
      <c r="BJ883" s="73"/>
      <c r="BK883" s="78"/>
      <c r="BL883" s="78">
        <f t="shared" ca="1" si="3"/>
        <v>0</v>
      </c>
      <c r="BM883" s="78"/>
      <c r="BN883" s="78">
        <f t="shared" ca="1" si="4"/>
        <v>0</v>
      </c>
      <c r="BO883" s="66"/>
      <c r="BP883" s="66"/>
    </row>
    <row r="884" spans="1:68" ht="13.2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>
        <f t="shared" ref="AP884:AQ884" si="877">AR884+AT884+AV884</f>
        <v>0</v>
      </c>
      <c r="AQ884" s="75">
        <f t="shared" si="877"/>
        <v>0</v>
      </c>
      <c r="AR884" s="75"/>
      <c r="AS884" s="75"/>
      <c r="AT884" s="75"/>
      <c r="AU884" s="75"/>
      <c r="AV884" s="75"/>
      <c r="AW884" s="75"/>
      <c r="AX884" s="75"/>
      <c r="AY884" s="67">
        <f t="shared" ca="1" si="1"/>
        <v>0</v>
      </c>
      <c r="AZ884" s="75"/>
      <c r="BA884" s="67">
        <f t="shared" ca="1" si="2"/>
        <v>0</v>
      </c>
      <c r="BB884" s="66"/>
      <c r="BC884" s="4"/>
      <c r="BD884" s="67"/>
      <c r="BE884" s="67"/>
      <c r="BF884" s="68"/>
      <c r="BG884" s="69"/>
      <c r="BH884" s="84"/>
      <c r="BI884" s="70"/>
      <c r="BJ884" s="73"/>
      <c r="BK884" s="78"/>
      <c r="BL884" s="78">
        <f t="shared" ca="1" si="3"/>
        <v>0</v>
      </c>
      <c r="BM884" s="78"/>
      <c r="BN884" s="78">
        <f t="shared" ca="1" si="4"/>
        <v>0</v>
      </c>
      <c r="BO884" s="66"/>
      <c r="BP884" s="66"/>
    </row>
    <row r="885" spans="1:68" ht="13.2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>
        <f t="shared" ref="AP885:AQ885" si="878">AR885+AT885+AV885</f>
        <v>0</v>
      </c>
      <c r="AQ885" s="75">
        <f t="shared" si="878"/>
        <v>0</v>
      </c>
      <c r="AR885" s="75"/>
      <c r="AS885" s="75"/>
      <c r="AT885" s="75"/>
      <c r="AU885" s="75"/>
      <c r="AV885" s="75"/>
      <c r="AW885" s="75"/>
      <c r="AX885" s="75"/>
      <c r="AY885" s="67">
        <f t="shared" ca="1" si="1"/>
        <v>0</v>
      </c>
      <c r="AZ885" s="75"/>
      <c r="BA885" s="67">
        <f t="shared" ca="1" si="2"/>
        <v>0</v>
      </c>
      <c r="BB885" s="66"/>
      <c r="BC885" s="4"/>
      <c r="BD885" s="67"/>
      <c r="BE885" s="67"/>
      <c r="BF885" s="68"/>
      <c r="BG885" s="69"/>
      <c r="BH885" s="84"/>
      <c r="BI885" s="70"/>
      <c r="BJ885" s="73"/>
      <c r="BK885" s="78"/>
      <c r="BL885" s="78">
        <f t="shared" ca="1" si="3"/>
        <v>0</v>
      </c>
      <c r="BM885" s="78"/>
      <c r="BN885" s="78">
        <f t="shared" ca="1" si="4"/>
        <v>0</v>
      </c>
      <c r="BO885" s="66"/>
      <c r="BP885" s="66"/>
    </row>
    <row r="886" spans="1:68" ht="13.2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>
        <f t="shared" ref="AP886:AQ886" si="879">AR886+AT886+AV886</f>
        <v>0</v>
      </c>
      <c r="AQ886" s="75">
        <f t="shared" si="879"/>
        <v>0</v>
      </c>
      <c r="AR886" s="75"/>
      <c r="AS886" s="75"/>
      <c r="AT886" s="75"/>
      <c r="AU886" s="75"/>
      <c r="AV886" s="75"/>
      <c r="AW886" s="75"/>
      <c r="AX886" s="75"/>
      <c r="AY886" s="67">
        <f t="shared" ca="1" si="1"/>
        <v>0</v>
      </c>
      <c r="AZ886" s="75"/>
      <c r="BA886" s="67">
        <f t="shared" ca="1" si="2"/>
        <v>0</v>
      </c>
      <c r="BB886" s="66"/>
      <c r="BC886" s="4"/>
      <c r="BD886" s="67"/>
      <c r="BE886" s="67"/>
      <c r="BF886" s="68"/>
      <c r="BG886" s="69"/>
      <c r="BH886" s="84"/>
      <c r="BI886" s="70"/>
      <c r="BJ886" s="73"/>
      <c r="BK886" s="78"/>
      <c r="BL886" s="78">
        <f t="shared" ca="1" si="3"/>
        <v>0</v>
      </c>
      <c r="BM886" s="78"/>
      <c r="BN886" s="78">
        <f t="shared" ca="1" si="4"/>
        <v>0</v>
      </c>
      <c r="BO886" s="66"/>
      <c r="BP886" s="66"/>
    </row>
    <row r="887" spans="1:68" ht="13.2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>
        <f t="shared" ref="AP887:AQ887" si="880">AR887+AT887+AV887</f>
        <v>0</v>
      </c>
      <c r="AQ887" s="75">
        <f t="shared" si="880"/>
        <v>0</v>
      </c>
      <c r="AR887" s="75"/>
      <c r="AS887" s="75"/>
      <c r="AT887" s="75"/>
      <c r="AU887" s="75"/>
      <c r="AV887" s="75"/>
      <c r="AW887" s="75"/>
      <c r="AX887" s="75"/>
      <c r="AY887" s="67">
        <f t="shared" ca="1" si="1"/>
        <v>0</v>
      </c>
      <c r="AZ887" s="75"/>
      <c r="BA887" s="67">
        <f t="shared" ca="1" si="2"/>
        <v>0</v>
      </c>
      <c r="BB887" s="66"/>
      <c r="BC887" s="4"/>
      <c r="BD887" s="67"/>
      <c r="BE887" s="67"/>
      <c r="BF887" s="68"/>
      <c r="BG887" s="69"/>
      <c r="BH887" s="84"/>
      <c r="BI887" s="70"/>
      <c r="BJ887" s="73"/>
      <c r="BK887" s="78"/>
      <c r="BL887" s="78">
        <f t="shared" ca="1" si="3"/>
        <v>0</v>
      </c>
      <c r="BM887" s="78"/>
      <c r="BN887" s="78">
        <f t="shared" ca="1" si="4"/>
        <v>0</v>
      </c>
      <c r="BO887" s="66"/>
      <c r="BP887" s="66"/>
    </row>
    <row r="888" spans="1:68" ht="13.2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>
        <f t="shared" ref="AP888:AQ888" si="881">AR888+AT888+AV888</f>
        <v>0</v>
      </c>
      <c r="AQ888" s="75">
        <f t="shared" si="881"/>
        <v>0</v>
      </c>
      <c r="AR888" s="75"/>
      <c r="AS888" s="75"/>
      <c r="AT888" s="75"/>
      <c r="AU888" s="75"/>
      <c r="AV888" s="75"/>
      <c r="AW888" s="75"/>
      <c r="AX888" s="75"/>
      <c r="AY888" s="67">
        <f t="shared" ca="1" si="1"/>
        <v>0</v>
      </c>
      <c r="AZ888" s="75"/>
      <c r="BA888" s="67">
        <f t="shared" ca="1" si="2"/>
        <v>0</v>
      </c>
      <c r="BB888" s="66"/>
      <c r="BC888" s="4"/>
      <c r="BD888" s="67"/>
      <c r="BE888" s="67"/>
      <c r="BF888" s="68"/>
      <c r="BG888" s="69"/>
      <c r="BH888" s="84"/>
      <c r="BI888" s="70"/>
      <c r="BJ888" s="73"/>
      <c r="BK888" s="78"/>
      <c r="BL888" s="78">
        <f t="shared" ca="1" si="3"/>
        <v>0</v>
      </c>
      <c r="BM888" s="78"/>
      <c r="BN888" s="78">
        <f t="shared" ca="1" si="4"/>
        <v>0</v>
      </c>
      <c r="BO888" s="66"/>
      <c r="BP888" s="66"/>
    </row>
    <row r="889" spans="1:68" ht="13.2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>
        <f t="shared" ref="AP889:AQ889" si="882">AR889+AT889+AV889</f>
        <v>0</v>
      </c>
      <c r="AQ889" s="75">
        <f t="shared" si="882"/>
        <v>0</v>
      </c>
      <c r="AR889" s="75"/>
      <c r="AS889" s="75"/>
      <c r="AT889" s="75"/>
      <c r="AU889" s="75"/>
      <c r="AV889" s="75"/>
      <c r="AW889" s="75"/>
      <c r="AX889" s="75"/>
      <c r="AY889" s="67">
        <f t="shared" ca="1" si="1"/>
        <v>0</v>
      </c>
      <c r="AZ889" s="75"/>
      <c r="BA889" s="67">
        <f t="shared" ca="1" si="2"/>
        <v>0</v>
      </c>
      <c r="BB889" s="66"/>
      <c r="BC889" s="4"/>
      <c r="BD889" s="67"/>
      <c r="BE889" s="67"/>
      <c r="BF889" s="68"/>
      <c r="BG889" s="69"/>
      <c r="BH889" s="84"/>
      <c r="BI889" s="70"/>
      <c r="BJ889" s="73"/>
      <c r="BK889" s="78"/>
      <c r="BL889" s="78">
        <f t="shared" ca="1" si="3"/>
        <v>0</v>
      </c>
      <c r="BM889" s="78"/>
      <c r="BN889" s="78">
        <f t="shared" ca="1" si="4"/>
        <v>0</v>
      </c>
      <c r="BO889" s="66"/>
      <c r="BP889" s="66"/>
    </row>
    <row r="890" spans="1:68" ht="13.2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>
        <f t="shared" ref="AP890:AQ890" si="883">AR890+AT890+AV890</f>
        <v>0</v>
      </c>
      <c r="AQ890" s="75">
        <f t="shared" si="883"/>
        <v>0</v>
      </c>
      <c r="AR890" s="75"/>
      <c r="AS890" s="75"/>
      <c r="AT890" s="75"/>
      <c r="AU890" s="75"/>
      <c r="AV890" s="75"/>
      <c r="AW890" s="75"/>
      <c r="AX890" s="75"/>
      <c r="AY890" s="67">
        <f t="shared" ca="1" si="1"/>
        <v>0</v>
      </c>
      <c r="AZ890" s="75"/>
      <c r="BA890" s="67">
        <f t="shared" ca="1" si="2"/>
        <v>0</v>
      </c>
      <c r="BB890" s="66"/>
      <c r="BC890" s="4"/>
      <c r="BD890" s="67"/>
      <c r="BE890" s="67"/>
      <c r="BF890" s="68"/>
      <c r="BG890" s="69"/>
      <c r="BH890" s="84"/>
      <c r="BI890" s="70"/>
      <c r="BJ890" s="73"/>
      <c r="BK890" s="78"/>
      <c r="BL890" s="78">
        <f t="shared" ca="1" si="3"/>
        <v>0</v>
      </c>
      <c r="BM890" s="78"/>
      <c r="BN890" s="78">
        <f t="shared" ca="1" si="4"/>
        <v>0</v>
      </c>
      <c r="BO890" s="66"/>
      <c r="BP890" s="66"/>
    </row>
    <row r="891" spans="1:68" ht="13.2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>
        <f t="shared" ref="AP891:AQ891" si="884">AR891+AT891+AV891</f>
        <v>0</v>
      </c>
      <c r="AQ891" s="75">
        <f t="shared" si="884"/>
        <v>0</v>
      </c>
      <c r="AR891" s="75"/>
      <c r="AS891" s="75"/>
      <c r="AT891" s="75"/>
      <c r="AU891" s="75"/>
      <c r="AV891" s="75"/>
      <c r="AW891" s="75"/>
      <c r="AX891" s="75"/>
      <c r="AY891" s="67">
        <f t="shared" ca="1" si="1"/>
        <v>0</v>
      </c>
      <c r="AZ891" s="75"/>
      <c r="BA891" s="67">
        <f t="shared" ca="1" si="2"/>
        <v>0</v>
      </c>
      <c r="BB891" s="66"/>
      <c r="BC891" s="4"/>
      <c r="BD891" s="67"/>
      <c r="BE891" s="67"/>
      <c r="BF891" s="68"/>
      <c r="BG891" s="69"/>
      <c r="BH891" s="84"/>
      <c r="BI891" s="70"/>
      <c r="BJ891" s="73"/>
      <c r="BK891" s="78"/>
      <c r="BL891" s="78">
        <f t="shared" ca="1" si="3"/>
        <v>0</v>
      </c>
      <c r="BM891" s="78"/>
      <c r="BN891" s="78">
        <f t="shared" ca="1" si="4"/>
        <v>0</v>
      </c>
      <c r="BO891" s="66"/>
      <c r="BP891" s="66"/>
    </row>
    <row r="892" spans="1:68" ht="13.2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>
        <f t="shared" ref="AP892:AQ892" si="885">AR892+AT892+AV892</f>
        <v>0</v>
      </c>
      <c r="AQ892" s="75">
        <f t="shared" si="885"/>
        <v>0</v>
      </c>
      <c r="AR892" s="75"/>
      <c r="AS892" s="75"/>
      <c r="AT892" s="75"/>
      <c r="AU892" s="75"/>
      <c r="AV892" s="75"/>
      <c r="AW892" s="75"/>
      <c r="AX892" s="75"/>
      <c r="AY892" s="67">
        <f t="shared" ca="1" si="1"/>
        <v>0</v>
      </c>
      <c r="AZ892" s="75"/>
      <c r="BA892" s="67">
        <f t="shared" ca="1" si="2"/>
        <v>0</v>
      </c>
      <c r="BB892" s="66"/>
      <c r="BC892" s="4"/>
      <c r="BD892" s="67"/>
      <c r="BE892" s="67"/>
      <c r="BF892" s="68"/>
      <c r="BG892" s="69"/>
      <c r="BH892" s="84"/>
      <c r="BI892" s="70"/>
      <c r="BJ892" s="73"/>
      <c r="BK892" s="78"/>
      <c r="BL892" s="78">
        <f t="shared" ca="1" si="3"/>
        <v>0</v>
      </c>
      <c r="BM892" s="78"/>
      <c r="BN892" s="78">
        <f t="shared" ca="1" si="4"/>
        <v>0</v>
      </c>
      <c r="BO892" s="66"/>
      <c r="BP892" s="66"/>
    </row>
    <row r="893" spans="1:68" ht="13.2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>
        <f t="shared" ref="AP893:AQ893" si="886">AR893+AT893+AV893</f>
        <v>0</v>
      </c>
      <c r="AQ893" s="75">
        <f t="shared" si="886"/>
        <v>0</v>
      </c>
      <c r="AR893" s="75"/>
      <c r="AS893" s="75"/>
      <c r="AT893" s="75"/>
      <c r="AU893" s="75"/>
      <c r="AV893" s="75"/>
      <c r="AW893" s="75"/>
      <c r="AX893" s="75"/>
      <c r="AY893" s="67">
        <f t="shared" ca="1" si="1"/>
        <v>0</v>
      </c>
      <c r="AZ893" s="75"/>
      <c r="BA893" s="67">
        <f t="shared" ca="1" si="2"/>
        <v>0</v>
      </c>
      <c r="BB893" s="66"/>
      <c r="BC893" s="4"/>
      <c r="BD893" s="67"/>
      <c r="BE893" s="67"/>
      <c r="BF893" s="68"/>
      <c r="BG893" s="69"/>
      <c r="BH893" s="84"/>
      <c r="BI893" s="70"/>
      <c r="BJ893" s="73"/>
      <c r="BK893" s="78"/>
      <c r="BL893" s="78">
        <f t="shared" ca="1" si="3"/>
        <v>0</v>
      </c>
      <c r="BM893" s="78"/>
      <c r="BN893" s="78">
        <f t="shared" ca="1" si="4"/>
        <v>0</v>
      </c>
      <c r="BO893" s="66"/>
      <c r="BP893" s="66"/>
    </row>
    <row r="894" spans="1:68" ht="13.2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>
        <f t="shared" ref="AP894:AQ894" si="887">AR894+AT894+AV894</f>
        <v>0</v>
      </c>
      <c r="AQ894" s="75">
        <f t="shared" si="887"/>
        <v>0</v>
      </c>
      <c r="AR894" s="75"/>
      <c r="AS894" s="75"/>
      <c r="AT894" s="75"/>
      <c r="AU894" s="75"/>
      <c r="AV894" s="75"/>
      <c r="AW894" s="75"/>
      <c r="AX894" s="75"/>
      <c r="AY894" s="67">
        <f t="shared" ca="1" si="1"/>
        <v>0</v>
      </c>
      <c r="AZ894" s="75"/>
      <c r="BA894" s="67">
        <f t="shared" ca="1" si="2"/>
        <v>0</v>
      </c>
      <c r="BB894" s="66"/>
      <c r="BC894" s="4"/>
      <c r="BD894" s="67"/>
      <c r="BE894" s="67"/>
      <c r="BF894" s="68"/>
      <c r="BG894" s="69"/>
      <c r="BH894" s="84"/>
      <c r="BI894" s="70"/>
      <c r="BJ894" s="73"/>
      <c r="BK894" s="78"/>
      <c r="BL894" s="78">
        <f t="shared" ca="1" si="3"/>
        <v>0</v>
      </c>
      <c r="BM894" s="78"/>
      <c r="BN894" s="78">
        <f t="shared" ca="1" si="4"/>
        <v>0</v>
      </c>
      <c r="BO894" s="66"/>
      <c r="BP894" s="66"/>
    </row>
    <row r="895" spans="1:68" ht="13.2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>
        <f t="shared" ref="AP895:AQ895" si="888">AR895+AT895+AV895</f>
        <v>0</v>
      </c>
      <c r="AQ895" s="75">
        <f t="shared" si="888"/>
        <v>0</v>
      </c>
      <c r="AR895" s="75"/>
      <c r="AS895" s="75"/>
      <c r="AT895" s="75"/>
      <c r="AU895" s="75"/>
      <c r="AV895" s="75"/>
      <c r="AW895" s="75"/>
      <c r="AX895" s="75"/>
      <c r="AY895" s="67">
        <f t="shared" ca="1" si="1"/>
        <v>0</v>
      </c>
      <c r="AZ895" s="75"/>
      <c r="BA895" s="67">
        <f t="shared" ca="1" si="2"/>
        <v>0</v>
      </c>
      <c r="BB895" s="66"/>
      <c r="BC895" s="4"/>
      <c r="BD895" s="67"/>
      <c r="BE895" s="67"/>
      <c r="BF895" s="68"/>
      <c r="BG895" s="69"/>
      <c r="BH895" s="84"/>
      <c r="BI895" s="70"/>
      <c r="BJ895" s="73"/>
      <c r="BK895" s="78"/>
      <c r="BL895" s="78">
        <f t="shared" ca="1" si="3"/>
        <v>0</v>
      </c>
      <c r="BM895" s="78"/>
      <c r="BN895" s="78">
        <f t="shared" ca="1" si="4"/>
        <v>0</v>
      </c>
      <c r="BO895" s="66"/>
      <c r="BP895" s="66"/>
    </row>
    <row r="896" spans="1:68" ht="13.2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>
        <f t="shared" ref="AP896:AQ896" si="889">AR896+AT896+AV896</f>
        <v>0</v>
      </c>
      <c r="AQ896" s="75">
        <f t="shared" si="889"/>
        <v>0</v>
      </c>
      <c r="AR896" s="75"/>
      <c r="AS896" s="75"/>
      <c r="AT896" s="75"/>
      <c r="AU896" s="75"/>
      <c r="AV896" s="75"/>
      <c r="AW896" s="75"/>
      <c r="AX896" s="75"/>
      <c r="AY896" s="67">
        <f t="shared" ca="1" si="1"/>
        <v>0</v>
      </c>
      <c r="AZ896" s="75"/>
      <c r="BA896" s="67">
        <f t="shared" ca="1" si="2"/>
        <v>0</v>
      </c>
      <c r="BB896" s="66"/>
      <c r="BC896" s="4"/>
      <c r="BD896" s="67"/>
      <c r="BE896" s="67"/>
      <c r="BF896" s="68"/>
      <c r="BG896" s="69"/>
      <c r="BH896" s="84"/>
      <c r="BI896" s="70"/>
      <c r="BJ896" s="73"/>
      <c r="BK896" s="78"/>
      <c r="BL896" s="78">
        <f t="shared" ca="1" si="3"/>
        <v>0</v>
      </c>
      <c r="BM896" s="78"/>
      <c r="BN896" s="78">
        <f t="shared" ca="1" si="4"/>
        <v>0</v>
      </c>
      <c r="BO896" s="66"/>
      <c r="BP896" s="66"/>
    </row>
    <row r="897" spans="1:68" ht="13.2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>
        <f t="shared" ref="AP897:AQ897" si="890">AR897+AT897+AV897</f>
        <v>0</v>
      </c>
      <c r="AQ897" s="75">
        <f t="shared" si="890"/>
        <v>0</v>
      </c>
      <c r="AR897" s="75"/>
      <c r="AS897" s="75"/>
      <c r="AT897" s="75"/>
      <c r="AU897" s="75"/>
      <c r="AV897" s="75"/>
      <c r="AW897" s="75"/>
      <c r="AX897" s="75"/>
      <c r="AY897" s="67">
        <f t="shared" ca="1" si="1"/>
        <v>0</v>
      </c>
      <c r="AZ897" s="75"/>
      <c r="BA897" s="67">
        <f t="shared" ca="1" si="2"/>
        <v>0</v>
      </c>
      <c r="BB897" s="66"/>
      <c r="BC897" s="4"/>
      <c r="BD897" s="67"/>
      <c r="BE897" s="67"/>
      <c r="BF897" s="68"/>
      <c r="BG897" s="69"/>
      <c r="BH897" s="84"/>
      <c r="BI897" s="70"/>
      <c r="BJ897" s="73"/>
      <c r="BK897" s="78"/>
      <c r="BL897" s="78">
        <f t="shared" ca="1" si="3"/>
        <v>0</v>
      </c>
      <c r="BM897" s="78"/>
      <c r="BN897" s="78">
        <f t="shared" ca="1" si="4"/>
        <v>0</v>
      </c>
      <c r="BO897" s="66"/>
      <c r="BP897" s="66"/>
    </row>
    <row r="898" spans="1:68" ht="13.2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>
        <f t="shared" ref="AP898:AQ898" si="891">AR898+AT898+AV898</f>
        <v>0</v>
      </c>
      <c r="AQ898" s="75">
        <f t="shared" si="891"/>
        <v>0</v>
      </c>
      <c r="AR898" s="75"/>
      <c r="AS898" s="75"/>
      <c r="AT898" s="75"/>
      <c r="AU898" s="75"/>
      <c r="AV898" s="75"/>
      <c r="AW898" s="75"/>
      <c r="AX898" s="75"/>
      <c r="AY898" s="67">
        <f t="shared" ca="1" si="1"/>
        <v>0</v>
      </c>
      <c r="AZ898" s="75"/>
      <c r="BA898" s="67">
        <f t="shared" ca="1" si="2"/>
        <v>0</v>
      </c>
      <c r="BB898" s="66"/>
      <c r="BC898" s="4"/>
      <c r="BD898" s="67"/>
      <c r="BE898" s="67"/>
      <c r="BF898" s="68"/>
      <c r="BG898" s="69"/>
      <c r="BH898" s="84"/>
      <c r="BI898" s="70"/>
      <c r="BJ898" s="73"/>
      <c r="BK898" s="78"/>
      <c r="BL898" s="78">
        <f t="shared" ca="1" si="3"/>
        <v>0</v>
      </c>
      <c r="BM898" s="78"/>
      <c r="BN898" s="78">
        <f t="shared" ca="1" si="4"/>
        <v>0</v>
      </c>
      <c r="BO898" s="66"/>
      <c r="BP898" s="66"/>
    </row>
    <row r="899" spans="1:68" ht="13.2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>
        <f t="shared" ref="AP899:AQ899" si="892">AR899+AT899+AV899</f>
        <v>0</v>
      </c>
      <c r="AQ899" s="75">
        <f t="shared" si="892"/>
        <v>0</v>
      </c>
      <c r="AR899" s="75"/>
      <c r="AS899" s="75"/>
      <c r="AT899" s="75"/>
      <c r="AU899" s="75"/>
      <c r="AV899" s="75"/>
      <c r="AW899" s="75"/>
      <c r="AX899" s="75"/>
      <c r="AY899" s="67">
        <f t="shared" ca="1" si="1"/>
        <v>0</v>
      </c>
      <c r="AZ899" s="75"/>
      <c r="BA899" s="67">
        <f t="shared" ca="1" si="2"/>
        <v>0</v>
      </c>
      <c r="BB899" s="66"/>
      <c r="BC899" s="4"/>
      <c r="BD899" s="67"/>
      <c r="BE899" s="67"/>
      <c r="BF899" s="68"/>
      <c r="BG899" s="69"/>
      <c r="BH899" s="84"/>
      <c r="BI899" s="70"/>
      <c r="BJ899" s="73"/>
      <c r="BK899" s="78"/>
      <c r="BL899" s="78">
        <f t="shared" ca="1" si="3"/>
        <v>0</v>
      </c>
      <c r="BM899" s="78"/>
      <c r="BN899" s="78">
        <f t="shared" ca="1" si="4"/>
        <v>0</v>
      </c>
      <c r="BO899" s="66"/>
      <c r="BP899" s="66"/>
    </row>
    <row r="900" spans="1:68" ht="13.2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>
        <f t="shared" ref="AP900:AQ900" si="893">AR900+AT900+AV900</f>
        <v>0</v>
      </c>
      <c r="AQ900" s="75">
        <f t="shared" si="893"/>
        <v>0</v>
      </c>
      <c r="AR900" s="75"/>
      <c r="AS900" s="75"/>
      <c r="AT900" s="75"/>
      <c r="AU900" s="75"/>
      <c r="AV900" s="75"/>
      <c r="AW900" s="75"/>
      <c r="AX900" s="75"/>
      <c r="AY900" s="67">
        <f t="shared" ca="1" si="1"/>
        <v>0</v>
      </c>
      <c r="AZ900" s="75"/>
      <c r="BA900" s="67">
        <f t="shared" ca="1" si="2"/>
        <v>0</v>
      </c>
      <c r="BB900" s="66"/>
      <c r="BC900" s="4"/>
      <c r="BD900" s="67"/>
      <c r="BE900" s="67"/>
      <c r="BF900" s="68"/>
      <c r="BG900" s="69"/>
      <c r="BH900" s="84"/>
      <c r="BI900" s="70"/>
      <c r="BJ900" s="73"/>
      <c r="BK900" s="78"/>
      <c r="BL900" s="78">
        <f t="shared" ca="1" si="3"/>
        <v>0</v>
      </c>
      <c r="BM900" s="78"/>
      <c r="BN900" s="78">
        <f t="shared" ca="1" si="4"/>
        <v>0</v>
      </c>
      <c r="BO900" s="66"/>
      <c r="BP900" s="66"/>
    </row>
    <row r="901" spans="1:68" ht="13.2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>
        <f t="shared" ref="AP901:AQ901" si="894">AR901+AT901+AV901</f>
        <v>0</v>
      </c>
      <c r="AQ901" s="75">
        <f t="shared" si="894"/>
        <v>0</v>
      </c>
      <c r="AR901" s="75"/>
      <c r="AS901" s="75"/>
      <c r="AT901" s="75"/>
      <c r="AU901" s="75"/>
      <c r="AV901" s="75"/>
      <c r="AW901" s="75"/>
      <c r="AX901" s="75"/>
      <c r="AY901" s="67">
        <f t="shared" ca="1" si="1"/>
        <v>0</v>
      </c>
      <c r="AZ901" s="75"/>
      <c r="BA901" s="67">
        <f t="shared" ca="1" si="2"/>
        <v>0</v>
      </c>
      <c r="BB901" s="66"/>
      <c r="BC901" s="4"/>
      <c r="BD901" s="67"/>
      <c r="BE901" s="67"/>
      <c r="BF901" s="68"/>
      <c r="BG901" s="69"/>
      <c r="BH901" s="84"/>
      <c r="BI901" s="70"/>
      <c r="BJ901" s="73"/>
      <c r="BK901" s="78"/>
      <c r="BL901" s="78">
        <f t="shared" ca="1" si="3"/>
        <v>0</v>
      </c>
      <c r="BM901" s="78"/>
      <c r="BN901" s="78">
        <f t="shared" ca="1" si="4"/>
        <v>0</v>
      </c>
      <c r="BO901" s="66"/>
      <c r="BP901" s="66"/>
    </row>
    <row r="902" spans="1:68" ht="13.2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>
        <f t="shared" ref="AP902:AQ902" si="895">AR902+AT902+AV902</f>
        <v>0</v>
      </c>
      <c r="AQ902" s="75">
        <f t="shared" si="895"/>
        <v>0</v>
      </c>
      <c r="AR902" s="75"/>
      <c r="AS902" s="75"/>
      <c r="AT902" s="75"/>
      <c r="AU902" s="75"/>
      <c r="AV902" s="75"/>
      <c r="AW902" s="75"/>
      <c r="AX902" s="75"/>
      <c r="AY902" s="67">
        <f t="shared" ca="1" si="1"/>
        <v>0</v>
      </c>
      <c r="AZ902" s="75"/>
      <c r="BA902" s="67">
        <f t="shared" ca="1" si="2"/>
        <v>0</v>
      </c>
      <c r="BB902" s="66"/>
      <c r="BC902" s="4"/>
      <c r="BD902" s="67"/>
      <c r="BE902" s="67"/>
      <c r="BF902" s="68"/>
      <c r="BG902" s="69"/>
      <c r="BH902" s="84"/>
      <c r="BI902" s="70"/>
      <c r="BJ902" s="73"/>
      <c r="BK902" s="78"/>
      <c r="BL902" s="78">
        <f t="shared" ca="1" si="3"/>
        <v>0</v>
      </c>
      <c r="BM902" s="78"/>
      <c r="BN902" s="78">
        <f t="shared" ca="1" si="4"/>
        <v>0</v>
      </c>
      <c r="BO902" s="66"/>
      <c r="BP902" s="66"/>
    </row>
    <row r="903" spans="1:68" ht="13.2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>
        <f t="shared" ref="AP903:AQ903" si="896">AR903+AT903+AV903</f>
        <v>0</v>
      </c>
      <c r="AQ903" s="75">
        <f t="shared" si="896"/>
        <v>0</v>
      </c>
      <c r="AR903" s="75"/>
      <c r="AS903" s="75"/>
      <c r="AT903" s="75"/>
      <c r="AU903" s="75"/>
      <c r="AV903" s="75"/>
      <c r="AW903" s="75"/>
      <c r="AX903" s="75"/>
      <c r="AY903" s="67">
        <f t="shared" ca="1" si="1"/>
        <v>0</v>
      </c>
      <c r="AZ903" s="75"/>
      <c r="BA903" s="67">
        <f t="shared" ca="1" si="2"/>
        <v>0</v>
      </c>
      <c r="BB903" s="66"/>
      <c r="BC903" s="4"/>
      <c r="BD903" s="67"/>
      <c r="BE903" s="67"/>
      <c r="BF903" s="68"/>
      <c r="BG903" s="69"/>
      <c r="BH903" s="84"/>
      <c r="BI903" s="70"/>
      <c r="BJ903" s="73"/>
      <c r="BK903" s="78"/>
      <c r="BL903" s="78">
        <f t="shared" ca="1" si="3"/>
        <v>0</v>
      </c>
      <c r="BM903" s="78"/>
      <c r="BN903" s="78">
        <f t="shared" ca="1" si="4"/>
        <v>0</v>
      </c>
      <c r="BO903" s="66"/>
      <c r="BP903" s="66"/>
    </row>
    <row r="904" spans="1:68" ht="13.2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>
        <f t="shared" ref="AP904:AQ904" si="897">AR904+AT904+AV904</f>
        <v>0</v>
      </c>
      <c r="AQ904" s="75">
        <f t="shared" si="897"/>
        <v>0</v>
      </c>
      <c r="AR904" s="75"/>
      <c r="AS904" s="75"/>
      <c r="AT904" s="75"/>
      <c r="AU904" s="75"/>
      <c r="AV904" s="75"/>
      <c r="AW904" s="75"/>
      <c r="AX904" s="75"/>
      <c r="AY904" s="67">
        <f t="shared" ca="1" si="1"/>
        <v>0</v>
      </c>
      <c r="AZ904" s="75"/>
      <c r="BA904" s="67">
        <f t="shared" ca="1" si="2"/>
        <v>0</v>
      </c>
      <c r="BB904" s="66"/>
      <c r="BC904" s="4"/>
      <c r="BD904" s="67"/>
      <c r="BE904" s="67"/>
      <c r="BF904" s="68"/>
      <c r="BG904" s="69"/>
      <c r="BH904" s="84"/>
      <c r="BI904" s="70"/>
      <c r="BJ904" s="73"/>
      <c r="BK904" s="78"/>
      <c r="BL904" s="78">
        <f t="shared" ca="1" si="3"/>
        <v>0</v>
      </c>
      <c r="BM904" s="78"/>
      <c r="BN904" s="78">
        <f t="shared" ca="1" si="4"/>
        <v>0</v>
      </c>
      <c r="BO904" s="66"/>
      <c r="BP904" s="66"/>
    </row>
    <row r="905" spans="1:68" ht="13.2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>
        <f t="shared" ref="AP905:AQ905" si="898">AR905+AT905+AV905</f>
        <v>0</v>
      </c>
      <c r="AQ905" s="75">
        <f t="shared" si="898"/>
        <v>0</v>
      </c>
      <c r="AR905" s="75"/>
      <c r="AS905" s="75"/>
      <c r="AT905" s="75"/>
      <c r="AU905" s="75"/>
      <c r="AV905" s="75"/>
      <c r="AW905" s="75"/>
      <c r="AX905" s="75"/>
      <c r="AY905" s="67">
        <f t="shared" ca="1" si="1"/>
        <v>0</v>
      </c>
      <c r="AZ905" s="75"/>
      <c r="BA905" s="67">
        <f t="shared" ca="1" si="2"/>
        <v>0</v>
      </c>
      <c r="BB905" s="66"/>
      <c r="BC905" s="4"/>
      <c r="BD905" s="67"/>
      <c r="BE905" s="67"/>
      <c r="BF905" s="68"/>
      <c r="BG905" s="69"/>
      <c r="BH905" s="84"/>
      <c r="BI905" s="70"/>
      <c r="BJ905" s="73"/>
      <c r="BK905" s="78"/>
      <c r="BL905" s="78">
        <f t="shared" ca="1" si="3"/>
        <v>0</v>
      </c>
      <c r="BM905" s="78"/>
      <c r="BN905" s="78">
        <f t="shared" ca="1" si="4"/>
        <v>0</v>
      </c>
      <c r="BO905" s="66"/>
      <c r="BP905" s="66"/>
    </row>
    <row r="906" spans="1:68" ht="13.2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>
        <f t="shared" ref="AP906:AQ906" si="899">AR906+AT906+AV906</f>
        <v>0</v>
      </c>
      <c r="AQ906" s="75">
        <f t="shared" si="899"/>
        <v>0</v>
      </c>
      <c r="AR906" s="75"/>
      <c r="AS906" s="75"/>
      <c r="AT906" s="75"/>
      <c r="AU906" s="75"/>
      <c r="AV906" s="75"/>
      <c r="AW906" s="75"/>
      <c r="AX906" s="75"/>
      <c r="AY906" s="67">
        <f t="shared" ca="1" si="1"/>
        <v>0</v>
      </c>
      <c r="AZ906" s="75"/>
      <c r="BA906" s="67">
        <f t="shared" ca="1" si="2"/>
        <v>0</v>
      </c>
      <c r="BB906" s="66"/>
      <c r="BC906" s="4"/>
      <c r="BD906" s="67"/>
      <c r="BE906" s="67"/>
      <c r="BF906" s="68"/>
      <c r="BG906" s="69"/>
      <c r="BH906" s="84"/>
      <c r="BI906" s="70"/>
      <c r="BJ906" s="73"/>
      <c r="BK906" s="78"/>
      <c r="BL906" s="78">
        <f t="shared" ca="1" si="3"/>
        <v>0</v>
      </c>
      <c r="BM906" s="78"/>
      <c r="BN906" s="78">
        <f t="shared" ca="1" si="4"/>
        <v>0</v>
      </c>
      <c r="BO906" s="66"/>
      <c r="BP906" s="66"/>
    </row>
    <row r="907" spans="1:68" ht="13.2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>
        <f t="shared" ref="AP907:AQ907" si="900">AR907+AT907+AV907</f>
        <v>0</v>
      </c>
      <c r="AQ907" s="75">
        <f t="shared" si="900"/>
        <v>0</v>
      </c>
      <c r="AR907" s="75"/>
      <c r="AS907" s="75"/>
      <c r="AT907" s="75"/>
      <c r="AU907" s="75"/>
      <c r="AV907" s="75"/>
      <c r="AW907" s="75"/>
      <c r="AX907" s="75"/>
      <c r="AY907" s="67">
        <f t="shared" ca="1" si="1"/>
        <v>0</v>
      </c>
      <c r="AZ907" s="75"/>
      <c r="BA907" s="67">
        <f t="shared" ca="1" si="2"/>
        <v>0</v>
      </c>
      <c r="BB907" s="66"/>
      <c r="BC907" s="4"/>
      <c r="BD907" s="67"/>
      <c r="BE907" s="67"/>
      <c r="BF907" s="68"/>
      <c r="BG907" s="69"/>
      <c r="BH907" s="84"/>
      <c r="BI907" s="70"/>
      <c r="BJ907" s="73"/>
      <c r="BK907" s="78"/>
      <c r="BL907" s="78">
        <f t="shared" ca="1" si="3"/>
        <v>0</v>
      </c>
      <c r="BM907" s="78"/>
      <c r="BN907" s="78">
        <f t="shared" ca="1" si="4"/>
        <v>0</v>
      </c>
      <c r="BO907" s="66"/>
      <c r="BP907" s="66"/>
    </row>
    <row r="908" spans="1:68" ht="13.2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>
        <f t="shared" ref="AP908:AQ908" si="901">AR908+AT908+AV908</f>
        <v>0</v>
      </c>
      <c r="AQ908" s="75">
        <f t="shared" si="901"/>
        <v>0</v>
      </c>
      <c r="AR908" s="75"/>
      <c r="AS908" s="75"/>
      <c r="AT908" s="75"/>
      <c r="AU908" s="75"/>
      <c r="AV908" s="75"/>
      <c r="AW908" s="75"/>
      <c r="AX908" s="75"/>
      <c r="AY908" s="67">
        <f t="shared" ca="1" si="1"/>
        <v>0</v>
      </c>
      <c r="AZ908" s="75"/>
      <c r="BA908" s="67">
        <f t="shared" ca="1" si="2"/>
        <v>0</v>
      </c>
      <c r="BB908" s="66"/>
      <c r="BC908" s="4"/>
      <c r="BD908" s="67"/>
      <c r="BE908" s="67"/>
      <c r="BF908" s="68"/>
      <c r="BG908" s="69"/>
      <c r="BH908" s="84"/>
      <c r="BI908" s="70"/>
      <c r="BJ908" s="73"/>
      <c r="BK908" s="78"/>
      <c r="BL908" s="78">
        <f t="shared" ca="1" si="3"/>
        <v>0</v>
      </c>
      <c r="BM908" s="78"/>
      <c r="BN908" s="78">
        <f t="shared" ca="1" si="4"/>
        <v>0</v>
      </c>
      <c r="BO908" s="66"/>
      <c r="BP908" s="66"/>
    </row>
    <row r="909" spans="1:68" ht="13.2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>
        <f t="shared" ref="AP909:AQ909" si="902">AR909+AT909+AV909</f>
        <v>0</v>
      </c>
      <c r="AQ909" s="75">
        <f t="shared" si="902"/>
        <v>0</v>
      </c>
      <c r="AR909" s="75"/>
      <c r="AS909" s="75"/>
      <c r="AT909" s="75"/>
      <c r="AU909" s="75"/>
      <c r="AV909" s="75"/>
      <c r="AW909" s="75"/>
      <c r="AX909" s="75"/>
      <c r="AY909" s="67">
        <f t="shared" ca="1" si="1"/>
        <v>0</v>
      </c>
      <c r="AZ909" s="75"/>
      <c r="BA909" s="67">
        <f t="shared" ca="1" si="2"/>
        <v>0</v>
      </c>
      <c r="BB909" s="66"/>
      <c r="BC909" s="4"/>
      <c r="BD909" s="67"/>
      <c r="BE909" s="67"/>
      <c r="BF909" s="68"/>
      <c r="BG909" s="69"/>
      <c r="BH909" s="84"/>
      <c r="BI909" s="70"/>
      <c r="BJ909" s="73"/>
      <c r="BK909" s="78"/>
      <c r="BL909" s="78">
        <f t="shared" ca="1" si="3"/>
        <v>0</v>
      </c>
      <c r="BM909" s="78"/>
      <c r="BN909" s="78">
        <f t="shared" ca="1" si="4"/>
        <v>0</v>
      </c>
      <c r="BO909" s="66"/>
      <c r="BP909" s="66"/>
    </row>
    <row r="910" spans="1:68" ht="13.2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>
        <f t="shared" ref="AP910:AQ910" si="903">AR910+AT910+AV910</f>
        <v>0</v>
      </c>
      <c r="AQ910" s="75">
        <f t="shared" si="903"/>
        <v>0</v>
      </c>
      <c r="AR910" s="75"/>
      <c r="AS910" s="75"/>
      <c r="AT910" s="75"/>
      <c r="AU910" s="75"/>
      <c r="AV910" s="75"/>
      <c r="AW910" s="75"/>
      <c r="AX910" s="75"/>
      <c r="AY910" s="67">
        <f t="shared" ca="1" si="1"/>
        <v>0</v>
      </c>
      <c r="AZ910" s="75"/>
      <c r="BA910" s="67">
        <f t="shared" ca="1" si="2"/>
        <v>0</v>
      </c>
      <c r="BB910" s="66"/>
      <c r="BC910" s="4"/>
      <c r="BD910" s="67"/>
      <c r="BE910" s="67"/>
      <c r="BF910" s="68"/>
      <c r="BG910" s="69"/>
      <c r="BH910" s="84"/>
      <c r="BI910" s="70"/>
      <c r="BJ910" s="73"/>
      <c r="BK910" s="78"/>
      <c r="BL910" s="78">
        <f t="shared" ca="1" si="3"/>
        <v>0</v>
      </c>
      <c r="BM910" s="78"/>
      <c r="BN910" s="78">
        <f t="shared" ca="1" si="4"/>
        <v>0</v>
      </c>
      <c r="BO910" s="66"/>
      <c r="BP910" s="66"/>
    </row>
    <row r="911" spans="1:68" ht="13.2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>
        <f t="shared" ref="AP911:AQ911" si="904">AR911+AT911+AV911</f>
        <v>0</v>
      </c>
      <c r="AQ911" s="75">
        <f t="shared" si="904"/>
        <v>0</v>
      </c>
      <c r="AR911" s="75"/>
      <c r="AS911" s="75"/>
      <c r="AT911" s="75"/>
      <c r="AU911" s="75"/>
      <c r="AV911" s="75"/>
      <c r="AW911" s="75"/>
      <c r="AX911" s="75"/>
      <c r="AY911" s="67">
        <f t="shared" ca="1" si="1"/>
        <v>0</v>
      </c>
      <c r="AZ911" s="75"/>
      <c r="BA911" s="67">
        <f t="shared" ca="1" si="2"/>
        <v>0</v>
      </c>
      <c r="BB911" s="66"/>
      <c r="BC911" s="4"/>
      <c r="BD911" s="67"/>
      <c r="BE911" s="67"/>
      <c r="BF911" s="68"/>
      <c r="BG911" s="69"/>
      <c r="BH911" s="84"/>
      <c r="BI911" s="70"/>
      <c r="BJ911" s="73"/>
      <c r="BK911" s="78"/>
      <c r="BL911" s="78">
        <f t="shared" ca="1" si="3"/>
        <v>0</v>
      </c>
      <c r="BM911" s="78"/>
      <c r="BN911" s="78">
        <f t="shared" ca="1" si="4"/>
        <v>0</v>
      </c>
      <c r="BO911" s="66"/>
      <c r="BP911" s="66"/>
    </row>
    <row r="912" spans="1:68" ht="13.2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>
        <f t="shared" ref="AP912:AQ912" si="905">AR912+AT912+AV912</f>
        <v>0</v>
      </c>
      <c r="AQ912" s="75">
        <f t="shared" si="905"/>
        <v>0</v>
      </c>
      <c r="AR912" s="75"/>
      <c r="AS912" s="75"/>
      <c r="AT912" s="75"/>
      <c r="AU912" s="75"/>
      <c r="AV912" s="75"/>
      <c r="AW912" s="75"/>
      <c r="AX912" s="75"/>
      <c r="AY912" s="67">
        <f t="shared" ca="1" si="1"/>
        <v>0</v>
      </c>
      <c r="AZ912" s="75"/>
      <c r="BA912" s="67">
        <f t="shared" ca="1" si="2"/>
        <v>0</v>
      </c>
      <c r="BB912" s="66"/>
      <c r="BC912" s="4"/>
      <c r="BD912" s="67"/>
      <c r="BE912" s="67"/>
      <c r="BF912" s="68"/>
      <c r="BG912" s="69"/>
      <c r="BH912" s="84"/>
      <c r="BI912" s="70"/>
      <c r="BJ912" s="73"/>
      <c r="BK912" s="78"/>
      <c r="BL912" s="78">
        <f t="shared" ca="1" si="3"/>
        <v>0</v>
      </c>
      <c r="BM912" s="78"/>
      <c r="BN912" s="78">
        <f t="shared" ca="1" si="4"/>
        <v>0</v>
      </c>
      <c r="BO912" s="66"/>
      <c r="BP912" s="66"/>
    </row>
    <row r="913" spans="1:68" ht="13.2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>
        <f t="shared" ref="AP913:AQ913" si="906">AR913+AT913+AV913</f>
        <v>0</v>
      </c>
      <c r="AQ913" s="75">
        <f t="shared" si="906"/>
        <v>0</v>
      </c>
      <c r="AR913" s="75"/>
      <c r="AS913" s="75"/>
      <c r="AT913" s="75"/>
      <c r="AU913" s="75"/>
      <c r="AV913" s="75"/>
      <c r="AW913" s="75"/>
      <c r="AX913" s="75"/>
      <c r="AY913" s="67">
        <f t="shared" ca="1" si="1"/>
        <v>0</v>
      </c>
      <c r="AZ913" s="75"/>
      <c r="BA913" s="67">
        <f t="shared" ca="1" si="2"/>
        <v>0</v>
      </c>
      <c r="BB913" s="66"/>
      <c r="BC913" s="4"/>
      <c r="BD913" s="67"/>
      <c r="BE913" s="67"/>
      <c r="BF913" s="68"/>
      <c r="BG913" s="69"/>
      <c r="BH913" s="84"/>
      <c r="BI913" s="70"/>
      <c r="BJ913" s="73"/>
      <c r="BK913" s="78"/>
      <c r="BL913" s="78">
        <f t="shared" ca="1" si="3"/>
        <v>0</v>
      </c>
      <c r="BM913" s="78"/>
      <c r="BN913" s="78">
        <f t="shared" ca="1" si="4"/>
        <v>0</v>
      </c>
      <c r="BO913" s="66"/>
      <c r="BP913" s="66"/>
    </row>
    <row r="914" spans="1:68" ht="13.2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>
        <f t="shared" ref="AP914:AQ914" si="907">AR914+AT914+AV914</f>
        <v>0</v>
      </c>
      <c r="AQ914" s="75">
        <f t="shared" si="907"/>
        <v>0</v>
      </c>
      <c r="AR914" s="75"/>
      <c r="AS914" s="75"/>
      <c r="AT914" s="75"/>
      <c r="AU914" s="75"/>
      <c r="AV914" s="75"/>
      <c r="AW914" s="75"/>
      <c r="AX914" s="75"/>
      <c r="AY914" s="67">
        <f t="shared" ca="1" si="1"/>
        <v>0</v>
      </c>
      <c r="AZ914" s="75"/>
      <c r="BA914" s="67">
        <f t="shared" ca="1" si="2"/>
        <v>0</v>
      </c>
      <c r="BB914" s="66"/>
      <c r="BC914" s="4"/>
      <c r="BD914" s="67"/>
      <c r="BE914" s="67"/>
      <c r="BF914" s="68"/>
      <c r="BG914" s="69"/>
      <c r="BH914" s="84"/>
      <c r="BI914" s="70"/>
      <c r="BJ914" s="73"/>
      <c r="BK914" s="78"/>
      <c r="BL914" s="78">
        <f t="shared" ca="1" si="3"/>
        <v>0</v>
      </c>
      <c r="BM914" s="78"/>
      <c r="BN914" s="78">
        <f t="shared" ca="1" si="4"/>
        <v>0</v>
      </c>
      <c r="BO914" s="66"/>
      <c r="BP914" s="66"/>
    </row>
    <row r="915" spans="1:68" ht="13.2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>
        <f t="shared" ref="AP915:AQ915" si="908">AR915+AT915+AV915</f>
        <v>0</v>
      </c>
      <c r="AQ915" s="75">
        <f t="shared" si="908"/>
        <v>0</v>
      </c>
      <c r="AR915" s="75"/>
      <c r="AS915" s="75"/>
      <c r="AT915" s="75"/>
      <c r="AU915" s="75"/>
      <c r="AV915" s="75"/>
      <c r="AW915" s="75"/>
      <c r="AX915" s="75"/>
      <c r="AY915" s="67">
        <f t="shared" ca="1" si="1"/>
        <v>0</v>
      </c>
      <c r="AZ915" s="75"/>
      <c r="BA915" s="67">
        <f t="shared" ca="1" si="2"/>
        <v>0</v>
      </c>
      <c r="BB915" s="66"/>
      <c r="BC915" s="4"/>
      <c r="BD915" s="67"/>
      <c r="BE915" s="67"/>
      <c r="BF915" s="68"/>
      <c r="BG915" s="69"/>
      <c r="BH915" s="84"/>
      <c r="BI915" s="70"/>
      <c r="BJ915" s="73"/>
      <c r="BK915" s="78"/>
      <c r="BL915" s="78">
        <f t="shared" ca="1" si="3"/>
        <v>0</v>
      </c>
      <c r="BM915" s="78"/>
      <c r="BN915" s="78">
        <f t="shared" ca="1" si="4"/>
        <v>0</v>
      </c>
      <c r="BO915" s="66"/>
      <c r="BP915" s="66"/>
    </row>
    <row r="916" spans="1:68" ht="13.2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>
        <f t="shared" ref="AP916:AQ916" si="909">AR916+AT916+AV916</f>
        <v>0</v>
      </c>
      <c r="AQ916" s="75">
        <f t="shared" si="909"/>
        <v>0</v>
      </c>
      <c r="AR916" s="75"/>
      <c r="AS916" s="75"/>
      <c r="AT916" s="75"/>
      <c r="AU916" s="75"/>
      <c r="AV916" s="75"/>
      <c r="AW916" s="75"/>
      <c r="AX916" s="75"/>
      <c r="AY916" s="67">
        <f t="shared" ca="1" si="1"/>
        <v>0</v>
      </c>
      <c r="AZ916" s="75"/>
      <c r="BA916" s="67">
        <f t="shared" ca="1" si="2"/>
        <v>0</v>
      </c>
      <c r="BB916" s="66"/>
      <c r="BC916" s="4"/>
      <c r="BD916" s="67"/>
      <c r="BE916" s="67"/>
      <c r="BF916" s="68"/>
      <c r="BG916" s="69"/>
      <c r="BH916" s="84"/>
      <c r="BI916" s="70"/>
      <c r="BJ916" s="73"/>
      <c r="BK916" s="78"/>
      <c r="BL916" s="78">
        <f t="shared" ca="1" si="3"/>
        <v>0</v>
      </c>
      <c r="BM916" s="78"/>
      <c r="BN916" s="78">
        <f t="shared" ca="1" si="4"/>
        <v>0</v>
      </c>
      <c r="BO916" s="66"/>
      <c r="BP916" s="66"/>
    </row>
    <row r="917" spans="1:68" ht="13.2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>
        <f t="shared" ref="AP917:AQ917" si="910">AR917+AT917+AV917</f>
        <v>0</v>
      </c>
      <c r="AQ917" s="75">
        <f t="shared" si="910"/>
        <v>0</v>
      </c>
      <c r="AR917" s="75"/>
      <c r="AS917" s="75"/>
      <c r="AT917" s="75"/>
      <c r="AU917" s="75"/>
      <c r="AV917" s="75"/>
      <c r="AW917" s="75"/>
      <c r="AX917" s="75"/>
      <c r="AY917" s="67">
        <f t="shared" ca="1" si="1"/>
        <v>0</v>
      </c>
      <c r="AZ917" s="75"/>
      <c r="BA917" s="67">
        <f t="shared" ca="1" si="2"/>
        <v>0</v>
      </c>
      <c r="BB917" s="66"/>
      <c r="BC917" s="4"/>
      <c r="BD917" s="67"/>
      <c r="BE917" s="67"/>
      <c r="BF917" s="68"/>
      <c r="BG917" s="69"/>
      <c r="BH917" s="84"/>
      <c r="BI917" s="70"/>
      <c r="BJ917" s="73"/>
      <c r="BK917" s="78"/>
      <c r="BL917" s="78">
        <f t="shared" ca="1" si="3"/>
        <v>0</v>
      </c>
      <c r="BM917" s="78"/>
      <c r="BN917" s="78">
        <f t="shared" ca="1" si="4"/>
        <v>0</v>
      </c>
      <c r="BO917" s="66"/>
      <c r="BP917" s="66"/>
    </row>
    <row r="918" spans="1:68" ht="13.2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>
        <f t="shared" ref="AP918:AQ918" si="911">AR918+AT918+AV918</f>
        <v>0</v>
      </c>
      <c r="AQ918" s="75">
        <f t="shared" si="911"/>
        <v>0</v>
      </c>
      <c r="AR918" s="75"/>
      <c r="AS918" s="75"/>
      <c r="AT918" s="75"/>
      <c r="AU918" s="75"/>
      <c r="AV918" s="75"/>
      <c r="AW918" s="75"/>
      <c r="AX918" s="75"/>
      <c r="AY918" s="67">
        <f t="shared" ca="1" si="1"/>
        <v>0</v>
      </c>
      <c r="AZ918" s="75"/>
      <c r="BA918" s="67">
        <f t="shared" ca="1" si="2"/>
        <v>0</v>
      </c>
      <c r="BB918" s="66"/>
      <c r="BC918" s="4"/>
      <c r="BD918" s="67"/>
      <c r="BE918" s="67"/>
      <c r="BF918" s="68"/>
      <c r="BG918" s="69"/>
      <c r="BH918" s="84"/>
      <c r="BI918" s="70"/>
      <c r="BJ918" s="73"/>
      <c r="BK918" s="78"/>
      <c r="BL918" s="78">
        <f t="shared" ca="1" si="3"/>
        <v>0</v>
      </c>
      <c r="BM918" s="78"/>
      <c r="BN918" s="78">
        <f t="shared" ca="1" si="4"/>
        <v>0</v>
      </c>
      <c r="BO918" s="66"/>
      <c r="BP918" s="66"/>
    </row>
    <row r="919" spans="1:68" ht="13.2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>
        <f t="shared" ref="AP919:AQ919" si="912">AR919+AT919+AV919</f>
        <v>0</v>
      </c>
      <c r="AQ919" s="75">
        <f t="shared" si="912"/>
        <v>0</v>
      </c>
      <c r="AR919" s="75"/>
      <c r="AS919" s="75"/>
      <c r="AT919" s="75"/>
      <c r="AU919" s="75"/>
      <c r="AV919" s="75"/>
      <c r="AW919" s="75"/>
      <c r="AX919" s="75"/>
      <c r="AY919" s="67">
        <f t="shared" ca="1" si="1"/>
        <v>0</v>
      </c>
      <c r="AZ919" s="75"/>
      <c r="BA919" s="67">
        <f t="shared" ca="1" si="2"/>
        <v>0</v>
      </c>
      <c r="BB919" s="66"/>
      <c r="BC919" s="4"/>
      <c r="BD919" s="67"/>
      <c r="BE919" s="67"/>
      <c r="BF919" s="68"/>
      <c r="BG919" s="69"/>
      <c r="BH919" s="84"/>
      <c r="BI919" s="70"/>
      <c r="BJ919" s="73"/>
      <c r="BK919" s="78"/>
      <c r="BL919" s="78">
        <f t="shared" ca="1" si="3"/>
        <v>0</v>
      </c>
      <c r="BM919" s="78"/>
      <c r="BN919" s="78">
        <f t="shared" ca="1" si="4"/>
        <v>0</v>
      </c>
      <c r="BO919" s="66"/>
      <c r="BP919" s="66"/>
    </row>
    <row r="920" spans="1:68" ht="13.2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>
        <f t="shared" ref="AP920:AQ920" si="913">AR920+AT920+AV920</f>
        <v>0</v>
      </c>
      <c r="AQ920" s="75">
        <f t="shared" si="913"/>
        <v>0</v>
      </c>
      <c r="AR920" s="75"/>
      <c r="AS920" s="75"/>
      <c r="AT920" s="75"/>
      <c r="AU920" s="75"/>
      <c r="AV920" s="75"/>
      <c r="AW920" s="75"/>
      <c r="AX920" s="75"/>
      <c r="AY920" s="67">
        <f t="shared" ca="1" si="1"/>
        <v>0</v>
      </c>
      <c r="AZ920" s="75"/>
      <c r="BA920" s="67">
        <f t="shared" ca="1" si="2"/>
        <v>0</v>
      </c>
      <c r="BB920" s="66"/>
      <c r="BC920" s="4"/>
      <c r="BD920" s="67"/>
      <c r="BE920" s="67"/>
      <c r="BF920" s="68"/>
      <c r="BG920" s="69"/>
      <c r="BH920" s="84"/>
      <c r="BI920" s="70"/>
      <c r="BJ920" s="73"/>
      <c r="BK920" s="78"/>
      <c r="BL920" s="78">
        <f t="shared" ca="1" si="3"/>
        <v>0</v>
      </c>
      <c r="BM920" s="78"/>
      <c r="BN920" s="78">
        <f t="shared" ca="1" si="4"/>
        <v>0</v>
      </c>
      <c r="BO920" s="66"/>
      <c r="BP920" s="66"/>
    </row>
    <row r="921" spans="1:68" ht="13.2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>
        <f t="shared" ref="AP921:AQ921" si="914">AR921+AT921+AV921</f>
        <v>0</v>
      </c>
      <c r="AQ921" s="75">
        <f t="shared" si="914"/>
        <v>0</v>
      </c>
      <c r="AR921" s="75"/>
      <c r="AS921" s="75"/>
      <c r="AT921" s="75"/>
      <c r="AU921" s="75"/>
      <c r="AV921" s="75"/>
      <c r="AW921" s="75"/>
      <c r="AX921" s="75"/>
      <c r="AY921" s="67">
        <f t="shared" ca="1" si="1"/>
        <v>0</v>
      </c>
      <c r="AZ921" s="75"/>
      <c r="BA921" s="67">
        <f t="shared" ca="1" si="2"/>
        <v>0</v>
      </c>
      <c r="BB921" s="66"/>
      <c r="BC921" s="4"/>
      <c r="BD921" s="67"/>
      <c r="BE921" s="67"/>
      <c r="BF921" s="68"/>
      <c r="BG921" s="69"/>
      <c r="BH921" s="84"/>
      <c r="BI921" s="70"/>
      <c r="BJ921" s="73"/>
      <c r="BK921" s="78"/>
      <c r="BL921" s="78">
        <f t="shared" ca="1" si="3"/>
        <v>0</v>
      </c>
      <c r="BM921" s="78"/>
      <c r="BN921" s="78">
        <f t="shared" ca="1" si="4"/>
        <v>0</v>
      </c>
      <c r="BO921" s="66"/>
      <c r="BP921" s="66"/>
    </row>
    <row r="922" spans="1:68" ht="13.2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>
        <f t="shared" ref="AP922:AQ922" si="915">AR922+AT922+AV922</f>
        <v>0</v>
      </c>
      <c r="AQ922" s="75">
        <f t="shared" si="915"/>
        <v>0</v>
      </c>
      <c r="AR922" s="75"/>
      <c r="AS922" s="75"/>
      <c r="AT922" s="75"/>
      <c r="AU922" s="75"/>
      <c r="AV922" s="75"/>
      <c r="AW922" s="75"/>
      <c r="AX922" s="75"/>
      <c r="AY922" s="67">
        <f t="shared" ca="1" si="1"/>
        <v>0</v>
      </c>
      <c r="AZ922" s="75"/>
      <c r="BA922" s="67">
        <f t="shared" ca="1" si="2"/>
        <v>0</v>
      </c>
      <c r="BB922" s="66"/>
      <c r="BC922" s="4"/>
      <c r="BD922" s="67"/>
      <c r="BE922" s="67"/>
      <c r="BF922" s="68"/>
      <c r="BG922" s="69"/>
      <c r="BH922" s="84"/>
      <c r="BI922" s="70"/>
      <c r="BJ922" s="73"/>
      <c r="BK922" s="78"/>
      <c r="BL922" s="78">
        <f t="shared" ca="1" si="3"/>
        <v>0</v>
      </c>
      <c r="BM922" s="78"/>
      <c r="BN922" s="78">
        <f t="shared" ca="1" si="4"/>
        <v>0</v>
      </c>
      <c r="BO922" s="66"/>
      <c r="BP922" s="66"/>
    </row>
    <row r="923" spans="1:68" ht="13.2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>
        <f t="shared" ref="AP923:AQ923" si="916">AR923+AT923+AV923</f>
        <v>0</v>
      </c>
      <c r="AQ923" s="75">
        <f t="shared" si="916"/>
        <v>0</v>
      </c>
      <c r="AR923" s="75"/>
      <c r="AS923" s="75"/>
      <c r="AT923" s="75"/>
      <c r="AU923" s="75"/>
      <c r="AV923" s="75"/>
      <c r="AW923" s="75"/>
      <c r="AX923" s="75"/>
      <c r="AY923" s="67">
        <f t="shared" ca="1" si="1"/>
        <v>0</v>
      </c>
      <c r="AZ923" s="75"/>
      <c r="BA923" s="67">
        <f t="shared" ca="1" si="2"/>
        <v>0</v>
      </c>
      <c r="BB923" s="66"/>
      <c r="BC923" s="4"/>
      <c r="BD923" s="67"/>
      <c r="BE923" s="67"/>
      <c r="BF923" s="68"/>
      <c r="BG923" s="69"/>
      <c r="BH923" s="84"/>
      <c r="BI923" s="70"/>
      <c r="BJ923" s="73"/>
      <c r="BK923" s="78"/>
      <c r="BL923" s="78">
        <f t="shared" ca="1" si="3"/>
        <v>0</v>
      </c>
      <c r="BM923" s="78"/>
      <c r="BN923" s="78">
        <f t="shared" ca="1" si="4"/>
        <v>0</v>
      </c>
      <c r="BO923" s="66"/>
      <c r="BP923" s="66"/>
    </row>
    <row r="924" spans="1:68" ht="13.2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>
        <f t="shared" ref="AP924:AQ924" si="917">AR924+AT924+AV924</f>
        <v>0</v>
      </c>
      <c r="AQ924" s="75">
        <f t="shared" si="917"/>
        <v>0</v>
      </c>
      <c r="AR924" s="75"/>
      <c r="AS924" s="75"/>
      <c r="AT924" s="75"/>
      <c r="AU924" s="75"/>
      <c r="AV924" s="75"/>
      <c r="AW924" s="75"/>
      <c r="AX924" s="75"/>
      <c r="AY924" s="67">
        <f t="shared" ca="1" si="1"/>
        <v>0</v>
      </c>
      <c r="AZ924" s="75"/>
      <c r="BA924" s="67">
        <f t="shared" ca="1" si="2"/>
        <v>0</v>
      </c>
      <c r="BB924" s="66"/>
      <c r="BC924" s="4"/>
      <c r="BD924" s="67"/>
      <c r="BE924" s="67"/>
      <c r="BF924" s="68"/>
      <c r="BG924" s="69"/>
      <c r="BH924" s="84"/>
      <c r="BI924" s="70"/>
      <c r="BJ924" s="73"/>
      <c r="BK924" s="78"/>
      <c r="BL924" s="78">
        <f t="shared" ca="1" si="3"/>
        <v>0</v>
      </c>
      <c r="BM924" s="78"/>
      <c r="BN924" s="78">
        <f t="shared" ca="1" si="4"/>
        <v>0</v>
      </c>
      <c r="BO924" s="66"/>
      <c r="BP924" s="66"/>
    </row>
    <row r="925" spans="1:68" ht="13.2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>
        <f t="shared" ref="AP925:AQ925" si="918">AR925+AT925+AV925</f>
        <v>0</v>
      </c>
      <c r="AQ925" s="75">
        <f t="shared" si="918"/>
        <v>0</v>
      </c>
      <c r="AR925" s="75"/>
      <c r="AS925" s="75"/>
      <c r="AT925" s="75"/>
      <c r="AU925" s="75"/>
      <c r="AV925" s="75"/>
      <c r="AW925" s="75"/>
      <c r="AX925" s="75"/>
      <c r="AY925" s="67">
        <f t="shared" ca="1" si="1"/>
        <v>0</v>
      </c>
      <c r="AZ925" s="75"/>
      <c r="BA925" s="67">
        <f t="shared" ca="1" si="2"/>
        <v>0</v>
      </c>
      <c r="BB925" s="66"/>
      <c r="BC925" s="4"/>
      <c r="BD925" s="67"/>
      <c r="BE925" s="67"/>
      <c r="BF925" s="68"/>
      <c r="BG925" s="69"/>
      <c r="BH925" s="84"/>
      <c r="BI925" s="70"/>
      <c r="BJ925" s="73"/>
      <c r="BK925" s="78"/>
      <c r="BL925" s="78">
        <f t="shared" ca="1" si="3"/>
        <v>0</v>
      </c>
      <c r="BM925" s="78"/>
      <c r="BN925" s="78">
        <f t="shared" ca="1" si="4"/>
        <v>0</v>
      </c>
      <c r="BO925" s="66"/>
      <c r="BP925" s="66"/>
    </row>
    <row r="926" spans="1:68" ht="13.2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>
        <f t="shared" ref="AP926:AQ926" si="919">AR926+AT926+AV926</f>
        <v>0</v>
      </c>
      <c r="AQ926" s="75">
        <f t="shared" si="919"/>
        <v>0</v>
      </c>
      <c r="AR926" s="75"/>
      <c r="AS926" s="75"/>
      <c r="AT926" s="75"/>
      <c r="AU926" s="75"/>
      <c r="AV926" s="75"/>
      <c r="AW926" s="75"/>
      <c r="AX926" s="75"/>
      <c r="AY926" s="67">
        <f t="shared" ca="1" si="1"/>
        <v>0</v>
      </c>
      <c r="AZ926" s="75"/>
      <c r="BA926" s="67">
        <f t="shared" ca="1" si="2"/>
        <v>0</v>
      </c>
      <c r="BB926" s="66"/>
      <c r="BC926" s="4"/>
      <c r="BD926" s="67"/>
      <c r="BE926" s="67"/>
      <c r="BF926" s="68"/>
      <c r="BG926" s="69"/>
      <c r="BH926" s="84"/>
      <c r="BI926" s="70"/>
      <c r="BJ926" s="73"/>
      <c r="BK926" s="78"/>
      <c r="BL926" s="78">
        <f t="shared" ca="1" si="3"/>
        <v>0</v>
      </c>
      <c r="BM926" s="78"/>
      <c r="BN926" s="78">
        <f t="shared" ca="1" si="4"/>
        <v>0</v>
      </c>
      <c r="BO926" s="66"/>
      <c r="BP926" s="66"/>
    </row>
    <row r="927" spans="1:68" ht="13.2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>
        <f t="shared" ref="AP927:AQ927" si="920">AR927+AT927+AV927</f>
        <v>0</v>
      </c>
      <c r="AQ927" s="75">
        <f t="shared" si="920"/>
        <v>0</v>
      </c>
      <c r="AR927" s="75"/>
      <c r="AS927" s="75"/>
      <c r="AT927" s="75"/>
      <c r="AU927" s="75"/>
      <c r="AV927" s="75"/>
      <c r="AW927" s="75"/>
      <c r="AX927" s="75"/>
      <c r="AY927" s="67">
        <f t="shared" ca="1" si="1"/>
        <v>0</v>
      </c>
      <c r="AZ927" s="75"/>
      <c r="BA927" s="67">
        <f t="shared" ca="1" si="2"/>
        <v>0</v>
      </c>
      <c r="BB927" s="66"/>
      <c r="BC927" s="4"/>
      <c r="BD927" s="67"/>
      <c r="BE927" s="67"/>
      <c r="BF927" s="68"/>
      <c r="BG927" s="69"/>
      <c r="BH927" s="84"/>
      <c r="BI927" s="70"/>
      <c r="BJ927" s="73"/>
      <c r="BK927" s="78"/>
      <c r="BL927" s="78">
        <f t="shared" ca="1" si="3"/>
        <v>0</v>
      </c>
      <c r="BM927" s="78"/>
      <c r="BN927" s="78">
        <f t="shared" ca="1" si="4"/>
        <v>0</v>
      </c>
      <c r="BO927" s="66"/>
      <c r="BP927" s="66"/>
    </row>
    <row r="928" spans="1:68" ht="13.2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>
        <f t="shared" ref="AP928:AQ928" si="921">AR928+AT928+AV928</f>
        <v>0</v>
      </c>
      <c r="AQ928" s="75">
        <f t="shared" si="921"/>
        <v>0</v>
      </c>
      <c r="AR928" s="75"/>
      <c r="AS928" s="75"/>
      <c r="AT928" s="75"/>
      <c r="AU928" s="75"/>
      <c r="AV928" s="75"/>
      <c r="AW928" s="75"/>
      <c r="AX928" s="75"/>
      <c r="AY928" s="67">
        <f t="shared" ca="1" si="1"/>
        <v>0</v>
      </c>
      <c r="AZ928" s="75"/>
      <c r="BA928" s="67">
        <f t="shared" ca="1" si="2"/>
        <v>0</v>
      </c>
      <c r="BB928" s="66"/>
      <c r="BC928" s="4"/>
      <c r="BD928" s="67"/>
      <c r="BE928" s="67"/>
      <c r="BF928" s="68"/>
      <c r="BG928" s="69"/>
      <c r="BH928" s="84"/>
      <c r="BI928" s="70"/>
      <c r="BJ928" s="73"/>
      <c r="BK928" s="78"/>
      <c r="BL928" s="78">
        <f t="shared" ca="1" si="3"/>
        <v>0</v>
      </c>
      <c r="BM928" s="78"/>
      <c r="BN928" s="78">
        <f t="shared" ca="1" si="4"/>
        <v>0</v>
      </c>
      <c r="BO928" s="66"/>
      <c r="BP928" s="66"/>
    </row>
    <row r="929" spans="1:68" ht="13.2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>
        <f t="shared" ref="AP929:AQ929" si="922">AR929+AT929+AV929</f>
        <v>0</v>
      </c>
      <c r="AQ929" s="75">
        <f t="shared" si="922"/>
        <v>0</v>
      </c>
      <c r="AR929" s="75"/>
      <c r="AS929" s="75"/>
      <c r="AT929" s="75"/>
      <c r="AU929" s="75"/>
      <c r="AV929" s="75"/>
      <c r="AW929" s="75"/>
      <c r="AX929" s="75"/>
      <c r="AY929" s="67">
        <f t="shared" ca="1" si="1"/>
        <v>0</v>
      </c>
      <c r="AZ929" s="75"/>
      <c r="BA929" s="67">
        <f t="shared" ca="1" si="2"/>
        <v>0</v>
      </c>
      <c r="BB929" s="66"/>
      <c r="BC929" s="4"/>
      <c r="BD929" s="67"/>
      <c r="BE929" s="67"/>
      <c r="BF929" s="68"/>
      <c r="BG929" s="69"/>
      <c r="BH929" s="84"/>
      <c r="BI929" s="70"/>
      <c r="BJ929" s="73"/>
      <c r="BK929" s="78"/>
      <c r="BL929" s="78">
        <f t="shared" ca="1" si="3"/>
        <v>0</v>
      </c>
      <c r="BM929" s="78"/>
      <c r="BN929" s="78">
        <f t="shared" ca="1" si="4"/>
        <v>0</v>
      </c>
      <c r="BO929" s="66"/>
      <c r="BP929" s="66"/>
    </row>
    <row r="930" spans="1:68" ht="13.2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>
        <f t="shared" ref="AP930:AQ930" si="923">AR930+AT930+AV930</f>
        <v>0</v>
      </c>
      <c r="AQ930" s="75">
        <f t="shared" si="923"/>
        <v>0</v>
      </c>
      <c r="AR930" s="75"/>
      <c r="AS930" s="75"/>
      <c r="AT930" s="75"/>
      <c r="AU930" s="75"/>
      <c r="AV930" s="75"/>
      <c r="AW930" s="75"/>
      <c r="AX930" s="75"/>
      <c r="AY930" s="67">
        <f t="shared" ca="1" si="1"/>
        <v>0</v>
      </c>
      <c r="AZ930" s="75"/>
      <c r="BA930" s="67">
        <f t="shared" ca="1" si="2"/>
        <v>0</v>
      </c>
      <c r="BB930" s="66"/>
      <c r="BC930" s="4"/>
      <c r="BD930" s="67"/>
      <c r="BE930" s="67"/>
      <c r="BF930" s="68"/>
      <c r="BG930" s="69"/>
      <c r="BH930" s="84"/>
      <c r="BI930" s="70"/>
      <c r="BJ930" s="73"/>
      <c r="BK930" s="78"/>
      <c r="BL930" s="78">
        <f t="shared" ca="1" si="3"/>
        <v>0</v>
      </c>
      <c r="BM930" s="78"/>
      <c r="BN930" s="78">
        <f t="shared" ca="1" si="4"/>
        <v>0</v>
      </c>
      <c r="BO930" s="66"/>
      <c r="BP930" s="66"/>
    </row>
    <row r="931" spans="1:68" ht="13.2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>
        <f t="shared" ref="AP931:AQ931" si="924">AR931+AT931+AV931</f>
        <v>0</v>
      </c>
      <c r="AQ931" s="75">
        <f t="shared" si="924"/>
        <v>0</v>
      </c>
      <c r="AR931" s="75"/>
      <c r="AS931" s="75"/>
      <c r="AT931" s="75"/>
      <c r="AU931" s="75"/>
      <c r="AV931" s="75"/>
      <c r="AW931" s="75"/>
      <c r="AX931" s="75"/>
      <c r="AY931" s="67">
        <f t="shared" ca="1" si="1"/>
        <v>0</v>
      </c>
      <c r="AZ931" s="75"/>
      <c r="BA931" s="67">
        <f t="shared" ca="1" si="2"/>
        <v>0</v>
      </c>
      <c r="BB931" s="66"/>
      <c r="BC931" s="4"/>
      <c r="BD931" s="67"/>
      <c r="BE931" s="67"/>
      <c r="BF931" s="68"/>
      <c r="BG931" s="69"/>
      <c r="BH931" s="84"/>
      <c r="BI931" s="70"/>
      <c r="BJ931" s="73"/>
      <c r="BK931" s="78"/>
      <c r="BL931" s="78">
        <f t="shared" ca="1" si="3"/>
        <v>0</v>
      </c>
      <c r="BM931" s="78"/>
      <c r="BN931" s="78">
        <f t="shared" ca="1" si="4"/>
        <v>0</v>
      </c>
      <c r="BO931" s="66"/>
      <c r="BP931" s="66"/>
    </row>
    <row r="932" spans="1:68" ht="13.2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>
        <f t="shared" ref="AP932:AQ932" si="925">AR932+AT932+AV932</f>
        <v>0</v>
      </c>
      <c r="AQ932" s="75">
        <f t="shared" si="925"/>
        <v>0</v>
      </c>
      <c r="AR932" s="75"/>
      <c r="AS932" s="75"/>
      <c r="AT932" s="75"/>
      <c r="AU932" s="75"/>
      <c r="AV932" s="75"/>
      <c r="AW932" s="75"/>
      <c r="AX932" s="75"/>
      <c r="AY932" s="67">
        <f t="shared" ca="1" si="1"/>
        <v>0</v>
      </c>
      <c r="AZ932" s="75"/>
      <c r="BA932" s="67">
        <f t="shared" ca="1" si="2"/>
        <v>0</v>
      </c>
      <c r="BB932" s="66"/>
      <c r="BC932" s="4"/>
      <c r="BD932" s="67"/>
      <c r="BE932" s="67"/>
      <c r="BF932" s="68"/>
      <c r="BG932" s="69"/>
      <c r="BH932" s="84"/>
      <c r="BI932" s="70"/>
      <c r="BJ932" s="73"/>
      <c r="BK932" s="78"/>
      <c r="BL932" s="78">
        <f t="shared" ca="1" si="3"/>
        <v>0</v>
      </c>
      <c r="BM932" s="78"/>
      <c r="BN932" s="78">
        <f t="shared" ca="1" si="4"/>
        <v>0</v>
      </c>
      <c r="BO932" s="66"/>
      <c r="BP932" s="66"/>
    </row>
    <row r="933" spans="1:68" ht="13.2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>
        <f t="shared" ref="AP933:AQ933" si="926">AR933+AT933+AV933</f>
        <v>0</v>
      </c>
      <c r="AQ933" s="75">
        <f t="shared" si="926"/>
        <v>0</v>
      </c>
      <c r="AR933" s="75"/>
      <c r="AS933" s="75"/>
      <c r="AT933" s="75"/>
      <c r="AU933" s="75"/>
      <c r="AV933" s="75"/>
      <c r="AW933" s="75"/>
      <c r="AX933" s="75"/>
      <c r="AY933" s="67">
        <f t="shared" ca="1" si="1"/>
        <v>0</v>
      </c>
      <c r="AZ933" s="75"/>
      <c r="BA933" s="67">
        <f t="shared" ca="1" si="2"/>
        <v>0</v>
      </c>
      <c r="BB933" s="66"/>
      <c r="BC933" s="4"/>
      <c r="BD933" s="67"/>
      <c r="BE933" s="67"/>
      <c r="BF933" s="68"/>
      <c r="BG933" s="69"/>
      <c r="BH933" s="84"/>
      <c r="BI933" s="70"/>
      <c r="BJ933" s="73"/>
      <c r="BK933" s="78"/>
      <c r="BL933" s="78">
        <f t="shared" ca="1" si="3"/>
        <v>0</v>
      </c>
      <c r="BM933" s="78"/>
      <c r="BN933" s="78">
        <f t="shared" ca="1" si="4"/>
        <v>0</v>
      </c>
      <c r="BO933" s="66"/>
      <c r="BP933" s="66"/>
    </row>
    <row r="934" spans="1:68" ht="13.2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>
        <f t="shared" ref="AP934:AQ934" si="927">AR934+AT934+AV934</f>
        <v>0</v>
      </c>
      <c r="AQ934" s="75">
        <f t="shared" si="927"/>
        <v>0</v>
      </c>
      <c r="AR934" s="75"/>
      <c r="AS934" s="75"/>
      <c r="AT934" s="75"/>
      <c r="AU934" s="75"/>
      <c r="AV934" s="75"/>
      <c r="AW934" s="75"/>
      <c r="AX934" s="75"/>
      <c r="AY934" s="67">
        <f t="shared" ca="1" si="1"/>
        <v>0</v>
      </c>
      <c r="AZ934" s="75"/>
      <c r="BA934" s="67">
        <f t="shared" ca="1" si="2"/>
        <v>0</v>
      </c>
      <c r="BB934" s="66"/>
      <c r="BC934" s="4"/>
      <c r="BD934" s="67"/>
      <c r="BE934" s="67"/>
      <c r="BF934" s="68"/>
      <c r="BG934" s="69"/>
      <c r="BH934" s="84"/>
      <c r="BI934" s="70"/>
      <c r="BJ934" s="73"/>
      <c r="BK934" s="78"/>
      <c r="BL934" s="78">
        <f t="shared" ca="1" si="3"/>
        <v>0</v>
      </c>
      <c r="BM934" s="78"/>
      <c r="BN934" s="78">
        <f t="shared" ca="1" si="4"/>
        <v>0</v>
      </c>
      <c r="BO934" s="66"/>
      <c r="BP934" s="66"/>
    </row>
    <row r="935" spans="1:68" ht="13.2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>
        <f t="shared" ref="AP935:AQ935" si="928">AR935+AT935+AV935</f>
        <v>0</v>
      </c>
      <c r="AQ935" s="75">
        <f t="shared" si="928"/>
        <v>0</v>
      </c>
      <c r="AR935" s="75"/>
      <c r="AS935" s="75"/>
      <c r="AT935" s="75"/>
      <c r="AU935" s="75"/>
      <c r="AV935" s="75"/>
      <c r="AW935" s="75"/>
      <c r="AX935" s="75"/>
      <c r="AY935" s="67">
        <f t="shared" ca="1" si="1"/>
        <v>0</v>
      </c>
      <c r="AZ935" s="75"/>
      <c r="BA935" s="67">
        <f t="shared" ca="1" si="2"/>
        <v>0</v>
      </c>
      <c r="BB935" s="66"/>
      <c r="BC935" s="4"/>
      <c r="BD935" s="67"/>
      <c r="BE935" s="67"/>
      <c r="BF935" s="68"/>
      <c r="BG935" s="69"/>
      <c r="BH935" s="84"/>
      <c r="BI935" s="70"/>
      <c r="BJ935" s="73"/>
      <c r="BK935" s="78"/>
      <c r="BL935" s="78">
        <f t="shared" ca="1" si="3"/>
        <v>0</v>
      </c>
      <c r="BM935" s="78"/>
      <c r="BN935" s="78">
        <f t="shared" ca="1" si="4"/>
        <v>0</v>
      </c>
      <c r="BO935" s="66"/>
      <c r="BP935" s="66"/>
    </row>
    <row r="936" spans="1:68" ht="13.2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>
        <f t="shared" ref="AP936:AQ936" si="929">AR936+AT936+AV936</f>
        <v>0</v>
      </c>
      <c r="AQ936" s="75">
        <f t="shared" si="929"/>
        <v>0</v>
      </c>
      <c r="AR936" s="75"/>
      <c r="AS936" s="75"/>
      <c r="AT936" s="75"/>
      <c r="AU936" s="75"/>
      <c r="AV936" s="75"/>
      <c r="AW936" s="75"/>
      <c r="AX936" s="75"/>
      <c r="AY936" s="67">
        <f t="shared" ca="1" si="1"/>
        <v>0</v>
      </c>
      <c r="AZ936" s="75"/>
      <c r="BA936" s="67">
        <f t="shared" ca="1" si="2"/>
        <v>0</v>
      </c>
      <c r="BB936" s="66"/>
      <c r="BC936" s="4"/>
      <c r="BD936" s="67"/>
      <c r="BE936" s="67"/>
      <c r="BF936" s="68"/>
      <c r="BG936" s="69"/>
      <c r="BH936" s="84"/>
      <c r="BI936" s="70"/>
      <c r="BJ936" s="73"/>
      <c r="BK936" s="78"/>
      <c r="BL936" s="78">
        <f t="shared" ca="1" si="3"/>
        <v>0</v>
      </c>
      <c r="BM936" s="78"/>
      <c r="BN936" s="78">
        <f t="shared" ca="1" si="4"/>
        <v>0</v>
      </c>
      <c r="BO936" s="66"/>
      <c r="BP936" s="66"/>
    </row>
    <row r="937" spans="1:68" ht="13.2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>
        <f t="shared" ref="AP937:AQ937" si="930">AR937+AT937+AV937</f>
        <v>0</v>
      </c>
      <c r="AQ937" s="75">
        <f t="shared" si="930"/>
        <v>0</v>
      </c>
      <c r="AR937" s="75"/>
      <c r="AS937" s="75"/>
      <c r="AT937" s="75"/>
      <c r="AU937" s="75"/>
      <c r="AV937" s="75"/>
      <c r="AW937" s="75"/>
      <c r="AX937" s="75"/>
      <c r="AY937" s="67">
        <f t="shared" ca="1" si="1"/>
        <v>0</v>
      </c>
      <c r="AZ937" s="75"/>
      <c r="BA937" s="67">
        <f t="shared" ca="1" si="2"/>
        <v>0</v>
      </c>
      <c r="BB937" s="66"/>
      <c r="BC937" s="4"/>
      <c r="BD937" s="67"/>
      <c r="BE937" s="67"/>
      <c r="BF937" s="68"/>
      <c r="BG937" s="69"/>
      <c r="BH937" s="84"/>
      <c r="BI937" s="70"/>
      <c r="BJ937" s="73"/>
      <c r="BK937" s="78"/>
      <c r="BL937" s="78">
        <f t="shared" ca="1" si="3"/>
        <v>0</v>
      </c>
      <c r="BM937" s="78"/>
      <c r="BN937" s="78">
        <f t="shared" ca="1" si="4"/>
        <v>0</v>
      </c>
      <c r="BO937" s="66"/>
      <c r="BP937" s="66"/>
    </row>
    <row r="938" spans="1:68" ht="13.2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>
        <f t="shared" ref="AP938:AQ938" si="931">AR938+AT938+AV938</f>
        <v>0</v>
      </c>
      <c r="AQ938" s="75">
        <f t="shared" si="931"/>
        <v>0</v>
      </c>
      <c r="AR938" s="75"/>
      <c r="AS938" s="75"/>
      <c r="AT938" s="75"/>
      <c r="AU938" s="75"/>
      <c r="AV938" s="75"/>
      <c r="AW938" s="75"/>
      <c r="AX938" s="75"/>
      <c r="AY938" s="67">
        <f t="shared" ca="1" si="1"/>
        <v>0</v>
      </c>
      <c r="AZ938" s="75"/>
      <c r="BA938" s="67">
        <f t="shared" ca="1" si="2"/>
        <v>0</v>
      </c>
      <c r="BB938" s="66"/>
      <c r="BC938" s="4"/>
      <c r="BD938" s="67"/>
      <c r="BE938" s="67"/>
      <c r="BF938" s="68"/>
      <c r="BG938" s="69"/>
      <c r="BH938" s="84"/>
      <c r="BI938" s="70"/>
      <c r="BJ938" s="73"/>
      <c r="BK938" s="78"/>
      <c r="BL938" s="78">
        <f t="shared" ca="1" si="3"/>
        <v>0</v>
      </c>
      <c r="BM938" s="78"/>
      <c r="BN938" s="78">
        <f t="shared" ca="1" si="4"/>
        <v>0</v>
      </c>
      <c r="BO938" s="66"/>
      <c r="BP938" s="66"/>
    </row>
    <row r="939" spans="1:68" ht="13.2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>
        <f t="shared" ref="AP939:AQ939" si="932">AR939+AT939+AV939</f>
        <v>0</v>
      </c>
      <c r="AQ939" s="75">
        <f t="shared" si="932"/>
        <v>0</v>
      </c>
      <c r="AR939" s="75"/>
      <c r="AS939" s="75"/>
      <c r="AT939" s="75"/>
      <c r="AU939" s="75"/>
      <c r="AV939" s="75"/>
      <c r="AW939" s="75"/>
      <c r="AX939" s="75"/>
      <c r="AY939" s="67">
        <f t="shared" ca="1" si="1"/>
        <v>0</v>
      </c>
      <c r="AZ939" s="75"/>
      <c r="BA939" s="67">
        <f t="shared" ca="1" si="2"/>
        <v>0</v>
      </c>
      <c r="BB939" s="66"/>
      <c r="BC939" s="4"/>
      <c r="BD939" s="67"/>
      <c r="BE939" s="67"/>
      <c r="BF939" s="68"/>
      <c r="BG939" s="69"/>
      <c r="BH939" s="84"/>
      <c r="BI939" s="70"/>
      <c r="BJ939" s="73"/>
      <c r="BK939" s="78"/>
      <c r="BL939" s="78">
        <f t="shared" ca="1" si="3"/>
        <v>0</v>
      </c>
      <c r="BM939" s="78"/>
      <c r="BN939" s="78">
        <f t="shared" ca="1" si="4"/>
        <v>0</v>
      </c>
      <c r="BO939" s="66"/>
      <c r="BP939" s="66"/>
    </row>
    <row r="940" spans="1:68" ht="13.2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>
        <f t="shared" ref="AP940:AQ940" si="933">AR940+AT940+AV940</f>
        <v>0</v>
      </c>
      <c r="AQ940" s="75">
        <f t="shared" si="933"/>
        <v>0</v>
      </c>
      <c r="AR940" s="75"/>
      <c r="AS940" s="75"/>
      <c r="AT940" s="75"/>
      <c r="AU940" s="75"/>
      <c r="AV940" s="75"/>
      <c r="AW940" s="75"/>
      <c r="AX940" s="75"/>
      <c r="AY940" s="67">
        <f t="shared" ca="1" si="1"/>
        <v>0</v>
      </c>
      <c r="AZ940" s="75"/>
      <c r="BA940" s="67">
        <f t="shared" ca="1" si="2"/>
        <v>0</v>
      </c>
      <c r="BB940" s="66"/>
      <c r="BC940" s="4"/>
      <c r="BD940" s="67"/>
      <c r="BE940" s="67"/>
      <c r="BF940" s="68"/>
      <c r="BG940" s="69"/>
      <c r="BH940" s="84"/>
      <c r="BI940" s="70"/>
      <c r="BJ940" s="73"/>
      <c r="BK940" s="78"/>
      <c r="BL940" s="78">
        <f t="shared" ca="1" si="3"/>
        <v>0</v>
      </c>
      <c r="BM940" s="78"/>
      <c r="BN940" s="78">
        <f t="shared" ca="1" si="4"/>
        <v>0</v>
      </c>
      <c r="BO940" s="66"/>
      <c r="BP940" s="66"/>
    </row>
    <row r="941" spans="1:68" ht="13.2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>
        <f t="shared" ref="AP941:AQ941" si="934">AR941+AT941+AV941</f>
        <v>0</v>
      </c>
      <c r="AQ941" s="75">
        <f t="shared" si="934"/>
        <v>0</v>
      </c>
      <c r="AR941" s="75"/>
      <c r="AS941" s="75"/>
      <c r="AT941" s="75"/>
      <c r="AU941" s="75"/>
      <c r="AV941" s="75"/>
      <c r="AW941" s="75"/>
      <c r="AX941" s="75"/>
      <c r="AY941" s="67">
        <f t="shared" ca="1" si="1"/>
        <v>0</v>
      </c>
      <c r="AZ941" s="75"/>
      <c r="BA941" s="67">
        <f t="shared" ca="1" si="2"/>
        <v>0</v>
      </c>
      <c r="BB941" s="66"/>
      <c r="BC941" s="4"/>
      <c r="BD941" s="67"/>
      <c r="BE941" s="67"/>
      <c r="BF941" s="68"/>
      <c r="BG941" s="69"/>
      <c r="BH941" s="84"/>
      <c r="BI941" s="70"/>
      <c r="BJ941" s="73"/>
      <c r="BK941" s="78"/>
      <c r="BL941" s="78">
        <f t="shared" ca="1" si="3"/>
        <v>0</v>
      </c>
      <c r="BM941" s="78"/>
      <c r="BN941" s="78">
        <f t="shared" ca="1" si="4"/>
        <v>0</v>
      </c>
      <c r="BO941" s="66"/>
      <c r="BP941" s="66"/>
    </row>
    <row r="942" spans="1:68" ht="13.2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>
        <f t="shared" ref="AP942:AQ942" si="935">AR942+AT942+AV942</f>
        <v>0</v>
      </c>
      <c r="AQ942" s="75">
        <f t="shared" si="935"/>
        <v>0</v>
      </c>
      <c r="AR942" s="75"/>
      <c r="AS942" s="75"/>
      <c r="AT942" s="75"/>
      <c r="AU942" s="75"/>
      <c r="AV942" s="75"/>
      <c r="AW942" s="75"/>
      <c r="AX942" s="75"/>
      <c r="AY942" s="67">
        <f t="shared" ca="1" si="1"/>
        <v>0</v>
      </c>
      <c r="AZ942" s="75"/>
      <c r="BA942" s="67">
        <f t="shared" ca="1" si="2"/>
        <v>0</v>
      </c>
      <c r="BB942" s="66"/>
      <c r="BC942" s="4"/>
      <c r="BD942" s="67"/>
      <c r="BE942" s="67"/>
      <c r="BF942" s="68"/>
      <c r="BG942" s="69"/>
      <c r="BH942" s="84"/>
      <c r="BI942" s="70"/>
      <c r="BJ942" s="73"/>
      <c r="BK942" s="78"/>
      <c r="BL942" s="78">
        <f t="shared" ca="1" si="3"/>
        <v>0</v>
      </c>
      <c r="BM942" s="78"/>
      <c r="BN942" s="78">
        <f t="shared" ca="1" si="4"/>
        <v>0</v>
      </c>
      <c r="BO942" s="66"/>
      <c r="BP942" s="66"/>
    </row>
    <row r="943" spans="1:68" ht="13.2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>
        <f t="shared" ref="AP943:AQ943" si="936">AR943+AT943+AV943</f>
        <v>0</v>
      </c>
      <c r="AQ943" s="75">
        <f t="shared" si="936"/>
        <v>0</v>
      </c>
      <c r="AR943" s="75"/>
      <c r="AS943" s="75"/>
      <c r="AT943" s="75"/>
      <c r="AU943" s="75"/>
      <c r="AV943" s="75"/>
      <c r="AW943" s="75"/>
      <c r="AX943" s="75"/>
      <c r="AY943" s="67">
        <f t="shared" ca="1" si="1"/>
        <v>0</v>
      </c>
      <c r="AZ943" s="75"/>
      <c r="BA943" s="67">
        <f t="shared" ca="1" si="2"/>
        <v>0</v>
      </c>
      <c r="BB943" s="66"/>
      <c r="BC943" s="4"/>
      <c r="BD943" s="67"/>
      <c r="BE943" s="67"/>
      <c r="BF943" s="68"/>
      <c r="BG943" s="69"/>
      <c r="BH943" s="84"/>
      <c r="BI943" s="70"/>
      <c r="BJ943" s="73"/>
      <c r="BK943" s="78"/>
      <c r="BL943" s="78">
        <f t="shared" ca="1" si="3"/>
        <v>0</v>
      </c>
      <c r="BM943" s="78"/>
      <c r="BN943" s="78">
        <f t="shared" ca="1" si="4"/>
        <v>0</v>
      </c>
      <c r="BO943" s="66"/>
      <c r="BP943" s="66"/>
    </row>
    <row r="944" spans="1:68" ht="13.2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>
        <f t="shared" ref="AP944:AQ944" si="937">AR944+AT944+AV944</f>
        <v>0</v>
      </c>
      <c r="AQ944" s="75">
        <f t="shared" si="937"/>
        <v>0</v>
      </c>
      <c r="AR944" s="75"/>
      <c r="AS944" s="75"/>
      <c r="AT944" s="75"/>
      <c r="AU944" s="75"/>
      <c r="AV944" s="75"/>
      <c r="AW944" s="75"/>
      <c r="AX944" s="75"/>
      <c r="AY944" s="67">
        <f t="shared" ca="1" si="1"/>
        <v>0</v>
      </c>
      <c r="AZ944" s="75"/>
      <c r="BA944" s="67">
        <f t="shared" ca="1" si="2"/>
        <v>0</v>
      </c>
      <c r="BB944" s="66"/>
      <c r="BC944" s="4"/>
      <c r="BD944" s="67"/>
      <c r="BE944" s="67"/>
      <c r="BF944" s="68"/>
      <c r="BG944" s="69"/>
      <c r="BH944" s="84"/>
      <c r="BI944" s="70"/>
      <c r="BJ944" s="73"/>
      <c r="BK944" s="78"/>
      <c r="BL944" s="78">
        <f t="shared" ca="1" si="3"/>
        <v>0</v>
      </c>
      <c r="BM944" s="78"/>
      <c r="BN944" s="78">
        <f t="shared" ca="1" si="4"/>
        <v>0</v>
      </c>
      <c r="BO944" s="66"/>
      <c r="BP944" s="66"/>
    </row>
    <row r="945" spans="1:68" ht="13.2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>
        <f t="shared" ref="AP945:AQ945" si="938">AR945+AT945+AV945</f>
        <v>0</v>
      </c>
      <c r="AQ945" s="75">
        <f t="shared" si="938"/>
        <v>0</v>
      </c>
      <c r="AR945" s="75"/>
      <c r="AS945" s="75"/>
      <c r="AT945" s="75"/>
      <c r="AU945" s="75"/>
      <c r="AV945" s="75"/>
      <c r="AW945" s="75"/>
      <c r="AX945" s="75"/>
      <c r="AY945" s="67">
        <f t="shared" ca="1" si="1"/>
        <v>0</v>
      </c>
      <c r="AZ945" s="75"/>
      <c r="BA945" s="67">
        <f t="shared" ca="1" si="2"/>
        <v>0</v>
      </c>
      <c r="BB945" s="66"/>
      <c r="BC945" s="4"/>
      <c r="BD945" s="67"/>
      <c r="BE945" s="67"/>
      <c r="BF945" s="68"/>
      <c r="BG945" s="69"/>
      <c r="BH945" s="84"/>
      <c r="BI945" s="70"/>
      <c r="BJ945" s="73"/>
      <c r="BK945" s="78"/>
      <c r="BL945" s="78">
        <f t="shared" ca="1" si="3"/>
        <v>0</v>
      </c>
      <c r="BM945" s="78"/>
      <c r="BN945" s="78">
        <f t="shared" ca="1" si="4"/>
        <v>0</v>
      </c>
      <c r="BO945" s="66"/>
      <c r="BP945" s="66"/>
    </row>
    <row r="946" spans="1:68" ht="13.2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>
        <f t="shared" ref="AP946:AQ946" si="939">AR946+AT946+AV946</f>
        <v>0</v>
      </c>
      <c r="AQ946" s="75">
        <f t="shared" si="939"/>
        <v>0</v>
      </c>
      <c r="AR946" s="75"/>
      <c r="AS946" s="75"/>
      <c r="AT946" s="75"/>
      <c r="AU946" s="75"/>
      <c r="AV946" s="75"/>
      <c r="AW946" s="75"/>
      <c r="AX946" s="75"/>
      <c r="AY946" s="67">
        <f t="shared" ca="1" si="1"/>
        <v>0</v>
      </c>
      <c r="AZ946" s="75"/>
      <c r="BA946" s="67">
        <f t="shared" ca="1" si="2"/>
        <v>0</v>
      </c>
      <c r="BB946" s="66"/>
      <c r="BC946" s="4"/>
      <c r="BD946" s="67"/>
      <c r="BE946" s="67"/>
      <c r="BF946" s="68"/>
      <c r="BG946" s="69"/>
      <c r="BH946" s="84"/>
      <c r="BI946" s="70"/>
      <c r="BJ946" s="73"/>
      <c r="BK946" s="78"/>
      <c r="BL946" s="78">
        <f t="shared" ca="1" si="3"/>
        <v>0</v>
      </c>
      <c r="BM946" s="78"/>
      <c r="BN946" s="78">
        <f t="shared" ca="1" si="4"/>
        <v>0</v>
      </c>
      <c r="BO946" s="66"/>
      <c r="BP946" s="66"/>
    </row>
    <row r="947" spans="1:68" ht="13.2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>
        <f t="shared" ref="AP947:AQ947" si="940">AR947+AT947+AV947</f>
        <v>0</v>
      </c>
      <c r="AQ947" s="75">
        <f t="shared" si="940"/>
        <v>0</v>
      </c>
      <c r="AR947" s="75"/>
      <c r="AS947" s="75"/>
      <c r="AT947" s="75"/>
      <c r="AU947" s="75"/>
      <c r="AV947" s="75"/>
      <c r="AW947" s="75"/>
      <c r="AX947" s="75"/>
      <c r="AY947" s="67">
        <f t="shared" ca="1" si="1"/>
        <v>0</v>
      </c>
      <c r="AZ947" s="75"/>
      <c r="BA947" s="67">
        <f t="shared" ca="1" si="2"/>
        <v>0</v>
      </c>
      <c r="BB947" s="66"/>
      <c r="BC947" s="4"/>
      <c r="BD947" s="67"/>
      <c r="BE947" s="67"/>
      <c r="BF947" s="68"/>
      <c r="BG947" s="69"/>
      <c r="BH947" s="84"/>
      <c r="BI947" s="70"/>
      <c r="BJ947" s="73"/>
      <c r="BK947" s="78"/>
      <c r="BL947" s="78">
        <f t="shared" ca="1" si="3"/>
        <v>0</v>
      </c>
      <c r="BM947" s="78"/>
      <c r="BN947" s="78">
        <f t="shared" ca="1" si="4"/>
        <v>0</v>
      </c>
      <c r="BO947" s="66"/>
      <c r="BP947" s="66"/>
    </row>
    <row r="948" spans="1:68" ht="13.2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>
        <f t="shared" ref="AP948:AQ948" si="941">AR948+AT948+AV948</f>
        <v>0</v>
      </c>
      <c r="AQ948" s="75">
        <f t="shared" si="941"/>
        <v>0</v>
      </c>
      <c r="AR948" s="75"/>
      <c r="AS948" s="75"/>
      <c r="AT948" s="75"/>
      <c r="AU948" s="75"/>
      <c r="AV948" s="75"/>
      <c r="AW948" s="75"/>
      <c r="AX948" s="75"/>
      <c r="AY948" s="67">
        <f t="shared" ca="1" si="1"/>
        <v>0</v>
      </c>
      <c r="AZ948" s="75"/>
      <c r="BA948" s="67">
        <f t="shared" ca="1" si="2"/>
        <v>0</v>
      </c>
      <c r="BB948" s="66"/>
      <c r="BC948" s="4"/>
      <c r="BD948" s="67"/>
      <c r="BE948" s="67"/>
      <c r="BF948" s="68"/>
      <c r="BG948" s="69"/>
      <c r="BH948" s="84"/>
      <c r="BI948" s="70"/>
      <c r="BJ948" s="73"/>
      <c r="BK948" s="78"/>
      <c r="BL948" s="78">
        <f t="shared" ca="1" si="3"/>
        <v>0</v>
      </c>
      <c r="BM948" s="78"/>
      <c r="BN948" s="78">
        <f t="shared" ca="1" si="4"/>
        <v>0</v>
      </c>
      <c r="BO948" s="66"/>
      <c r="BP948" s="66"/>
    </row>
    <row r="949" spans="1:68" ht="13.2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>
        <f t="shared" ref="AP949:AQ949" si="942">AR949+AT949+AV949</f>
        <v>0</v>
      </c>
      <c r="AQ949" s="75">
        <f t="shared" si="942"/>
        <v>0</v>
      </c>
      <c r="AR949" s="75"/>
      <c r="AS949" s="75"/>
      <c r="AT949" s="75"/>
      <c r="AU949" s="75"/>
      <c r="AV949" s="75"/>
      <c r="AW949" s="75"/>
      <c r="AX949" s="75"/>
      <c r="AY949" s="67">
        <f t="shared" ca="1" si="1"/>
        <v>0</v>
      </c>
      <c r="AZ949" s="75"/>
      <c r="BA949" s="67">
        <f t="shared" ca="1" si="2"/>
        <v>0</v>
      </c>
      <c r="BB949" s="66"/>
      <c r="BC949" s="4"/>
      <c r="BD949" s="67"/>
      <c r="BE949" s="67"/>
      <c r="BF949" s="68"/>
      <c r="BG949" s="69"/>
      <c r="BH949" s="84"/>
      <c r="BI949" s="70"/>
      <c r="BJ949" s="73"/>
      <c r="BK949" s="78"/>
      <c r="BL949" s="78">
        <f t="shared" ca="1" si="3"/>
        <v>0</v>
      </c>
      <c r="BM949" s="78"/>
      <c r="BN949" s="78">
        <f t="shared" ca="1" si="4"/>
        <v>0</v>
      </c>
      <c r="BO949" s="66"/>
      <c r="BP949" s="66"/>
    </row>
    <row r="950" spans="1:68" ht="13.2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>
        <f t="shared" ref="AP950:AQ950" si="943">AR950+AT950+AV950</f>
        <v>0</v>
      </c>
      <c r="AQ950" s="75">
        <f t="shared" si="943"/>
        <v>0</v>
      </c>
      <c r="AR950" s="75"/>
      <c r="AS950" s="75"/>
      <c r="AT950" s="75"/>
      <c r="AU950" s="75"/>
      <c r="AV950" s="75"/>
      <c r="AW950" s="75"/>
      <c r="AX950" s="75"/>
      <c r="AY950" s="67">
        <f t="shared" ca="1" si="1"/>
        <v>0</v>
      </c>
      <c r="AZ950" s="75"/>
      <c r="BA950" s="67">
        <f t="shared" ca="1" si="2"/>
        <v>0</v>
      </c>
      <c r="BB950" s="66"/>
      <c r="BC950" s="4"/>
      <c r="BD950" s="67"/>
      <c r="BE950" s="67"/>
      <c r="BF950" s="68"/>
      <c r="BG950" s="69"/>
      <c r="BH950" s="84"/>
      <c r="BI950" s="70"/>
      <c r="BJ950" s="73"/>
      <c r="BK950" s="78"/>
      <c r="BL950" s="78">
        <f t="shared" ca="1" si="3"/>
        <v>0</v>
      </c>
      <c r="BM950" s="78"/>
      <c r="BN950" s="78">
        <f t="shared" ca="1" si="4"/>
        <v>0</v>
      </c>
      <c r="BO950" s="66"/>
      <c r="BP950" s="66"/>
    </row>
    <row r="951" spans="1:68" ht="13.2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>
        <f t="shared" ref="AP951:AQ951" si="944">AR951+AT951+AV951</f>
        <v>0</v>
      </c>
      <c r="AQ951" s="75">
        <f t="shared" si="944"/>
        <v>0</v>
      </c>
      <c r="AR951" s="75"/>
      <c r="AS951" s="75"/>
      <c r="AT951" s="75"/>
      <c r="AU951" s="75"/>
      <c r="AV951" s="75"/>
      <c r="AW951" s="75"/>
      <c r="AX951" s="75"/>
      <c r="AY951" s="67">
        <f t="shared" ca="1" si="1"/>
        <v>0</v>
      </c>
      <c r="AZ951" s="75"/>
      <c r="BA951" s="67">
        <f t="shared" ca="1" si="2"/>
        <v>0</v>
      </c>
      <c r="BB951" s="66"/>
      <c r="BC951" s="4"/>
      <c r="BD951" s="67"/>
      <c r="BE951" s="67"/>
      <c r="BF951" s="68"/>
      <c r="BG951" s="69"/>
      <c r="BH951" s="84"/>
      <c r="BI951" s="70"/>
      <c r="BJ951" s="73"/>
      <c r="BK951" s="78"/>
      <c r="BL951" s="78">
        <f t="shared" ca="1" si="3"/>
        <v>0</v>
      </c>
      <c r="BM951" s="78"/>
      <c r="BN951" s="78">
        <f t="shared" ca="1" si="4"/>
        <v>0</v>
      </c>
      <c r="BO951" s="66"/>
      <c r="BP951" s="66"/>
    </row>
    <row r="952" spans="1:68" ht="13.2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>
        <f t="shared" ref="AP952:AQ952" si="945">AR952+AT952+AV952</f>
        <v>0</v>
      </c>
      <c r="AQ952" s="75">
        <f t="shared" si="945"/>
        <v>0</v>
      </c>
      <c r="AR952" s="75"/>
      <c r="AS952" s="75"/>
      <c r="AT952" s="75"/>
      <c r="AU952" s="75"/>
      <c r="AV952" s="75"/>
      <c r="AW952" s="75"/>
      <c r="AX952" s="75"/>
      <c r="AY952" s="67">
        <f t="shared" ca="1" si="1"/>
        <v>0</v>
      </c>
      <c r="AZ952" s="75"/>
      <c r="BA952" s="67">
        <f t="shared" ca="1" si="2"/>
        <v>0</v>
      </c>
      <c r="BB952" s="66"/>
      <c r="BC952" s="4"/>
      <c r="BD952" s="67"/>
      <c r="BE952" s="67"/>
      <c r="BF952" s="68"/>
      <c r="BG952" s="69"/>
      <c r="BH952" s="84"/>
      <c r="BI952" s="70"/>
      <c r="BJ952" s="73"/>
      <c r="BK952" s="78"/>
      <c r="BL952" s="78">
        <f t="shared" ca="1" si="3"/>
        <v>0</v>
      </c>
      <c r="BM952" s="78"/>
      <c r="BN952" s="78">
        <f t="shared" ca="1" si="4"/>
        <v>0</v>
      </c>
      <c r="BO952" s="66"/>
      <c r="BP952" s="66"/>
    </row>
    <row r="953" spans="1:68" ht="13.2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>
        <f t="shared" ref="AP953:AQ953" si="946">AR953+AT953+AV953</f>
        <v>0</v>
      </c>
      <c r="AQ953" s="75">
        <f t="shared" si="946"/>
        <v>0</v>
      </c>
      <c r="AR953" s="75"/>
      <c r="AS953" s="75"/>
      <c r="AT953" s="75"/>
      <c r="AU953" s="75"/>
      <c r="AV953" s="75"/>
      <c r="AW953" s="75"/>
      <c r="AX953" s="75"/>
      <c r="AY953" s="67">
        <f t="shared" ca="1" si="1"/>
        <v>0</v>
      </c>
      <c r="AZ953" s="75"/>
      <c r="BA953" s="67">
        <f t="shared" ca="1" si="2"/>
        <v>0</v>
      </c>
      <c r="BB953" s="66"/>
      <c r="BC953" s="4"/>
      <c r="BD953" s="67"/>
      <c r="BE953" s="67"/>
      <c r="BF953" s="68"/>
      <c r="BG953" s="69"/>
      <c r="BH953" s="84"/>
      <c r="BI953" s="70"/>
      <c r="BJ953" s="73"/>
      <c r="BK953" s="78"/>
      <c r="BL953" s="78">
        <f t="shared" ca="1" si="3"/>
        <v>0</v>
      </c>
      <c r="BM953" s="78"/>
      <c r="BN953" s="78">
        <f t="shared" ca="1" si="4"/>
        <v>0</v>
      </c>
      <c r="BO953" s="66"/>
      <c r="BP953" s="66"/>
    </row>
    <row r="954" spans="1:68" ht="13.2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>
        <f t="shared" ref="AP954:AQ954" si="947">AR954+AT954+AV954</f>
        <v>0</v>
      </c>
      <c r="AQ954" s="75">
        <f t="shared" si="947"/>
        <v>0</v>
      </c>
      <c r="AR954" s="75"/>
      <c r="AS954" s="75"/>
      <c r="AT954" s="75"/>
      <c r="AU954" s="75"/>
      <c r="AV954" s="75"/>
      <c r="AW954" s="75"/>
      <c r="AX954" s="75"/>
      <c r="AY954" s="67">
        <f t="shared" ca="1" si="1"/>
        <v>0</v>
      </c>
      <c r="AZ954" s="75"/>
      <c r="BA954" s="67">
        <f t="shared" ca="1" si="2"/>
        <v>0</v>
      </c>
      <c r="BB954" s="66"/>
      <c r="BC954" s="4"/>
      <c r="BD954" s="67"/>
      <c r="BE954" s="67"/>
      <c r="BF954" s="68"/>
      <c r="BG954" s="69"/>
      <c r="BH954" s="84"/>
      <c r="BI954" s="70"/>
      <c r="BJ954" s="73"/>
      <c r="BK954" s="78"/>
      <c r="BL954" s="78">
        <f t="shared" ca="1" si="3"/>
        <v>0</v>
      </c>
      <c r="BM954" s="78"/>
      <c r="BN954" s="78">
        <f t="shared" ca="1" si="4"/>
        <v>0</v>
      </c>
      <c r="BO954" s="66"/>
      <c r="BP954" s="66"/>
    </row>
    <row r="955" spans="1:68" ht="13.2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>
        <f t="shared" ref="AP955:AQ955" si="948">AR955+AT955+AV955</f>
        <v>0</v>
      </c>
      <c r="AQ955" s="75">
        <f t="shared" si="948"/>
        <v>0</v>
      </c>
      <c r="AR955" s="75"/>
      <c r="AS955" s="75"/>
      <c r="AT955" s="75"/>
      <c r="AU955" s="75"/>
      <c r="AV955" s="75"/>
      <c r="AW955" s="75"/>
      <c r="AX955" s="75"/>
      <c r="AY955" s="67">
        <f t="shared" ca="1" si="1"/>
        <v>0</v>
      </c>
      <c r="AZ955" s="75"/>
      <c r="BA955" s="67">
        <f t="shared" ca="1" si="2"/>
        <v>0</v>
      </c>
      <c r="BB955" s="66"/>
      <c r="BC955" s="4"/>
      <c r="BD955" s="67"/>
      <c r="BE955" s="67"/>
      <c r="BF955" s="68"/>
      <c r="BG955" s="69"/>
      <c r="BH955" s="84"/>
      <c r="BI955" s="70"/>
      <c r="BJ955" s="73"/>
      <c r="BK955" s="78"/>
      <c r="BL955" s="78">
        <f t="shared" ca="1" si="3"/>
        <v>0</v>
      </c>
      <c r="BM955" s="78"/>
      <c r="BN955" s="78">
        <f t="shared" ca="1" si="4"/>
        <v>0</v>
      </c>
      <c r="BO955" s="66"/>
      <c r="BP955" s="66"/>
    </row>
    <row r="956" spans="1:68" ht="13.2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>
        <f t="shared" ref="AP956:AQ956" si="949">AR956+AT956+AV956</f>
        <v>0</v>
      </c>
      <c r="AQ956" s="75">
        <f t="shared" si="949"/>
        <v>0</v>
      </c>
      <c r="AR956" s="75"/>
      <c r="AS956" s="75"/>
      <c r="AT956" s="75"/>
      <c r="AU956" s="75"/>
      <c r="AV956" s="75"/>
      <c r="AW956" s="75"/>
      <c r="AX956" s="75"/>
      <c r="AY956" s="67">
        <f t="shared" ca="1" si="1"/>
        <v>0</v>
      </c>
      <c r="AZ956" s="75"/>
      <c r="BA956" s="67">
        <f t="shared" ca="1" si="2"/>
        <v>0</v>
      </c>
      <c r="BB956" s="66"/>
      <c r="BC956" s="4"/>
      <c r="BD956" s="67"/>
      <c r="BE956" s="67"/>
      <c r="BF956" s="68"/>
      <c r="BG956" s="69"/>
      <c r="BH956" s="84"/>
      <c r="BI956" s="70"/>
      <c r="BJ956" s="73"/>
      <c r="BK956" s="78"/>
      <c r="BL956" s="78">
        <f t="shared" ca="1" si="3"/>
        <v>0</v>
      </c>
      <c r="BM956" s="78"/>
      <c r="BN956" s="78">
        <f t="shared" ca="1" si="4"/>
        <v>0</v>
      </c>
      <c r="BO956" s="66"/>
      <c r="BP956" s="66"/>
    </row>
    <row r="957" spans="1:68" ht="13.2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>
        <f t="shared" ref="AP957:AQ957" si="950">AR957+AT957+AV957</f>
        <v>0</v>
      </c>
      <c r="AQ957" s="75">
        <f t="shared" si="950"/>
        <v>0</v>
      </c>
      <c r="AR957" s="75"/>
      <c r="AS957" s="75"/>
      <c r="AT957" s="75"/>
      <c r="AU957" s="75"/>
      <c r="AV957" s="75"/>
      <c r="AW957" s="75"/>
      <c r="AX957" s="75"/>
      <c r="AY957" s="67">
        <f t="shared" ca="1" si="1"/>
        <v>0</v>
      </c>
      <c r="AZ957" s="75"/>
      <c r="BA957" s="67">
        <f t="shared" ca="1" si="2"/>
        <v>0</v>
      </c>
      <c r="BB957" s="66"/>
      <c r="BC957" s="4"/>
      <c r="BD957" s="67"/>
      <c r="BE957" s="67"/>
      <c r="BF957" s="68"/>
      <c r="BG957" s="69"/>
      <c r="BH957" s="84"/>
      <c r="BI957" s="70"/>
      <c r="BJ957" s="73"/>
      <c r="BK957" s="78"/>
      <c r="BL957" s="78">
        <f t="shared" ca="1" si="3"/>
        <v>0</v>
      </c>
      <c r="BM957" s="78"/>
      <c r="BN957" s="78">
        <f t="shared" ca="1" si="4"/>
        <v>0</v>
      </c>
      <c r="BO957" s="66"/>
      <c r="BP957" s="66"/>
    </row>
    <row r="958" spans="1:68" ht="13.2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>
        <f t="shared" ref="AP958:AQ958" si="951">AR958+AT958+AV958</f>
        <v>0</v>
      </c>
      <c r="AQ958" s="75">
        <f t="shared" si="951"/>
        <v>0</v>
      </c>
      <c r="AR958" s="75"/>
      <c r="AS958" s="75"/>
      <c r="AT958" s="75"/>
      <c r="AU958" s="75"/>
      <c r="AV958" s="75"/>
      <c r="AW958" s="75"/>
      <c r="AX958" s="75"/>
      <c r="AY958" s="67">
        <f t="shared" ca="1" si="1"/>
        <v>0</v>
      </c>
      <c r="AZ958" s="75"/>
      <c r="BA958" s="67">
        <f t="shared" ca="1" si="2"/>
        <v>0</v>
      </c>
      <c r="BB958" s="66"/>
      <c r="BC958" s="4"/>
      <c r="BD958" s="67"/>
      <c r="BE958" s="67"/>
      <c r="BF958" s="68"/>
      <c r="BG958" s="69"/>
      <c r="BH958" s="84"/>
      <c r="BI958" s="70"/>
      <c r="BJ958" s="73"/>
      <c r="BK958" s="78"/>
      <c r="BL958" s="78">
        <f t="shared" ca="1" si="3"/>
        <v>0</v>
      </c>
      <c r="BM958" s="78"/>
      <c r="BN958" s="78">
        <f t="shared" ca="1" si="4"/>
        <v>0</v>
      </c>
      <c r="BO958" s="66"/>
      <c r="BP958" s="66"/>
    </row>
    <row r="959" spans="1:68" ht="13.2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>
        <f t="shared" ref="AP959:AQ959" si="952">AR959+AT959+AV959</f>
        <v>0</v>
      </c>
      <c r="AQ959" s="75">
        <f t="shared" si="952"/>
        <v>0</v>
      </c>
      <c r="AR959" s="75"/>
      <c r="AS959" s="75"/>
      <c r="AT959" s="75"/>
      <c r="AU959" s="75"/>
      <c r="AV959" s="75"/>
      <c r="AW959" s="75"/>
      <c r="AX959" s="75"/>
      <c r="AY959" s="67">
        <f t="shared" ca="1" si="1"/>
        <v>0</v>
      </c>
      <c r="AZ959" s="75"/>
      <c r="BA959" s="67">
        <f t="shared" ca="1" si="2"/>
        <v>0</v>
      </c>
      <c r="BB959" s="66"/>
      <c r="BC959" s="4"/>
      <c r="BD959" s="67"/>
      <c r="BE959" s="67"/>
      <c r="BF959" s="68"/>
      <c r="BG959" s="69"/>
      <c r="BH959" s="84"/>
      <c r="BI959" s="70"/>
      <c r="BJ959" s="73"/>
      <c r="BK959" s="78"/>
      <c r="BL959" s="78">
        <f t="shared" ca="1" si="3"/>
        <v>0</v>
      </c>
      <c r="BM959" s="78"/>
      <c r="BN959" s="78">
        <f t="shared" ca="1" si="4"/>
        <v>0</v>
      </c>
      <c r="BO959" s="66"/>
      <c r="BP959" s="66"/>
    </row>
    <row r="960" spans="1:68" ht="13.2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>
        <f t="shared" ref="AP960:AQ960" si="953">AR960+AT960+AV960</f>
        <v>0</v>
      </c>
      <c r="AQ960" s="75">
        <f t="shared" si="953"/>
        <v>0</v>
      </c>
      <c r="AR960" s="75"/>
      <c r="AS960" s="75"/>
      <c r="AT960" s="75"/>
      <c r="AU960" s="75"/>
      <c r="AV960" s="75"/>
      <c r="AW960" s="75"/>
      <c r="AX960" s="75"/>
      <c r="AY960" s="67">
        <f t="shared" ca="1" si="1"/>
        <v>0</v>
      </c>
      <c r="AZ960" s="75"/>
      <c r="BA960" s="67">
        <f t="shared" ca="1" si="2"/>
        <v>0</v>
      </c>
      <c r="BB960" s="66"/>
      <c r="BC960" s="4"/>
      <c r="BD960" s="67"/>
      <c r="BE960" s="67"/>
      <c r="BF960" s="68"/>
      <c r="BG960" s="69"/>
      <c r="BH960" s="84"/>
      <c r="BI960" s="70"/>
      <c r="BJ960" s="73"/>
      <c r="BK960" s="78"/>
      <c r="BL960" s="78">
        <f t="shared" ca="1" si="3"/>
        <v>0</v>
      </c>
      <c r="BM960" s="78"/>
      <c r="BN960" s="78">
        <f t="shared" ca="1" si="4"/>
        <v>0</v>
      </c>
      <c r="BO960" s="66"/>
      <c r="BP960" s="66"/>
    </row>
    <row r="961" spans="1:68" ht="13.2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>
        <f t="shared" ref="AP961:AQ961" si="954">AR961+AT961+AV961</f>
        <v>0</v>
      </c>
      <c r="AQ961" s="75">
        <f t="shared" si="954"/>
        <v>0</v>
      </c>
      <c r="AR961" s="75"/>
      <c r="AS961" s="75"/>
      <c r="AT961" s="75"/>
      <c r="AU961" s="75"/>
      <c r="AV961" s="75"/>
      <c r="AW961" s="75"/>
      <c r="AX961" s="75"/>
      <c r="AY961" s="67">
        <f t="shared" ca="1" si="1"/>
        <v>0</v>
      </c>
      <c r="AZ961" s="75"/>
      <c r="BA961" s="67">
        <f t="shared" ca="1" si="2"/>
        <v>0</v>
      </c>
      <c r="BB961" s="66"/>
      <c r="BC961" s="4"/>
      <c r="BD961" s="67"/>
      <c r="BE961" s="67"/>
      <c r="BF961" s="68"/>
      <c r="BG961" s="69"/>
      <c r="BH961" s="84"/>
      <c r="BI961" s="70"/>
      <c r="BJ961" s="73"/>
      <c r="BK961" s="78"/>
      <c r="BL961" s="78">
        <f t="shared" ca="1" si="3"/>
        <v>0</v>
      </c>
      <c r="BM961" s="78"/>
      <c r="BN961" s="78">
        <f t="shared" ca="1" si="4"/>
        <v>0</v>
      </c>
      <c r="BO961" s="66"/>
      <c r="BP961" s="66"/>
    </row>
    <row r="962" spans="1:68" ht="13.2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>
        <f t="shared" ref="AP962:AQ962" si="955">AR962+AT962+AV962</f>
        <v>0</v>
      </c>
      <c r="AQ962" s="75">
        <f t="shared" si="955"/>
        <v>0</v>
      </c>
      <c r="AR962" s="75"/>
      <c r="AS962" s="75"/>
      <c r="AT962" s="75"/>
      <c r="AU962" s="75"/>
      <c r="AV962" s="75"/>
      <c r="AW962" s="75"/>
      <c r="AX962" s="75"/>
      <c r="AY962" s="67">
        <f t="shared" ca="1" si="1"/>
        <v>0</v>
      </c>
      <c r="AZ962" s="75"/>
      <c r="BA962" s="67">
        <f t="shared" ca="1" si="2"/>
        <v>0</v>
      </c>
      <c r="BB962" s="66"/>
      <c r="BC962" s="4"/>
      <c r="BD962" s="67"/>
      <c r="BE962" s="67"/>
      <c r="BF962" s="68"/>
      <c r="BG962" s="69"/>
      <c r="BH962" s="84"/>
      <c r="BI962" s="70"/>
      <c r="BJ962" s="73"/>
      <c r="BK962" s="78"/>
      <c r="BL962" s="78">
        <f t="shared" ca="1" si="3"/>
        <v>0</v>
      </c>
      <c r="BM962" s="78"/>
      <c r="BN962" s="78">
        <f t="shared" ca="1" si="4"/>
        <v>0</v>
      </c>
      <c r="BO962" s="66"/>
      <c r="BP962" s="66"/>
    </row>
    <row r="963" spans="1:68" ht="13.2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>
        <f t="shared" ref="AP963:AQ963" si="956">AR963+AT963+AV963</f>
        <v>0</v>
      </c>
      <c r="AQ963" s="75">
        <f t="shared" si="956"/>
        <v>0</v>
      </c>
      <c r="AR963" s="75"/>
      <c r="AS963" s="75"/>
      <c r="AT963" s="75"/>
      <c r="AU963" s="75"/>
      <c r="AV963" s="75"/>
      <c r="AW963" s="75"/>
      <c r="AX963" s="75"/>
      <c r="AY963" s="67">
        <f t="shared" ca="1" si="1"/>
        <v>0</v>
      </c>
      <c r="AZ963" s="75"/>
      <c r="BA963" s="67">
        <f t="shared" ca="1" si="2"/>
        <v>0</v>
      </c>
      <c r="BB963" s="66"/>
      <c r="BC963" s="4"/>
      <c r="BD963" s="67"/>
      <c r="BE963" s="67"/>
      <c r="BF963" s="68"/>
      <c r="BG963" s="69"/>
      <c r="BH963" s="84"/>
      <c r="BI963" s="70"/>
      <c r="BJ963" s="73"/>
      <c r="BK963" s="78"/>
      <c r="BL963" s="78">
        <f t="shared" ca="1" si="3"/>
        <v>0</v>
      </c>
      <c r="BM963" s="78"/>
      <c r="BN963" s="78">
        <f t="shared" ca="1" si="4"/>
        <v>0</v>
      </c>
      <c r="BO963" s="66"/>
      <c r="BP963" s="66"/>
    </row>
    <row r="964" spans="1:68" ht="13.2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>
        <f t="shared" ref="AP964:AQ964" si="957">AR964+AT964+AV964</f>
        <v>0</v>
      </c>
      <c r="AQ964" s="75">
        <f t="shared" si="957"/>
        <v>0</v>
      </c>
      <c r="AR964" s="75"/>
      <c r="AS964" s="75"/>
      <c r="AT964" s="75"/>
      <c r="AU964" s="75"/>
      <c r="AV964" s="75"/>
      <c r="AW964" s="75"/>
      <c r="AX964" s="75"/>
      <c r="AY964" s="67">
        <f t="shared" ca="1" si="1"/>
        <v>0</v>
      </c>
      <c r="AZ964" s="75"/>
      <c r="BA964" s="67">
        <f t="shared" ca="1" si="2"/>
        <v>0</v>
      </c>
      <c r="BB964" s="66"/>
      <c r="BC964" s="4"/>
      <c r="BD964" s="67"/>
      <c r="BE964" s="67"/>
      <c r="BF964" s="68"/>
      <c r="BG964" s="69"/>
      <c r="BH964" s="84"/>
      <c r="BI964" s="70"/>
      <c r="BJ964" s="73"/>
      <c r="BK964" s="78"/>
      <c r="BL964" s="78">
        <f t="shared" ca="1" si="3"/>
        <v>0</v>
      </c>
      <c r="BM964" s="78"/>
      <c r="BN964" s="78">
        <f t="shared" ca="1" si="4"/>
        <v>0</v>
      </c>
      <c r="BO964" s="66"/>
      <c r="BP964" s="66"/>
    </row>
    <row r="965" spans="1:68" ht="13.2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>
        <f t="shared" ref="AP965:AQ965" si="958">AR965+AT965+AV965</f>
        <v>0</v>
      </c>
      <c r="AQ965" s="75">
        <f t="shared" si="958"/>
        <v>0</v>
      </c>
      <c r="AR965" s="75"/>
      <c r="AS965" s="75"/>
      <c r="AT965" s="75"/>
      <c r="AU965" s="75"/>
      <c r="AV965" s="75"/>
      <c r="AW965" s="75"/>
      <c r="AX965" s="75"/>
      <c r="AY965" s="67">
        <f t="shared" ca="1" si="1"/>
        <v>0</v>
      </c>
      <c r="AZ965" s="75"/>
      <c r="BA965" s="67">
        <f t="shared" ca="1" si="2"/>
        <v>0</v>
      </c>
      <c r="BB965" s="66"/>
      <c r="BC965" s="4"/>
      <c r="BD965" s="67"/>
      <c r="BE965" s="67"/>
      <c r="BF965" s="68"/>
      <c r="BG965" s="69"/>
      <c r="BH965" s="84"/>
      <c r="BI965" s="70"/>
      <c r="BJ965" s="73"/>
      <c r="BK965" s="78"/>
      <c r="BL965" s="78">
        <f t="shared" ca="1" si="3"/>
        <v>0</v>
      </c>
      <c r="BM965" s="78"/>
      <c r="BN965" s="78">
        <f t="shared" ca="1" si="4"/>
        <v>0</v>
      </c>
      <c r="BO965" s="66"/>
      <c r="BP965" s="66"/>
    </row>
    <row r="966" spans="1:68" ht="13.2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>
        <f t="shared" ref="AP966:AQ966" si="959">AR966+AT966+AV966</f>
        <v>0</v>
      </c>
      <c r="AQ966" s="75">
        <f t="shared" si="959"/>
        <v>0</v>
      </c>
      <c r="AR966" s="75"/>
      <c r="AS966" s="75"/>
      <c r="AT966" s="75"/>
      <c r="AU966" s="75"/>
      <c r="AV966" s="75"/>
      <c r="AW966" s="75"/>
      <c r="AX966" s="75"/>
      <c r="AY966" s="67">
        <f t="shared" ca="1" si="1"/>
        <v>0</v>
      </c>
      <c r="AZ966" s="75"/>
      <c r="BA966" s="67">
        <f t="shared" ca="1" si="2"/>
        <v>0</v>
      </c>
      <c r="BB966" s="66"/>
      <c r="BC966" s="4"/>
      <c r="BD966" s="67"/>
      <c r="BE966" s="67"/>
      <c r="BF966" s="68"/>
      <c r="BG966" s="69"/>
      <c r="BH966" s="84"/>
      <c r="BI966" s="70"/>
      <c r="BJ966" s="73"/>
      <c r="BK966" s="78"/>
      <c r="BL966" s="78">
        <f t="shared" ca="1" si="3"/>
        <v>0</v>
      </c>
      <c r="BM966" s="78"/>
      <c r="BN966" s="78">
        <f t="shared" ca="1" si="4"/>
        <v>0</v>
      </c>
      <c r="BO966" s="66"/>
      <c r="BP966" s="66"/>
    </row>
    <row r="967" spans="1:68" ht="13.2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>
        <f t="shared" ref="AP967:AQ967" si="960">AR967+AT967+AV967</f>
        <v>0</v>
      </c>
      <c r="AQ967" s="75">
        <f t="shared" si="960"/>
        <v>0</v>
      </c>
      <c r="AR967" s="75"/>
      <c r="AS967" s="75"/>
      <c r="AT967" s="75"/>
      <c r="AU967" s="75"/>
      <c r="AV967" s="75"/>
      <c r="AW967" s="75"/>
      <c r="AX967" s="75"/>
      <c r="AY967" s="67">
        <f t="shared" ca="1" si="1"/>
        <v>0</v>
      </c>
      <c r="AZ967" s="75"/>
      <c r="BA967" s="67">
        <f t="shared" ca="1" si="2"/>
        <v>0</v>
      </c>
      <c r="BB967" s="66"/>
      <c r="BC967" s="4"/>
      <c r="BD967" s="67"/>
      <c r="BE967" s="67"/>
      <c r="BF967" s="68"/>
      <c r="BG967" s="69"/>
      <c r="BH967" s="84"/>
      <c r="BI967" s="70"/>
      <c r="BJ967" s="73"/>
      <c r="BK967" s="78"/>
      <c r="BL967" s="78">
        <f t="shared" ca="1" si="3"/>
        <v>0</v>
      </c>
      <c r="BM967" s="78"/>
      <c r="BN967" s="78">
        <f t="shared" ca="1" si="4"/>
        <v>0</v>
      </c>
      <c r="BO967" s="66"/>
      <c r="BP967" s="66"/>
    </row>
    <row r="968" spans="1:68" ht="13.2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>
        <f t="shared" ref="AP968:AQ968" si="961">AR968+AT968+AV968</f>
        <v>0</v>
      </c>
      <c r="AQ968" s="75">
        <f t="shared" si="961"/>
        <v>0</v>
      </c>
      <c r="AR968" s="75"/>
      <c r="AS968" s="75"/>
      <c r="AT968" s="75"/>
      <c r="AU968" s="75"/>
      <c r="AV968" s="75"/>
      <c r="AW968" s="75"/>
      <c r="AX968" s="75"/>
      <c r="AY968" s="67">
        <f t="shared" ca="1" si="1"/>
        <v>0</v>
      </c>
      <c r="AZ968" s="75"/>
      <c r="BA968" s="67">
        <f t="shared" ca="1" si="2"/>
        <v>0</v>
      </c>
      <c r="BB968" s="66"/>
      <c r="BC968" s="4"/>
      <c r="BD968" s="67"/>
      <c r="BE968" s="67"/>
      <c r="BF968" s="68"/>
      <c r="BG968" s="69"/>
      <c r="BH968" s="84"/>
      <c r="BI968" s="70"/>
      <c r="BJ968" s="73"/>
      <c r="BK968" s="78"/>
      <c r="BL968" s="78">
        <f t="shared" ca="1" si="3"/>
        <v>0</v>
      </c>
      <c r="BM968" s="78"/>
      <c r="BN968" s="78">
        <f t="shared" ca="1" si="4"/>
        <v>0</v>
      </c>
      <c r="BO968" s="66"/>
      <c r="BP968" s="66"/>
    </row>
    <row r="969" spans="1:68" ht="13.2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>
        <f t="shared" ref="AP969:AQ969" si="962">AR969+AT969+AV969</f>
        <v>0</v>
      </c>
      <c r="AQ969" s="75">
        <f t="shared" si="962"/>
        <v>0</v>
      </c>
      <c r="AR969" s="75"/>
      <c r="AS969" s="75"/>
      <c r="AT969" s="75"/>
      <c r="AU969" s="75"/>
      <c r="AV969" s="75"/>
      <c r="AW969" s="75"/>
      <c r="AX969" s="75"/>
      <c r="AY969" s="67">
        <f t="shared" ca="1" si="1"/>
        <v>0</v>
      </c>
      <c r="AZ969" s="75"/>
      <c r="BA969" s="67">
        <f t="shared" ca="1" si="2"/>
        <v>0</v>
      </c>
      <c r="BB969" s="66"/>
      <c r="BC969" s="4"/>
      <c r="BD969" s="67"/>
      <c r="BE969" s="67"/>
      <c r="BF969" s="68"/>
      <c r="BG969" s="69"/>
      <c r="BH969" s="84"/>
      <c r="BI969" s="70"/>
      <c r="BJ969" s="73"/>
      <c r="BK969" s="78"/>
      <c r="BL969" s="78">
        <f t="shared" ca="1" si="3"/>
        <v>0</v>
      </c>
      <c r="BM969" s="78"/>
      <c r="BN969" s="78">
        <f t="shared" ca="1" si="4"/>
        <v>0</v>
      </c>
      <c r="BO969" s="66"/>
      <c r="BP969" s="66"/>
    </row>
    <row r="970" spans="1:68" ht="13.2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>
        <f t="shared" ref="AP970:AQ970" si="963">AR970+AT970+AV970</f>
        <v>0</v>
      </c>
      <c r="AQ970" s="75">
        <f t="shared" si="963"/>
        <v>0</v>
      </c>
      <c r="AR970" s="75"/>
      <c r="AS970" s="75"/>
      <c r="AT970" s="75"/>
      <c r="AU970" s="75"/>
      <c r="AV970" s="75"/>
      <c r="AW970" s="75"/>
      <c r="AX970" s="75"/>
      <c r="AY970" s="67">
        <f t="shared" ca="1" si="1"/>
        <v>0</v>
      </c>
      <c r="AZ970" s="75"/>
      <c r="BA970" s="67">
        <f t="shared" ca="1" si="2"/>
        <v>0</v>
      </c>
      <c r="BB970" s="66"/>
      <c r="BC970" s="4"/>
      <c r="BD970" s="67"/>
      <c r="BE970" s="67"/>
      <c r="BF970" s="68"/>
      <c r="BG970" s="69"/>
      <c r="BH970" s="84"/>
      <c r="BI970" s="70"/>
      <c r="BJ970" s="73"/>
      <c r="BK970" s="78"/>
      <c r="BL970" s="78">
        <f t="shared" ca="1" si="3"/>
        <v>0</v>
      </c>
      <c r="BM970" s="78"/>
      <c r="BN970" s="78">
        <f t="shared" ca="1" si="4"/>
        <v>0</v>
      </c>
      <c r="BO970" s="66"/>
      <c r="BP970" s="66"/>
    </row>
    <row r="971" spans="1:68" ht="13.2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>
        <f t="shared" ref="AP971:AQ971" si="964">AR971+AT971+AV971</f>
        <v>0</v>
      </c>
      <c r="AQ971" s="75">
        <f t="shared" si="964"/>
        <v>0</v>
      </c>
      <c r="AR971" s="75"/>
      <c r="AS971" s="75"/>
      <c r="AT971" s="75"/>
      <c r="AU971" s="75"/>
      <c r="AV971" s="75"/>
      <c r="AW971" s="75"/>
      <c r="AX971" s="75"/>
      <c r="AY971" s="67">
        <f t="shared" ca="1" si="1"/>
        <v>0</v>
      </c>
      <c r="AZ971" s="75"/>
      <c r="BA971" s="67">
        <f t="shared" ca="1" si="2"/>
        <v>0</v>
      </c>
      <c r="BB971" s="66"/>
      <c r="BC971" s="4"/>
      <c r="BD971" s="67"/>
      <c r="BE971" s="67"/>
      <c r="BF971" s="68"/>
      <c r="BG971" s="69"/>
      <c r="BH971" s="84"/>
      <c r="BI971" s="70"/>
      <c r="BJ971" s="73"/>
      <c r="BK971" s="78"/>
      <c r="BL971" s="78">
        <f t="shared" ca="1" si="3"/>
        <v>0</v>
      </c>
      <c r="BM971" s="78"/>
      <c r="BN971" s="78">
        <f t="shared" ca="1" si="4"/>
        <v>0</v>
      </c>
      <c r="BO971" s="66"/>
      <c r="BP971" s="66"/>
    </row>
    <row r="972" spans="1:68" ht="13.2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>
        <f t="shared" ref="AP972:AQ972" si="965">AR972+AT972+AV972</f>
        <v>0</v>
      </c>
      <c r="AQ972" s="75">
        <f t="shared" si="965"/>
        <v>0</v>
      </c>
      <c r="AR972" s="75"/>
      <c r="AS972" s="75"/>
      <c r="AT972" s="75"/>
      <c r="AU972" s="75"/>
      <c r="AV972" s="75"/>
      <c r="AW972" s="75"/>
      <c r="AX972" s="75"/>
      <c r="AY972" s="67">
        <f t="shared" ca="1" si="1"/>
        <v>0</v>
      </c>
      <c r="AZ972" s="75"/>
      <c r="BA972" s="67">
        <f t="shared" ca="1" si="2"/>
        <v>0</v>
      </c>
      <c r="BB972" s="66"/>
      <c r="BC972" s="4"/>
      <c r="BD972" s="67"/>
      <c r="BE972" s="67"/>
      <c r="BF972" s="68"/>
      <c r="BG972" s="69"/>
      <c r="BH972" s="70"/>
      <c r="BI972" s="70"/>
      <c r="BJ972" s="73"/>
      <c r="BK972" s="78"/>
      <c r="BL972" s="78">
        <f t="shared" ca="1" si="3"/>
        <v>0</v>
      </c>
      <c r="BM972" s="78"/>
      <c r="BN972" s="78">
        <f t="shared" ca="1" si="4"/>
        <v>0</v>
      </c>
      <c r="BO972" s="66"/>
      <c r="BP972" s="66"/>
    </row>
    <row r="973" spans="1:68" ht="13.2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>
        <f t="shared" ref="AP973:AQ973" si="966">AR973+AT973+AV973</f>
        <v>0</v>
      </c>
      <c r="AQ973" s="75">
        <f t="shared" si="966"/>
        <v>0</v>
      </c>
      <c r="AR973" s="75"/>
      <c r="AS973" s="75"/>
      <c r="AT973" s="75"/>
      <c r="AU973" s="75"/>
      <c r="AV973" s="75"/>
      <c r="AW973" s="75"/>
      <c r="AX973" s="75"/>
      <c r="AY973" s="67">
        <f t="shared" ca="1" si="1"/>
        <v>0</v>
      </c>
      <c r="AZ973" s="75"/>
      <c r="BA973" s="67">
        <f t="shared" ca="1" si="2"/>
        <v>0</v>
      </c>
      <c r="BB973" s="66"/>
      <c r="BC973" s="4"/>
      <c r="BD973" s="67"/>
      <c r="BE973" s="67"/>
      <c r="BF973" s="68"/>
      <c r="BG973" s="69"/>
      <c r="BH973" s="70"/>
      <c r="BI973" s="70"/>
      <c r="BJ973" s="73"/>
      <c r="BK973" s="78"/>
      <c r="BL973" s="78">
        <f t="shared" ca="1" si="3"/>
        <v>0</v>
      </c>
      <c r="BM973" s="78"/>
      <c r="BN973" s="78">
        <f t="shared" ca="1" si="4"/>
        <v>0</v>
      </c>
      <c r="BO973" s="66"/>
      <c r="BP973" s="66"/>
    </row>
    <row r="974" spans="1:68" ht="13.2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>
        <f t="shared" ref="AP974:AQ974" si="967">AR974+AT974+AV974</f>
        <v>0</v>
      </c>
      <c r="AQ974" s="75">
        <f t="shared" si="967"/>
        <v>0</v>
      </c>
      <c r="AR974" s="75"/>
      <c r="AS974" s="75"/>
      <c r="AT974" s="75"/>
      <c r="AU974" s="75"/>
      <c r="AV974" s="75"/>
      <c r="AW974" s="75"/>
      <c r="AX974" s="75"/>
      <c r="AY974" s="67">
        <f t="shared" ca="1" si="1"/>
        <v>0</v>
      </c>
      <c r="AZ974" s="75"/>
      <c r="BA974" s="67">
        <f t="shared" ca="1" si="2"/>
        <v>0</v>
      </c>
      <c r="BB974" s="66"/>
      <c r="BC974" s="4"/>
      <c r="BD974" s="67"/>
      <c r="BE974" s="67"/>
      <c r="BF974" s="68"/>
      <c r="BG974" s="69"/>
      <c r="BH974" s="70"/>
      <c r="BI974" s="70"/>
      <c r="BJ974" s="73"/>
      <c r="BK974" s="78"/>
      <c r="BL974" s="78">
        <f t="shared" ca="1" si="3"/>
        <v>0</v>
      </c>
      <c r="BM974" s="78"/>
      <c r="BN974" s="78">
        <f t="shared" ca="1" si="4"/>
        <v>0</v>
      </c>
      <c r="BO974" s="66"/>
      <c r="BP974" s="66"/>
    </row>
    <row r="975" spans="1:68" ht="13.2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>
        <f t="shared" ref="AP975:AQ975" si="968">AR975+AT975+AV975</f>
        <v>0</v>
      </c>
      <c r="AQ975" s="75">
        <f t="shared" si="968"/>
        <v>0</v>
      </c>
      <c r="AR975" s="75"/>
      <c r="AS975" s="75"/>
      <c r="AT975" s="75"/>
      <c r="AU975" s="75"/>
      <c r="AV975" s="75"/>
      <c r="AW975" s="75"/>
      <c r="AX975" s="75"/>
      <c r="AY975" s="67">
        <f t="shared" ca="1" si="1"/>
        <v>0</v>
      </c>
      <c r="AZ975" s="75"/>
      <c r="BA975" s="67">
        <f t="shared" ca="1" si="2"/>
        <v>0</v>
      </c>
      <c r="BB975" s="66"/>
      <c r="BC975" s="4"/>
      <c r="BD975" s="67"/>
      <c r="BE975" s="67"/>
      <c r="BF975" s="68"/>
      <c r="BG975" s="69"/>
      <c r="BH975" s="84"/>
      <c r="BI975" s="70"/>
      <c r="BJ975" s="73"/>
      <c r="BK975" s="78"/>
      <c r="BL975" s="78">
        <f t="shared" ca="1" si="3"/>
        <v>0</v>
      </c>
      <c r="BM975" s="78"/>
      <c r="BN975" s="78">
        <f t="shared" ca="1" si="4"/>
        <v>0</v>
      </c>
      <c r="BO975" s="66"/>
      <c r="BP975" s="66"/>
    </row>
    <row r="976" spans="1:68" ht="13.2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>
        <f t="shared" ref="AP976:AQ976" si="969">AR976+AT976+AV976</f>
        <v>0</v>
      </c>
      <c r="AQ976" s="75">
        <f t="shared" si="969"/>
        <v>0</v>
      </c>
      <c r="AR976" s="75"/>
      <c r="AS976" s="75"/>
      <c r="AT976" s="75"/>
      <c r="AU976" s="75"/>
      <c r="AV976" s="75"/>
      <c r="AW976" s="75"/>
      <c r="AX976" s="75"/>
      <c r="AY976" s="67">
        <f t="shared" ca="1" si="1"/>
        <v>0</v>
      </c>
      <c r="AZ976" s="75"/>
      <c r="BA976" s="67">
        <f t="shared" ca="1" si="2"/>
        <v>0</v>
      </c>
      <c r="BB976" s="66"/>
      <c r="BC976" s="4"/>
      <c r="BD976" s="67"/>
      <c r="BE976" s="67"/>
      <c r="BF976" s="68"/>
      <c r="BG976" s="69"/>
      <c r="BH976" s="84"/>
      <c r="BI976" s="70"/>
      <c r="BJ976" s="73"/>
      <c r="BK976" s="78"/>
      <c r="BL976" s="78">
        <f t="shared" ca="1" si="3"/>
        <v>0</v>
      </c>
      <c r="BM976" s="78"/>
      <c r="BN976" s="78">
        <f t="shared" ca="1" si="4"/>
        <v>0</v>
      </c>
      <c r="BO976" s="66"/>
      <c r="BP976" s="66"/>
    </row>
    <row r="977" spans="1:68" ht="13.2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>
        <f t="shared" ref="AP977:AQ977" si="970">AR977+AT977+AV977</f>
        <v>0</v>
      </c>
      <c r="AQ977" s="75">
        <f t="shared" si="970"/>
        <v>0</v>
      </c>
      <c r="AR977" s="75"/>
      <c r="AS977" s="75"/>
      <c r="AT977" s="75"/>
      <c r="AU977" s="75"/>
      <c r="AV977" s="75"/>
      <c r="AW977" s="75"/>
      <c r="AX977" s="75"/>
      <c r="AY977" s="67">
        <f t="shared" ca="1" si="1"/>
        <v>0</v>
      </c>
      <c r="AZ977" s="75"/>
      <c r="BA977" s="67">
        <f t="shared" ca="1" si="2"/>
        <v>0</v>
      </c>
      <c r="BB977" s="66"/>
      <c r="BC977" s="4"/>
      <c r="BD977" s="67"/>
      <c r="BE977" s="67"/>
      <c r="BF977" s="68"/>
      <c r="BG977" s="69"/>
      <c r="BH977" s="84"/>
      <c r="BI977" s="70"/>
      <c r="BJ977" s="73"/>
      <c r="BK977" s="78"/>
      <c r="BL977" s="78">
        <f t="shared" ca="1" si="3"/>
        <v>0</v>
      </c>
      <c r="BM977" s="78"/>
      <c r="BN977" s="78">
        <f t="shared" ca="1" si="4"/>
        <v>0</v>
      </c>
      <c r="BO977" s="66"/>
      <c r="BP977" s="66"/>
    </row>
    <row r="978" spans="1:68" ht="13.2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>
        <f t="shared" ref="AP978:AQ978" si="971">AR978+AT978+AV978</f>
        <v>0</v>
      </c>
      <c r="AQ978" s="75">
        <f t="shared" si="971"/>
        <v>0</v>
      </c>
      <c r="AR978" s="75"/>
      <c r="AS978" s="75"/>
      <c r="AT978" s="75"/>
      <c r="AU978" s="75"/>
      <c r="AV978" s="75"/>
      <c r="AW978" s="75"/>
      <c r="AX978" s="75"/>
      <c r="AY978" s="67">
        <f t="shared" ca="1" si="1"/>
        <v>0</v>
      </c>
      <c r="AZ978" s="75"/>
      <c r="BA978" s="67">
        <f t="shared" ca="1" si="2"/>
        <v>0</v>
      </c>
      <c r="BB978" s="66"/>
      <c r="BC978" s="4"/>
      <c r="BD978" s="67"/>
      <c r="BE978" s="67"/>
      <c r="BF978" s="68"/>
      <c r="BG978" s="69"/>
      <c r="BH978" s="70"/>
      <c r="BI978" s="70"/>
      <c r="BJ978" s="73"/>
      <c r="BK978" s="78"/>
      <c r="BL978" s="78">
        <f t="shared" ca="1" si="3"/>
        <v>0</v>
      </c>
      <c r="BM978" s="78"/>
      <c r="BN978" s="78">
        <f t="shared" ca="1" si="4"/>
        <v>0</v>
      </c>
      <c r="BO978" s="66"/>
      <c r="BP978" s="66"/>
    </row>
    <row r="979" spans="1:68" ht="13.2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>
        <f t="shared" ref="AP979:AQ979" si="972">AR979+AT979+AV979</f>
        <v>0</v>
      </c>
      <c r="AQ979" s="75">
        <f t="shared" si="972"/>
        <v>0</v>
      </c>
      <c r="AR979" s="75"/>
      <c r="AS979" s="75"/>
      <c r="AT979" s="75"/>
      <c r="AU979" s="75"/>
      <c r="AV979" s="75"/>
      <c r="AW979" s="75"/>
      <c r="AX979" s="75"/>
      <c r="AY979" s="67">
        <f t="shared" ca="1" si="1"/>
        <v>0</v>
      </c>
      <c r="AZ979" s="75"/>
      <c r="BA979" s="67">
        <f t="shared" ca="1" si="2"/>
        <v>0</v>
      </c>
      <c r="BB979" s="66"/>
      <c r="BC979" s="4"/>
      <c r="BD979" s="67"/>
      <c r="BE979" s="67"/>
      <c r="BF979" s="68"/>
      <c r="BG979" s="69"/>
      <c r="BH979" s="70"/>
      <c r="BI979" s="70"/>
      <c r="BJ979" s="73"/>
      <c r="BK979" s="78"/>
      <c r="BL979" s="78">
        <f t="shared" ca="1" si="3"/>
        <v>0</v>
      </c>
      <c r="BM979" s="78"/>
      <c r="BN979" s="78">
        <f t="shared" ca="1" si="4"/>
        <v>0</v>
      </c>
      <c r="BO979" s="66"/>
      <c r="BP979" s="66"/>
    </row>
    <row r="980" spans="1:68" ht="13.2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>
        <f t="shared" ref="AP980:AQ980" si="973">AR980+AT980+AV980</f>
        <v>0</v>
      </c>
      <c r="AQ980" s="75">
        <f t="shared" si="973"/>
        <v>0</v>
      </c>
      <c r="AR980" s="75"/>
      <c r="AS980" s="75"/>
      <c r="AT980" s="75"/>
      <c r="AU980" s="75"/>
      <c r="AV980" s="75"/>
      <c r="AW980" s="75"/>
      <c r="AX980" s="75"/>
      <c r="AY980" s="67">
        <f t="shared" ca="1" si="1"/>
        <v>0</v>
      </c>
      <c r="AZ980" s="75"/>
      <c r="BA980" s="67">
        <f t="shared" ca="1" si="2"/>
        <v>0</v>
      </c>
      <c r="BB980" s="66"/>
      <c r="BC980" s="4"/>
      <c r="BD980" s="67"/>
      <c r="BE980" s="67"/>
      <c r="BF980" s="68"/>
      <c r="BG980" s="69"/>
      <c r="BH980" s="70"/>
      <c r="BI980" s="70"/>
      <c r="BJ980" s="73"/>
      <c r="BK980" s="78"/>
      <c r="BL980" s="78">
        <f t="shared" ca="1" si="3"/>
        <v>0</v>
      </c>
      <c r="BM980" s="78"/>
      <c r="BN980" s="78">
        <f t="shared" ca="1" si="4"/>
        <v>0</v>
      </c>
      <c r="BO980" s="66"/>
      <c r="BP980" s="66"/>
    </row>
    <row r="981" spans="1:68" ht="13.2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>
        <f t="shared" ref="AP981:AQ981" si="974">AR981+AT981+AV981</f>
        <v>0</v>
      </c>
      <c r="AQ981" s="75">
        <f t="shared" si="974"/>
        <v>0</v>
      </c>
      <c r="AR981" s="75"/>
      <c r="AS981" s="75"/>
      <c r="AT981" s="75"/>
      <c r="AU981" s="75"/>
      <c r="AV981" s="75"/>
      <c r="AW981" s="75"/>
      <c r="AX981" s="75"/>
      <c r="AY981" s="67">
        <f t="shared" ca="1" si="1"/>
        <v>0</v>
      </c>
      <c r="AZ981" s="75"/>
      <c r="BA981" s="67">
        <f t="shared" ca="1" si="2"/>
        <v>0</v>
      </c>
      <c r="BB981" s="66"/>
      <c r="BC981" s="4"/>
      <c r="BD981" s="67"/>
      <c r="BE981" s="67"/>
      <c r="BF981" s="68"/>
      <c r="BG981" s="69"/>
      <c r="BH981" s="84"/>
      <c r="BI981" s="70"/>
      <c r="BJ981" s="73"/>
      <c r="BK981" s="78"/>
      <c r="BL981" s="78">
        <f t="shared" ca="1" si="3"/>
        <v>0</v>
      </c>
      <c r="BM981" s="78"/>
      <c r="BN981" s="78">
        <f t="shared" ca="1" si="4"/>
        <v>0</v>
      </c>
      <c r="BO981" s="66"/>
      <c r="BP981" s="66"/>
    </row>
    <row r="982" spans="1:68" ht="13.2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>
        <f t="shared" ref="AP982:AQ982" si="975">AR982+AT982+AV982</f>
        <v>0</v>
      </c>
      <c r="AQ982" s="75">
        <f t="shared" si="975"/>
        <v>0</v>
      </c>
      <c r="AR982" s="75"/>
      <c r="AS982" s="75"/>
      <c r="AT982" s="75"/>
      <c r="AU982" s="75"/>
      <c r="AV982" s="75"/>
      <c r="AW982" s="75"/>
      <c r="AX982" s="75"/>
      <c r="AY982" s="67">
        <f t="shared" ca="1" si="1"/>
        <v>0</v>
      </c>
      <c r="AZ982" s="75"/>
      <c r="BA982" s="67">
        <f t="shared" ca="1" si="2"/>
        <v>0</v>
      </c>
      <c r="BB982" s="66"/>
      <c r="BC982" s="4"/>
      <c r="BD982" s="67"/>
      <c r="BE982" s="67"/>
      <c r="BF982" s="68"/>
      <c r="BG982" s="69"/>
      <c r="BH982" s="84"/>
      <c r="BI982" s="70"/>
      <c r="BJ982" s="73"/>
      <c r="BK982" s="78"/>
      <c r="BL982" s="78">
        <f t="shared" ca="1" si="3"/>
        <v>0</v>
      </c>
      <c r="BM982" s="78"/>
      <c r="BN982" s="78">
        <f t="shared" ca="1" si="4"/>
        <v>0</v>
      </c>
      <c r="BO982" s="66"/>
      <c r="BP982" s="66"/>
    </row>
    <row r="983" spans="1:68" ht="13.2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>
        <f t="shared" ref="AP983:AQ983" si="976">AR983+AT983+AV983</f>
        <v>0</v>
      </c>
      <c r="AQ983" s="75">
        <f t="shared" si="976"/>
        <v>0</v>
      </c>
      <c r="AR983" s="75"/>
      <c r="AS983" s="75"/>
      <c r="AT983" s="75"/>
      <c r="AU983" s="75"/>
      <c r="AV983" s="75"/>
      <c r="AW983" s="75"/>
      <c r="AX983" s="75"/>
      <c r="AY983" s="67">
        <f t="shared" ca="1" si="1"/>
        <v>0</v>
      </c>
      <c r="AZ983" s="75"/>
      <c r="BA983" s="67">
        <f t="shared" ca="1" si="2"/>
        <v>0</v>
      </c>
      <c r="BB983" s="66"/>
      <c r="BC983" s="4"/>
      <c r="BD983" s="67"/>
      <c r="BE983" s="67"/>
      <c r="BF983" s="68"/>
      <c r="BG983" s="69"/>
      <c r="BH983" s="84"/>
      <c r="BI983" s="70"/>
      <c r="BJ983" s="73"/>
      <c r="BK983" s="78"/>
      <c r="BL983" s="78">
        <f t="shared" ca="1" si="3"/>
        <v>0</v>
      </c>
      <c r="BM983" s="78"/>
      <c r="BN983" s="78">
        <f t="shared" ca="1" si="4"/>
        <v>0</v>
      </c>
      <c r="BO983" s="66"/>
      <c r="BP983" s="66"/>
    </row>
    <row r="984" spans="1:68" ht="13.2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>
        <f t="shared" ref="AP984:AQ984" si="977">AR984+AT984+AV984</f>
        <v>0</v>
      </c>
      <c r="AQ984" s="75">
        <f t="shared" si="977"/>
        <v>0</v>
      </c>
      <c r="AR984" s="75"/>
      <c r="AS984" s="75"/>
      <c r="AT984" s="75"/>
      <c r="AU984" s="75"/>
      <c r="AV984" s="75"/>
      <c r="AW984" s="75"/>
      <c r="AX984" s="75"/>
      <c r="AY984" s="67">
        <f t="shared" ca="1" si="1"/>
        <v>0</v>
      </c>
      <c r="AZ984" s="75"/>
      <c r="BA984" s="67">
        <f t="shared" ca="1" si="2"/>
        <v>0</v>
      </c>
      <c r="BB984" s="66"/>
      <c r="BC984" s="4"/>
      <c r="BD984" s="67"/>
      <c r="BE984" s="67"/>
      <c r="BF984" s="68"/>
      <c r="BG984" s="69"/>
      <c r="BH984" s="84"/>
      <c r="BI984" s="70"/>
      <c r="BJ984" s="73"/>
      <c r="BK984" s="78"/>
      <c r="BL984" s="78">
        <f t="shared" ca="1" si="3"/>
        <v>0</v>
      </c>
      <c r="BM984" s="78"/>
      <c r="BN984" s="78">
        <f t="shared" ca="1" si="4"/>
        <v>0</v>
      </c>
      <c r="BO984" s="66"/>
      <c r="BP984" s="66"/>
    </row>
    <row r="985" spans="1:68" ht="13.2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>
        <f t="shared" ref="AP985:AQ985" si="978">AR985+AT985+AV985</f>
        <v>0</v>
      </c>
      <c r="AQ985" s="75">
        <f t="shared" si="978"/>
        <v>0</v>
      </c>
      <c r="AR985" s="75"/>
      <c r="AS985" s="75"/>
      <c r="AT985" s="75"/>
      <c r="AU985" s="75"/>
      <c r="AV985" s="75"/>
      <c r="AW985" s="75"/>
      <c r="AX985" s="75"/>
      <c r="AY985" s="67">
        <f t="shared" ca="1" si="1"/>
        <v>0</v>
      </c>
      <c r="AZ985" s="75"/>
      <c r="BA985" s="67">
        <f t="shared" ca="1" si="2"/>
        <v>0</v>
      </c>
      <c r="BB985" s="66"/>
      <c r="BC985" s="4"/>
      <c r="BD985" s="67"/>
      <c r="BE985" s="67"/>
      <c r="BF985" s="68"/>
      <c r="BG985" s="69"/>
      <c r="BH985" s="84"/>
      <c r="BI985" s="70"/>
      <c r="BJ985" s="73"/>
      <c r="BK985" s="78"/>
      <c r="BL985" s="78">
        <f t="shared" ca="1" si="3"/>
        <v>0</v>
      </c>
      <c r="BM985" s="78"/>
      <c r="BN985" s="78">
        <f t="shared" ca="1" si="4"/>
        <v>0</v>
      </c>
      <c r="BO985" s="66"/>
      <c r="BP985" s="66"/>
    </row>
    <row r="986" spans="1:68" ht="13.2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>
        <f t="shared" ref="AP986:AQ986" si="979">AR986+AT986+AV986</f>
        <v>0</v>
      </c>
      <c r="AQ986" s="75">
        <f t="shared" si="979"/>
        <v>0</v>
      </c>
      <c r="AR986" s="75"/>
      <c r="AS986" s="75"/>
      <c r="AT986" s="75"/>
      <c r="AU986" s="75"/>
      <c r="AV986" s="75"/>
      <c r="AW986" s="75"/>
      <c r="AX986" s="75"/>
      <c r="AY986" s="67">
        <f t="shared" ca="1" si="1"/>
        <v>0</v>
      </c>
      <c r="AZ986" s="75"/>
      <c r="BA986" s="67">
        <f t="shared" ca="1" si="2"/>
        <v>0</v>
      </c>
      <c r="BB986" s="66"/>
      <c r="BC986" s="4"/>
      <c r="BD986" s="67"/>
      <c r="BE986" s="67"/>
      <c r="BF986" s="68"/>
      <c r="BG986" s="69"/>
      <c r="BH986" s="84"/>
      <c r="BI986" s="70"/>
      <c r="BJ986" s="73"/>
      <c r="BK986" s="78"/>
      <c r="BL986" s="78">
        <f t="shared" ca="1" si="3"/>
        <v>0</v>
      </c>
      <c r="BM986" s="78"/>
      <c r="BN986" s="78">
        <f t="shared" ca="1" si="4"/>
        <v>0</v>
      </c>
      <c r="BO986" s="66"/>
      <c r="BP986" s="66"/>
    </row>
    <row r="987" spans="1:68" ht="13.2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>
        <f t="shared" ref="AP987:AQ987" si="980">AR987+AT987+AV987</f>
        <v>0</v>
      </c>
      <c r="AQ987" s="75">
        <f t="shared" si="980"/>
        <v>0</v>
      </c>
      <c r="AR987" s="75"/>
      <c r="AS987" s="75"/>
      <c r="AT987" s="75"/>
      <c r="AU987" s="75"/>
      <c r="AV987" s="75"/>
      <c r="AW987" s="75"/>
      <c r="AX987" s="75"/>
      <c r="AY987" s="67">
        <f t="shared" ca="1" si="1"/>
        <v>0</v>
      </c>
      <c r="AZ987" s="75"/>
      <c r="BA987" s="67">
        <f t="shared" ca="1" si="2"/>
        <v>0</v>
      </c>
      <c r="BB987" s="66"/>
      <c r="BC987" s="4"/>
      <c r="BD987" s="67"/>
      <c r="BE987" s="67"/>
      <c r="BF987" s="68"/>
      <c r="BG987" s="69"/>
      <c r="BH987" s="84"/>
      <c r="BI987" s="70"/>
      <c r="BJ987" s="73"/>
      <c r="BK987" s="78"/>
      <c r="BL987" s="78">
        <f t="shared" ca="1" si="3"/>
        <v>0</v>
      </c>
      <c r="BM987" s="78"/>
      <c r="BN987" s="78">
        <f t="shared" ca="1" si="4"/>
        <v>0</v>
      </c>
      <c r="BO987" s="66"/>
      <c r="BP987" s="66"/>
    </row>
    <row r="988" spans="1:68" ht="13.2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>
        <f t="shared" ref="AP988:AQ988" si="981">AR988+AT988+AV988</f>
        <v>0</v>
      </c>
      <c r="AQ988" s="75">
        <f t="shared" si="981"/>
        <v>0</v>
      </c>
      <c r="AR988" s="75"/>
      <c r="AS988" s="75"/>
      <c r="AT988" s="75"/>
      <c r="AU988" s="75"/>
      <c r="AV988" s="75"/>
      <c r="AW988" s="75"/>
      <c r="AX988" s="75"/>
      <c r="AY988" s="67">
        <f t="shared" ca="1" si="1"/>
        <v>0</v>
      </c>
      <c r="AZ988" s="75"/>
      <c r="BA988" s="67">
        <f t="shared" ca="1" si="2"/>
        <v>0</v>
      </c>
      <c r="BB988" s="66"/>
      <c r="BC988" s="4"/>
      <c r="BD988" s="67"/>
      <c r="BE988" s="67"/>
      <c r="BF988" s="68"/>
      <c r="BG988" s="69"/>
      <c r="BH988" s="84"/>
      <c r="BI988" s="70"/>
      <c r="BJ988" s="73"/>
      <c r="BK988" s="78"/>
      <c r="BL988" s="78">
        <f t="shared" ca="1" si="3"/>
        <v>0</v>
      </c>
      <c r="BM988" s="78"/>
      <c r="BN988" s="78">
        <f t="shared" ca="1" si="4"/>
        <v>0</v>
      </c>
      <c r="BO988" s="66"/>
      <c r="BP988" s="66"/>
    </row>
    <row r="989" spans="1:68" ht="13.2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>
        <f t="shared" ref="AP989:AQ989" si="982">AR989+AT989+AV989</f>
        <v>0</v>
      </c>
      <c r="AQ989" s="75">
        <f t="shared" si="982"/>
        <v>0</v>
      </c>
      <c r="AR989" s="75"/>
      <c r="AS989" s="75"/>
      <c r="AT989" s="75"/>
      <c r="AU989" s="75"/>
      <c r="AV989" s="75"/>
      <c r="AW989" s="75"/>
      <c r="AX989" s="75"/>
      <c r="AY989" s="67">
        <f t="shared" ca="1" si="1"/>
        <v>0</v>
      </c>
      <c r="AZ989" s="75"/>
      <c r="BA989" s="67">
        <f t="shared" ca="1" si="2"/>
        <v>0</v>
      </c>
      <c r="BB989" s="66"/>
      <c r="BC989" s="4"/>
      <c r="BD989" s="67"/>
      <c r="BE989" s="67"/>
      <c r="BF989" s="68"/>
      <c r="BG989" s="69"/>
      <c r="BH989" s="84"/>
      <c r="BI989" s="70"/>
      <c r="BJ989" s="73"/>
      <c r="BK989" s="78"/>
      <c r="BL989" s="78">
        <f t="shared" ca="1" si="3"/>
        <v>0</v>
      </c>
      <c r="BM989" s="78"/>
      <c r="BN989" s="78">
        <f t="shared" ca="1" si="4"/>
        <v>0</v>
      </c>
      <c r="BO989" s="66"/>
      <c r="BP989" s="66"/>
    </row>
    <row r="990" spans="1:68" ht="13.2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>
        <f t="shared" ref="AP990:AQ990" si="983">AR990+AT990+AV990</f>
        <v>0</v>
      </c>
      <c r="AQ990" s="75">
        <f t="shared" si="983"/>
        <v>0</v>
      </c>
      <c r="AR990" s="75"/>
      <c r="AS990" s="75"/>
      <c r="AT990" s="75"/>
      <c r="AU990" s="75"/>
      <c r="AV990" s="75"/>
      <c r="AW990" s="75"/>
      <c r="AX990" s="75"/>
      <c r="AY990" s="67">
        <f t="shared" ca="1" si="1"/>
        <v>0</v>
      </c>
      <c r="AZ990" s="75"/>
      <c r="BA990" s="67">
        <f t="shared" ca="1" si="2"/>
        <v>0</v>
      </c>
      <c r="BB990" s="66"/>
      <c r="BC990" s="4"/>
      <c r="BD990" s="67"/>
      <c r="BE990" s="67"/>
      <c r="BF990" s="68"/>
      <c r="BG990" s="69"/>
      <c r="BH990" s="84"/>
      <c r="BI990" s="70"/>
      <c r="BJ990" s="73"/>
      <c r="BK990" s="78"/>
      <c r="BL990" s="78">
        <f t="shared" ca="1" si="3"/>
        <v>0</v>
      </c>
      <c r="BM990" s="78"/>
      <c r="BN990" s="78">
        <f t="shared" ca="1" si="4"/>
        <v>0</v>
      </c>
      <c r="BO990" s="66"/>
      <c r="BP990" s="66"/>
    </row>
    <row r="991" spans="1:68" ht="13.2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>
        <f t="shared" ref="AP991:AQ991" si="984">AR991+AT991+AV991</f>
        <v>0</v>
      </c>
      <c r="AQ991" s="75">
        <f t="shared" si="984"/>
        <v>0</v>
      </c>
      <c r="AR991" s="75"/>
      <c r="AS991" s="75"/>
      <c r="AT991" s="75"/>
      <c r="AU991" s="75"/>
      <c r="AV991" s="75"/>
      <c r="AW991" s="75"/>
      <c r="AX991" s="75"/>
      <c r="AY991" s="67">
        <f t="shared" ca="1" si="1"/>
        <v>0</v>
      </c>
      <c r="AZ991" s="75"/>
      <c r="BA991" s="67">
        <f t="shared" ca="1" si="2"/>
        <v>0</v>
      </c>
      <c r="BB991" s="66"/>
      <c r="BC991" s="4"/>
      <c r="BD991" s="67"/>
      <c r="BE991" s="67"/>
      <c r="BF991" s="68"/>
      <c r="BG991" s="69"/>
      <c r="BH991" s="84"/>
      <c r="BI991" s="70"/>
      <c r="BJ991" s="73"/>
      <c r="BK991" s="78"/>
      <c r="BL991" s="78">
        <f t="shared" ca="1" si="3"/>
        <v>0</v>
      </c>
      <c r="BM991" s="78"/>
      <c r="BN991" s="78">
        <f t="shared" ca="1" si="4"/>
        <v>0</v>
      </c>
      <c r="BO991" s="66"/>
      <c r="BP991" s="66"/>
    </row>
    <row r="992" spans="1:68" ht="13.2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>
        <f t="shared" ref="AP992:AQ992" si="985">AR992+AT992+AV992</f>
        <v>0</v>
      </c>
      <c r="AQ992" s="75">
        <f t="shared" si="985"/>
        <v>0</v>
      </c>
      <c r="AR992" s="75"/>
      <c r="AS992" s="75"/>
      <c r="AT992" s="75"/>
      <c r="AU992" s="75"/>
      <c r="AV992" s="75"/>
      <c r="AW992" s="75"/>
      <c r="AX992" s="75"/>
      <c r="AY992" s="67">
        <f t="shared" ca="1" si="1"/>
        <v>0</v>
      </c>
      <c r="AZ992" s="75"/>
      <c r="BA992" s="67">
        <f t="shared" ca="1" si="2"/>
        <v>0</v>
      </c>
      <c r="BB992" s="66"/>
      <c r="BC992" s="4"/>
      <c r="BD992" s="67"/>
      <c r="BE992" s="67"/>
      <c r="BF992" s="68"/>
      <c r="BG992" s="69"/>
      <c r="BH992" s="84"/>
      <c r="BI992" s="70"/>
      <c r="BJ992" s="73"/>
      <c r="BK992" s="78"/>
      <c r="BL992" s="78">
        <f t="shared" ca="1" si="3"/>
        <v>0</v>
      </c>
      <c r="BM992" s="78"/>
      <c r="BN992" s="78">
        <f t="shared" ca="1" si="4"/>
        <v>0</v>
      </c>
      <c r="BO992" s="66"/>
      <c r="BP992" s="66"/>
    </row>
    <row r="993" spans="1:68" ht="13.2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>
        <f t="shared" ref="AP993:AQ993" si="986">AR993+AT993+AV993</f>
        <v>0</v>
      </c>
      <c r="AQ993" s="75">
        <f t="shared" si="986"/>
        <v>0</v>
      </c>
      <c r="AR993" s="75"/>
      <c r="AS993" s="75"/>
      <c r="AT993" s="75"/>
      <c r="AU993" s="75"/>
      <c r="AV993" s="75"/>
      <c r="AW993" s="75"/>
      <c r="AX993" s="75"/>
      <c r="AY993" s="67">
        <f t="shared" ca="1" si="1"/>
        <v>0</v>
      </c>
      <c r="AZ993" s="75"/>
      <c r="BA993" s="67">
        <f t="shared" ca="1" si="2"/>
        <v>0</v>
      </c>
      <c r="BB993" s="66"/>
      <c r="BC993" s="4"/>
      <c r="BD993" s="67"/>
      <c r="BE993" s="67"/>
      <c r="BF993" s="68"/>
      <c r="BG993" s="69"/>
      <c r="BH993" s="84"/>
      <c r="BI993" s="70"/>
      <c r="BJ993" s="73"/>
      <c r="BK993" s="78"/>
      <c r="BL993" s="78">
        <f t="shared" ca="1" si="3"/>
        <v>0</v>
      </c>
      <c r="BM993" s="78"/>
      <c r="BN993" s="78">
        <f t="shared" ca="1" si="4"/>
        <v>0</v>
      </c>
      <c r="BO993" s="66"/>
      <c r="BP993" s="66"/>
    </row>
    <row r="994" spans="1:68" ht="13.2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>
        <f t="shared" ref="AP994:AQ994" si="987">AR994+AT994+AV994</f>
        <v>0</v>
      </c>
      <c r="AQ994" s="75">
        <f t="shared" si="987"/>
        <v>0</v>
      </c>
      <c r="AR994" s="75"/>
      <c r="AS994" s="75"/>
      <c r="AT994" s="75"/>
      <c r="AU994" s="75"/>
      <c r="AV994" s="75"/>
      <c r="AW994" s="75"/>
      <c r="AX994" s="75"/>
      <c r="AY994" s="67">
        <f t="shared" ca="1" si="1"/>
        <v>0</v>
      </c>
      <c r="AZ994" s="75"/>
      <c r="BA994" s="67">
        <f t="shared" ca="1" si="2"/>
        <v>0</v>
      </c>
      <c r="BB994" s="66"/>
      <c r="BC994" s="4"/>
      <c r="BD994" s="67"/>
      <c r="BE994" s="67"/>
      <c r="BF994" s="68"/>
      <c r="BG994" s="69"/>
      <c r="BH994" s="84"/>
      <c r="BI994" s="70"/>
      <c r="BJ994" s="73"/>
      <c r="BK994" s="78"/>
      <c r="BL994" s="78">
        <f t="shared" ca="1" si="3"/>
        <v>0</v>
      </c>
      <c r="BM994" s="78"/>
      <c r="BN994" s="78">
        <f t="shared" ca="1" si="4"/>
        <v>0</v>
      </c>
      <c r="BO994" s="66"/>
      <c r="BP994" s="66"/>
    </row>
    <row r="995" spans="1:68" ht="13.2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>
        <f t="shared" ref="AP995:AQ995" si="988">AR995+AT995+AV995</f>
        <v>0</v>
      </c>
      <c r="AQ995" s="75">
        <f t="shared" si="988"/>
        <v>0</v>
      </c>
      <c r="AR995" s="75"/>
      <c r="AS995" s="75"/>
      <c r="AT995" s="75"/>
      <c r="AU995" s="75"/>
      <c r="AV995" s="75"/>
      <c r="AW995" s="75"/>
      <c r="AX995" s="75"/>
      <c r="AY995" s="67">
        <f t="shared" ca="1" si="1"/>
        <v>0</v>
      </c>
      <c r="AZ995" s="75"/>
      <c r="BA995" s="67">
        <f t="shared" ca="1" si="2"/>
        <v>0</v>
      </c>
      <c r="BB995" s="66"/>
      <c r="BC995" s="4"/>
      <c r="BD995" s="67"/>
      <c r="BE995" s="67"/>
      <c r="BF995" s="68"/>
      <c r="BG995" s="69"/>
      <c r="BH995" s="84"/>
      <c r="BI995" s="70"/>
      <c r="BJ995" s="73"/>
      <c r="BK995" s="78"/>
      <c r="BL995" s="78">
        <f t="shared" ca="1" si="3"/>
        <v>0</v>
      </c>
      <c r="BM995" s="78"/>
      <c r="BN995" s="78">
        <f t="shared" ca="1" si="4"/>
        <v>0</v>
      </c>
      <c r="BO995" s="66"/>
      <c r="BP995" s="66"/>
    </row>
    <row r="996" spans="1:68" ht="13.2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>
        <f t="shared" ref="AP996:AQ996" si="989">AR996+AT996+AV996</f>
        <v>0</v>
      </c>
      <c r="AQ996" s="75">
        <f t="shared" si="989"/>
        <v>0</v>
      </c>
      <c r="AR996" s="75"/>
      <c r="AS996" s="75"/>
      <c r="AT996" s="75"/>
      <c r="AU996" s="75"/>
      <c r="AV996" s="75"/>
      <c r="AW996" s="75"/>
      <c r="AX996" s="75"/>
      <c r="AY996" s="67">
        <f t="shared" ca="1" si="1"/>
        <v>0</v>
      </c>
      <c r="AZ996" s="75"/>
      <c r="BA996" s="67">
        <f t="shared" ca="1" si="2"/>
        <v>0</v>
      </c>
      <c r="BB996" s="66"/>
      <c r="BC996" s="4"/>
      <c r="BD996" s="67"/>
      <c r="BE996" s="67"/>
      <c r="BF996" s="68"/>
      <c r="BG996" s="69"/>
      <c r="BH996" s="84"/>
      <c r="BI996" s="70"/>
      <c r="BJ996" s="73"/>
      <c r="BK996" s="78"/>
      <c r="BL996" s="78">
        <f t="shared" ca="1" si="3"/>
        <v>0</v>
      </c>
      <c r="BM996" s="78"/>
      <c r="BN996" s="78">
        <f t="shared" ca="1" si="4"/>
        <v>0</v>
      </c>
      <c r="BO996" s="66"/>
      <c r="BP996" s="66"/>
    </row>
    <row r="997" spans="1:68" ht="13.2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>
        <f t="shared" ref="AP997:AQ997" si="990">AR997+AT997+AV997</f>
        <v>0</v>
      </c>
      <c r="AQ997" s="75">
        <f t="shared" si="990"/>
        <v>0</v>
      </c>
      <c r="AR997" s="75"/>
      <c r="AS997" s="75"/>
      <c r="AT997" s="75"/>
      <c r="AU997" s="75"/>
      <c r="AV997" s="75"/>
      <c r="AW997" s="75"/>
      <c r="AX997" s="75"/>
      <c r="AY997" s="67">
        <f t="shared" ca="1" si="1"/>
        <v>0</v>
      </c>
      <c r="AZ997" s="75"/>
      <c r="BA997" s="67">
        <f t="shared" ca="1" si="2"/>
        <v>0</v>
      </c>
      <c r="BB997" s="66"/>
      <c r="BC997" s="4"/>
      <c r="BD997" s="67"/>
      <c r="BE997" s="67"/>
      <c r="BF997" s="68"/>
      <c r="BG997" s="69"/>
      <c r="BH997" s="84"/>
      <c r="BI997" s="70"/>
      <c r="BJ997" s="73"/>
      <c r="BK997" s="78"/>
      <c r="BL997" s="78">
        <f t="shared" ca="1" si="3"/>
        <v>0</v>
      </c>
      <c r="BM997" s="78"/>
      <c r="BN997" s="78">
        <f t="shared" ca="1" si="4"/>
        <v>0</v>
      </c>
      <c r="BO997" s="66"/>
      <c r="BP997" s="66"/>
    </row>
    <row r="998" spans="1:68" ht="13.2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>
        <f t="shared" ref="AP998:AQ998" si="991">AR998+AT998+AV998</f>
        <v>0</v>
      </c>
      <c r="AQ998" s="75">
        <f t="shared" si="991"/>
        <v>0</v>
      </c>
      <c r="AR998" s="75"/>
      <c r="AS998" s="75"/>
      <c r="AT998" s="75"/>
      <c r="AU998" s="75"/>
      <c r="AV998" s="75"/>
      <c r="AW998" s="75"/>
      <c r="AX998" s="75"/>
      <c r="AY998" s="67">
        <f t="shared" ca="1" si="1"/>
        <v>0</v>
      </c>
      <c r="AZ998" s="75"/>
      <c r="BA998" s="67">
        <f t="shared" ca="1" si="2"/>
        <v>0</v>
      </c>
      <c r="BB998" s="66"/>
      <c r="BC998" s="4"/>
      <c r="BD998" s="67"/>
      <c r="BE998" s="67"/>
      <c r="BF998" s="68"/>
      <c r="BG998" s="69"/>
      <c r="BH998" s="84"/>
      <c r="BI998" s="70"/>
      <c r="BJ998" s="73"/>
      <c r="BK998" s="78"/>
      <c r="BL998" s="78">
        <f t="shared" ca="1" si="3"/>
        <v>0</v>
      </c>
      <c r="BM998" s="78"/>
      <c r="BN998" s="78">
        <f t="shared" ca="1" si="4"/>
        <v>0</v>
      </c>
      <c r="BO998" s="66"/>
      <c r="BP998" s="66"/>
    </row>
    <row r="999" spans="1:68" ht="13.2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>
        <f t="shared" ref="AP999:AQ999" si="992">AR999+AT999+AV999</f>
        <v>0</v>
      </c>
      <c r="AQ999" s="75">
        <f t="shared" si="992"/>
        <v>0</v>
      </c>
      <c r="AR999" s="75"/>
      <c r="AS999" s="75"/>
      <c r="AT999" s="75"/>
      <c r="AU999" s="75"/>
      <c r="AV999" s="75"/>
      <c r="AW999" s="75"/>
      <c r="AX999" s="75"/>
      <c r="AY999" s="67">
        <f t="shared" ca="1" si="1"/>
        <v>0</v>
      </c>
      <c r="AZ999" s="75"/>
      <c r="BA999" s="67">
        <f t="shared" ca="1" si="2"/>
        <v>0</v>
      </c>
      <c r="BB999" s="66"/>
      <c r="BC999" s="4"/>
      <c r="BD999" s="67"/>
      <c r="BE999" s="67"/>
      <c r="BF999" s="68"/>
      <c r="BG999" s="69"/>
      <c r="BH999" s="84"/>
      <c r="BI999" s="70"/>
      <c r="BJ999" s="73"/>
      <c r="BK999" s="78"/>
      <c r="BL999" s="78">
        <f t="shared" ca="1" si="3"/>
        <v>0</v>
      </c>
      <c r="BM999" s="78"/>
      <c r="BN999" s="78">
        <f t="shared" ca="1" si="4"/>
        <v>0</v>
      </c>
      <c r="BO999" s="66"/>
      <c r="BP999" s="66"/>
    </row>
    <row r="1000" spans="1:68" ht="13.2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>
        <f t="shared" ref="AP1000:AQ1000" si="993">AR1000+AT1000+AV1000</f>
        <v>0</v>
      </c>
      <c r="AQ1000" s="75">
        <f t="shared" si="993"/>
        <v>0</v>
      </c>
      <c r="AR1000" s="75"/>
      <c r="AS1000" s="75"/>
      <c r="AT1000" s="75"/>
      <c r="AU1000" s="75"/>
      <c r="AV1000" s="75"/>
      <c r="AW1000" s="75"/>
      <c r="AX1000" s="75"/>
      <c r="AY1000" s="67">
        <f t="shared" ca="1" si="1"/>
        <v>0</v>
      </c>
      <c r="AZ1000" s="75"/>
      <c r="BA1000" s="67">
        <f t="shared" ca="1" si="2"/>
        <v>0</v>
      </c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8"/>
      <c r="BL1000" s="78">
        <f t="shared" ca="1" si="3"/>
        <v>0</v>
      </c>
      <c r="BM1000" s="78"/>
      <c r="BN1000" s="78">
        <f t="shared" ca="1" si="4"/>
        <v>0</v>
      </c>
      <c r="BO1000" s="66"/>
      <c r="BP1000" s="66"/>
    </row>
    <row r="1001" spans="1:68" ht="13.2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>
        <f t="shared" ref="AP1001:AQ1001" si="994">AR1001+AT1001+AV1001</f>
        <v>0</v>
      </c>
      <c r="AQ1001" s="75">
        <f t="shared" si="994"/>
        <v>0</v>
      </c>
      <c r="AR1001" s="75"/>
      <c r="AS1001" s="75"/>
      <c r="AT1001" s="75"/>
      <c r="AU1001" s="75"/>
      <c r="AV1001" s="75"/>
      <c r="AW1001" s="75"/>
      <c r="AX1001" s="75"/>
      <c r="AY1001" s="67">
        <f t="shared" ca="1" si="1"/>
        <v>0</v>
      </c>
      <c r="AZ1001" s="75"/>
      <c r="BA1001" s="67">
        <f t="shared" ca="1" si="2"/>
        <v>0</v>
      </c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8"/>
      <c r="BL1001" s="78">
        <f t="shared" ca="1" si="3"/>
        <v>0</v>
      </c>
      <c r="BM1001" s="78"/>
      <c r="BN1001" s="78">
        <f t="shared" ca="1" si="4"/>
        <v>0</v>
      </c>
      <c r="BO1001" s="66"/>
      <c r="BP1001" s="66"/>
    </row>
    <row r="1002" spans="1:68" ht="13.2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>
        <f t="shared" ref="AP1002:AQ1002" si="995">AR1002+AT1002+AV1002</f>
        <v>0</v>
      </c>
      <c r="AQ1002" s="75">
        <f t="shared" si="995"/>
        <v>0</v>
      </c>
      <c r="AR1002" s="75"/>
      <c r="AS1002" s="75"/>
      <c r="AT1002" s="75"/>
      <c r="AU1002" s="75"/>
      <c r="AV1002" s="75"/>
      <c r="AW1002" s="75"/>
      <c r="AX1002" s="75"/>
      <c r="AY1002" s="67">
        <f t="shared" ca="1" si="1"/>
        <v>0</v>
      </c>
      <c r="AZ1002" s="75"/>
      <c r="BA1002" s="67">
        <f t="shared" ca="1" si="2"/>
        <v>0</v>
      </c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8"/>
      <c r="BL1002" s="78">
        <f t="shared" ca="1" si="3"/>
        <v>0</v>
      </c>
      <c r="BM1002" s="78"/>
      <c r="BN1002" s="78">
        <f t="shared" ca="1" si="4"/>
        <v>0</v>
      </c>
      <c r="BO1002" s="66"/>
      <c r="BP1002" s="66"/>
    </row>
    <row r="1003" spans="1:68" ht="13.2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>
        <f t="shared" ref="AP1003:AQ1003" si="996">AR1003+AT1003+AV1003</f>
        <v>0</v>
      </c>
      <c r="AQ1003" s="75">
        <f t="shared" si="996"/>
        <v>0</v>
      </c>
      <c r="AR1003" s="75"/>
      <c r="AS1003" s="75"/>
      <c r="AT1003" s="75"/>
      <c r="AU1003" s="75"/>
      <c r="AV1003" s="75"/>
      <c r="AW1003" s="75"/>
      <c r="AX1003" s="75"/>
      <c r="AY1003" s="67">
        <f t="shared" ca="1" si="1"/>
        <v>0</v>
      </c>
      <c r="AZ1003" s="75"/>
      <c r="BA1003" s="67">
        <f t="shared" ca="1" si="2"/>
        <v>0</v>
      </c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8"/>
      <c r="BL1003" s="78">
        <f t="shared" ca="1" si="3"/>
        <v>0</v>
      </c>
      <c r="BM1003" s="78"/>
      <c r="BN1003" s="78">
        <f t="shared" ca="1" si="4"/>
        <v>0</v>
      </c>
      <c r="BO1003" s="66"/>
      <c r="BP1003" s="66"/>
    </row>
    <row r="1004" spans="1:68" ht="13.2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>
        <f t="shared" ref="AP1004:AQ1004" si="997">AR1004+AT1004+AV1004</f>
        <v>0</v>
      </c>
      <c r="AQ1004" s="75">
        <f t="shared" si="997"/>
        <v>0</v>
      </c>
      <c r="AR1004" s="75"/>
      <c r="AS1004" s="75"/>
      <c r="AT1004" s="75"/>
      <c r="AU1004" s="75"/>
      <c r="AV1004" s="75"/>
      <c r="AW1004" s="75"/>
      <c r="AX1004" s="75"/>
      <c r="AY1004" s="67">
        <f t="shared" ca="1" si="1"/>
        <v>0</v>
      </c>
      <c r="AZ1004" s="75"/>
      <c r="BA1004" s="67">
        <f t="shared" ca="1" si="2"/>
        <v>0</v>
      </c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8"/>
      <c r="BL1004" s="78">
        <f t="shared" ca="1" si="3"/>
        <v>0</v>
      </c>
      <c r="BM1004" s="78"/>
      <c r="BN1004" s="78">
        <f t="shared" ca="1" si="4"/>
        <v>0</v>
      </c>
      <c r="BO1004" s="66"/>
      <c r="BP1004" s="66"/>
    </row>
    <row r="1005" spans="1:68" ht="13.2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>
        <f t="shared" ref="AP1005:AQ1005" si="998">AR1005+AT1005+AV1005</f>
        <v>0</v>
      </c>
      <c r="AQ1005" s="75">
        <f t="shared" si="998"/>
        <v>0</v>
      </c>
      <c r="AR1005" s="75"/>
      <c r="AS1005" s="75"/>
      <c r="AT1005" s="75"/>
      <c r="AU1005" s="75"/>
      <c r="AV1005" s="75"/>
      <c r="AW1005" s="75"/>
      <c r="AX1005" s="75"/>
      <c r="AY1005" s="67">
        <f t="shared" ca="1" si="1"/>
        <v>0</v>
      </c>
      <c r="AZ1005" s="75"/>
      <c r="BA1005" s="67">
        <f t="shared" ca="1" si="2"/>
        <v>0</v>
      </c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8"/>
      <c r="BL1005" s="78">
        <f t="shared" ca="1" si="3"/>
        <v>0</v>
      </c>
      <c r="BM1005" s="78"/>
      <c r="BN1005" s="78">
        <f t="shared" ca="1" si="4"/>
        <v>0</v>
      </c>
      <c r="BO1005" s="66"/>
      <c r="BP1005" s="66"/>
    </row>
    <row r="1006" spans="1:68" ht="13.2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>
        <f t="shared" ref="AP1006:AQ1006" si="999">AR1006+AT1006+AV1006</f>
        <v>0</v>
      </c>
      <c r="AQ1006" s="75">
        <f t="shared" si="999"/>
        <v>0</v>
      </c>
      <c r="AR1006" s="75"/>
      <c r="AS1006" s="75"/>
      <c r="AT1006" s="75"/>
      <c r="AU1006" s="75"/>
      <c r="AV1006" s="75"/>
      <c r="AW1006" s="75"/>
      <c r="AX1006" s="75"/>
      <c r="AY1006" s="67">
        <f t="shared" ca="1" si="1"/>
        <v>0</v>
      </c>
      <c r="AZ1006" s="75"/>
      <c r="BA1006" s="67">
        <f t="shared" ca="1" si="2"/>
        <v>0</v>
      </c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8"/>
      <c r="BL1006" s="78">
        <f t="shared" ca="1" si="3"/>
        <v>0</v>
      </c>
      <c r="BM1006" s="78"/>
      <c r="BN1006" s="78">
        <f t="shared" ca="1" si="4"/>
        <v>0</v>
      </c>
      <c r="BO1006" s="66"/>
      <c r="BP1006" s="66"/>
    </row>
    <row r="1007" spans="1:68" ht="13.2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>
        <f t="shared" ref="AP1007:AQ1007" si="1000">AR1007+AT1007+AV1007</f>
        <v>0</v>
      </c>
      <c r="AQ1007" s="75">
        <f t="shared" si="1000"/>
        <v>0</v>
      </c>
      <c r="AR1007" s="75"/>
      <c r="AS1007" s="75"/>
      <c r="AT1007" s="75"/>
      <c r="AU1007" s="75"/>
      <c r="AV1007" s="75"/>
      <c r="AW1007" s="75"/>
      <c r="AX1007" s="75"/>
      <c r="AY1007" s="67">
        <f t="shared" ca="1" si="1"/>
        <v>0</v>
      </c>
      <c r="AZ1007" s="75"/>
      <c r="BA1007" s="67">
        <f t="shared" ca="1" si="2"/>
        <v>0</v>
      </c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8"/>
      <c r="BL1007" s="78">
        <f t="shared" ca="1" si="3"/>
        <v>0</v>
      </c>
      <c r="BM1007" s="78"/>
      <c r="BN1007" s="78">
        <f t="shared" ca="1" si="4"/>
        <v>0</v>
      </c>
      <c r="BO1007" s="66"/>
      <c r="BP1007" s="66"/>
    </row>
    <row r="1008" spans="1:68" ht="13.2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>
        <f t="shared" ref="AP1008:AQ1008" si="1001">AR1008+AT1008+AV1008</f>
        <v>0</v>
      </c>
      <c r="AQ1008" s="75">
        <f t="shared" si="1001"/>
        <v>0</v>
      </c>
      <c r="AR1008" s="75"/>
      <c r="AS1008" s="75"/>
      <c r="AT1008" s="75"/>
      <c r="AU1008" s="75"/>
      <c r="AV1008" s="75"/>
      <c r="AW1008" s="75"/>
      <c r="AX1008" s="75"/>
      <c r="AY1008" s="67">
        <f t="shared" ca="1" si="1"/>
        <v>0</v>
      </c>
      <c r="AZ1008" s="75"/>
      <c r="BA1008" s="67">
        <f t="shared" ca="1" si="2"/>
        <v>0</v>
      </c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8"/>
      <c r="BL1008" s="78">
        <f t="shared" ca="1" si="3"/>
        <v>0</v>
      </c>
      <c r="BM1008" s="78"/>
      <c r="BN1008" s="78">
        <f t="shared" ca="1" si="4"/>
        <v>0</v>
      </c>
      <c r="BO1008" s="66"/>
      <c r="BP1008" s="66"/>
    </row>
    <row r="1009" spans="1:68" ht="13.2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>
        <f t="shared" ref="AP1009:AQ1009" si="1002">AR1009+AT1009+AV1009</f>
        <v>0</v>
      </c>
      <c r="AQ1009" s="75">
        <f t="shared" si="1002"/>
        <v>0</v>
      </c>
      <c r="AR1009" s="75"/>
      <c r="AS1009" s="75"/>
      <c r="AT1009" s="75"/>
      <c r="AU1009" s="75"/>
      <c r="AV1009" s="75"/>
      <c r="AW1009" s="75"/>
      <c r="AX1009" s="75"/>
      <c r="AY1009" s="67">
        <f t="shared" ca="1" si="1"/>
        <v>0</v>
      </c>
      <c r="AZ1009" s="75"/>
      <c r="BA1009" s="67">
        <f t="shared" ca="1" si="2"/>
        <v>0</v>
      </c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8"/>
      <c r="BL1009" s="78">
        <f t="shared" ca="1" si="3"/>
        <v>0</v>
      </c>
      <c r="BM1009" s="78"/>
      <c r="BN1009" s="78">
        <f t="shared" ca="1" si="4"/>
        <v>0</v>
      </c>
      <c r="BO1009" s="66"/>
      <c r="BP1009" s="66"/>
    </row>
    <row r="1010" spans="1:68" ht="13.2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>
        <f t="shared" ref="AP1010:AQ1010" si="1003">AR1010+AT1010+AV1010</f>
        <v>0</v>
      </c>
      <c r="AQ1010" s="75">
        <f t="shared" si="1003"/>
        <v>0</v>
      </c>
      <c r="AR1010" s="75"/>
      <c r="AS1010" s="75"/>
      <c r="AT1010" s="75"/>
      <c r="AU1010" s="75"/>
      <c r="AV1010" s="75"/>
      <c r="AW1010" s="75"/>
      <c r="AX1010" s="75"/>
      <c r="AY1010" s="67">
        <f t="shared" ca="1" si="1"/>
        <v>0</v>
      </c>
      <c r="AZ1010" s="75"/>
      <c r="BA1010" s="67">
        <f t="shared" ca="1" si="2"/>
        <v>0</v>
      </c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8"/>
      <c r="BL1010" s="78">
        <f t="shared" ca="1" si="3"/>
        <v>0</v>
      </c>
      <c r="BM1010" s="78"/>
      <c r="BN1010" s="78">
        <f t="shared" ca="1" si="4"/>
        <v>0</v>
      </c>
      <c r="BO1010" s="66"/>
      <c r="BP1010" s="66"/>
    </row>
    <row r="1011" spans="1:68" ht="13.2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>
        <f t="shared" ref="AP1011:AQ1011" si="1004">AR1011+AT1011+AV1011</f>
        <v>0</v>
      </c>
      <c r="AQ1011" s="75">
        <f t="shared" si="1004"/>
        <v>0</v>
      </c>
      <c r="AR1011" s="75"/>
      <c r="AS1011" s="75"/>
      <c r="AT1011" s="75"/>
      <c r="AU1011" s="75"/>
      <c r="AV1011" s="75"/>
      <c r="AW1011" s="75"/>
      <c r="AX1011" s="75"/>
      <c r="AY1011" s="67">
        <f t="shared" ca="1" si="1"/>
        <v>0</v>
      </c>
      <c r="AZ1011" s="75"/>
      <c r="BA1011" s="67">
        <f t="shared" ca="1" si="2"/>
        <v>0</v>
      </c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8"/>
      <c r="BL1011" s="78">
        <f t="shared" ca="1" si="3"/>
        <v>0</v>
      </c>
      <c r="BM1011" s="78"/>
      <c r="BN1011" s="78">
        <f t="shared" ca="1" si="4"/>
        <v>0</v>
      </c>
      <c r="BO1011" s="66"/>
      <c r="BP1011" s="66"/>
    </row>
    <row r="1012" spans="1:68" ht="13.2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>
        <f t="shared" ref="AP1012:AQ1012" si="1005">AR1012+AT1012+AV1012</f>
        <v>0</v>
      </c>
      <c r="AQ1012" s="75">
        <f t="shared" si="1005"/>
        <v>0</v>
      </c>
      <c r="AR1012" s="75"/>
      <c r="AS1012" s="75"/>
      <c r="AT1012" s="75"/>
      <c r="AU1012" s="75"/>
      <c r="AV1012" s="75"/>
      <c r="AW1012" s="75"/>
      <c r="AX1012" s="75"/>
      <c r="AY1012" s="67">
        <f t="shared" ca="1" si="1"/>
        <v>0</v>
      </c>
      <c r="AZ1012" s="75"/>
      <c r="BA1012" s="67">
        <f t="shared" ca="1" si="2"/>
        <v>0</v>
      </c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8"/>
      <c r="BL1012" s="78">
        <f t="shared" ca="1" si="3"/>
        <v>0</v>
      </c>
      <c r="BM1012" s="78"/>
      <c r="BN1012" s="78">
        <f t="shared" ca="1" si="4"/>
        <v>0</v>
      </c>
      <c r="BO1012" s="66"/>
      <c r="BP1012" s="66"/>
    </row>
    <row r="1013" spans="1:68" ht="13.2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>
        <f t="shared" ref="AP1013:AQ1013" si="1006">AR1013+AT1013+AV1013</f>
        <v>0</v>
      </c>
      <c r="AQ1013" s="75">
        <f t="shared" si="1006"/>
        <v>0</v>
      </c>
      <c r="AR1013" s="75"/>
      <c r="AS1013" s="75"/>
      <c r="AT1013" s="75"/>
      <c r="AU1013" s="75"/>
      <c r="AV1013" s="75"/>
      <c r="AW1013" s="75"/>
      <c r="AX1013" s="75"/>
      <c r="AY1013" s="67">
        <f t="shared" ca="1" si="1"/>
        <v>0</v>
      </c>
      <c r="AZ1013" s="75"/>
      <c r="BA1013" s="67">
        <f t="shared" ca="1" si="2"/>
        <v>0</v>
      </c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8"/>
      <c r="BL1013" s="78">
        <f t="shared" ca="1" si="3"/>
        <v>0</v>
      </c>
      <c r="BM1013" s="78"/>
      <c r="BN1013" s="78">
        <f t="shared" ca="1" si="4"/>
        <v>0</v>
      </c>
      <c r="BO1013" s="66"/>
      <c r="BP1013" s="66"/>
    </row>
    <row r="1014" spans="1:68" ht="13.2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>
        <f t="shared" ref="AP1014:AQ1014" si="1007">AR1014+AT1014+AV1014</f>
        <v>0</v>
      </c>
      <c r="AQ1014" s="75">
        <f t="shared" si="1007"/>
        <v>0</v>
      </c>
      <c r="AR1014" s="75"/>
      <c r="AS1014" s="75"/>
      <c r="AT1014" s="75"/>
      <c r="AU1014" s="75"/>
      <c r="AV1014" s="75"/>
      <c r="AW1014" s="75"/>
      <c r="AX1014" s="75"/>
      <c r="AY1014" s="67">
        <f t="shared" ca="1" si="1"/>
        <v>0</v>
      </c>
      <c r="AZ1014" s="75"/>
      <c r="BA1014" s="67">
        <f t="shared" ca="1" si="2"/>
        <v>0</v>
      </c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8"/>
      <c r="BL1014" s="78">
        <f t="shared" ca="1" si="3"/>
        <v>0</v>
      </c>
      <c r="BM1014" s="78"/>
      <c r="BN1014" s="78">
        <f t="shared" ca="1" si="4"/>
        <v>0</v>
      </c>
      <c r="BO1014" s="66"/>
      <c r="BP1014" s="66"/>
    </row>
    <row r="1015" spans="1:68" ht="13.2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>
        <f t="shared" ref="AP1015:AQ1015" si="1008">AR1015+AT1015+AV1015</f>
        <v>0</v>
      </c>
      <c r="AQ1015" s="75">
        <f t="shared" si="1008"/>
        <v>0</v>
      </c>
      <c r="AR1015" s="75"/>
      <c r="AS1015" s="75"/>
      <c r="AT1015" s="75"/>
      <c r="AU1015" s="75"/>
      <c r="AV1015" s="75"/>
      <c r="AW1015" s="75"/>
      <c r="AX1015" s="75"/>
      <c r="AY1015" s="67">
        <f t="shared" ca="1" si="1"/>
        <v>0</v>
      </c>
      <c r="AZ1015" s="75"/>
      <c r="BA1015" s="67">
        <f t="shared" ca="1" si="2"/>
        <v>0</v>
      </c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8"/>
      <c r="BL1015" s="78">
        <f t="shared" ca="1" si="3"/>
        <v>0</v>
      </c>
      <c r="BM1015" s="78"/>
      <c r="BN1015" s="78">
        <f t="shared" ca="1" si="4"/>
        <v>0</v>
      </c>
      <c r="BO1015" s="66"/>
      <c r="BP1015" s="66"/>
    </row>
    <row r="1016" spans="1:68" ht="13.2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>
        <f t="shared" ref="AP1016:AQ1016" si="1009">AR1016+AT1016+AV1016</f>
        <v>0</v>
      </c>
      <c r="AQ1016" s="75">
        <f t="shared" si="1009"/>
        <v>0</v>
      </c>
      <c r="AR1016" s="75"/>
      <c r="AS1016" s="75"/>
      <c r="AT1016" s="75"/>
      <c r="AU1016" s="75"/>
      <c r="AV1016" s="75"/>
      <c r="AW1016" s="75"/>
      <c r="AX1016" s="75"/>
      <c r="AY1016" s="67">
        <f t="shared" ca="1" si="1"/>
        <v>0</v>
      </c>
      <c r="AZ1016" s="75"/>
      <c r="BA1016" s="67">
        <f t="shared" ca="1" si="2"/>
        <v>0</v>
      </c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8"/>
      <c r="BL1016" s="78">
        <f t="shared" ca="1" si="3"/>
        <v>0</v>
      </c>
      <c r="BM1016" s="78"/>
      <c r="BN1016" s="78">
        <f t="shared" ca="1" si="4"/>
        <v>0</v>
      </c>
      <c r="BO1016" s="66"/>
      <c r="BP1016" s="66"/>
    </row>
    <row r="1017" spans="1:68" ht="13.2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>
        <f t="shared" ref="AP1017:AQ1017" si="1010">AR1017+AT1017+AV1017</f>
        <v>0</v>
      </c>
      <c r="AQ1017" s="75">
        <f t="shared" si="1010"/>
        <v>0</v>
      </c>
      <c r="AR1017" s="75"/>
      <c r="AS1017" s="75"/>
      <c r="AT1017" s="75"/>
      <c r="AU1017" s="75"/>
      <c r="AV1017" s="75"/>
      <c r="AW1017" s="75"/>
      <c r="AX1017" s="75"/>
      <c r="AY1017" s="67">
        <f t="shared" ca="1" si="1"/>
        <v>0</v>
      </c>
      <c r="AZ1017" s="75"/>
      <c r="BA1017" s="67">
        <f t="shared" ca="1" si="2"/>
        <v>0</v>
      </c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8"/>
      <c r="BL1017" s="78">
        <f t="shared" ca="1" si="3"/>
        <v>0</v>
      </c>
      <c r="BM1017" s="78"/>
      <c r="BN1017" s="78">
        <f t="shared" ca="1" si="4"/>
        <v>0</v>
      </c>
      <c r="BO1017" s="66"/>
      <c r="BP1017" s="66"/>
    </row>
    <row r="1018" spans="1:68" ht="13.2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>
        <f t="shared" ref="AP1018:AQ1018" si="1011">AR1018+AT1018+AV1018</f>
        <v>0</v>
      </c>
      <c r="AQ1018" s="75">
        <f t="shared" si="1011"/>
        <v>0</v>
      </c>
      <c r="AR1018" s="75"/>
      <c r="AS1018" s="75"/>
      <c r="AT1018" s="75"/>
      <c r="AU1018" s="75"/>
      <c r="AV1018" s="75"/>
      <c r="AW1018" s="75"/>
      <c r="AX1018" s="75"/>
      <c r="AY1018" s="67">
        <f t="shared" ca="1" si="1"/>
        <v>0</v>
      </c>
      <c r="AZ1018" s="75"/>
      <c r="BA1018" s="67">
        <f t="shared" ca="1" si="2"/>
        <v>0</v>
      </c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8"/>
      <c r="BL1018" s="78">
        <f t="shared" ca="1" si="3"/>
        <v>0</v>
      </c>
      <c r="BM1018" s="78"/>
      <c r="BN1018" s="78">
        <f t="shared" ca="1" si="4"/>
        <v>0</v>
      </c>
      <c r="BO1018" s="66"/>
      <c r="BP1018" s="66"/>
    </row>
    <row r="1019" spans="1:68" ht="13.2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>
        <f t="shared" ref="AP1019:AQ1019" si="1012">AR1019+AT1019+AV1019</f>
        <v>0</v>
      </c>
      <c r="AQ1019" s="75">
        <f t="shared" si="1012"/>
        <v>0</v>
      </c>
      <c r="AR1019" s="75"/>
      <c r="AS1019" s="75"/>
      <c r="AT1019" s="75"/>
      <c r="AU1019" s="75"/>
      <c r="AV1019" s="75"/>
      <c r="AW1019" s="75"/>
      <c r="AX1019" s="75"/>
      <c r="AY1019" s="67">
        <f t="shared" ca="1" si="1"/>
        <v>0</v>
      </c>
      <c r="AZ1019" s="75"/>
      <c r="BA1019" s="67">
        <f t="shared" ca="1" si="2"/>
        <v>0</v>
      </c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8"/>
      <c r="BL1019" s="78">
        <f t="shared" ca="1" si="3"/>
        <v>0</v>
      </c>
      <c r="BM1019" s="78"/>
      <c r="BN1019" s="78">
        <f t="shared" ca="1" si="4"/>
        <v>0</v>
      </c>
      <c r="BO1019" s="66"/>
      <c r="BP1019" s="66"/>
    </row>
    <row r="1020" spans="1:68" ht="13.2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>
        <f t="shared" ref="AP1020:AQ1020" si="1013">AR1020+AT1020+AV1020</f>
        <v>0</v>
      </c>
      <c r="AQ1020" s="75">
        <f t="shared" si="1013"/>
        <v>0</v>
      </c>
      <c r="AR1020" s="75"/>
      <c r="AS1020" s="75"/>
      <c r="AT1020" s="75"/>
      <c r="AU1020" s="75"/>
      <c r="AV1020" s="75"/>
      <c r="AW1020" s="75"/>
      <c r="AX1020" s="75"/>
      <c r="AY1020" s="67">
        <f t="shared" ca="1" si="1"/>
        <v>0</v>
      </c>
      <c r="AZ1020" s="75"/>
      <c r="BA1020" s="67">
        <f t="shared" ca="1" si="2"/>
        <v>0</v>
      </c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8"/>
      <c r="BL1020" s="78">
        <f t="shared" ca="1" si="3"/>
        <v>0</v>
      </c>
      <c r="BM1020" s="78"/>
      <c r="BN1020" s="78">
        <f t="shared" ca="1" si="4"/>
        <v>0</v>
      </c>
      <c r="BO1020" s="66"/>
      <c r="BP1020" s="66"/>
    </row>
    <row r="1021" spans="1:68" ht="13.2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>
        <f t="shared" ref="AP1021:AQ1021" si="1014">AR1021+AT1021+AV1021</f>
        <v>0</v>
      </c>
      <c r="AQ1021" s="75">
        <f t="shared" si="1014"/>
        <v>0</v>
      </c>
      <c r="AR1021" s="75"/>
      <c r="AS1021" s="75"/>
      <c r="AT1021" s="75"/>
      <c r="AU1021" s="75"/>
      <c r="AV1021" s="75"/>
      <c r="AW1021" s="75"/>
      <c r="AX1021" s="75"/>
      <c r="AY1021" s="67">
        <f t="shared" ca="1" si="1"/>
        <v>0</v>
      </c>
      <c r="AZ1021" s="75"/>
      <c r="BA1021" s="67">
        <f t="shared" ca="1" si="2"/>
        <v>0</v>
      </c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8"/>
      <c r="BL1021" s="78">
        <f t="shared" ca="1" si="3"/>
        <v>0</v>
      </c>
      <c r="BM1021" s="78"/>
      <c r="BN1021" s="78">
        <f t="shared" ca="1" si="4"/>
        <v>0</v>
      </c>
      <c r="BO1021" s="66"/>
      <c r="BP1021" s="66"/>
    </row>
    <row r="1022" spans="1:68" ht="13.2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>
        <f t="shared" ref="AP1022:AQ1022" si="1015">AR1022+AT1022+AV1022</f>
        <v>0</v>
      </c>
      <c r="AQ1022" s="75">
        <f t="shared" si="1015"/>
        <v>0</v>
      </c>
      <c r="AR1022" s="75"/>
      <c r="AS1022" s="75"/>
      <c r="AT1022" s="75"/>
      <c r="AU1022" s="75"/>
      <c r="AV1022" s="75"/>
      <c r="AW1022" s="75"/>
      <c r="AX1022" s="75"/>
      <c r="AY1022" s="67">
        <f t="shared" ca="1" si="1"/>
        <v>0</v>
      </c>
      <c r="AZ1022" s="75"/>
      <c r="BA1022" s="67">
        <f t="shared" ca="1" si="2"/>
        <v>0</v>
      </c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8"/>
      <c r="BL1022" s="78">
        <f t="shared" ca="1" si="3"/>
        <v>0</v>
      </c>
      <c r="BM1022" s="78"/>
      <c r="BN1022" s="78">
        <f t="shared" ca="1" si="4"/>
        <v>0</v>
      </c>
      <c r="BO1022" s="66"/>
      <c r="BP1022" s="66"/>
    </row>
    <row r="1023" spans="1:68" ht="13.2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>
        <f t="shared" ref="AP1023:AQ1023" si="1016">AR1023+AT1023+AV1023</f>
        <v>0</v>
      </c>
      <c r="AQ1023" s="75">
        <f t="shared" si="1016"/>
        <v>0</v>
      </c>
      <c r="AR1023" s="75"/>
      <c r="AS1023" s="75"/>
      <c r="AT1023" s="75"/>
      <c r="AU1023" s="75"/>
      <c r="AV1023" s="75"/>
      <c r="AW1023" s="75"/>
      <c r="AX1023" s="75"/>
      <c r="AY1023" s="67">
        <f t="shared" ca="1" si="1"/>
        <v>0</v>
      </c>
      <c r="AZ1023" s="75"/>
      <c r="BA1023" s="67">
        <f t="shared" ca="1" si="2"/>
        <v>0</v>
      </c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8"/>
      <c r="BL1023" s="78">
        <f t="shared" ca="1" si="3"/>
        <v>0</v>
      </c>
      <c r="BM1023" s="78"/>
      <c r="BN1023" s="78">
        <f t="shared" ca="1" si="4"/>
        <v>0</v>
      </c>
      <c r="BO1023" s="66"/>
      <c r="BP1023" s="66"/>
    </row>
    <row r="1024" spans="1:68" ht="13.2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>
        <f t="shared" ref="AP1024:AQ1024" si="1017">AR1024+AT1024+AV1024</f>
        <v>0</v>
      </c>
      <c r="AQ1024" s="75">
        <f t="shared" si="1017"/>
        <v>0</v>
      </c>
      <c r="AR1024" s="75"/>
      <c r="AS1024" s="75"/>
      <c r="AT1024" s="75"/>
      <c r="AU1024" s="75"/>
      <c r="AV1024" s="75"/>
      <c r="AW1024" s="75"/>
      <c r="AX1024" s="75"/>
      <c r="AY1024" s="67">
        <f t="shared" ca="1" si="1"/>
        <v>0</v>
      </c>
      <c r="AZ1024" s="75"/>
      <c r="BA1024" s="67">
        <f t="shared" ca="1" si="2"/>
        <v>0</v>
      </c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8"/>
      <c r="BL1024" s="78">
        <f t="shared" ca="1" si="3"/>
        <v>0</v>
      </c>
      <c r="BM1024" s="78"/>
      <c r="BN1024" s="78">
        <f t="shared" ca="1" si="4"/>
        <v>0</v>
      </c>
      <c r="BO1024" s="66"/>
      <c r="BP1024" s="66"/>
    </row>
    <row r="1025" spans="1:68" ht="13.2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>
        <f t="shared" ref="AP1025:AQ1025" si="1018">AR1025+AT1025+AV1025</f>
        <v>0</v>
      </c>
      <c r="AQ1025" s="75">
        <f t="shared" si="1018"/>
        <v>0</v>
      </c>
      <c r="AR1025" s="75"/>
      <c r="AS1025" s="75"/>
      <c r="AT1025" s="75"/>
      <c r="AU1025" s="75"/>
      <c r="AV1025" s="75"/>
      <c r="AW1025" s="75"/>
      <c r="AX1025" s="75"/>
      <c r="AY1025" s="67">
        <f t="shared" ca="1" si="1"/>
        <v>0</v>
      </c>
      <c r="AZ1025" s="75"/>
      <c r="BA1025" s="67">
        <f t="shared" ca="1" si="2"/>
        <v>0</v>
      </c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8"/>
      <c r="BL1025" s="78">
        <f t="shared" ca="1" si="3"/>
        <v>0</v>
      </c>
      <c r="BM1025" s="78"/>
      <c r="BN1025" s="78">
        <f t="shared" ca="1" si="4"/>
        <v>0</v>
      </c>
      <c r="BO1025" s="66"/>
      <c r="BP1025" s="66"/>
    </row>
    <row r="1026" spans="1:68" ht="13.2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>
        <f t="shared" ref="AP1026:AQ1026" si="1019">AR1026+AT1026+AV1026</f>
        <v>0</v>
      </c>
      <c r="AQ1026" s="75">
        <f t="shared" si="1019"/>
        <v>0</v>
      </c>
      <c r="AR1026" s="75"/>
      <c r="AS1026" s="75"/>
      <c r="AT1026" s="75"/>
      <c r="AU1026" s="75"/>
      <c r="AV1026" s="75"/>
      <c r="AW1026" s="75"/>
      <c r="AX1026" s="75"/>
      <c r="AY1026" s="67">
        <f t="shared" ca="1" si="1"/>
        <v>0</v>
      </c>
      <c r="AZ1026" s="75"/>
      <c r="BA1026" s="67">
        <f t="shared" ca="1" si="2"/>
        <v>0</v>
      </c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8"/>
      <c r="BL1026" s="78">
        <f t="shared" ca="1" si="3"/>
        <v>0</v>
      </c>
      <c r="BM1026" s="78"/>
      <c r="BN1026" s="78">
        <f t="shared" ca="1" si="4"/>
        <v>0</v>
      </c>
      <c r="BO1026" s="66"/>
      <c r="BP1026" s="66"/>
    </row>
    <row r="1027" spans="1:68" ht="13.2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>
        <f t="shared" ref="AP1027:AQ1027" si="1020">AR1027+AT1027+AV1027</f>
        <v>0</v>
      </c>
      <c r="AQ1027" s="75">
        <f t="shared" si="1020"/>
        <v>0</v>
      </c>
      <c r="AR1027" s="75"/>
      <c r="AS1027" s="75"/>
      <c r="AT1027" s="75"/>
      <c r="AU1027" s="75"/>
      <c r="AV1027" s="75"/>
      <c r="AW1027" s="75"/>
      <c r="AX1027" s="75"/>
      <c r="AY1027" s="67">
        <f t="shared" ca="1" si="1"/>
        <v>0</v>
      </c>
      <c r="AZ1027" s="75"/>
      <c r="BA1027" s="67">
        <f t="shared" ca="1" si="2"/>
        <v>0</v>
      </c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8"/>
      <c r="BL1027" s="78">
        <f t="shared" ca="1" si="3"/>
        <v>0</v>
      </c>
      <c r="BM1027" s="78"/>
      <c r="BN1027" s="78">
        <f t="shared" ca="1" si="4"/>
        <v>0</v>
      </c>
      <c r="BO1027" s="66"/>
      <c r="BP1027" s="66"/>
    </row>
    <row r="1028" spans="1:68" ht="13.2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>
        <f t="shared" ref="AP1028:AQ1028" si="1021">AR1028+AT1028+AV1028</f>
        <v>0</v>
      </c>
      <c r="AQ1028" s="75">
        <f t="shared" si="1021"/>
        <v>0</v>
      </c>
      <c r="AR1028" s="75"/>
      <c r="AS1028" s="75"/>
      <c r="AT1028" s="75"/>
      <c r="AU1028" s="75"/>
      <c r="AV1028" s="75"/>
      <c r="AW1028" s="75"/>
      <c r="AX1028" s="75"/>
      <c r="AY1028" s="67">
        <f t="shared" ca="1" si="1"/>
        <v>0</v>
      </c>
      <c r="AZ1028" s="75"/>
      <c r="BA1028" s="67">
        <f t="shared" ca="1" si="2"/>
        <v>0</v>
      </c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8"/>
      <c r="BL1028" s="78">
        <f t="shared" ca="1" si="3"/>
        <v>0</v>
      </c>
      <c r="BM1028" s="78"/>
      <c r="BN1028" s="78">
        <f t="shared" ca="1" si="4"/>
        <v>0</v>
      </c>
      <c r="BO1028" s="66"/>
      <c r="BP1028" s="66"/>
    </row>
    <row r="1029" spans="1:68" ht="13.2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>
        <f t="shared" ref="AP1029:AQ1029" si="1022">AR1029+AT1029+AV1029</f>
        <v>0</v>
      </c>
      <c r="AQ1029" s="75">
        <f t="shared" si="1022"/>
        <v>0</v>
      </c>
      <c r="AR1029" s="75"/>
      <c r="AS1029" s="75"/>
      <c r="AT1029" s="75"/>
      <c r="AU1029" s="75"/>
      <c r="AV1029" s="75"/>
      <c r="AW1029" s="75"/>
      <c r="AX1029" s="75"/>
      <c r="AY1029" s="67">
        <f t="shared" ca="1" si="1"/>
        <v>0</v>
      </c>
      <c r="AZ1029" s="75"/>
      <c r="BA1029" s="67">
        <f t="shared" ca="1" si="2"/>
        <v>0</v>
      </c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8"/>
      <c r="BL1029" s="78">
        <f t="shared" ca="1" si="3"/>
        <v>0</v>
      </c>
      <c r="BM1029" s="78"/>
      <c r="BN1029" s="78">
        <f t="shared" ca="1" si="4"/>
        <v>0</v>
      </c>
      <c r="BO1029" s="66"/>
      <c r="BP1029" s="66"/>
    </row>
    <row r="1030" spans="1:68" ht="13.2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>
        <f t="shared" ref="AP1030:AQ1030" si="1023">AR1030+AT1030+AV1030</f>
        <v>0</v>
      </c>
      <c r="AQ1030" s="75">
        <f t="shared" si="1023"/>
        <v>0</v>
      </c>
      <c r="AR1030" s="75"/>
      <c r="AS1030" s="75"/>
      <c r="AT1030" s="75"/>
      <c r="AU1030" s="75"/>
      <c r="AV1030" s="75"/>
      <c r="AW1030" s="75"/>
      <c r="AX1030" s="75"/>
      <c r="AY1030" s="67">
        <f t="shared" ca="1" si="1"/>
        <v>0</v>
      </c>
      <c r="AZ1030" s="75"/>
      <c r="BA1030" s="67">
        <f t="shared" ca="1" si="2"/>
        <v>0</v>
      </c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8"/>
      <c r="BL1030" s="78">
        <f t="shared" ca="1" si="3"/>
        <v>0</v>
      </c>
      <c r="BM1030" s="78"/>
      <c r="BN1030" s="78">
        <f t="shared" ca="1" si="4"/>
        <v>0</v>
      </c>
      <c r="BO1030" s="66"/>
      <c r="BP1030" s="66"/>
    </row>
    <row r="1031" spans="1:68" ht="13.2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>
        <f t="shared" ref="AP1031:AQ1031" si="1024">AR1031+AT1031+AV1031</f>
        <v>0</v>
      </c>
      <c r="AQ1031" s="75">
        <f t="shared" si="1024"/>
        <v>0</v>
      </c>
      <c r="AR1031" s="75"/>
      <c r="AS1031" s="75"/>
      <c r="AT1031" s="75"/>
      <c r="AU1031" s="75"/>
      <c r="AV1031" s="75"/>
      <c r="AW1031" s="75"/>
      <c r="AX1031" s="75"/>
      <c r="AY1031" s="67">
        <f t="shared" ca="1" si="1"/>
        <v>0</v>
      </c>
      <c r="AZ1031" s="75"/>
      <c r="BA1031" s="67">
        <f t="shared" ca="1" si="2"/>
        <v>0</v>
      </c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8"/>
      <c r="BL1031" s="78">
        <f t="shared" ca="1" si="3"/>
        <v>0</v>
      </c>
      <c r="BM1031" s="78"/>
      <c r="BN1031" s="78">
        <f t="shared" ca="1" si="4"/>
        <v>0</v>
      </c>
      <c r="BO1031" s="66"/>
      <c r="BP1031" s="66"/>
    </row>
    <row r="1032" spans="1:68" ht="13.2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>
        <f t="shared" ref="AP1032:AQ1032" si="1025">AR1032+AT1032+AV1032</f>
        <v>0</v>
      </c>
      <c r="AQ1032" s="75">
        <f t="shared" si="1025"/>
        <v>0</v>
      </c>
      <c r="AR1032" s="75"/>
      <c r="AS1032" s="75"/>
      <c r="AT1032" s="75"/>
      <c r="AU1032" s="75"/>
      <c r="AV1032" s="75"/>
      <c r="AW1032" s="75"/>
      <c r="AX1032" s="75"/>
      <c r="AY1032" s="67">
        <f t="shared" ca="1" si="1"/>
        <v>0</v>
      </c>
      <c r="AZ1032" s="75"/>
      <c r="BA1032" s="67">
        <f t="shared" ca="1" si="2"/>
        <v>0</v>
      </c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8"/>
      <c r="BL1032" s="78">
        <f t="shared" ca="1" si="3"/>
        <v>0</v>
      </c>
      <c r="BM1032" s="78"/>
      <c r="BN1032" s="78">
        <f t="shared" ca="1" si="4"/>
        <v>0</v>
      </c>
      <c r="BO1032" s="66"/>
      <c r="BP1032" s="66"/>
    </row>
    <row r="1033" spans="1:68" ht="13.2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>
        <f t="shared" ref="AP1033:AQ1033" si="1026">AR1033+AT1033+AV1033</f>
        <v>0</v>
      </c>
      <c r="AQ1033" s="75">
        <f t="shared" si="1026"/>
        <v>0</v>
      </c>
      <c r="AR1033" s="75"/>
      <c r="AS1033" s="75"/>
      <c r="AT1033" s="75"/>
      <c r="AU1033" s="75"/>
      <c r="AV1033" s="75"/>
      <c r="AW1033" s="75"/>
      <c r="AX1033" s="75"/>
      <c r="AY1033" s="67">
        <f t="shared" ca="1" si="1"/>
        <v>0</v>
      </c>
      <c r="AZ1033" s="75"/>
      <c r="BA1033" s="67">
        <f t="shared" ca="1" si="2"/>
        <v>0</v>
      </c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8"/>
      <c r="BL1033" s="78">
        <f t="shared" ca="1" si="3"/>
        <v>0</v>
      </c>
      <c r="BM1033" s="78"/>
      <c r="BN1033" s="78">
        <f t="shared" ca="1" si="4"/>
        <v>0</v>
      </c>
      <c r="BO1033" s="66"/>
      <c r="BP1033" s="66"/>
    </row>
    <row r="1034" spans="1:68" ht="13.2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>
        <f t="shared" ref="AP1034:AQ1034" si="1027">AR1034+AT1034+AV1034</f>
        <v>0</v>
      </c>
      <c r="AQ1034" s="75">
        <f t="shared" si="1027"/>
        <v>0</v>
      </c>
      <c r="AR1034" s="75"/>
      <c r="AS1034" s="75"/>
      <c r="AT1034" s="75"/>
      <c r="AU1034" s="75"/>
      <c r="AV1034" s="75"/>
      <c r="AW1034" s="75"/>
      <c r="AX1034" s="75"/>
      <c r="AY1034" s="67">
        <f t="shared" ca="1" si="1"/>
        <v>0</v>
      </c>
      <c r="AZ1034" s="75"/>
      <c r="BA1034" s="67">
        <f t="shared" ca="1" si="2"/>
        <v>0</v>
      </c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8"/>
      <c r="BL1034" s="78">
        <f t="shared" ca="1" si="3"/>
        <v>0</v>
      </c>
      <c r="BM1034" s="78"/>
      <c r="BN1034" s="78">
        <f t="shared" ca="1" si="4"/>
        <v>0</v>
      </c>
      <c r="BO1034" s="66"/>
      <c r="BP1034" s="66"/>
    </row>
    <row r="1035" spans="1:68" ht="13.2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>
        <f t="shared" ref="AP1035:AQ1035" si="1028">AR1035+AT1035+AV1035</f>
        <v>0</v>
      </c>
      <c r="AQ1035" s="75">
        <f t="shared" si="1028"/>
        <v>0</v>
      </c>
      <c r="AR1035" s="75"/>
      <c r="AS1035" s="75"/>
      <c r="AT1035" s="75"/>
      <c r="AU1035" s="75"/>
      <c r="AV1035" s="75"/>
      <c r="AW1035" s="75"/>
      <c r="AX1035" s="75"/>
      <c r="AY1035" s="67">
        <f t="shared" ca="1" si="1"/>
        <v>0</v>
      </c>
      <c r="AZ1035" s="75"/>
      <c r="BA1035" s="67">
        <f t="shared" ca="1" si="2"/>
        <v>0</v>
      </c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8"/>
      <c r="BL1035" s="78">
        <f t="shared" ca="1" si="3"/>
        <v>0</v>
      </c>
      <c r="BM1035" s="78"/>
      <c r="BN1035" s="78">
        <f t="shared" ca="1" si="4"/>
        <v>0</v>
      </c>
      <c r="BO1035" s="66"/>
      <c r="BP1035" s="66"/>
    </row>
    <row r="1036" spans="1:68" ht="13.2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>
        <f t="shared" ref="AP1036:AQ1036" si="1029">AR1036+AT1036+AV1036</f>
        <v>0</v>
      </c>
      <c r="AQ1036" s="75">
        <f t="shared" si="1029"/>
        <v>0</v>
      </c>
      <c r="AR1036" s="75"/>
      <c r="AS1036" s="75"/>
      <c r="AT1036" s="75"/>
      <c r="AU1036" s="75"/>
      <c r="AV1036" s="75"/>
      <c r="AW1036" s="75"/>
      <c r="AX1036" s="75"/>
      <c r="AY1036" s="67">
        <f t="shared" ca="1" si="1"/>
        <v>0</v>
      </c>
      <c r="AZ1036" s="75"/>
      <c r="BA1036" s="67">
        <f t="shared" ca="1" si="2"/>
        <v>0</v>
      </c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8"/>
      <c r="BL1036" s="78">
        <f t="shared" ca="1" si="3"/>
        <v>0</v>
      </c>
      <c r="BM1036" s="78"/>
      <c r="BN1036" s="78">
        <f t="shared" ca="1" si="4"/>
        <v>0</v>
      </c>
      <c r="BO1036" s="66"/>
      <c r="BP1036" s="66"/>
    </row>
    <row r="1037" spans="1:68" ht="13.2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>
        <f t="shared" ref="AP1037:AQ1037" si="1030">AR1037+AT1037+AV1037</f>
        <v>0</v>
      </c>
      <c r="AQ1037" s="75">
        <f t="shared" si="1030"/>
        <v>0</v>
      </c>
      <c r="AR1037" s="75"/>
      <c r="AS1037" s="75"/>
      <c r="AT1037" s="75"/>
      <c r="AU1037" s="75"/>
      <c r="AV1037" s="75"/>
      <c r="AW1037" s="75"/>
      <c r="AX1037" s="75"/>
      <c r="AY1037" s="67">
        <f t="shared" ca="1" si="1"/>
        <v>0</v>
      </c>
      <c r="AZ1037" s="75"/>
      <c r="BA1037" s="67">
        <f t="shared" ca="1" si="2"/>
        <v>0</v>
      </c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8"/>
      <c r="BL1037" s="78">
        <f t="shared" ca="1" si="3"/>
        <v>0</v>
      </c>
      <c r="BM1037" s="78"/>
      <c r="BN1037" s="78">
        <f t="shared" ca="1" si="4"/>
        <v>0</v>
      </c>
      <c r="BO1037" s="66"/>
      <c r="BP1037" s="66"/>
    </row>
    <row r="1038" spans="1:68" ht="13.2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>
        <f t="shared" ref="AP1038:AQ1038" si="1031">AR1038+AT1038+AV1038</f>
        <v>0</v>
      </c>
      <c r="AQ1038" s="75">
        <f t="shared" si="1031"/>
        <v>0</v>
      </c>
      <c r="AR1038" s="75"/>
      <c r="AS1038" s="75"/>
      <c r="AT1038" s="75"/>
      <c r="AU1038" s="75"/>
      <c r="AV1038" s="75"/>
      <c r="AW1038" s="75"/>
      <c r="AX1038" s="75"/>
      <c r="AY1038" s="67">
        <f t="shared" ca="1" si="1"/>
        <v>0</v>
      </c>
      <c r="AZ1038" s="75"/>
      <c r="BA1038" s="67">
        <f t="shared" ca="1" si="2"/>
        <v>0</v>
      </c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8"/>
      <c r="BL1038" s="78">
        <f t="shared" ca="1" si="3"/>
        <v>0</v>
      </c>
      <c r="BM1038" s="78"/>
      <c r="BN1038" s="78">
        <f t="shared" ca="1" si="4"/>
        <v>0</v>
      </c>
      <c r="BO1038" s="66"/>
      <c r="BP1038" s="66"/>
    </row>
    <row r="1039" spans="1:68" ht="13.2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>
        <f t="shared" ref="AP1039:AQ1039" si="1032">AR1039+AT1039+AV1039</f>
        <v>0</v>
      </c>
      <c r="AQ1039" s="75">
        <f t="shared" si="1032"/>
        <v>0</v>
      </c>
      <c r="AR1039" s="75"/>
      <c r="AS1039" s="75"/>
      <c r="AT1039" s="75"/>
      <c r="AU1039" s="75"/>
      <c r="AV1039" s="75"/>
      <c r="AW1039" s="75"/>
      <c r="AX1039" s="75"/>
      <c r="AY1039" s="67">
        <f t="shared" ca="1" si="1"/>
        <v>0</v>
      </c>
      <c r="AZ1039" s="75"/>
      <c r="BA1039" s="67">
        <f t="shared" ca="1" si="2"/>
        <v>0</v>
      </c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8"/>
      <c r="BL1039" s="78">
        <f t="shared" ca="1" si="3"/>
        <v>0</v>
      </c>
      <c r="BM1039" s="78"/>
      <c r="BN1039" s="78">
        <f t="shared" ca="1" si="4"/>
        <v>0</v>
      </c>
      <c r="BO1039" s="66"/>
      <c r="BP1039" s="66"/>
    </row>
    <row r="1040" spans="1:68" ht="13.2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>
        <f t="shared" ref="AP1040:AQ1040" si="1033">AR1040+AT1040+AV1040</f>
        <v>0</v>
      </c>
      <c r="AQ1040" s="75">
        <f t="shared" si="1033"/>
        <v>0</v>
      </c>
      <c r="AR1040" s="75"/>
      <c r="AS1040" s="75"/>
      <c r="AT1040" s="75"/>
      <c r="AU1040" s="75"/>
      <c r="AV1040" s="75"/>
      <c r="AW1040" s="75"/>
      <c r="AX1040" s="75"/>
      <c r="AY1040" s="67">
        <f t="shared" ca="1" si="1"/>
        <v>0</v>
      </c>
      <c r="AZ1040" s="75"/>
      <c r="BA1040" s="67">
        <f t="shared" ca="1" si="2"/>
        <v>0</v>
      </c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8"/>
      <c r="BL1040" s="78">
        <f t="shared" ca="1" si="3"/>
        <v>0</v>
      </c>
      <c r="BM1040" s="78"/>
      <c r="BN1040" s="78">
        <f t="shared" ca="1" si="4"/>
        <v>0</v>
      </c>
      <c r="BO1040" s="66"/>
      <c r="BP1040" s="66"/>
    </row>
    <row r="1041" spans="1:68" ht="13.2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>
        <f t="shared" ref="AP1041:AQ1041" si="1034">AR1041+AT1041+AV1041</f>
        <v>0</v>
      </c>
      <c r="AQ1041" s="75">
        <f t="shared" si="1034"/>
        <v>0</v>
      </c>
      <c r="AR1041" s="75"/>
      <c r="AS1041" s="75"/>
      <c r="AT1041" s="75"/>
      <c r="AU1041" s="75"/>
      <c r="AV1041" s="75"/>
      <c r="AW1041" s="75"/>
      <c r="AX1041" s="75"/>
      <c r="AY1041" s="67">
        <f t="shared" ca="1" si="1"/>
        <v>0</v>
      </c>
      <c r="AZ1041" s="75"/>
      <c r="BA1041" s="67">
        <f t="shared" ca="1" si="2"/>
        <v>0</v>
      </c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8"/>
      <c r="BL1041" s="78">
        <f t="shared" ca="1" si="3"/>
        <v>0</v>
      </c>
      <c r="BM1041" s="78"/>
      <c r="BN1041" s="78">
        <f t="shared" ca="1" si="4"/>
        <v>0</v>
      </c>
      <c r="BO1041" s="66"/>
      <c r="BP1041" s="66"/>
    </row>
    <row r="1042" spans="1:68" ht="13.2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>
        <f t="shared" ref="AP1042:AQ1042" si="1035">AR1042+AT1042+AV1042</f>
        <v>0</v>
      </c>
      <c r="AQ1042" s="75">
        <f t="shared" si="1035"/>
        <v>0</v>
      </c>
      <c r="AR1042" s="75"/>
      <c r="AS1042" s="75"/>
      <c r="AT1042" s="75"/>
      <c r="AU1042" s="75"/>
      <c r="AV1042" s="75"/>
      <c r="AW1042" s="75"/>
      <c r="AX1042" s="75"/>
      <c r="AY1042" s="67">
        <f t="shared" ca="1" si="1"/>
        <v>0</v>
      </c>
      <c r="AZ1042" s="75"/>
      <c r="BA1042" s="67">
        <f t="shared" ca="1" si="2"/>
        <v>0</v>
      </c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8"/>
      <c r="BL1042" s="78">
        <f t="shared" ca="1" si="3"/>
        <v>0</v>
      </c>
      <c r="BM1042" s="78"/>
      <c r="BN1042" s="78">
        <f t="shared" ca="1" si="4"/>
        <v>0</v>
      </c>
      <c r="BO1042" s="66"/>
      <c r="BP1042" s="66"/>
    </row>
    <row r="1043" spans="1:68" ht="13.2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>
        <f t="shared" ref="AP1043:AQ1043" si="1036">AR1043+AT1043+AV1043</f>
        <v>0</v>
      </c>
      <c r="AQ1043" s="75">
        <f t="shared" si="1036"/>
        <v>0</v>
      </c>
      <c r="AR1043" s="75"/>
      <c r="AS1043" s="75"/>
      <c r="AT1043" s="75"/>
      <c r="AU1043" s="75"/>
      <c r="AV1043" s="75"/>
      <c r="AW1043" s="75"/>
      <c r="AX1043" s="75"/>
      <c r="AY1043" s="67">
        <f t="shared" ca="1" si="1"/>
        <v>0</v>
      </c>
      <c r="AZ1043" s="75"/>
      <c r="BA1043" s="67">
        <f t="shared" ca="1" si="2"/>
        <v>0</v>
      </c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8"/>
      <c r="BL1043" s="78">
        <f t="shared" ca="1" si="3"/>
        <v>0</v>
      </c>
      <c r="BM1043" s="78"/>
      <c r="BN1043" s="78">
        <f t="shared" ca="1" si="4"/>
        <v>0</v>
      </c>
      <c r="BO1043" s="66"/>
      <c r="BP1043" s="66"/>
    </row>
    <row r="1044" spans="1:68" ht="13.2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>
        <f t="shared" ref="AP1044:AQ1044" si="1037">AR1044+AT1044+AV1044</f>
        <v>0</v>
      </c>
      <c r="AQ1044" s="75">
        <f t="shared" si="1037"/>
        <v>0</v>
      </c>
      <c r="AR1044" s="75"/>
      <c r="AS1044" s="75"/>
      <c r="AT1044" s="75"/>
      <c r="AU1044" s="75"/>
      <c r="AV1044" s="75"/>
      <c r="AW1044" s="75"/>
      <c r="AX1044" s="75"/>
      <c r="AY1044" s="67">
        <f t="shared" ca="1" si="1"/>
        <v>0</v>
      </c>
      <c r="AZ1044" s="75"/>
      <c r="BA1044" s="67">
        <f t="shared" ca="1" si="2"/>
        <v>0</v>
      </c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8"/>
      <c r="BL1044" s="78">
        <f t="shared" ca="1" si="3"/>
        <v>0</v>
      </c>
      <c r="BM1044" s="78"/>
      <c r="BN1044" s="78">
        <f t="shared" ca="1" si="4"/>
        <v>0</v>
      </c>
      <c r="BO1044" s="66"/>
      <c r="BP1044" s="66"/>
    </row>
    <row r="1045" spans="1:68" ht="13.2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>
        <f t="shared" ref="AP1045:AQ1045" si="1038">AR1045+AT1045+AV1045</f>
        <v>0</v>
      </c>
      <c r="AQ1045" s="75">
        <f t="shared" si="1038"/>
        <v>0</v>
      </c>
      <c r="AR1045" s="75"/>
      <c r="AS1045" s="75"/>
      <c r="AT1045" s="75"/>
      <c r="AU1045" s="75"/>
      <c r="AV1045" s="75"/>
      <c r="AW1045" s="75"/>
      <c r="AX1045" s="75"/>
      <c r="AY1045" s="67">
        <f t="shared" ca="1" si="1"/>
        <v>0</v>
      </c>
      <c r="AZ1045" s="75"/>
      <c r="BA1045" s="67">
        <f t="shared" ca="1" si="2"/>
        <v>0</v>
      </c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8"/>
      <c r="BL1045" s="78">
        <f t="shared" ca="1" si="3"/>
        <v>0</v>
      </c>
      <c r="BM1045" s="78"/>
      <c r="BN1045" s="78">
        <f t="shared" ca="1" si="4"/>
        <v>0</v>
      </c>
      <c r="BO1045" s="66"/>
      <c r="BP1045" s="66"/>
    </row>
    <row r="1046" spans="1:68" ht="13.2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>
        <f t="shared" ref="AP1046:AQ1046" si="1039">AR1046+AT1046+AV1046</f>
        <v>0</v>
      </c>
      <c r="AQ1046" s="75">
        <f t="shared" si="1039"/>
        <v>0</v>
      </c>
      <c r="AR1046" s="75"/>
      <c r="AS1046" s="75"/>
      <c r="AT1046" s="75"/>
      <c r="AU1046" s="75"/>
      <c r="AV1046" s="75"/>
      <c r="AW1046" s="75"/>
      <c r="AX1046" s="75"/>
      <c r="AY1046" s="67">
        <f t="shared" ca="1" si="1"/>
        <v>0</v>
      </c>
      <c r="AZ1046" s="75"/>
      <c r="BA1046" s="67">
        <f t="shared" ca="1" si="2"/>
        <v>0</v>
      </c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8"/>
      <c r="BL1046" s="78">
        <f t="shared" ca="1" si="3"/>
        <v>0</v>
      </c>
      <c r="BM1046" s="78"/>
      <c r="BN1046" s="78">
        <f t="shared" ca="1" si="4"/>
        <v>0</v>
      </c>
      <c r="BO1046" s="66"/>
      <c r="BP1046" s="66"/>
    </row>
    <row r="1047" spans="1:68" ht="13.2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>
        <f t="shared" ref="AP1047:AQ1047" si="1040">AR1047+AT1047+AV1047</f>
        <v>0</v>
      </c>
      <c r="AQ1047" s="75">
        <f t="shared" si="1040"/>
        <v>0</v>
      </c>
      <c r="AR1047" s="75"/>
      <c r="AS1047" s="75"/>
      <c r="AT1047" s="75"/>
      <c r="AU1047" s="75"/>
      <c r="AV1047" s="75"/>
      <c r="AW1047" s="75"/>
      <c r="AX1047" s="75"/>
      <c r="AY1047" s="67">
        <f t="shared" ca="1" si="1"/>
        <v>0</v>
      </c>
      <c r="AZ1047" s="75"/>
      <c r="BA1047" s="67">
        <f t="shared" ca="1" si="2"/>
        <v>0</v>
      </c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8"/>
      <c r="BL1047" s="78">
        <f t="shared" ca="1" si="3"/>
        <v>0</v>
      </c>
      <c r="BM1047" s="78"/>
      <c r="BN1047" s="78">
        <f t="shared" ca="1" si="4"/>
        <v>0</v>
      </c>
      <c r="BO1047" s="66"/>
      <c r="BP1047" s="66"/>
    </row>
    <row r="1048" spans="1:68" ht="13.2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>
        <f t="shared" ref="AP1048:AQ1048" si="1041">AR1048+AT1048+AV1048</f>
        <v>0</v>
      </c>
      <c r="AQ1048" s="75">
        <f t="shared" si="1041"/>
        <v>0</v>
      </c>
      <c r="AR1048" s="75"/>
      <c r="AS1048" s="75"/>
      <c r="AT1048" s="75"/>
      <c r="AU1048" s="75"/>
      <c r="AV1048" s="75"/>
      <c r="AW1048" s="75"/>
      <c r="AX1048" s="75"/>
      <c r="AY1048" s="67">
        <f t="shared" ca="1" si="1"/>
        <v>0</v>
      </c>
      <c r="AZ1048" s="75"/>
      <c r="BA1048" s="67">
        <f t="shared" ca="1" si="2"/>
        <v>0</v>
      </c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8"/>
      <c r="BL1048" s="78">
        <f t="shared" ca="1" si="3"/>
        <v>0</v>
      </c>
      <c r="BM1048" s="78"/>
      <c r="BN1048" s="78">
        <f t="shared" ca="1" si="4"/>
        <v>0</v>
      </c>
      <c r="BO1048" s="66"/>
      <c r="BP1048" s="66"/>
    </row>
    <row r="1049" spans="1:68" ht="13.2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>
        <f t="shared" ref="AP1049:AQ1049" si="1042">AR1049+AT1049+AV1049</f>
        <v>0</v>
      </c>
      <c r="AQ1049" s="75">
        <f t="shared" si="1042"/>
        <v>0</v>
      </c>
      <c r="AR1049" s="75"/>
      <c r="AS1049" s="75"/>
      <c r="AT1049" s="75"/>
      <c r="AU1049" s="75"/>
      <c r="AV1049" s="75"/>
      <c r="AW1049" s="75"/>
      <c r="AX1049" s="75"/>
      <c r="AY1049" s="67">
        <f t="shared" ca="1" si="1"/>
        <v>0</v>
      </c>
      <c r="AZ1049" s="75"/>
      <c r="BA1049" s="67">
        <f t="shared" ca="1" si="2"/>
        <v>0</v>
      </c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8"/>
      <c r="BL1049" s="78">
        <f t="shared" ca="1" si="3"/>
        <v>0</v>
      </c>
      <c r="BM1049" s="78"/>
      <c r="BN1049" s="78">
        <f t="shared" ca="1" si="4"/>
        <v>0</v>
      </c>
      <c r="BO1049" s="66"/>
      <c r="BP1049" s="66"/>
    </row>
    <row r="1050" spans="1:68" ht="13.2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>
        <f t="shared" ref="AP1050:AQ1050" si="1043">AR1050+AT1050+AV1050</f>
        <v>0</v>
      </c>
      <c r="AQ1050" s="75">
        <f t="shared" si="1043"/>
        <v>0</v>
      </c>
      <c r="AR1050" s="75"/>
      <c r="AS1050" s="75"/>
      <c r="AT1050" s="75"/>
      <c r="AU1050" s="75"/>
      <c r="AV1050" s="75"/>
      <c r="AW1050" s="75"/>
      <c r="AX1050" s="75"/>
      <c r="AY1050" s="67">
        <f t="shared" ca="1" si="1"/>
        <v>0</v>
      </c>
      <c r="AZ1050" s="75"/>
      <c r="BA1050" s="67">
        <f t="shared" ca="1" si="2"/>
        <v>0</v>
      </c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8"/>
      <c r="BL1050" s="78">
        <f t="shared" ca="1" si="3"/>
        <v>0</v>
      </c>
      <c r="BM1050" s="78"/>
      <c r="BN1050" s="78">
        <f t="shared" ca="1" si="4"/>
        <v>0</v>
      </c>
      <c r="BO1050" s="66"/>
      <c r="BP1050" s="66"/>
    </row>
    <row r="1051" spans="1:68" ht="13.2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>
        <f t="shared" ref="AP1051:AQ1051" si="1044">AR1051+AT1051+AV1051</f>
        <v>0</v>
      </c>
      <c r="AQ1051" s="75">
        <f t="shared" si="1044"/>
        <v>0</v>
      </c>
      <c r="AR1051" s="75"/>
      <c r="AS1051" s="75"/>
      <c r="AT1051" s="75"/>
      <c r="AU1051" s="75"/>
      <c r="AV1051" s="75"/>
      <c r="AW1051" s="75"/>
      <c r="AX1051" s="75"/>
      <c r="AY1051" s="67">
        <f t="shared" ca="1" si="1"/>
        <v>0</v>
      </c>
      <c r="AZ1051" s="75"/>
      <c r="BA1051" s="67">
        <f t="shared" ca="1" si="2"/>
        <v>0</v>
      </c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8"/>
      <c r="BL1051" s="78">
        <f t="shared" ca="1" si="3"/>
        <v>0</v>
      </c>
      <c r="BM1051" s="78"/>
      <c r="BN1051" s="78">
        <f t="shared" ca="1" si="4"/>
        <v>0</v>
      </c>
      <c r="BO1051" s="66"/>
      <c r="BP1051" s="66"/>
    </row>
    <row r="1052" spans="1:68" ht="13.2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>
        <f t="shared" ref="AP1052:AQ1052" si="1045">AR1052+AT1052+AV1052</f>
        <v>0</v>
      </c>
      <c r="AQ1052" s="75">
        <f t="shared" si="1045"/>
        <v>0</v>
      </c>
      <c r="AR1052" s="75"/>
      <c r="AS1052" s="75"/>
      <c r="AT1052" s="75"/>
      <c r="AU1052" s="75"/>
      <c r="AV1052" s="75"/>
      <c r="AW1052" s="75"/>
      <c r="AX1052" s="75"/>
      <c r="AY1052" s="67">
        <f t="shared" ca="1" si="1"/>
        <v>0</v>
      </c>
      <c r="AZ1052" s="75"/>
      <c r="BA1052" s="67">
        <f t="shared" ca="1" si="2"/>
        <v>0</v>
      </c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8"/>
      <c r="BL1052" s="78">
        <f t="shared" ca="1" si="3"/>
        <v>0</v>
      </c>
      <c r="BM1052" s="78"/>
      <c r="BN1052" s="78">
        <f t="shared" ca="1" si="4"/>
        <v>0</v>
      </c>
      <c r="BO1052" s="66"/>
      <c r="BP1052" s="66"/>
    </row>
    <row r="1053" spans="1:68" ht="13.2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>
        <f t="shared" ref="AP1053:AQ1053" si="1046">AR1053+AT1053+AV1053</f>
        <v>0</v>
      </c>
      <c r="AQ1053" s="75">
        <f t="shared" si="1046"/>
        <v>0</v>
      </c>
      <c r="AR1053" s="75"/>
      <c r="AS1053" s="75"/>
      <c r="AT1053" s="75"/>
      <c r="AU1053" s="75"/>
      <c r="AV1053" s="75"/>
      <c r="AW1053" s="75"/>
      <c r="AX1053" s="75"/>
      <c r="AY1053" s="67">
        <f t="shared" ca="1" si="1"/>
        <v>0</v>
      </c>
      <c r="AZ1053" s="75"/>
      <c r="BA1053" s="67">
        <f t="shared" ca="1" si="2"/>
        <v>0</v>
      </c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8"/>
      <c r="BL1053" s="78">
        <f t="shared" ca="1" si="3"/>
        <v>0</v>
      </c>
      <c r="BM1053" s="78"/>
      <c r="BN1053" s="78">
        <f t="shared" ca="1" si="4"/>
        <v>0</v>
      </c>
      <c r="BO1053" s="66"/>
      <c r="BP1053" s="66"/>
    </row>
    <row r="1054" spans="1:68" ht="13.2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>
        <f t="shared" ref="AP1054:AQ1054" si="1047">AR1054+AT1054+AV1054</f>
        <v>0</v>
      </c>
      <c r="AQ1054" s="75">
        <f t="shared" si="1047"/>
        <v>0</v>
      </c>
      <c r="AR1054" s="75"/>
      <c r="AS1054" s="75"/>
      <c r="AT1054" s="75"/>
      <c r="AU1054" s="75"/>
      <c r="AV1054" s="75"/>
      <c r="AW1054" s="75"/>
      <c r="AX1054" s="75"/>
      <c r="AY1054" s="67">
        <f t="shared" ca="1" si="1"/>
        <v>0</v>
      </c>
      <c r="AZ1054" s="75"/>
      <c r="BA1054" s="67">
        <f t="shared" ca="1" si="2"/>
        <v>0</v>
      </c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8"/>
      <c r="BL1054" s="78">
        <f t="shared" ca="1" si="3"/>
        <v>0</v>
      </c>
      <c r="BM1054" s="78"/>
      <c r="BN1054" s="78">
        <f t="shared" ca="1" si="4"/>
        <v>0</v>
      </c>
      <c r="BO1054" s="66"/>
      <c r="BP1054" s="66"/>
    </row>
    <row r="1055" spans="1:68" ht="13.2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>
        <f t="shared" ref="AP1055:AQ1055" si="1048">AR1055+AT1055+AV1055</f>
        <v>0</v>
      </c>
      <c r="AQ1055" s="75">
        <f t="shared" si="1048"/>
        <v>0</v>
      </c>
      <c r="AR1055" s="75"/>
      <c r="AS1055" s="75"/>
      <c r="AT1055" s="75"/>
      <c r="AU1055" s="75"/>
      <c r="AV1055" s="75"/>
      <c r="AW1055" s="75"/>
      <c r="AX1055" s="75"/>
      <c r="AY1055" s="67">
        <f t="shared" ca="1" si="1"/>
        <v>0</v>
      </c>
      <c r="AZ1055" s="75"/>
      <c r="BA1055" s="67">
        <f t="shared" ca="1" si="2"/>
        <v>0</v>
      </c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8"/>
      <c r="BL1055" s="78">
        <f t="shared" ca="1" si="3"/>
        <v>0</v>
      </c>
      <c r="BM1055" s="78"/>
      <c r="BN1055" s="78">
        <f t="shared" ca="1" si="4"/>
        <v>0</v>
      </c>
      <c r="BO1055" s="66"/>
      <c r="BP1055" s="66"/>
    </row>
    <row r="1056" spans="1:68" ht="13.2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>
        <f t="shared" ref="AP1056:AQ1056" si="1049">AR1056+AT1056+AV1056</f>
        <v>0</v>
      </c>
      <c r="AQ1056" s="75">
        <f t="shared" si="1049"/>
        <v>0</v>
      </c>
      <c r="AR1056" s="75"/>
      <c r="AS1056" s="75"/>
      <c r="AT1056" s="75"/>
      <c r="AU1056" s="75"/>
      <c r="AV1056" s="75"/>
      <c r="AW1056" s="75"/>
      <c r="AX1056" s="75"/>
      <c r="AY1056" s="67">
        <f t="shared" ca="1" si="1"/>
        <v>0</v>
      </c>
      <c r="AZ1056" s="75"/>
      <c r="BA1056" s="67">
        <f t="shared" ca="1" si="2"/>
        <v>0</v>
      </c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8"/>
      <c r="BL1056" s="78">
        <f t="shared" ca="1" si="3"/>
        <v>0</v>
      </c>
      <c r="BM1056" s="78"/>
      <c r="BN1056" s="78">
        <f t="shared" ca="1" si="4"/>
        <v>0</v>
      </c>
      <c r="BO1056" s="66"/>
      <c r="BP1056" s="66"/>
    </row>
    <row r="1057" spans="1:68" ht="13.2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>
        <f t="shared" ref="AP1057:AQ1057" si="1050">AR1057+AT1057+AV1057</f>
        <v>0</v>
      </c>
      <c r="AQ1057" s="75">
        <f t="shared" si="1050"/>
        <v>0</v>
      </c>
      <c r="AR1057" s="75"/>
      <c r="AS1057" s="75"/>
      <c r="AT1057" s="75"/>
      <c r="AU1057" s="75"/>
      <c r="AV1057" s="75"/>
      <c r="AW1057" s="75"/>
      <c r="AX1057" s="75"/>
      <c r="AY1057" s="67">
        <f t="shared" ca="1" si="1"/>
        <v>0</v>
      </c>
      <c r="AZ1057" s="75"/>
      <c r="BA1057" s="67">
        <f t="shared" ca="1" si="2"/>
        <v>0</v>
      </c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8"/>
      <c r="BL1057" s="78">
        <f t="shared" ca="1" si="3"/>
        <v>0</v>
      </c>
      <c r="BM1057" s="78"/>
      <c r="BN1057" s="78">
        <f t="shared" ca="1" si="4"/>
        <v>0</v>
      </c>
      <c r="BO1057" s="66"/>
      <c r="BP1057" s="66"/>
    </row>
    <row r="1058" spans="1:68" ht="13.2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>
        <f t="shared" ref="AP1058:AQ1058" si="1051">AR1058+AT1058+AV1058</f>
        <v>0</v>
      </c>
      <c r="AQ1058" s="75">
        <f t="shared" si="1051"/>
        <v>0</v>
      </c>
      <c r="AR1058" s="75"/>
      <c r="AS1058" s="75"/>
      <c r="AT1058" s="75"/>
      <c r="AU1058" s="75"/>
      <c r="AV1058" s="75"/>
      <c r="AW1058" s="75"/>
      <c r="AX1058" s="75"/>
      <c r="AY1058" s="67">
        <f t="shared" ca="1" si="1"/>
        <v>0</v>
      </c>
      <c r="AZ1058" s="75"/>
      <c r="BA1058" s="67">
        <f t="shared" ca="1" si="2"/>
        <v>0</v>
      </c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8"/>
      <c r="BL1058" s="78">
        <f t="shared" ca="1" si="3"/>
        <v>0</v>
      </c>
      <c r="BM1058" s="78"/>
      <c r="BN1058" s="78">
        <f t="shared" ca="1" si="4"/>
        <v>0</v>
      </c>
      <c r="BO1058" s="66"/>
      <c r="BP1058" s="66"/>
    </row>
    <row r="1059" spans="1:68" ht="13.2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>
        <f t="shared" ref="AP1059:AQ1059" si="1052">AR1059+AT1059+AV1059</f>
        <v>0</v>
      </c>
      <c r="AQ1059" s="75">
        <f t="shared" si="1052"/>
        <v>0</v>
      </c>
      <c r="AR1059" s="75"/>
      <c r="AS1059" s="75"/>
      <c r="AT1059" s="75"/>
      <c r="AU1059" s="75"/>
      <c r="AV1059" s="75"/>
      <c r="AW1059" s="75"/>
      <c r="AX1059" s="75"/>
      <c r="AY1059" s="67">
        <f t="shared" ca="1" si="1"/>
        <v>0</v>
      </c>
      <c r="AZ1059" s="75"/>
      <c r="BA1059" s="67">
        <f t="shared" ca="1" si="2"/>
        <v>0</v>
      </c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8"/>
      <c r="BL1059" s="78">
        <f t="shared" ca="1" si="3"/>
        <v>0</v>
      </c>
      <c r="BM1059" s="78"/>
      <c r="BN1059" s="78">
        <f t="shared" ca="1" si="4"/>
        <v>0</v>
      </c>
      <c r="BO1059" s="66"/>
      <c r="BP1059" s="66"/>
    </row>
    <row r="1060" spans="1:68" ht="13.2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>
        <f t="shared" ref="AP1060:AQ1060" si="1053">AR1060+AT1060+AV1060</f>
        <v>0</v>
      </c>
      <c r="AQ1060" s="75">
        <f t="shared" si="1053"/>
        <v>0</v>
      </c>
      <c r="AR1060" s="75"/>
      <c r="AS1060" s="75"/>
      <c r="AT1060" s="75"/>
      <c r="AU1060" s="75"/>
      <c r="AV1060" s="75"/>
      <c r="AW1060" s="75"/>
      <c r="AX1060" s="75"/>
      <c r="AY1060" s="67">
        <f t="shared" ca="1" si="1"/>
        <v>0</v>
      </c>
      <c r="AZ1060" s="75"/>
      <c r="BA1060" s="67">
        <f t="shared" ca="1" si="2"/>
        <v>0</v>
      </c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8"/>
      <c r="BL1060" s="78">
        <f t="shared" ca="1" si="3"/>
        <v>0</v>
      </c>
      <c r="BM1060" s="78"/>
      <c r="BN1060" s="78">
        <f t="shared" ca="1" si="4"/>
        <v>0</v>
      </c>
      <c r="BO1060" s="66"/>
      <c r="BP1060" s="66"/>
    </row>
    <row r="1061" spans="1:68" ht="13.2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>
        <f t="shared" ref="AP1061:AQ1061" si="1054">AR1061+AT1061+AV1061</f>
        <v>0</v>
      </c>
      <c r="AQ1061" s="75">
        <f t="shared" si="1054"/>
        <v>0</v>
      </c>
      <c r="AR1061" s="75"/>
      <c r="AS1061" s="75"/>
      <c r="AT1061" s="75"/>
      <c r="AU1061" s="75"/>
      <c r="AV1061" s="75"/>
      <c r="AW1061" s="75"/>
      <c r="AX1061" s="75"/>
      <c r="AY1061" s="67">
        <f t="shared" ca="1" si="1"/>
        <v>0</v>
      </c>
      <c r="AZ1061" s="75"/>
      <c r="BA1061" s="67">
        <f t="shared" ca="1" si="2"/>
        <v>0</v>
      </c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8"/>
      <c r="BL1061" s="78">
        <f t="shared" ca="1" si="3"/>
        <v>0</v>
      </c>
      <c r="BM1061" s="78"/>
      <c r="BN1061" s="78">
        <f t="shared" ca="1" si="4"/>
        <v>0</v>
      </c>
      <c r="BO1061" s="66"/>
      <c r="BP1061" s="66"/>
    </row>
    <row r="1062" spans="1:68" ht="13.2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>
        <f t="shared" ref="AP1062:AQ1062" si="1055">AR1062+AT1062+AV1062</f>
        <v>0</v>
      </c>
      <c r="AQ1062" s="75">
        <f t="shared" si="1055"/>
        <v>0</v>
      </c>
      <c r="AR1062" s="75"/>
      <c r="AS1062" s="75"/>
      <c r="AT1062" s="75"/>
      <c r="AU1062" s="75"/>
      <c r="AV1062" s="75"/>
      <c r="AW1062" s="75"/>
      <c r="AX1062" s="75"/>
      <c r="AY1062" s="67">
        <f t="shared" ca="1" si="1"/>
        <v>0</v>
      </c>
      <c r="AZ1062" s="75"/>
      <c r="BA1062" s="67">
        <f t="shared" ca="1" si="2"/>
        <v>0</v>
      </c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8"/>
      <c r="BL1062" s="78">
        <f t="shared" ca="1" si="3"/>
        <v>0</v>
      </c>
      <c r="BM1062" s="78"/>
      <c r="BN1062" s="78">
        <f t="shared" ca="1" si="4"/>
        <v>0</v>
      </c>
      <c r="BO1062" s="66"/>
      <c r="BP1062" s="66"/>
    </row>
    <row r="1063" spans="1:68" ht="13.2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>
        <f t="shared" ref="AP1063:AQ1063" si="1056">AR1063+AT1063+AV1063</f>
        <v>0</v>
      </c>
      <c r="AQ1063" s="75">
        <f t="shared" si="1056"/>
        <v>0</v>
      </c>
      <c r="AR1063" s="75"/>
      <c r="AS1063" s="75"/>
      <c r="AT1063" s="75"/>
      <c r="AU1063" s="75"/>
      <c r="AV1063" s="75"/>
      <c r="AW1063" s="75"/>
      <c r="AX1063" s="75"/>
      <c r="AY1063" s="67">
        <f t="shared" ca="1" si="1"/>
        <v>0</v>
      </c>
      <c r="AZ1063" s="75"/>
      <c r="BA1063" s="67">
        <f t="shared" ca="1" si="2"/>
        <v>0</v>
      </c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8"/>
      <c r="BL1063" s="78">
        <f t="shared" ca="1" si="3"/>
        <v>0</v>
      </c>
      <c r="BM1063" s="78"/>
      <c r="BN1063" s="78">
        <f t="shared" ca="1" si="4"/>
        <v>0</v>
      </c>
      <c r="BO1063" s="66"/>
      <c r="BP1063" s="66"/>
    </row>
    <row r="1064" spans="1:68" ht="13.2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>
        <f t="shared" ref="AP1064:AQ1064" si="1057">AR1064+AT1064+AV1064</f>
        <v>0</v>
      </c>
      <c r="AQ1064" s="75">
        <f t="shared" si="1057"/>
        <v>0</v>
      </c>
      <c r="AR1064" s="75"/>
      <c r="AS1064" s="75"/>
      <c r="AT1064" s="75"/>
      <c r="AU1064" s="75"/>
      <c r="AV1064" s="75"/>
      <c r="AW1064" s="75"/>
      <c r="AX1064" s="75"/>
      <c r="AY1064" s="67">
        <f t="shared" ca="1" si="1"/>
        <v>0</v>
      </c>
      <c r="AZ1064" s="75"/>
      <c r="BA1064" s="67">
        <f t="shared" ca="1" si="2"/>
        <v>0</v>
      </c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8"/>
      <c r="BL1064" s="78">
        <f t="shared" ca="1" si="3"/>
        <v>0</v>
      </c>
      <c r="BM1064" s="78"/>
      <c r="BN1064" s="78">
        <f t="shared" ca="1" si="4"/>
        <v>0</v>
      </c>
      <c r="BO1064" s="66"/>
      <c r="BP1064" s="66"/>
    </row>
    <row r="1065" spans="1:68" ht="13.2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>
        <f t="shared" ref="AP1065:AQ1065" si="1058">AR1065+AT1065+AV1065</f>
        <v>0</v>
      </c>
      <c r="AQ1065" s="75">
        <f t="shared" si="1058"/>
        <v>0</v>
      </c>
      <c r="AR1065" s="75"/>
      <c r="AS1065" s="75"/>
      <c r="AT1065" s="75"/>
      <c r="AU1065" s="75"/>
      <c r="AV1065" s="75"/>
      <c r="AW1065" s="75"/>
      <c r="AX1065" s="75"/>
      <c r="AY1065" s="67">
        <f t="shared" ca="1" si="1"/>
        <v>0</v>
      </c>
      <c r="AZ1065" s="75"/>
      <c r="BA1065" s="67">
        <f t="shared" ca="1" si="2"/>
        <v>0</v>
      </c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8"/>
      <c r="BL1065" s="78">
        <f t="shared" ca="1" si="3"/>
        <v>0</v>
      </c>
      <c r="BM1065" s="78"/>
      <c r="BN1065" s="78">
        <f t="shared" ca="1" si="4"/>
        <v>0</v>
      </c>
      <c r="BO1065" s="66"/>
      <c r="BP1065" s="66"/>
    </row>
    <row r="1066" spans="1:68" ht="13.2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>
        <f t="shared" ref="AP1066:AQ1066" si="1059">AR1066+AT1066+AV1066</f>
        <v>0</v>
      </c>
      <c r="AQ1066" s="75">
        <f t="shared" si="1059"/>
        <v>0</v>
      </c>
      <c r="AR1066" s="75"/>
      <c r="AS1066" s="75"/>
      <c r="AT1066" s="75"/>
      <c r="AU1066" s="75"/>
      <c r="AV1066" s="75"/>
      <c r="AW1066" s="75"/>
      <c r="AX1066" s="75"/>
      <c r="AY1066" s="67">
        <f t="shared" ca="1" si="1"/>
        <v>0</v>
      </c>
      <c r="AZ1066" s="75"/>
      <c r="BA1066" s="67">
        <f t="shared" ca="1" si="2"/>
        <v>0</v>
      </c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8"/>
      <c r="BL1066" s="78">
        <f t="shared" ca="1" si="3"/>
        <v>0</v>
      </c>
      <c r="BM1066" s="78"/>
      <c r="BN1066" s="78">
        <f t="shared" ca="1" si="4"/>
        <v>0</v>
      </c>
      <c r="BO1066" s="66"/>
      <c r="BP1066" s="66"/>
    </row>
    <row r="1067" spans="1:68" ht="13.2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>
        <f t="shared" ref="AP1067:AQ1067" si="1060">AR1067+AT1067+AV1067</f>
        <v>0</v>
      </c>
      <c r="AQ1067" s="75">
        <f t="shared" si="1060"/>
        <v>0</v>
      </c>
      <c r="AR1067" s="75"/>
      <c r="AS1067" s="75"/>
      <c r="AT1067" s="75"/>
      <c r="AU1067" s="75"/>
      <c r="AV1067" s="75"/>
      <c r="AW1067" s="75"/>
      <c r="AX1067" s="75"/>
      <c r="AY1067" s="67">
        <f t="shared" ca="1" si="1"/>
        <v>0</v>
      </c>
      <c r="AZ1067" s="75"/>
      <c r="BA1067" s="67">
        <f t="shared" ca="1" si="2"/>
        <v>0</v>
      </c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8"/>
      <c r="BL1067" s="78">
        <f t="shared" ca="1" si="3"/>
        <v>0</v>
      </c>
      <c r="BM1067" s="78"/>
      <c r="BN1067" s="78">
        <f t="shared" ca="1" si="4"/>
        <v>0</v>
      </c>
      <c r="BO1067" s="66"/>
      <c r="BP1067" s="66"/>
    </row>
    <row r="1068" spans="1:68" ht="13.2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>
        <f t="shared" ref="AP1068:AQ1068" si="1061">AR1068+AT1068+AV1068</f>
        <v>0</v>
      </c>
      <c r="AQ1068" s="75">
        <f t="shared" si="1061"/>
        <v>0</v>
      </c>
      <c r="AR1068" s="75"/>
      <c r="AS1068" s="75"/>
      <c r="AT1068" s="75"/>
      <c r="AU1068" s="75"/>
      <c r="AV1068" s="75"/>
      <c r="AW1068" s="75"/>
      <c r="AX1068" s="75"/>
      <c r="AY1068" s="67">
        <f t="shared" ca="1" si="1"/>
        <v>0</v>
      </c>
      <c r="AZ1068" s="75"/>
      <c r="BA1068" s="67">
        <f t="shared" ca="1" si="2"/>
        <v>0</v>
      </c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8"/>
      <c r="BL1068" s="78">
        <f t="shared" ca="1" si="3"/>
        <v>0</v>
      </c>
      <c r="BM1068" s="78"/>
      <c r="BN1068" s="78">
        <f t="shared" ca="1" si="4"/>
        <v>0</v>
      </c>
      <c r="BO1068" s="66"/>
      <c r="BP1068" s="66"/>
    </row>
    <row r="1069" spans="1:68" ht="13.2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>
        <f t="shared" ref="AP1069:AQ1069" si="1062">AR1069+AT1069+AV1069</f>
        <v>0</v>
      </c>
      <c r="AQ1069" s="75">
        <f t="shared" si="1062"/>
        <v>0</v>
      </c>
      <c r="AR1069" s="75"/>
      <c r="AS1069" s="75"/>
      <c r="AT1069" s="75"/>
      <c r="AU1069" s="75"/>
      <c r="AV1069" s="75"/>
      <c r="AW1069" s="75"/>
      <c r="AX1069" s="75"/>
      <c r="AY1069" s="67">
        <f t="shared" ca="1" si="1"/>
        <v>0</v>
      </c>
      <c r="AZ1069" s="75"/>
      <c r="BA1069" s="67">
        <f t="shared" ca="1" si="2"/>
        <v>0</v>
      </c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8"/>
      <c r="BL1069" s="78">
        <f t="shared" ca="1" si="3"/>
        <v>0</v>
      </c>
      <c r="BM1069" s="78"/>
      <c r="BN1069" s="78">
        <f t="shared" ca="1" si="4"/>
        <v>0</v>
      </c>
      <c r="BO1069" s="66"/>
      <c r="BP1069" s="66"/>
    </row>
    <row r="1070" spans="1:68" ht="13.2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>
        <f t="shared" ref="AP1070:AQ1070" si="1063">AR1070+AT1070+AV1070</f>
        <v>0</v>
      </c>
      <c r="AQ1070" s="75">
        <f t="shared" si="1063"/>
        <v>0</v>
      </c>
      <c r="AR1070" s="75"/>
      <c r="AS1070" s="75"/>
      <c r="AT1070" s="75"/>
      <c r="AU1070" s="75"/>
      <c r="AV1070" s="75"/>
      <c r="AW1070" s="75"/>
      <c r="AX1070" s="75"/>
      <c r="AY1070" s="67">
        <f t="shared" ca="1" si="1"/>
        <v>0</v>
      </c>
      <c r="AZ1070" s="75"/>
      <c r="BA1070" s="67">
        <f t="shared" ca="1" si="2"/>
        <v>0</v>
      </c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8"/>
      <c r="BL1070" s="78">
        <f t="shared" ca="1" si="3"/>
        <v>0</v>
      </c>
      <c r="BM1070" s="78"/>
      <c r="BN1070" s="78">
        <f t="shared" ca="1" si="4"/>
        <v>0</v>
      </c>
      <c r="BO1070" s="66"/>
      <c r="BP1070" s="66"/>
    </row>
    <row r="1071" spans="1:68" ht="13.2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>
        <f t="shared" ref="AP1071:AQ1071" si="1064">AR1071+AT1071+AV1071</f>
        <v>0</v>
      </c>
      <c r="AQ1071" s="75">
        <f t="shared" si="1064"/>
        <v>0</v>
      </c>
      <c r="AR1071" s="75"/>
      <c r="AS1071" s="75"/>
      <c r="AT1071" s="75"/>
      <c r="AU1071" s="75"/>
      <c r="AV1071" s="75"/>
      <c r="AW1071" s="75"/>
      <c r="AX1071" s="75"/>
      <c r="AY1071" s="67">
        <f t="shared" ca="1" si="1"/>
        <v>0</v>
      </c>
      <c r="AZ1071" s="75"/>
      <c r="BA1071" s="67">
        <f t="shared" ca="1" si="2"/>
        <v>0</v>
      </c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8"/>
      <c r="BL1071" s="78">
        <f t="shared" ca="1" si="3"/>
        <v>0</v>
      </c>
      <c r="BM1071" s="78"/>
      <c r="BN1071" s="78">
        <f t="shared" ca="1" si="4"/>
        <v>0</v>
      </c>
      <c r="BO1071" s="66"/>
      <c r="BP1071" s="66"/>
    </row>
    <row r="1072" spans="1:68" ht="13.2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>
        <f t="shared" ref="AP1072:AQ1072" si="1065">AR1072+AT1072+AV1072</f>
        <v>0</v>
      </c>
      <c r="AQ1072" s="75">
        <f t="shared" si="1065"/>
        <v>0</v>
      </c>
      <c r="AR1072" s="75"/>
      <c r="AS1072" s="75"/>
      <c r="AT1072" s="75"/>
      <c r="AU1072" s="75"/>
      <c r="AV1072" s="75"/>
      <c r="AW1072" s="75"/>
      <c r="AX1072" s="75"/>
      <c r="AY1072" s="67">
        <f t="shared" ca="1" si="1"/>
        <v>0</v>
      </c>
      <c r="AZ1072" s="75"/>
      <c r="BA1072" s="67">
        <f t="shared" ca="1" si="2"/>
        <v>0</v>
      </c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8"/>
      <c r="BL1072" s="78">
        <f t="shared" ca="1" si="3"/>
        <v>0</v>
      </c>
      <c r="BM1072" s="78"/>
      <c r="BN1072" s="78">
        <f t="shared" ca="1" si="4"/>
        <v>0</v>
      </c>
      <c r="BO1072" s="66"/>
      <c r="BP1072" s="66"/>
    </row>
    <row r="1073" spans="1:68" ht="13.2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>
        <f t="shared" ref="AP1073:AQ1073" si="1066">AR1073+AT1073+AV1073</f>
        <v>0</v>
      </c>
      <c r="AQ1073" s="75">
        <f t="shared" si="1066"/>
        <v>0</v>
      </c>
      <c r="AR1073" s="75"/>
      <c r="AS1073" s="75"/>
      <c r="AT1073" s="75"/>
      <c r="AU1073" s="75"/>
      <c r="AV1073" s="75"/>
      <c r="AW1073" s="75"/>
      <c r="AX1073" s="75"/>
      <c r="AY1073" s="67">
        <f t="shared" ca="1" si="1"/>
        <v>0</v>
      </c>
      <c r="AZ1073" s="75"/>
      <c r="BA1073" s="67">
        <f t="shared" ca="1" si="2"/>
        <v>0</v>
      </c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8"/>
      <c r="BL1073" s="78">
        <f t="shared" ca="1" si="3"/>
        <v>0</v>
      </c>
      <c r="BM1073" s="78"/>
      <c r="BN1073" s="78">
        <f t="shared" ca="1" si="4"/>
        <v>0</v>
      </c>
      <c r="BO1073" s="66"/>
      <c r="BP1073" s="66"/>
    </row>
    <row r="1074" spans="1:68" ht="13.2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>
        <f t="shared" ref="AP1074:AQ1074" si="1067">AR1074+AT1074+AV1074</f>
        <v>0</v>
      </c>
      <c r="AQ1074" s="75">
        <f t="shared" si="1067"/>
        <v>0</v>
      </c>
      <c r="AR1074" s="75"/>
      <c r="AS1074" s="75"/>
      <c r="AT1074" s="75"/>
      <c r="AU1074" s="75"/>
      <c r="AV1074" s="75"/>
      <c r="AW1074" s="75"/>
      <c r="AX1074" s="75"/>
      <c r="AY1074" s="67">
        <f t="shared" ca="1" si="1"/>
        <v>0</v>
      </c>
      <c r="AZ1074" s="75"/>
      <c r="BA1074" s="67">
        <f t="shared" ca="1" si="2"/>
        <v>0</v>
      </c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8"/>
      <c r="BL1074" s="78">
        <f t="shared" ca="1" si="3"/>
        <v>0</v>
      </c>
      <c r="BM1074" s="78"/>
      <c r="BN1074" s="78">
        <f t="shared" ca="1" si="4"/>
        <v>0</v>
      </c>
      <c r="BO1074" s="66"/>
      <c r="BP1074" s="66"/>
    </row>
    <row r="1075" spans="1:68" ht="13.2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>
        <f t="shared" ref="AP1075:AQ1075" si="1068">AR1075+AT1075+AV1075</f>
        <v>0</v>
      </c>
      <c r="AQ1075" s="75">
        <f t="shared" si="1068"/>
        <v>0</v>
      </c>
      <c r="AR1075" s="75"/>
      <c r="AS1075" s="75"/>
      <c r="AT1075" s="75"/>
      <c r="AU1075" s="75"/>
      <c r="AV1075" s="75"/>
      <c r="AW1075" s="75"/>
      <c r="AX1075" s="75"/>
      <c r="AY1075" s="67">
        <f t="shared" ca="1" si="1"/>
        <v>0</v>
      </c>
      <c r="AZ1075" s="75"/>
      <c r="BA1075" s="67">
        <f t="shared" ca="1" si="2"/>
        <v>0</v>
      </c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8"/>
      <c r="BL1075" s="78">
        <f t="shared" ca="1" si="3"/>
        <v>0</v>
      </c>
      <c r="BM1075" s="78"/>
      <c r="BN1075" s="78">
        <f t="shared" ca="1" si="4"/>
        <v>0</v>
      </c>
      <c r="BO1075" s="66"/>
      <c r="BP1075" s="66"/>
    </row>
    <row r="1076" spans="1:68" ht="13.2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>
        <f t="shared" ref="AP1076:AQ1076" si="1069">AR1076+AT1076+AV1076</f>
        <v>0</v>
      </c>
      <c r="AQ1076" s="75">
        <f t="shared" si="1069"/>
        <v>0</v>
      </c>
      <c r="AR1076" s="75"/>
      <c r="AS1076" s="75"/>
      <c r="AT1076" s="75"/>
      <c r="AU1076" s="75"/>
      <c r="AV1076" s="75"/>
      <c r="AW1076" s="75"/>
      <c r="AX1076" s="75"/>
      <c r="AY1076" s="67">
        <f t="shared" ca="1" si="1"/>
        <v>0</v>
      </c>
      <c r="AZ1076" s="75"/>
      <c r="BA1076" s="67">
        <f t="shared" ca="1" si="2"/>
        <v>0</v>
      </c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8"/>
      <c r="BL1076" s="78">
        <f t="shared" ca="1" si="3"/>
        <v>0</v>
      </c>
      <c r="BM1076" s="78"/>
      <c r="BN1076" s="78">
        <f t="shared" ca="1" si="4"/>
        <v>0</v>
      </c>
      <c r="BO1076" s="66"/>
      <c r="BP1076" s="66"/>
    </row>
    <row r="1077" spans="1:68" ht="13.2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>
        <f t="shared" ref="AP1077:AQ1077" si="1070">AR1077+AT1077+AV1077</f>
        <v>0</v>
      </c>
      <c r="AQ1077" s="75">
        <f t="shared" si="1070"/>
        <v>0</v>
      </c>
      <c r="AR1077" s="75"/>
      <c r="AS1077" s="75"/>
      <c r="AT1077" s="75"/>
      <c r="AU1077" s="75"/>
      <c r="AV1077" s="75"/>
      <c r="AW1077" s="75"/>
      <c r="AX1077" s="75"/>
      <c r="AY1077" s="67">
        <f t="shared" ca="1" si="1"/>
        <v>0</v>
      </c>
      <c r="AZ1077" s="75"/>
      <c r="BA1077" s="67">
        <f t="shared" ca="1" si="2"/>
        <v>0</v>
      </c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8"/>
      <c r="BL1077" s="78">
        <f t="shared" ca="1" si="3"/>
        <v>0</v>
      </c>
      <c r="BM1077" s="78"/>
      <c r="BN1077" s="78">
        <f t="shared" ca="1" si="4"/>
        <v>0</v>
      </c>
      <c r="BO1077" s="66"/>
      <c r="BP1077" s="66"/>
    </row>
    <row r="1078" spans="1:68" ht="13.2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>
        <f t="shared" ref="AP1078:AQ1078" si="1071">AR1078+AT1078+AV1078</f>
        <v>0</v>
      </c>
      <c r="AQ1078" s="75">
        <f t="shared" si="1071"/>
        <v>0</v>
      </c>
      <c r="AR1078" s="75"/>
      <c r="AS1078" s="75"/>
      <c r="AT1078" s="75"/>
      <c r="AU1078" s="75"/>
      <c r="AV1078" s="75"/>
      <c r="AW1078" s="75"/>
      <c r="AX1078" s="75"/>
      <c r="AY1078" s="67">
        <f t="shared" ca="1" si="1"/>
        <v>0</v>
      </c>
      <c r="AZ1078" s="75"/>
      <c r="BA1078" s="67">
        <f t="shared" ca="1" si="2"/>
        <v>0</v>
      </c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8"/>
      <c r="BL1078" s="78">
        <f t="shared" ca="1" si="3"/>
        <v>0</v>
      </c>
      <c r="BM1078" s="78"/>
      <c r="BN1078" s="78">
        <f t="shared" ca="1" si="4"/>
        <v>0</v>
      </c>
      <c r="BO1078" s="66"/>
      <c r="BP1078" s="66"/>
    </row>
    <row r="1079" spans="1:68" ht="13.2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>
        <f t="shared" ref="AP1079:AQ1079" si="1072">AR1079+AT1079+AV1079</f>
        <v>0</v>
      </c>
      <c r="AQ1079" s="75">
        <f t="shared" si="1072"/>
        <v>0</v>
      </c>
      <c r="AR1079" s="75"/>
      <c r="AS1079" s="75"/>
      <c r="AT1079" s="75"/>
      <c r="AU1079" s="75"/>
      <c r="AV1079" s="75"/>
      <c r="AW1079" s="75"/>
      <c r="AX1079" s="75"/>
      <c r="AY1079" s="67">
        <f t="shared" ca="1" si="1"/>
        <v>0</v>
      </c>
      <c r="AZ1079" s="75"/>
      <c r="BA1079" s="67">
        <f t="shared" ca="1" si="2"/>
        <v>0</v>
      </c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8"/>
      <c r="BL1079" s="78">
        <f t="shared" ca="1" si="3"/>
        <v>0</v>
      </c>
      <c r="BM1079" s="78"/>
      <c r="BN1079" s="78">
        <f t="shared" ca="1" si="4"/>
        <v>0</v>
      </c>
      <c r="BO1079" s="66"/>
      <c r="BP1079" s="66"/>
    </row>
    <row r="1080" spans="1:68" ht="13.2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>
        <f t="shared" ref="AP1080:AQ1080" si="1073">AR1080+AT1080+AV1080</f>
        <v>0</v>
      </c>
      <c r="AQ1080" s="75">
        <f t="shared" si="1073"/>
        <v>0</v>
      </c>
      <c r="AR1080" s="75"/>
      <c r="AS1080" s="75"/>
      <c r="AT1080" s="75"/>
      <c r="AU1080" s="75"/>
      <c r="AV1080" s="75"/>
      <c r="AW1080" s="75"/>
      <c r="AX1080" s="75"/>
      <c r="AY1080" s="67">
        <f t="shared" ca="1" si="1"/>
        <v>0</v>
      </c>
      <c r="AZ1080" s="75"/>
      <c r="BA1080" s="67">
        <f t="shared" ca="1" si="2"/>
        <v>0</v>
      </c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8"/>
      <c r="BL1080" s="78">
        <f t="shared" ca="1" si="3"/>
        <v>0</v>
      </c>
      <c r="BM1080" s="78"/>
      <c r="BN1080" s="78">
        <f t="shared" ca="1" si="4"/>
        <v>0</v>
      </c>
      <c r="BO1080" s="66"/>
      <c r="BP1080" s="66"/>
    </row>
    <row r="1081" spans="1:68" ht="13.2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>
        <f t="shared" ref="AP1081:AQ1081" si="1074">AR1081+AT1081+AV1081</f>
        <v>0</v>
      </c>
      <c r="AQ1081" s="75">
        <f t="shared" si="1074"/>
        <v>0</v>
      </c>
      <c r="AR1081" s="75"/>
      <c r="AS1081" s="75"/>
      <c r="AT1081" s="75"/>
      <c r="AU1081" s="75"/>
      <c r="AV1081" s="75"/>
      <c r="AW1081" s="75"/>
      <c r="AX1081" s="75"/>
      <c r="AY1081" s="67">
        <f t="shared" ca="1" si="1"/>
        <v>0</v>
      </c>
      <c r="AZ1081" s="75"/>
      <c r="BA1081" s="67">
        <f t="shared" ca="1" si="2"/>
        <v>0</v>
      </c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8"/>
      <c r="BL1081" s="78">
        <f t="shared" ca="1" si="3"/>
        <v>0</v>
      </c>
      <c r="BM1081" s="78"/>
      <c r="BN1081" s="78">
        <f t="shared" ca="1" si="4"/>
        <v>0</v>
      </c>
      <c r="BO1081" s="66"/>
      <c r="BP1081" s="66"/>
    </row>
    <row r="1082" spans="1:68" ht="13.2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>
        <f t="shared" ref="AP1082:AQ1082" si="1075">AR1082+AT1082+AV1082</f>
        <v>0</v>
      </c>
      <c r="AQ1082" s="75">
        <f t="shared" si="1075"/>
        <v>0</v>
      </c>
      <c r="AR1082" s="75"/>
      <c r="AS1082" s="75"/>
      <c r="AT1082" s="75"/>
      <c r="AU1082" s="75"/>
      <c r="AV1082" s="75"/>
      <c r="AW1082" s="75"/>
      <c r="AX1082" s="75"/>
      <c r="AY1082" s="67">
        <f t="shared" ca="1" si="1"/>
        <v>0</v>
      </c>
      <c r="AZ1082" s="75"/>
      <c r="BA1082" s="67">
        <f t="shared" ca="1" si="2"/>
        <v>0</v>
      </c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8"/>
      <c r="BL1082" s="78">
        <f t="shared" ca="1" si="3"/>
        <v>0</v>
      </c>
      <c r="BM1082" s="78"/>
      <c r="BN1082" s="78">
        <f t="shared" ca="1" si="4"/>
        <v>0</v>
      </c>
      <c r="BO1082" s="66"/>
      <c r="BP1082" s="66"/>
    </row>
    <row r="1083" spans="1:68" ht="13.2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>
        <f t="shared" ref="AP1083:AQ1083" si="1076">AR1083+AT1083+AV1083</f>
        <v>0</v>
      </c>
      <c r="AQ1083" s="75">
        <f t="shared" si="1076"/>
        <v>0</v>
      </c>
      <c r="AR1083" s="75"/>
      <c r="AS1083" s="75"/>
      <c r="AT1083" s="75"/>
      <c r="AU1083" s="75"/>
      <c r="AV1083" s="75"/>
      <c r="AW1083" s="75"/>
      <c r="AX1083" s="75"/>
      <c r="AY1083" s="67">
        <f t="shared" ca="1" si="1"/>
        <v>0</v>
      </c>
      <c r="AZ1083" s="75"/>
      <c r="BA1083" s="67">
        <f t="shared" ca="1" si="2"/>
        <v>0</v>
      </c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8"/>
      <c r="BL1083" s="78">
        <f t="shared" ca="1" si="3"/>
        <v>0</v>
      </c>
      <c r="BM1083" s="78"/>
      <c r="BN1083" s="78">
        <f t="shared" ca="1" si="4"/>
        <v>0</v>
      </c>
      <c r="BO1083" s="66"/>
      <c r="BP1083" s="66"/>
    </row>
    <row r="1084" spans="1:68" ht="13.2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>
        <f t="shared" ref="AP1084:AQ1084" si="1077">AR1084+AT1084+AV1084</f>
        <v>0</v>
      </c>
      <c r="AQ1084" s="75">
        <f t="shared" si="1077"/>
        <v>0</v>
      </c>
      <c r="AR1084" s="75"/>
      <c r="AS1084" s="75"/>
      <c r="AT1084" s="75"/>
      <c r="AU1084" s="75"/>
      <c r="AV1084" s="75"/>
      <c r="AW1084" s="75"/>
      <c r="AX1084" s="75"/>
      <c r="AY1084" s="67">
        <f t="shared" ca="1" si="1"/>
        <v>0</v>
      </c>
      <c r="AZ1084" s="75"/>
      <c r="BA1084" s="67">
        <f t="shared" ca="1" si="2"/>
        <v>0</v>
      </c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8"/>
      <c r="BL1084" s="78">
        <f t="shared" ca="1" si="3"/>
        <v>0</v>
      </c>
      <c r="BM1084" s="78"/>
      <c r="BN1084" s="78">
        <f t="shared" ca="1" si="4"/>
        <v>0</v>
      </c>
      <c r="BO1084" s="66"/>
      <c r="BP1084" s="66"/>
    </row>
    <row r="1085" spans="1:68" ht="13.2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>
        <f t="shared" ref="AP1085:AQ1085" si="1078">AR1085+AT1085+AV1085</f>
        <v>0</v>
      </c>
      <c r="AQ1085" s="75">
        <f t="shared" si="1078"/>
        <v>0</v>
      </c>
      <c r="AR1085" s="75"/>
      <c r="AS1085" s="75"/>
      <c r="AT1085" s="75"/>
      <c r="AU1085" s="75"/>
      <c r="AV1085" s="75"/>
      <c r="AW1085" s="75"/>
      <c r="AX1085" s="75"/>
      <c r="AY1085" s="67">
        <f t="shared" ca="1" si="1"/>
        <v>0</v>
      </c>
      <c r="AZ1085" s="75"/>
      <c r="BA1085" s="67">
        <f t="shared" ca="1" si="2"/>
        <v>0</v>
      </c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8"/>
      <c r="BL1085" s="78">
        <f t="shared" ca="1" si="3"/>
        <v>0</v>
      </c>
      <c r="BM1085" s="78"/>
      <c r="BN1085" s="78">
        <f t="shared" ca="1" si="4"/>
        <v>0</v>
      </c>
      <c r="BO1085" s="66"/>
      <c r="BP1085" s="66"/>
    </row>
    <row r="1086" spans="1:68" ht="13.2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>
        <f t="shared" ref="AP1086:AQ1086" si="1079">AR1086+AT1086+AV1086</f>
        <v>0</v>
      </c>
      <c r="AQ1086" s="75">
        <f t="shared" si="1079"/>
        <v>0</v>
      </c>
      <c r="AR1086" s="75"/>
      <c r="AS1086" s="75"/>
      <c r="AT1086" s="75"/>
      <c r="AU1086" s="75"/>
      <c r="AV1086" s="75"/>
      <c r="AW1086" s="75"/>
      <c r="AX1086" s="75"/>
      <c r="AY1086" s="67">
        <f t="shared" ca="1" si="1"/>
        <v>0</v>
      </c>
      <c r="AZ1086" s="75"/>
      <c r="BA1086" s="67">
        <f t="shared" ca="1" si="2"/>
        <v>0</v>
      </c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8"/>
      <c r="BL1086" s="78">
        <f t="shared" ca="1" si="3"/>
        <v>0</v>
      </c>
      <c r="BM1086" s="78"/>
      <c r="BN1086" s="78">
        <f t="shared" ca="1" si="4"/>
        <v>0</v>
      </c>
      <c r="BO1086" s="66"/>
      <c r="BP1086" s="66"/>
    </row>
    <row r="1087" spans="1:68" ht="13.2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>
        <f t="shared" ref="AP1087:AQ1087" si="1080">AR1087+AT1087+AV1087</f>
        <v>0</v>
      </c>
      <c r="AQ1087" s="75">
        <f t="shared" si="1080"/>
        <v>0</v>
      </c>
      <c r="AR1087" s="75"/>
      <c r="AS1087" s="75"/>
      <c r="AT1087" s="75"/>
      <c r="AU1087" s="75"/>
      <c r="AV1087" s="75"/>
      <c r="AW1087" s="75"/>
      <c r="AX1087" s="75"/>
      <c r="AY1087" s="67">
        <f t="shared" ca="1" si="1"/>
        <v>0</v>
      </c>
      <c r="AZ1087" s="75"/>
      <c r="BA1087" s="67">
        <f t="shared" ca="1" si="2"/>
        <v>0</v>
      </c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8"/>
      <c r="BL1087" s="78">
        <f t="shared" ca="1" si="3"/>
        <v>0</v>
      </c>
      <c r="BM1087" s="78"/>
      <c r="BN1087" s="78">
        <f t="shared" ca="1" si="4"/>
        <v>0</v>
      </c>
      <c r="BO1087" s="66"/>
      <c r="BP1087" s="66"/>
    </row>
    <row r="1088" spans="1:68" ht="13.2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>
        <f t="shared" ref="AP1088:AQ1088" si="1081">AR1088+AT1088+AV1088</f>
        <v>0</v>
      </c>
      <c r="AQ1088" s="75">
        <f t="shared" si="1081"/>
        <v>0</v>
      </c>
      <c r="AR1088" s="75"/>
      <c r="AS1088" s="75"/>
      <c r="AT1088" s="75"/>
      <c r="AU1088" s="75"/>
      <c r="AV1088" s="75"/>
      <c r="AW1088" s="75"/>
      <c r="AX1088" s="75"/>
      <c r="AY1088" s="67">
        <f t="shared" ca="1" si="1"/>
        <v>0</v>
      </c>
      <c r="AZ1088" s="75"/>
      <c r="BA1088" s="67">
        <f t="shared" ca="1" si="2"/>
        <v>0</v>
      </c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8"/>
      <c r="BL1088" s="78">
        <f t="shared" ca="1" si="3"/>
        <v>0</v>
      </c>
      <c r="BM1088" s="78"/>
      <c r="BN1088" s="78">
        <f t="shared" ca="1" si="4"/>
        <v>0</v>
      </c>
      <c r="BO1088" s="66"/>
      <c r="BP1088" s="66"/>
    </row>
    <row r="1089" spans="1:68" ht="13.2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>
        <f t="shared" ref="AP1089:AQ1089" si="1082">AR1089+AT1089+AV1089</f>
        <v>0</v>
      </c>
      <c r="AQ1089" s="75">
        <f t="shared" si="1082"/>
        <v>0</v>
      </c>
      <c r="AR1089" s="75"/>
      <c r="AS1089" s="75"/>
      <c r="AT1089" s="75"/>
      <c r="AU1089" s="75"/>
      <c r="AV1089" s="75"/>
      <c r="AW1089" s="75"/>
      <c r="AX1089" s="75"/>
      <c r="AY1089" s="67">
        <f t="shared" ca="1" si="1"/>
        <v>0</v>
      </c>
      <c r="AZ1089" s="75"/>
      <c r="BA1089" s="67">
        <f t="shared" ca="1" si="2"/>
        <v>0</v>
      </c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8"/>
      <c r="BL1089" s="78">
        <f t="shared" ca="1" si="3"/>
        <v>0</v>
      </c>
      <c r="BM1089" s="78"/>
      <c r="BN1089" s="78">
        <f t="shared" ca="1" si="4"/>
        <v>0</v>
      </c>
      <c r="BO1089" s="66"/>
      <c r="BP1089" s="66"/>
    </row>
    <row r="1090" spans="1:68" ht="13.2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>
        <f t="shared" ref="AP1090:AQ1090" si="1083">AR1090+AT1090+AV1090</f>
        <v>0</v>
      </c>
      <c r="AQ1090" s="75">
        <f t="shared" si="1083"/>
        <v>0</v>
      </c>
      <c r="AR1090" s="75"/>
      <c r="AS1090" s="75"/>
      <c r="AT1090" s="75"/>
      <c r="AU1090" s="75"/>
      <c r="AV1090" s="75"/>
      <c r="AW1090" s="75"/>
      <c r="AX1090" s="75"/>
      <c r="AY1090" s="67">
        <f t="shared" ca="1" si="1"/>
        <v>0</v>
      </c>
      <c r="AZ1090" s="75"/>
      <c r="BA1090" s="67">
        <f t="shared" ca="1" si="2"/>
        <v>0</v>
      </c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8"/>
      <c r="BL1090" s="78">
        <f t="shared" ca="1" si="3"/>
        <v>0</v>
      </c>
      <c r="BM1090" s="78"/>
      <c r="BN1090" s="78">
        <f t="shared" ca="1" si="4"/>
        <v>0</v>
      </c>
      <c r="BO1090" s="66"/>
      <c r="BP1090" s="66"/>
    </row>
    <row r="1091" spans="1:68" ht="13.2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>
        <f t="shared" ref="AP1091:AQ1091" si="1084">AR1091+AT1091+AV1091</f>
        <v>0</v>
      </c>
      <c r="AQ1091" s="75">
        <f t="shared" si="1084"/>
        <v>0</v>
      </c>
      <c r="AR1091" s="75"/>
      <c r="AS1091" s="75"/>
      <c r="AT1091" s="75"/>
      <c r="AU1091" s="75"/>
      <c r="AV1091" s="75"/>
      <c r="AW1091" s="75"/>
      <c r="AX1091" s="75"/>
      <c r="AY1091" s="67">
        <f t="shared" ca="1" si="1"/>
        <v>0</v>
      </c>
      <c r="AZ1091" s="75"/>
      <c r="BA1091" s="67">
        <f t="shared" ca="1" si="2"/>
        <v>0</v>
      </c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8"/>
      <c r="BL1091" s="78">
        <f t="shared" ca="1" si="3"/>
        <v>0</v>
      </c>
      <c r="BM1091" s="78"/>
      <c r="BN1091" s="78">
        <f t="shared" ca="1" si="4"/>
        <v>0</v>
      </c>
      <c r="BO1091" s="66"/>
      <c r="BP1091" s="66"/>
    </row>
    <row r="1092" spans="1:68" ht="13.2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>
        <f t="shared" ref="AP1092:AQ1092" si="1085">AR1092+AT1092+AV1092</f>
        <v>0</v>
      </c>
      <c r="AQ1092" s="75">
        <f t="shared" si="1085"/>
        <v>0</v>
      </c>
      <c r="AR1092" s="75"/>
      <c r="AS1092" s="75"/>
      <c r="AT1092" s="75"/>
      <c r="AU1092" s="75"/>
      <c r="AV1092" s="75"/>
      <c r="AW1092" s="75"/>
      <c r="AX1092" s="75"/>
      <c r="AY1092" s="67">
        <f t="shared" ca="1" si="1"/>
        <v>0</v>
      </c>
      <c r="AZ1092" s="75"/>
      <c r="BA1092" s="67">
        <f t="shared" ca="1" si="2"/>
        <v>0</v>
      </c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8"/>
      <c r="BL1092" s="78">
        <f t="shared" ca="1" si="3"/>
        <v>0</v>
      </c>
      <c r="BM1092" s="78"/>
      <c r="BN1092" s="78">
        <f t="shared" ca="1" si="4"/>
        <v>0</v>
      </c>
      <c r="BO1092" s="66"/>
      <c r="BP1092" s="66"/>
    </row>
    <row r="1093" spans="1:68" ht="13.2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>
        <f t="shared" ref="AP1093:AQ1093" si="1086">AR1093+AT1093+AV1093</f>
        <v>0</v>
      </c>
      <c r="AQ1093" s="75">
        <f t="shared" si="1086"/>
        <v>0</v>
      </c>
      <c r="AR1093" s="75"/>
      <c r="AS1093" s="75"/>
      <c r="AT1093" s="75"/>
      <c r="AU1093" s="75"/>
      <c r="AV1093" s="75"/>
      <c r="AW1093" s="75"/>
      <c r="AX1093" s="75"/>
      <c r="AY1093" s="67">
        <f t="shared" ca="1" si="1"/>
        <v>0</v>
      </c>
      <c r="AZ1093" s="75"/>
      <c r="BA1093" s="67">
        <f t="shared" ca="1" si="2"/>
        <v>0</v>
      </c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8"/>
      <c r="BL1093" s="78">
        <f t="shared" ca="1" si="3"/>
        <v>0</v>
      </c>
      <c r="BM1093" s="78"/>
      <c r="BN1093" s="78">
        <f t="shared" ca="1" si="4"/>
        <v>0</v>
      </c>
      <c r="BO1093" s="66"/>
      <c r="BP1093" s="66"/>
    </row>
    <row r="1094" spans="1:68" ht="13.2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>
        <f t="shared" ref="AP1094:AQ1094" si="1087">AR1094+AT1094+AV1094</f>
        <v>0</v>
      </c>
      <c r="AQ1094" s="75">
        <f t="shared" si="1087"/>
        <v>0</v>
      </c>
      <c r="AR1094" s="75"/>
      <c r="AS1094" s="75"/>
      <c r="AT1094" s="75"/>
      <c r="AU1094" s="75"/>
      <c r="AV1094" s="75"/>
      <c r="AW1094" s="75"/>
      <c r="AX1094" s="75"/>
      <c r="AY1094" s="67">
        <f t="shared" ca="1" si="1"/>
        <v>0</v>
      </c>
      <c r="AZ1094" s="75"/>
      <c r="BA1094" s="67">
        <f t="shared" ca="1" si="2"/>
        <v>0</v>
      </c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8"/>
      <c r="BL1094" s="78">
        <f t="shared" ca="1" si="3"/>
        <v>0</v>
      </c>
      <c r="BM1094" s="78"/>
      <c r="BN1094" s="78">
        <f t="shared" ca="1" si="4"/>
        <v>0</v>
      </c>
      <c r="BO1094" s="66"/>
      <c r="BP1094" s="66"/>
    </row>
    <row r="1095" spans="1:68" ht="13.2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>
        <f t="shared" ref="AP1095:AQ1095" si="1088">AR1095+AT1095+AV1095</f>
        <v>0</v>
      </c>
      <c r="AQ1095" s="75">
        <f t="shared" si="1088"/>
        <v>0</v>
      </c>
      <c r="AR1095" s="75"/>
      <c r="AS1095" s="75"/>
      <c r="AT1095" s="75"/>
      <c r="AU1095" s="75"/>
      <c r="AV1095" s="75"/>
      <c r="AW1095" s="75"/>
      <c r="AX1095" s="75"/>
      <c r="AY1095" s="67">
        <f t="shared" ca="1" si="1"/>
        <v>0</v>
      </c>
      <c r="AZ1095" s="75"/>
      <c r="BA1095" s="67">
        <f t="shared" ca="1" si="2"/>
        <v>0</v>
      </c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8"/>
      <c r="BL1095" s="78">
        <f t="shared" ca="1" si="3"/>
        <v>0</v>
      </c>
      <c r="BM1095" s="78"/>
      <c r="BN1095" s="78">
        <f t="shared" ca="1" si="4"/>
        <v>0</v>
      </c>
      <c r="BO1095" s="66"/>
      <c r="BP1095" s="66"/>
    </row>
    <row r="1096" spans="1:68" ht="13.2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>
        <f t="shared" ref="AP1096:AQ1096" si="1089">AR1096+AT1096+AV1096</f>
        <v>0</v>
      </c>
      <c r="AQ1096" s="75">
        <f t="shared" si="1089"/>
        <v>0</v>
      </c>
      <c r="AR1096" s="75"/>
      <c r="AS1096" s="75"/>
      <c r="AT1096" s="75"/>
      <c r="AU1096" s="75"/>
      <c r="AV1096" s="75"/>
      <c r="AW1096" s="75"/>
      <c r="AX1096" s="75"/>
      <c r="AY1096" s="67">
        <f t="shared" ca="1" si="1"/>
        <v>0</v>
      </c>
      <c r="AZ1096" s="75"/>
      <c r="BA1096" s="67">
        <f t="shared" ca="1" si="2"/>
        <v>0</v>
      </c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8"/>
      <c r="BL1096" s="78">
        <f t="shared" ca="1" si="3"/>
        <v>0</v>
      </c>
      <c r="BM1096" s="78"/>
      <c r="BN1096" s="78">
        <f t="shared" ca="1" si="4"/>
        <v>0</v>
      </c>
      <c r="BO1096" s="66"/>
      <c r="BP1096" s="66"/>
    </row>
    <row r="1097" spans="1:68" ht="13.2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>
        <f t="shared" ref="AP1097:AQ1097" si="1090">AR1097+AT1097+AV1097</f>
        <v>0</v>
      </c>
      <c r="AQ1097" s="75">
        <f t="shared" si="1090"/>
        <v>0</v>
      </c>
      <c r="AR1097" s="75"/>
      <c r="AS1097" s="75"/>
      <c r="AT1097" s="75"/>
      <c r="AU1097" s="75"/>
      <c r="AV1097" s="75"/>
      <c r="AW1097" s="75"/>
      <c r="AX1097" s="75"/>
      <c r="AY1097" s="67">
        <f t="shared" ca="1" si="1"/>
        <v>0</v>
      </c>
      <c r="AZ1097" s="75"/>
      <c r="BA1097" s="67">
        <f t="shared" ca="1" si="2"/>
        <v>0</v>
      </c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8"/>
      <c r="BL1097" s="78">
        <f t="shared" ca="1" si="3"/>
        <v>0</v>
      </c>
      <c r="BM1097" s="78"/>
      <c r="BN1097" s="78">
        <f t="shared" ca="1" si="4"/>
        <v>0</v>
      </c>
      <c r="BO1097" s="66"/>
      <c r="BP1097" s="66"/>
    </row>
    <row r="1098" spans="1:68" ht="13.2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>
        <f t="shared" ref="AP1098:AQ1098" si="1091">AR1098+AT1098+AV1098</f>
        <v>0</v>
      </c>
      <c r="AQ1098" s="75">
        <f t="shared" si="1091"/>
        <v>0</v>
      </c>
      <c r="AR1098" s="75"/>
      <c r="AS1098" s="75"/>
      <c r="AT1098" s="75"/>
      <c r="AU1098" s="75"/>
      <c r="AV1098" s="75"/>
      <c r="AW1098" s="75"/>
      <c r="AX1098" s="75"/>
      <c r="AY1098" s="67">
        <f t="shared" ca="1" si="1"/>
        <v>0</v>
      </c>
      <c r="AZ1098" s="75"/>
      <c r="BA1098" s="67">
        <f t="shared" ca="1" si="2"/>
        <v>0</v>
      </c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8"/>
      <c r="BL1098" s="78">
        <f t="shared" ca="1" si="3"/>
        <v>0</v>
      </c>
      <c r="BM1098" s="78"/>
      <c r="BN1098" s="78">
        <f t="shared" ca="1" si="4"/>
        <v>0</v>
      </c>
      <c r="BO1098" s="66"/>
      <c r="BP1098" s="66"/>
    </row>
    <row r="1099" spans="1:68" ht="13.2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>
        <f t="shared" ref="AP1099:AQ1099" si="1092">AR1099+AT1099+AV1099</f>
        <v>0</v>
      </c>
      <c r="AQ1099" s="75">
        <f t="shared" si="1092"/>
        <v>0</v>
      </c>
      <c r="AR1099" s="75"/>
      <c r="AS1099" s="75"/>
      <c r="AT1099" s="75"/>
      <c r="AU1099" s="75"/>
      <c r="AV1099" s="75"/>
      <c r="AW1099" s="75"/>
      <c r="AX1099" s="75"/>
      <c r="AY1099" s="67">
        <f t="shared" ca="1" si="1"/>
        <v>0</v>
      </c>
      <c r="AZ1099" s="75"/>
      <c r="BA1099" s="67">
        <f t="shared" ca="1" si="2"/>
        <v>0</v>
      </c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8"/>
      <c r="BL1099" s="78">
        <f t="shared" ca="1" si="3"/>
        <v>0</v>
      </c>
      <c r="BM1099" s="78"/>
      <c r="BN1099" s="78">
        <f t="shared" ca="1" si="4"/>
        <v>0</v>
      </c>
      <c r="BO1099" s="66"/>
      <c r="BP1099" s="66"/>
    </row>
    <row r="1100" spans="1:68" ht="13.2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>
        <f t="shared" ref="AP1100:AQ1100" si="1093">AR1100+AT1100+AV1100</f>
        <v>0</v>
      </c>
      <c r="AQ1100" s="75">
        <f t="shared" si="1093"/>
        <v>0</v>
      </c>
      <c r="AR1100" s="75"/>
      <c r="AS1100" s="75"/>
      <c r="AT1100" s="75"/>
      <c r="AU1100" s="75"/>
      <c r="AV1100" s="75"/>
      <c r="AW1100" s="75"/>
      <c r="AX1100" s="75"/>
      <c r="AY1100" s="67">
        <f t="shared" ca="1" si="1"/>
        <v>0</v>
      </c>
      <c r="AZ1100" s="75"/>
      <c r="BA1100" s="67">
        <f t="shared" ca="1" si="2"/>
        <v>0</v>
      </c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8"/>
      <c r="BL1100" s="78">
        <f t="shared" ca="1" si="3"/>
        <v>0</v>
      </c>
      <c r="BM1100" s="78"/>
      <c r="BN1100" s="78">
        <f t="shared" ca="1" si="4"/>
        <v>0</v>
      </c>
      <c r="BO1100" s="66"/>
      <c r="BP1100" s="66"/>
    </row>
    <row r="1101" spans="1:68" ht="13.2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>
        <f t="shared" ref="AP1101:AQ1101" si="1094">AR1101+AT1101+AV1101</f>
        <v>0</v>
      </c>
      <c r="AQ1101" s="75">
        <f t="shared" si="1094"/>
        <v>0</v>
      </c>
      <c r="AR1101" s="75"/>
      <c r="AS1101" s="75"/>
      <c r="AT1101" s="75"/>
      <c r="AU1101" s="75"/>
      <c r="AV1101" s="75"/>
      <c r="AW1101" s="75"/>
      <c r="AX1101" s="75"/>
      <c r="AY1101" s="67">
        <f t="shared" ca="1" si="1"/>
        <v>0</v>
      </c>
      <c r="AZ1101" s="75"/>
      <c r="BA1101" s="67">
        <f t="shared" ca="1" si="2"/>
        <v>0</v>
      </c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8"/>
      <c r="BL1101" s="78">
        <f t="shared" ca="1" si="3"/>
        <v>0</v>
      </c>
      <c r="BM1101" s="78"/>
      <c r="BN1101" s="78">
        <f t="shared" ca="1" si="4"/>
        <v>0</v>
      </c>
      <c r="BO1101" s="66"/>
      <c r="BP1101" s="66"/>
    </row>
    <row r="1102" spans="1:68" ht="13.2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>
        <f t="shared" ref="AP1102:AQ1102" si="1095">AR1102+AT1102+AV1102</f>
        <v>0</v>
      </c>
      <c r="AQ1102" s="75">
        <f t="shared" si="1095"/>
        <v>0</v>
      </c>
      <c r="AR1102" s="75"/>
      <c r="AS1102" s="75"/>
      <c r="AT1102" s="75"/>
      <c r="AU1102" s="75"/>
      <c r="AV1102" s="75"/>
      <c r="AW1102" s="75"/>
      <c r="AX1102" s="75"/>
      <c r="AY1102" s="67">
        <f t="shared" ca="1" si="1"/>
        <v>0</v>
      </c>
      <c r="AZ1102" s="75"/>
      <c r="BA1102" s="67">
        <f t="shared" ca="1" si="2"/>
        <v>0</v>
      </c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8"/>
      <c r="BL1102" s="78">
        <f t="shared" ca="1" si="3"/>
        <v>0</v>
      </c>
      <c r="BM1102" s="78"/>
      <c r="BN1102" s="78">
        <f t="shared" ca="1" si="4"/>
        <v>0</v>
      </c>
      <c r="BO1102" s="66"/>
      <c r="BP1102" s="66"/>
    </row>
    <row r="1103" spans="1:68" ht="13.2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>
        <f t="shared" ref="AP1103:AQ1103" si="1096">AR1103+AT1103+AV1103</f>
        <v>0</v>
      </c>
      <c r="AQ1103" s="75">
        <f t="shared" si="1096"/>
        <v>0</v>
      </c>
      <c r="AR1103" s="75"/>
      <c r="AS1103" s="75"/>
      <c r="AT1103" s="75"/>
      <c r="AU1103" s="75"/>
      <c r="AV1103" s="75"/>
      <c r="AW1103" s="75"/>
      <c r="AX1103" s="75"/>
      <c r="AY1103" s="67">
        <f t="shared" ca="1" si="1"/>
        <v>0</v>
      </c>
      <c r="AZ1103" s="75"/>
      <c r="BA1103" s="67">
        <f t="shared" ca="1" si="2"/>
        <v>0</v>
      </c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8"/>
      <c r="BL1103" s="78">
        <f t="shared" ca="1" si="3"/>
        <v>0</v>
      </c>
      <c r="BM1103" s="78"/>
      <c r="BN1103" s="78">
        <f t="shared" ca="1" si="4"/>
        <v>0</v>
      </c>
      <c r="BO1103" s="66"/>
      <c r="BP1103" s="66"/>
    </row>
    <row r="1104" spans="1:68" ht="13.2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>
        <f t="shared" ref="AP1104:AQ1104" si="1097">AR1104+AT1104+AV1104</f>
        <v>0</v>
      </c>
      <c r="AQ1104" s="75">
        <f t="shared" si="1097"/>
        <v>0</v>
      </c>
      <c r="AR1104" s="75"/>
      <c r="AS1104" s="75"/>
      <c r="AT1104" s="75"/>
      <c r="AU1104" s="75"/>
      <c r="AV1104" s="75"/>
      <c r="AW1104" s="75"/>
      <c r="AX1104" s="75"/>
      <c r="AY1104" s="67">
        <f t="shared" ca="1" si="1"/>
        <v>0</v>
      </c>
      <c r="AZ1104" s="75"/>
      <c r="BA1104" s="67">
        <f t="shared" ca="1" si="2"/>
        <v>0</v>
      </c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8"/>
      <c r="BL1104" s="78">
        <f t="shared" ca="1" si="3"/>
        <v>0</v>
      </c>
      <c r="BM1104" s="78"/>
      <c r="BN1104" s="78">
        <f t="shared" ca="1" si="4"/>
        <v>0</v>
      </c>
      <c r="BO1104" s="66"/>
      <c r="BP1104" s="66"/>
    </row>
    <row r="1105" spans="1:68" ht="13.2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>
        <f t="shared" ref="AP1105:AQ1105" si="1098">AR1105+AT1105+AV1105</f>
        <v>0</v>
      </c>
      <c r="AQ1105" s="75">
        <f t="shared" si="1098"/>
        <v>0</v>
      </c>
      <c r="AR1105" s="75"/>
      <c r="AS1105" s="75"/>
      <c r="AT1105" s="75"/>
      <c r="AU1105" s="75"/>
      <c r="AV1105" s="75"/>
      <c r="AW1105" s="75"/>
      <c r="AX1105" s="75"/>
      <c r="AY1105" s="67">
        <f t="shared" ca="1" si="1"/>
        <v>0</v>
      </c>
      <c r="AZ1105" s="75"/>
      <c r="BA1105" s="67">
        <f t="shared" ca="1" si="2"/>
        <v>0</v>
      </c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8"/>
      <c r="BL1105" s="78">
        <f t="shared" ca="1" si="3"/>
        <v>0</v>
      </c>
      <c r="BM1105" s="78"/>
      <c r="BN1105" s="78">
        <f t="shared" ca="1" si="4"/>
        <v>0</v>
      </c>
      <c r="BO1105" s="66"/>
      <c r="BP1105" s="66"/>
    </row>
    <row r="1106" spans="1:68" ht="13.2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>
        <f t="shared" ref="AP1106:AQ1106" si="1099">AR1106+AT1106+AV1106</f>
        <v>0</v>
      </c>
      <c r="AQ1106" s="75">
        <f t="shared" si="1099"/>
        <v>0</v>
      </c>
      <c r="AR1106" s="75"/>
      <c r="AS1106" s="75"/>
      <c r="AT1106" s="75"/>
      <c r="AU1106" s="75"/>
      <c r="AV1106" s="75"/>
      <c r="AW1106" s="75"/>
      <c r="AX1106" s="75"/>
      <c r="AY1106" s="67">
        <f t="shared" ca="1" si="1"/>
        <v>0</v>
      </c>
      <c r="AZ1106" s="75"/>
      <c r="BA1106" s="67">
        <f t="shared" ca="1" si="2"/>
        <v>0</v>
      </c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8"/>
      <c r="BL1106" s="78">
        <f t="shared" ca="1" si="3"/>
        <v>0</v>
      </c>
      <c r="BM1106" s="78"/>
      <c r="BN1106" s="78">
        <f t="shared" ca="1" si="4"/>
        <v>0</v>
      </c>
      <c r="BO1106" s="66"/>
      <c r="BP1106" s="66"/>
    </row>
    <row r="1107" spans="1:68" ht="13.2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>
        <f t="shared" ref="AP1107:AQ1107" si="1100">AR1107+AT1107+AV1107</f>
        <v>0</v>
      </c>
      <c r="AQ1107" s="75">
        <f t="shared" si="1100"/>
        <v>0</v>
      </c>
      <c r="AR1107" s="75"/>
      <c r="AS1107" s="75"/>
      <c r="AT1107" s="75"/>
      <c r="AU1107" s="75"/>
      <c r="AV1107" s="75"/>
      <c r="AW1107" s="75"/>
      <c r="AX1107" s="75"/>
      <c r="AY1107" s="67">
        <f t="shared" ca="1" si="1"/>
        <v>0</v>
      </c>
      <c r="AZ1107" s="75"/>
      <c r="BA1107" s="67">
        <f t="shared" ca="1" si="2"/>
        <v>0</v>
      </c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8"/>
      <c r="BL1107" s="78">
        <f t="shared" ca="1" si="3"/>
        <v>0</v>
      </c>
      <c r="BM1107" s="78"/>
      <c r="BN1107" s="78">
        <f t="shared" ca="1" si="4"/>
        <v>0</v>
      </c>
      <c r="BO1107" s="66"/>
      <c r="BP1107" s="66"/>
    </row>
    <row r="1108" spans="1:68" ht="13.2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>
        <f t="shared" ref="AP1108:AQ1108" si="1101">AR1108+AT1108+AV1108</f>
        <v>0</v>
      </c>
      <c r="AQ1108" s="75">
        <f t="shared" si="1101"/>
        <v>0</v>
      </c>
      <c r="AR1108" s="75"/>
      <c r="AS1108" s="75"/>
      <c r="AT1108" s="75"/>
      <c r="AU1108" s="75"/>
      <c r="AV1108" s="75"/>
      <c r="AW1108" s="75"/>
      <c r="AX1108" s="75"/>
      <c r="AY1108" s="67">
        <f t="shared" ca="1" si="1"/>
        <v>0</v>
      </c>
      <c r="AZ1108" s="75"/>
      <c r="BA1108" s="67">
        <f t="shared" ca="1" si="2"/>
        <v>0</v>
      </c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8"/>
      <c r="BL1108" s="78">
        <f t="shared" ca="1" si="3"/>
        <v>0</v>
      </c>
      <c r="BM1108" s="78"/>
      <c r="BN1108" s="78">
        <f t="shared" ca="1" si="4"/>
        <v>0</v>
      </c>
      <c r="BO1108" s="66"/>
      <c r="BP1108" s="66"/>
    </row>
    <row r="1109" spans="1:68" ht="13.2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>
        <f t="shared" ref="AP1109:AQ1109" si="1102">AR1109+AT1109+AV1109</f>
        <v>0</v>
      </c>
      <c r="AQ1109" s="75">
        <f t="shared" si="1102"/>
        <v>0</v>
      </c>
      <c r="AR1109" s="75"/>
      <c r="AS1109" s="75"/>
      <c r="AT1109" s="75"/>
      <c r="AU1109" s="75"/>
      <c r="AV1109" s="75"/>
      <c r="AW1109" s="75"/>
      <c r="AX1109" s="75"/>
      <c r="AY1109" s="67">
        <f t="shared" ca="1" si="1"/>
        <v>0</v>
      </c>
      <c r="AZ1109" s="75"/>
      <c r="BA1109" s="67">
        <f t="shared" ca="1" si="2"/>
        <v>0</v>
      </c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8"/>
      <c r="BL1109" s="78">
        <f t="shared" ca="1" si="3"/>
        <v>0</v>
      </c>
      <c r="BM1109" s="78"/>
      <c r="BN1109" s="78">
        <f t="shared" ca="1" si="4"/>
        <v>0</v>
      </c>
      <c r="BO1109" s="66"/>
      <c r="BP1109" s="66"/>
    </row>
    <row r="1110" spans="1:68" ht="13.2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>
        <f t="shared" ref="AP1110:AQ1110" si="1103">AR1110+AT1110+AV1110</f>
        <v>0</v>
      </c>
      <c r="AQ1110" s="75">
        <f t="shared" si="1103"/>
        <v>0</v>
      </c>
      <c r="AR1110" s="75"/>
      <c r="AS1110" s="75"/>
      <c r="AT1110" s="75"/>
      <c r="AU1110" s="75"/>
      <c r="AV1110" s="75"/>
      <c r="AW1110" s="75"/>
      <c r="AX1110" s="75"/>
      <c r="AY1110" s="67">
        <f t="shared" ca="1" si="1"/>
        <v>0</v>
      </c>
      <c r="AZ1110" s="75"/>
      <c r="BA1110" s="67">
        <f t="shared" ca="1" si="2"/>
        <v>0</v>
      </c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8"/>
      <c r="BL1110" s="78">
        <f t="shared" ca="1" si="3"/>
        <v>0</v>
      </c>
      <c r="BM1110" s="78"/>
      <c r="BN1110" s="78">
        <f t="shared" ca="1" si="4"/>
        <v>0</v>
      </c>
      <c r="BO1110" s="66"/>
      <c r="BP1110" s="66"/>
    </row>
    <row r="1111" spans="1:68" ht="13.2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>
        <f t="shared" ref="AP1111:AQ1111" si="1104">AR1111+AT1111+AV1111</f>
        <v>0</v>
      </c>
      <c r="AQ1111" s="75">
        <f t="shared" si="1104"/>
        <v>0</v>
      </c>
      <c r="AR1111" s="75"/>
      <c r="AS1111" s="75"/>
      <c r="AT1111" s="75"/>
      <c r="AU1111" s="75"/>
      <c r="AV1111" s="75"/>
      <c r="AW1111" s="75"/>
      <c r="AX1111" s="75"/>
      <c r="AY1111" s="67">
        <f t="shared" ca="1" si="1"/>
        <v>0</v>
      </c>
      <c r="AZ1111" s="75"/>
      <c r="BA1111" s="67">
        <f t="shared" ca="1" si="2"/>
        <v>0</v>
      </c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8"/>
      <c r="BL1111" s="78">
        <f t="shared" ca="1" si="3"/>
        <v>0</v>
      </c>
      <c r="BM1111" s="78"/>
      <c r="BN1111" s="78">
        <f t="shared" ca="1" si="4"/>
        <v>0</v>
      </c>
      <c r="BO1111" s="66"/>
      <c r="BP1111" s="66"/>
    </row>
    <row r="1112" spans="1:68" ht="13.2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>
        <f t="shared" ref="AP1112:AQ1112" si="1105">AR1112+AT1112+AV1112</f>
        <v>0</v>
      </c>
      <c r="AQ1112" s="75">
        <f t="shared" si="1105"/>
        <v>0</v>
      </c>
      <c r="AR1112" s="75"/>
      <c r="AS1112" s="75"/>
      <c r="AT1112" s="75"/>
      <c r="AU1112" s="75"/>
      <c r="AV1112" s="75"/>
      <c r="AW1112" s="75"/>
      <c r="AX1112" s="75"/>
      <c r="AY1112" s="67">
        <f t="shared" ca="1" si="1"/>
        <v>0</v>
      </c>
      <c r="AZ1112" s="75"/>
      <c r="BA1112" s="67">
        <f t="shared" ca="1" si="2"/>
        <v>0</v>
      </c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8"/>
      <c r="BL1112" s="78">
        <f t="shared" ca="1" si="3"/>
        <v>0</v>
      </c>
      <c r="BM1112" s="78"/>
      <c r="BN1112" s="78">
        <f t="shared" ca="1" si="4"/>
        <v>0</v>
      </c>
      <c r="BO1112" s="66"/>
      <c r="BP1112" s="66"/>
    </row>
    <row r="1113" spans="1:68" ht="13.2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>
        <f t="shared" ref="AP1113:AQ1113" si="1106">AR1113+AT1113+AV1113</f>
        <v>0</v>
      </c>
      <c r="AQ1113" s="75">
        <f t="shared" si="1106"/>
        <v>0</v>
      </c>
      <c r="AR1113" s="75"/>
      <c r="AS1113" s="75"/>
      <c r="AT1113" s="75"/>
      <c r="AU1113" s="75"/>
      <c r="AV1113" s="75"/>
      <c r="AW1113" s="75"/>
      <c r="AX1113" s="75"/>
      <c r="AY1113" s="67">
        <f t="shared" ca="1" si="1"/>
        <v>0</v>
      </c>
      <c r="AZ1113" s="75"/>
      <c r="BA1113" s="67">
        <f t="shared" ca="1" si="2"/>
        <v>0</v>
      </c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8"/>
      <c r="BL1113" s="78">
        <f t="shared" ca="1" si="3"/>
        <v>0</v>
      </c>
      <c r="BM1113" s="78"/>
      <c r="BN1113" s="78">
        <f t="shared" ca="1" si="4"/>
        <v>0</v>
      </c>
      <c r="BO1113" s="66"/>
      <c r="BP1113" s="66"/>
    </row>
    <row r="1114" spans="1:68" ht="13.2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>
        <f t="shared" ref="AP1114:AQ1114" si="1107">AR1114+AT1114+AV1114</f>
        <v>0</v>
      </c>
      <c r="AQ1114" s="75">
        <f t="shared" si="1107"/>
        <v>0</v>
      </c>
      <c r="AR1114" s="75"/>
      <c r="AS1114" s="75"/>
      <c r="AT1114" s="75"/>
      <c r="AU1114" s="75"/>
      <c r="AV1114" s="75"/>
      <c r="AW1114" s="75"/>
      <c r="AX1114" s="75"/>
      <c r="AY1114" s="67">
        <f t="shared" ca="1" si="1"/>
        <v>0</v>
      </c>
      <c r="AZ1114" s="75"/>
      <c r="BA1114" s="67">
        <f t="shared" ca="1" si="2"/>
        <v>0</v>
      </c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8"/>
      <c r="BL1114" s="78">
        <f t="shared" ca="1" si="3"/>
        <v>0</v>
      </c>
      <c r="BM1114" s="78"/>
      <c r="BN1114" s="78">
        <f t="shared" ca="1" si="4"/>
        <v>0</v>
      </c>
      <c r="BO1114" s="66"/>
      <c r="BP1114" s="66"/>
    </row>
    <row r="1115" spans="1:68" ht="13.2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>
        <f t="shared" ref="AP1115:AQ1115" si="1108">AR1115+AT1115+AV1115</f>
        <v>0</v>
      </c>
      <c r="AQ1115" s="75">
        <f t="shared" si="1108"/>
        <v>0</v>
      </c>
      <c r="AR1115" s="75"/>
      <c r="AS1115" s="75"/>
      <c r="AT1115" s="75"/>
      <c r="AU1115" s="75"/>
      <c r="AV1115" s="75"/>
      <c r="AW1115" s="75"/>
      <c r="AX1115" s="75"/>
      <c r="AY1115" s="67">
        <f t="shared" ca="1" si="1"/>
        <v>0</v>
      </c>
      <c r="AZ1115" s="75"/>
      <c r="BA1115" s="67">
        <f t="shared" ca="1" si="2"/>
        <v>0</v>
      </c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8"/>
      <c r="BL1115" s="78">
        <f t="shared" ca="1" si="3"/>
        <v>0</v>
      </c>
      <c r="BM1115" s="78"/>
      <c r="BN1115" s="78">
        <f t="shared" ca="1" si="4"/>
        <v>0</v>
      </c>
      <c r="BO1115" s="66"/>
      <c r="BP1115" s="66"/>
    </row>
    <row r="1116" spans="1:68" ht="13.2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>
        <f t="shared" ref="AP1116:AQ1116" si="1109">AR1116+AT1116+AV1116</f>
        <v>0</v>
      </c>
      <c r="AQ1116" s="75">
        <f t="shared" si="1109"/>
        <v>0</v>
      </c>
      <c r="AR1116" s="75"/>
      <c r="AS1116" s="75"/>
      <c r="AT1116" s="75"/>
      <c r="AU1116" s="75"/>
      <c r="AV1116" s="75"/>
      <c r="AW1116" s="75"/>
      <c r="AX1116" s="75"/>
      <c r="AY1116" s="67">
        <f t="shared" ca="1" si="1"/>
        <v>0</v>
      </c>
      <c r="AZ1116" s="75"/>
      <c r="BA1116" s="67">
        <f t="shared" ca="1" si="2"/>
        <v>0</v>
      </c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8"/>
      <c r="BL1116" s="78">
        <f t="shared" ca="1" si="3"/>
        <v>0</v>
      </c>
      <c r="BM1116" s="78"/>
      <c r="BN1116" s="78">
        <f t="shared" ca="1" si="4"/>
        <v>0</v>
      </c>
      <c r="BO1116" s="66"/>
      <c r="BP1116" s="66"/>
    </row>
    <row r="1117" spans="1:68" ht="13.2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>
        <f t="shared" ref="AP1117:AQ1117" si="1110">AR1117+AT1117+AV1117</f>
        <v>0</v>
      </c>
      <c r="AQ1117" s="75">
        <f t="shared" si="1110"/>
        <v>0</v>
      </c>
      <c r="AR1117" s="75"/>
      <c r="AS1117" s="75"/>
      <c r="AT1117" s="75"/>
      <c r="AU1117" s="75"/>
      <c r="AV1117" s="75"/>
      <c r="AW1117" s="75"/>
      <c r="AX1117" s="75"/>
      <c r="AY1117" s="67">
        <f t="shared" ca="1" si="1"/>
        <v>0</v>
      </c>
      <c r="AZ1117" s="75"/>
      <c r="BA1117" s="67">
        <f t="shared" ca="1" si="2"/>
        <v>0</v>
      </c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8"/>
      <c r="BL1117" s="78">
        <f t="shared" ca="1" si="3"/>
        <v>0</v>
      </c>
      <c r="BM1117" s="78"/>
      <c r="BN1117" s="78">
        <f t="shared" ca="1" si="4"/>
        <v>0</v>
      </c>
      <c r="BO1117" s="66"/>
      <c r="BP1117" s="66"/>
    </row>
    <row r="1118" spans="1:68" ht="13.2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>
        <f t="shared" ref="AP1118:AQ1118" si="1111">AR1118+AT1118+AV1118</f>
        <v>0</v>
      </c>
      <c r="AQ1118" s="75">
        <f t="shared" si="1111"/>
        <v>0</v>
      </c>
      <c r="AR1118" s="75"/>
      <c r="AS1118" s="75"/>
      <c r="AT1118" s="75"/>
      <c r="AU1118" s="75"/>
      <c r="AV1118" s="75"/>
      <c r="AW1118" s="75"/>
      <c r="AX1118" s="75"/>
      <c r="AY1118" s="67">
        <f t="shared" ca="1" si="1"/>
        <v>0</v>
      </c>
      <c r="AZ1118" s="75"/>
      <c r="BA1118" s="67">
        <f t="shared" ca="1" si="2"/>
        <v>0</v>
      </c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8"/>
      <c r="BL1118" s="78">
        <f t="shared" ca="1" si="3"/>
        <v>0</v>
      </c>
      <c r="BM1118" s="78"/>
      <c r="BN1118" s="78">
        <f t="shared" ca="1" si="4"/>
        <v>0</v>
      </c>
      <c r="BO1118" s="66"/>
      <c r="BP1118" s="66"/>
    </row>
    <row r="1119" spans="1:68" ht="13.2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>
        <f t="shared" ref="AP1119:AQ1119" si="1112">AR1119+AT1119+AV1119</f>
        <v>0</v>
      </c>
      <c r="AQ1119" s="75">
        <f t="shared" si="1112"/>
        <v>0</v>
      </c>
      <c r="AR1119" s="75"/>
      <c r="AS1119" s="75"/>
      <c r="AT1119" s="75"/>
      <c r="AU1119" s="75"/>
      <c r="AV1119" s="75"/>
      <c r="AW1119" s="75"/>
      <c r="AX1119" s="75"/>
      <c r="AY1119" s="67">
        <f t="shared" ca="1" si="1"/>
        <v>0</v>
      </c>
      <c r="AZ1119" s="75"/>
      <c r="BA1119" s="67">
        <f t="shared" ca="1" si="2"/>
        <v>0</v>
      </c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8"/>
      <c r="BL1119" s="78">
        <f t="shared" ca="1" si="3"/>
        <v>0</v>
      </c>
      <c r="BM1119" s="78"/>
      <c r="BN1119" s="78">
        <f t="shared" ca="1" si="4"/>
        <v>0</v>
      </c>
      <c r="BO1119" s="66"/>
      <c r="BP1119" s="66"/>
    </row>
    <row r="1120" spans="1:68" ht="13.2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>
        <f t="shared" ref="AP1120:AQ1120" si="1113">AR1120+AT1120+AV1120</f>
        <v>0</v>
      </c>
      <c r="AQ1120" s="75">
        <f t="shared" si="1113"/>
        <v>0</v>
      </c>
      <c r="AR1120" s="75"/>
      <c r="AS1120" s="75"/>
      <c r="AT1120" s="75"/>
      <c r="AU1120" s="75"/>
      <c r="AV1120" s="75"/>
      <c r="AW1120" s="75"/>
      <c r="AX1120" s="75"/>
      <c r="AY1120" s="67">
        <f t="shared" ca="1" si="1"/>
        <v>0</v>
      </c>
      <c r="AZ1120" s="75"/>
      <c r="BA1120" s="67">
        <f t="shared" ca="1" si="2"/>
        <v>0</v>
      </c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8"/>
      <c r="BL1120" s="78">
        <f t="shared" ca="1" si="3"/>
        <v>0</v>
      </c>
      <c r="BM1120" s="78"/>
      <c r="BN1120" s="78">
        <f t="shared" ca="1" si="4"/>
        <v>0</v>
      </c>
      <c r="BO1120" s="66"/>
      <c r="BP1120" s="66"/>
    </row>
    <row r="1121" spans="1:68" ht="13.2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>
        <f t="shared" ref="AP1121:AQ1121" si="1114">AR1121+AT1121+AV1121</f>
        <v>0</v>
      </c>
      <c r="AQ1121" s="75">
        <f t="shared" si="1114"/>
        <v>0</v>
      </c>
      <c r="AR1121" s="75"/>
      <c r="AS1121" s="75"/>
      <c r="AT1121" s="75"/>
      <c r="AU1121" s="75"/>
      <c r="AV1121" s="75"/>
      <c r="AW1121" s="75"/>
      <c r="AX1121" s="75"/>
      <c r="AY1121" s="67">
        <f t="shared" ca="1" si="1"/>
        <v>0</v>
      </c>
      <c r="AZ1121" s="75"/>
      <c r="BA1121" s="67">
        <f t="shared" ca="1" si="2"/>
        <v>0</v>
      </c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8"/>
      <c r="BL1121" s="78">
        <f t="shared" ca="1" si="3"/>
        <v>0</v>
      </c>
      <c r="BM1121" s="78"/>
      <c r="BN1121" s="78">
        <f t="shared" ca="1" si="4"/>
        <v>0</v>
      </c>
      <c r="BO1121" s="66"/>
      <c r="BP1121" s="66"/>
    </row>
    <row r="1122" spans="1:68" ht="13.2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>
        <f t="shared" ref="AP1122:AQ1122" si="1115">AR1122+AT1122+AV1122</f>
        <v>0</v>
      </c>
      <c r="AQ1122" s="75">
        <f t="shared" si="1115"/>
        <v>0</v>
      </c>
      <c r="AR1122" s="75"/>
      <c r="AS1122" s="75"/>
      <c r="AT1122" s="75"/>
      <c r="AU1122" s="75"/>
      <c r="AV1122" s="75"/>
      <c r="AW1122" s="75"/>
      <c r="AX1122" s="75"/>
      <c r="AY1122" s="67">
        <f t="shared" ca="1" si="1"/>
        <v>0</v>
      </c>
      <c r="AZ1122" s="75"/>
      <c r="BA1122" s="67">
        <f t="shared" ca="1" si="2"/>
        <v>0</v>
      </c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8"/>
      <c r="BL1122" s="78">
        <f t="shared" ca="1" si="3"/>
        <v>0</v>
      </c>
      <c r="BM1122" s="78"/>
      <c r="BN1122" s="78">
        <f t="shared" ca="1" si="4"/>
        <v>0</v>
      </c>
      <c r="BO1122" s="66"/>
      <c r="BP1122" s="66"/>
    </row>
    <row r="1123" spans="1:68" ht="13.2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>
        <f t="shared" ref="AP1123:AQ1123" si="1116">AR1123+AT1123+AV1123</f>
        <v>0</v>
      </c>
      <c r="AQ1123" s="75">
        <f t="shared" si="1116"/>
        <v>0</v>
      </c>
      <c r="AR1123" s="75"/>
      <c r="AS1123" s="75"/>
      <c r="AT1123" s="75"/>
      <c r="AU1123" s="75"/>
      <c r="AV1123" s="75"/>
      <c r="AW1123" s="75"/>
      <c r="AX1123" s="75"/>
      <c r="AY1123" s="67">
        <f t="shared" ca="1" si="1"/>
        <v>0</v>
      </c>
      <c r="AZ1123" s="75"/>
      <c r="BA1123" s="67">
        <f t="shared" ca="1" si="2"/>
        <v>0</v>
      </c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8"/>
      <c r="BL1123" s="78">
        <f t="shared" ca="1" si="3"/>
        <v>0</v>
      </c>
      <c r="BM1123" s="78"/>
      <c r="BN1123" s="78">
        <f t="shared" ca="1" si="4"/>
        <v>0</v>
      </c>
      <c r="BO1123" s="66"/>
      <c r="BP1123" s="66"/>
    </row>
    <row r="1124" spans="1:68" ht="13.2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>
        <f t="shared" ref="AP1124:AQ1124" si="1117">AR1124+AT1124+AV1124</f>
        <v>0</v>
      </c>
      <c r="AQ1124" s="75">
        <f t="shared" si="1117"/>
        <v>0</v>
      </c>
      <c r="AR1124" s="75"/>
      <c r="AS1124" s="75"/>
      <c r="AT1124" s="75"/>
      <c r="AU1124" s="75"/>
      <c r="AV1124" s="75"/>
      <c r="AW1124" s="75"/>
      <c r="AX1124" s="75"/>
      <c r="AY1124" s="67">
        <f t="shared" ca="1" si="1"/>
        <v>0</v>
      </c>
      <c r="AZ1124" s="75"/>
      <c r="BA1124" s="67">
        <f t="shared" ca="1" si="2"/>
        <v>0</v>
      </c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8"/>
      <c r="BL1124" s="78">
        <f t="shared" ca="1" si="3"/>
        <v>0</v>
      </c>
      <c r="BM1124" s="78"/>
      <c r="BN1124" s="78">
        <f t="shared" ca="1" si="4"/>
        <v>0</v>
      </c>
      <c r="BO1124" s="66"/>
      <c r="BP1124" s="66"/>
    </row>
    <row r="1125" spans="1:68" ht="13.2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>
        <f t="shared" ref="AP1125:AQ1125" si="1118">AR1125+AT1125+AV1125</f>
        <v>0</v>
      </c>
      <c r="AQ1125" s="75">
        <f t="shared" si="1118"/>
        <v>0</v>
      </c>
      <c r="AR1125" s="75"/>
      <c r="AS1125" s="75"/>
      <c r="AT1125" s="75"/>
      <c r="AU1125" s="75"/>
      <c r="AV1125" s="75"/>
      <c r="AW1125" s="75"/>
      <c r="AX1125" s="75"/>
      <c r="AY1125" s="67">
        <f t="shared" ca="1" si="1"/>
        <v>0</v>
      </c>
      <c r="AZ1125" s="75"/>
      <c r="BA1125" s="67">
        <f t="shared" ca="1" si="2"/>
        <v>0</v>
      </c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8"/>
      <c r="BL1125" s="78">
        <f t="shared" ca="1" si="3"/>
        <v>0</v>
      </c>
      <c r="BM1125" s="78"/>
      <c r="BN1125" s="78">
        <f t="shared" ca="1" si="4"/>
        <v>0</v>
      </c>
      <c r="BO1125" s="66"/>
      <c r="BP1125" s="66"/>
    </row>
    <row r="1126" spans="1:68" ht="13.2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>
        <f t="shared" ref="AP1126:AQ1126" si="1119">AR1126+AT1126+AV1126</f>
        <v>0</v>
      </c>
      <c r="AQ1126" s="75">
        <f t="shared" si="1119"/>
        <v>0</v>
      </c>
      <c r="AR1126" s="75"/>
      <c r="AS1126" s="75"/>
      <c r="AT1126" s="75"/>
      <c r="AU1126" s="75"/>
      <c r="AV1126" s="75"/>
      <c r="AW1126" s="75"/>
      <c r="AX1126" s="75"/>
      <c r="AY1126" s="67">
        <f t="shared" ca="1" si="1"/>
        <v>0</v>
      </c>
      <c r="AZ1126" s="75"/>
      <c r="BA1126" s="67">
        <f t="shared" ca="1" si="2"/>
        <v>0</v>
      </c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8"/>
      <c r="BL1126" s="78">
        <f t="shared" ca="1" si="3"/>
        <v>0</v>
      </c>
      <c r="BM1126" s="78"/>
      <c r="BN1126" s="78">
        <f t="shared" ca="1" si="4"/>
        <v>0</v>
      </c>
      <c r="BO1126" s="66"/>
      <c r="BP1126" s="66"/>
    </row>
    <row r="1127" spans="1:68" ht="13.2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>
        <f t="shared" ref="AP1127:AQ1127" si="1120">AR1127+AT1127+AV1127</f>
        <v>0</v>
      </c>
      <c r="AQ1127" s="75">
        <f t="shared" si="1120"/>
        <v>0</v>
      </c>
      <c r="AR1127" s="75"/>
      <c r="AS1127" s="75"/>
      <c r="AT1127" s="75"/>
      <c r="AU1127" s="75"/>
      <c r="AV1127" s="75"/>
      <c r="AW1127" s="75"/>
      <c r="AX1127" s="75"/>
      <c r="AY1127" s="67">
        <f t="shared" ca="1" si="1"/>
        <v>0</v>
      </c>
      <c r="AZ1127" s="75"/>
      <c r="BA1127" s="67">
        <f t="shared" ca="1" si="2"/>
        <v>0</v>
      </c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8"/>
      <c r="BL1127" s="78">
        <f t="shared" ca="1" si="3"/>
        <v>0</v>
      </c>
      <c r="BM1127" s="78"/>
      <c r="BN1127" s="78">
        <f t="shared" ca="1" si="4"/>
        <v>0</v>
      </c>
      <c r="BO1127" s="66"/>
      <c r="BP1127" s="66"/>
    </row>
    <row r="1128" spans="1:68" ht="13.2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>
        <f t="shared" ref="AP1128:AQ1128" si="1121">AR1128+AT1128+AV1128</f>
        <v>0</v>
      </c>
      <c r="AQ1128" s="75">
        <f t="shared" si="1121"/>
        <v>0</v>
      </c>
      <c r="AR1128" s="75"/>
      <c r="AS1128" s="75"/>
      <c r="AT1128" s="75"/>
      <c r="AU1128" s="75"/>
      <c r="AV1128" s="75"/>
      <c r="AW1128" s="75"/>
      <c r="AX1128" s="75"/>
      <c r="AY1128" s="67">
        <f t="shared" ca="1" si="1"/>
        <v>0</v>
      </c>
      <c r="AZ1128" s="75"/>
      <c r="BA1128" s="67">
        <f t="shared" ca="1" si="2"/>
        <v>0</v>
      </c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8"/>
      <c r="BL1128" s="78">
        <f t="shared" ca="1" si="3"/>
        <v>0</v>
      </c>
      <c r="BM1128" s="78"/>
      <c r="BN1128" s="78">
        <f t="shared" ca="1" si="4"/>
        <v>0</v>
      </c>
      <c r="BO1128" s="66"/>
      <c r="BP1128" s="66"/>
    </row>
    <row r="1129" spans="1:68" ht="13.2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>
        <f t="shared" ref="AP1129:AQ1129" si="1122">AR1129+AT1129+AV1129</f>
        <v>0</v>
      </c>
      <c r="AQ1129" s="75">
        <f t="shared" si="1122"/>
        <v>0</v>
      </c>
      <c r="AR1129" s="75"/>
      <c r="AS1129" s="75"/>
      <c r="AT1129" s="75"/>
      <c r="AU1129" s="75"/>
      <c r="AV1129" s="75"/>
      <c r="AW1129" s="75"/>
      <c r="AX1129" s="75"/>
      <c r="AY1129" s="67">
        <f t="shared" ca="1" si="1"/>
        <v>0</v>
      </c>
      <c r="AZ1129" s="75"/>
      <c r="BA1129" s="67">
        <f t="shared" ca="1" si="2"/>
        <v>0</v>
      </c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8"/>
      <c r="BL1129" s="78">
        <f t="shared" ca="1" si="3"/>
        <v>0</v>
      </c>
      <c r="BM1129" s="78"/>
      <c r="BN1129" s="78">
        <f t="shared" ca="1" si="4"/>
        <v>0</v>
      </c>
      <c r="BO1129" s="66"/>
      <c r="BP1129" s="66"/>
    </row>
    <row r="1130" spans="1:68" ht="13.2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>
        <f t="shared" ref="AP1130:AQ1130" si="1123">AR1130+AT1130+AV1130</f>
        <v>0</v>
      </c>
      <c r="AQ1130" s="75">
        <f t="shared" si="1123"/>
        <v>0</v>
      </c>
      <c r="AR1130" s="75"/>
      <c r="AS1130" s="75"/>
      <c r="AT1130" s="75"/>
      <c r="AU1130" s="75"/>
      <c r="AV1130" s="75"/>
      <c r="AW1130" s="75"/>
      <c r="AX1130" s="75"/>
      <c r="AY1130" s="67">
        <f t="shared" ca="1" si="1"/>
        <v>0</v>
      </c>
      <c r="AZ1130" s="75"/>
      <c r="BA1130" s="67">
        <f t="shared" ca="1" si="2"/>
        <v>0</v>
      </c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8"/>
      <c r="BL1130" s="78">
        <f t="shared" ca="1" si="3"/>
        <v>0</v>
      </c>
      <c r="BM1130" s="78"/>
      <c r="BN1130" s="78">
        <f t="shared" ca="1" si="4"/>
        <v>0</v>
      </c>
      <c r="BO1130" s="66"/>
      <c r="BP1130" s="66"/>
    </row>
    <row r="1131" spans="1:68" ht="13.2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>
        <f t="shared" ref="AP1131:AQ1131" si="1124">AR1131+AT1131+AV1131</f>
        <v>0</v>
      </c>
      <c r="AQ1131" s="75">
        <f t="shared" si="1124"/>
        <v>0</v>
      </c>
      <c r="AR1131" s="75"/>
      <c r="AS1131" s="75"/>
      <c r="AT1131" s="75"/>
      <c r="AU1131" s="75"/>
      <c r="AV1131" s="75"/>
      <c r="AW1131" s="75"/>
      <c r="AX1131" s="75"/>
      <c r="AY1131" s="67">
        <f t="shared" ca="1" si="1"/>
        <v>0</v>
      </c>
      <c r="AZ1131" s="75"/>
      <c r="BA1131" s="67">
        <f t="shared" ca="1" si="2"/>
        <v>0</v>
      </c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8"/>
      <c r="BL1131" s="78">
        <f t="shared" ca="1" si="3"/>
        <v>0</v>
      </c>
      <c r="BM1131" s="78"/>
      <c r="BN1131" s="78">
        <f t="shared" ca="1" si="4"/>
        <v>0</v>
      </c>
      <c r="BO1131" s="66"/>
      <c r="BP1131" s="66"/>
    </row>
    <row r="1132" spans="1:68" ht="13.2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>
        <f t="shared" ref="AP1132:AQ1132" si="1125">AR1132+AT1132+AV1132</f>
        <v>0</v>
      </c>
      <c r="AQ1132" s="75">
        <f t="shared" si="1125"/>
        <v>0</v>
      </c>
      <c r="AR1132" s="75"/>
      <c r="AS1132" s="75"/>
      <c r="AT1132" s="75"/>
      <c r="AU1132" s="75"/>
      <c r="AV1132" s="75"/>
      <c r="AW1132" s="75"/>
      <c r="AX1132" s="75"/>
      <c r="AY1132" s="67">
        <f t="shared" ca="1" si="1"/>
        <v>0</v>
      </c>
      <c r="AZ1132" s="75"/>
      <c r="BA1132" s="67">
        <f t="shared" ca="1" si="2"/>
        <v>0</v>
      </c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8"/>
      <c r="BL1132" s="78">
        <f t="shared" ca="1" si="3"/>
        <v>0</v>
      </c>
      <c r="BM1132" s="78"/>
      <c r="BN1132" s="78">
        <f t="shared" ca="1" si="4"/>
        <v>0</v>
      </c>
      <c r="BO1132" s="66"/>
      <c r="BP1132" s="66"/>
    </row>
    <row r="1133" spans="1:68" ht="13.2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>
        <f t="shared" ref="AP1133:AQ1133" si="1126">AR1133+AT1133+AV1133</f>
        <v>0</v>
      </c>
      <c r="AQ1133" s="75">
        <f t="shared" si="1126"/>
        <v>0</v>
      </c>
      <c r="AR1133" s="75"/>
      <c r="AS1133" s="75"/>
      <c r="AT1133" s="75"/>
      <c r="AU1133" s="75"/>
      <c r="AV1133" s="75"/>
      <c r="AW1133" s="75"/>
      <c r="AX1133" s="75"/>
      <c r="AY1133" s="67">
        <f t="shared" ca="1" si="1"/>
        <v>0</v>
      </c>
      <c r="AZ1133" s="75"/>
      <c r="BA1133" s="67">
        <f t="shared" ca="1" si="2"/>
        <v>0</v>
      </c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8"/>
      <c r="BL1133" s="78">
        <f t="shared" ca="1" si="3"/>
        <v>0</v>
      </c>
      <c r="BM1133" s="78"/>
      <c r="BN1133" s="78">
        <f t="shared" ca="1" si="4"/>
        <v>0</v>
      </c>
      <c r="BO1133" s="66"/>
      <c r="BP1133" s="66"/>
    </row>
    <row r="1134" spans="1:68" ht="13.2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>
        <f t="shared" ref="AP1134:AQ1134" si="1127">AR1134+AT1134+AV1134</f>
        <v>0</v>
      </c>
      <c r="AQ1134" s="75">
        <f t="shared" si="1127"/>
        <v>0</v>
      </c>
      <c r="AR1134" s="75"/>
      <c r="AS1134" s="75"/>
      <c r="AT1134" s="75"/>
      <c r="AU1134" s="75"/>
      <c r="AV1134" s="75"/>
      <c r="AW1134" s="75"/>
      <c r="AX1134" s="75"/>
      <c r="AY1134" s="67">
        <f t="shared" ca="1" si="1"/>
        <v>0</v>
      </c>
      <c r="AZ1134" s="75"/>
      <c r="BA1134" s="67">
        <f t="shared" ca="1" si="2"/>
        <v>0</v>
      </c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8"/>
      <c r="BL1134" s="78">
        <f t="shared" ca="1" si="3"/>
        <v>0</v>
      </c>
      <c r="BM1134" s="78"/>
      <c r="BN1134" s="78">
        <f t="shared" ca="1" si="4"/>
        <v>0</v>
      </c>
      <c r="BO1134" s="66"/>
      <c r="BP1134" s="66"/>
    </row>
    <row r="1135" spans="1:68" ht="13.2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>
        <f t="shared" ref="AP1135:AQ1135" si="1128">AR1135+AT1135+AV1135</f>
        <v>0</v>
      </c>
      <c r="AQ1135" s="75">
        <f t="shared" si="1128"/>
        <v>0</v>
      </c>
      <c r="AR1135" s="75"/>
      <c r="AS1135" s="75"/>
      <c r="AT1135" s="75"/>
      <c r="AU1135" s="75"/>
      <c r="AV1135" s="75"/>
      <c r="AW1135" s="75"/>
      <c r="AX1135" s="75"/>
      <c r="AY1135" s="67">
        <f t="shared" ca="1" si="1"/>
        <v>0</v>
      </c>
      <c r="AZ1135" s="75"/>
      <c r="BA1135" s="67">
        <f t="shared" ca="1" si="2"/>
        <v>0</v>
      </c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8"/>
      <c r="BL1135" s="78">
        <f t="shared" ca="1" si="3"/>
        <v>0</v>
      </c>
      <c r="BM1135" s="78"/>
      <c r="BN1135" s="78">
        <f t="shared" ca="1" si="4"/>
        <v>0</v>
      </c>
      <c r="BO1135" s="66"/>
      <c r="BP1135" s="66"/>
    </row>
    <row r="1136" spans="1:68" ht="13.2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>
        <f t="shared" ref="AP1136:AQ1136" si="1129">AR1136+AT1136+AV1136</f>
        <v>0</v>
      </c>
      <c r="AQ1136" s="75">
        <f t="shared" si="1129"/>
        <v>0</v>
      </c>
      <c r="AR1136" s="75"/>
      <c r="AS1136" s="75"/>
      <c r="AT1136" s="75"/>
      <c r="AU1136" s="75"/>
      <c r="AV1136" s="75"/>
      <c r="AW1136" s="75"/>
      <c r="AX1136" s="75"/>
      <c r="AY1136" s="67">
        <f t="shared" ca="1" si="1"/>
        <v>0</v>
      </c>
      <c r="AZ1136" s="75"/>
      <c r="BA1136" s="67">
        <f t="shared" ca="1" si="2"/>
        <v>0</v>
      </c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8"/>
      <c r="BL1136" s="78">
        <f t="shared" ca="1" si="3"/>
        <v>0</v>
      </c>
      <c r="BM1136" s="78"/>
      <c r="BN1136" s="78">
        <f t="shared" ca="1" si="4"/>
        <v>0</v>
      </c>
      <c r="BO1136" s="66"/>
      <c r="BP1136" s="66"/>
    </row>
    <row r="1137" spans="1:68" ht="13.2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>
        <f t="shared" ref="AP1137:AQ1137" si="1130">AR1137+AT1137+AV1137</f>
        <v>0</v>
      </c>
      <c r="AQ1137" s="75">
        <f t="shared" si="1130"/>
        <v>0</v>
      </c>
      <c r="AR1137" s="75"/>
      <c r="AS1137" s="75"/>
      <c r="AT1137" s="75"/>
      <c r="AU1137" s="75"/>
      <c r="AV1137" s="75"/>
      <c r="AW1137" s="75"/>
      <c r="AX1137" s="75"/>
      <c r="AY1137" s="67">
        <f t="shared" ca="1" si="1"/>
        <v>0</v>
      </c>
      <c r="AZ1137" s="75"/>
      <c r="BA1137" s="67">
        <f t="shared" ca="1" si="2"/>
        <v>0</v>
      </c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8"/>
      <c r="BL1137" s="78">
        <f t="shared" ca="1" si="3"/>
        <v>0</v>
      </c>
      <c r="BM1137" s="78"/>
      <c r="BN1137" s="78">
        <f t="shared" ca="1" si="4"/>
        <v>0</v>
      </c>
      <c r="BO1137" s="66"/>
      <c r="BP1137" s="66"/>
    </row>
    <row r="1138" spans="1:68" ht="13.2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>
        <f t="shared" ref="AP1138:AQ1138" si="1131">AR1138+AT1138+AV1138</f>
        <v>0</v>
      </c>
      <c r="AQ1138" s="75">
        <f t="shared" si="1131"/>
        <v>0</v>
      </c>
      <c r="AR1138" s="75"/>
      <c r="AS1138" s="75"/>
      <c r="AT1138" s="75"/>
      <c r="AU1138" s="75"/>
      <c r="AV1138" s="75"/>
      <c r="AW1138" s="75"/>
      <c r="AX1138" s="75"/>
      <c r="AY1138" s="67">
        <f t="shared" ca="1" si="1"/>
        <v>0</v>
      </c>
      <c r="AZ1138" s="75"/>
      <c r="BA1138" s="67">
        <f t="shared" ca="1" si="2"/>
        <v>0</v>
      </c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8"/>
      <c r="BL1138" s="78">
        <f t="shared" ca="1" si="3"/>
        <v>0</v>
      </c>
      <c r="BM1138" s="78"/>
      <c r="BN1138" s="78">
        <f t="shared" ca="1" si="4"/>
        <v>0</v>
      </c>
      <c r="BO1138" s="66"/>
      <c r="BP1138" s="66"/>
    </row>
    <row r="1139" spans="1:68" ht="13.2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>
        <f t="shared" ref="AP1139:AQ1139" si="1132">AR1139+AT1139+AV1139</f>
        <v>0</v>
      </c>
      <c r="AQ1139" s="75">
        <f t="shared" si="1132"/>
        <v>0</v>
      </c>
      <c r="AR1139" s="75"/>
      <c r="AS1139" s="75"/>
      <c r="AT1139" s="75"/>
      <c r="AU1139" s="75"/>
      <c r="AV1139" s="75"/>
      <c r="AW1139" s="75"/>
      <c r="AX1139" s="75"/>
      <c r="AY1139" s="67">
        <f t="shared" ca="1" si="1"/>
        <v>0</v>
      </c>
      <c r="AZ1139" s="75"/>
      <c r="BA1139" s="67">
        <f t="shared" ca="1" si="2"/>
        <v>0</v>
      </c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8"/>
      <c r="BL1139" s="78">
        <f t="shared" ca="1" si="3"/>
        <v>0</v>
      </c>
      <c r="BM1139" s="78"/>
      <c r="BN1139" s="78">
        <f t="shared" ca="1" si="4"/>
        <v>0</v>
      </c>
      <c r="BO1139" s="66"/>
      <c r="BP1139" s="66"/>
    </row>
    <row r="1140" spans="1:68" ht="13.2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>
        <f t="shared" ref="AP1140:AQ1140" si="1133">AR1140+AT1140+AV1140</f>
        <v>0</v>
      </c>
      <c r="AQ1140" s="75">
        <f t="shared" si="1133"/>
        <v>0</v>
      </c>
      <c r="AR1140" s="75"/>
      <c r="AS1140" s="75"/>
      <c r="AT1140" s="75"/>
      <c r="AU1140" s="75"/>
      <c r="AV1140" s="75"/>
      <c r="AW1140" s="75"/>
      <c r="AX1140" s="75"/>
      <c r="AY1140" s="67">
        <f t="shared" ca="1" si="1"/>
        <v>0</v>
      </c>
      <c r="AZ1140" s="75"/>
      <c r="BA1140" s="67">
        <f t="shared" ca="1" si="2"/>
        <v>0</v>
      </c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8"/>
      <c r="BL1140" s="78">
        <f t="shared" ca="1" si="3"/>
        <v>0</v>
      </c>
      <c r="BM1140" s="78"/>
      <c r="BN1140" s="78">
        <f t="shared" ca="1" si="4"/>
        <v>0</v>
      </c>
      <c r="BO1140" s="66"/>
      <c r="BP1140" s="66"/>
    </row>
    <row r="1141" spans="1:68" ht="13.2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>
        <f t="shared" ref="AP1141:AQ1141" si="1134">AR1141+AT1141+AV1141</f>
        <v>0</v>
      </c>
      <c r="AQ1141" s="75">
        <f t="shared" si="1134"/>
        <v>0</v>
      </c>
      <c r="AR1141" s="75"/>
      <c r="AS1141" s="75"/>
      <c r="AT1141" s="75"/>
      <c r="AU1141" s="75"/>
      <c r="AV1141" s="75"/>
      <c r="AW1141" s="75"/>
      <c r="AX1141" s="75"/>
      <c r="AY1141" s="67">
        <f t="shared" ca="1" si="1"/>
        <v>0</v>
      </c>
      <c r="AZ1141" s="75"/>
      <c r="BA1141" s="67">
        <f t="shared" ca="1" si="2"/>
        <v>0</v>
      </c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8"/>
      <c r="BL1141" s="78">
        <f t="shared" ca="1" si="3"/>
        <v>0</v>
      </c>
      <c r="BM1141" s="78"/>
      <c r="BN1141" s="78">
        <f t="shared" ca="1" si="4"/>
        <v>0</v>
      </c>
      <c r="BO1141" s="66"/>
      <c r="BP1141" s="66"/>
    </row>
    <row r="1142" spans="1:68" ht="13.2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>
        <f t="shared" ref="AP1142:AQ1142" si="1135">AR1142+AT1142+AV1142</f>
        <v>0</v>
      </c>
      <c r="AQ1142" s="75">
        <f t="shared" si="1135"/>
        <v>0</v>
      </c>
      <c r="AR1142" s="75"/>
      <c r="AS1142" s="75"/>
      <c r="AT1142" s="75"/>
      <c r="AU1142" s="75"/>
      <c r="AV1142" s="75"/>
      <c r="AW1142" s="75"/>
      <c r="AX1142" s="75"/>
      <c r="AY1142" s="67">
        <f t="shared" ca="1" si="1"/>
        <v>0</v>
      </c>
      <c r="AZ1142" s="75"/>
      <c r="BA1142" s="67">
        <f t="shared" ca="1" si="2"/>
        <v>0</v>
      </c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8"/>
      <c r="BL1142" s="78">
        <f t="shared" ca="1" si="3"/>
        <v>0</v>
      </c>
      <c r="BM1142" s="78"/>
      <c r="BN1142" s="78">
        <f t="shared" ca="1" si="4"/>
        <v>0</v>
      </c>
      <c r="BO1142" s="66"/>
      <c r="BP1142" s="66"/>
    </row>
    <row r="1143" spans="1:68" ht="13.2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>
        <f t="shared" ref="AP1143:AQ1143" si="1136">AR1143+AT1143+AV1143</f>
        <v>0</v>
      </c>
      <c r="AQ1143" s="75">
        <f t="shared" si="1136"/>
        <v>0</v>
      </c>
      <c r="AR1143" s="75"/>
      <c r="AS1143" s="75"/>
      <c r="AT1143" s="75"/>
      <c r="AU1143" s="75"/>
      <c r="AV1143" s="75"/>
      <c r="AW1143" s="75"/>
      <c r="AX1143" s="75"/>
      <c r="AY1143" s="67">
        <f t="shared" ca="1" si="1"/>
        <v>0</v>
      </c>
      <c r="AZ1143" s="75"/>
      <c r="BA1143" s="67">
        <f t="shared" ca="1" si="2"/>
        <v>0</v>
      </c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8"/>
      <c r="BL1143" s="78">
        <f t="shared" ca="1" si="3"/>
        <v>0</v>
      </c>
      <c r="BM1143" s="78"/>
      <c r="BN1143" s="78">
        <f t="shared" ca="1" si="4"/>
        <v>0</v>
      </c>
      <c r="BO1143" s="66"/>
      <c r="BP1143" s="66"/>
    </row>
    <row r="1144" spans="1:68" ht="13.2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>
        <f t="shared" ref="AP1144:AQ1144" si="1137">AR1144+AT1144+AV1144</f>
        <v>0</v>
      </c>
      <c r="AQ1144" s="75">
        <f t="shared" si="1137"/>
        <v>0</v>
      </c>
      <c r="AR1144" s="75"/>
      <c r="AS1144" s="75"/>
      <c r="AT1144" s="75"/>
      <c r="AU1144" s="75"/>
      <c r="AV1144" s="75"/>
      <c r="AW1144" s="75"/>
      <c r="AX1144" s="75"/>
      <c r="AY1144" s="67">
        <f t="shared" ca="1" si="1"/>
        <v>0</v>
      </c>
      <c r="AZ1144" s="75"/>
      <c r="BA1144" s="67">
        <f t="shared" ca="1" si="2"/>
        <v>0</v>
      </c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8"/>
      <c r="BL1144" s="78">
        <f t="shared" ca="1" si="3"/>
        <v>0</v>
      </c>
      <c r="BM1144" s="78"/>
      <c r="BN1144" s="78">
        <f t="shared" ca="1" si="4"/>
        <v>0</v>
      </c>
      <c r="BO1144" s="66"/>
      <c r="BP1144" s="66"/>
    </row>
    <row r="1145" spans="1:68" ht="13.2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>
        <f t="shared" ref="AP1145:AQ1145" si="1138">AR1145+AT1145+AV1145</f>
        <v>0</v>
      </c>
      <c r="AQ1145" s="75">
        <f t="shared" si="1138"/>
        <v>0</v>
      </c>
      <c r="AR1145" s="75"/>
      <c r="AS1145" s="75"/>
      <c r="AT1145" s="75"/>
      <c r="AU1145" s="75"/>
      <c r="AV1145" s="75"/>
      <c r="AW1145" s="75"/>
      <c r="AX1145" s="75"/>
      <c r="AY1145" s="67">
        <f t="shared" ca="1" si="1"/>
        <v>0</v>
      </c>
      <c r="AZ1145" s="75"/>
      <c r="BA1145" s="67">
        <f t="shared" ca="1" si="2"/>
        <v>0</v>
      </c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8"/>
      <c r="BL1145" s="78">
        <f t="shared" ca="1" si="3"/>
        <v>0</v>
      </c>
      <c r="BM1145" s="78"/>
      <c r="BN1145" s="78">
        <f t="shared" ca="1" si="4"/>
        <v>0</v>
      </c>
      <c r="BO1145" s="66"/>
      <c r="BP1145" s="66"/>
    </row>
    <row r="1146" spans="1:68" ht="13.2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>
        <f t="shared" ref="AP1146:AQ1146" si="1139">AR1146+AT1146+AV1146</f>
        <v>0</v>
      </c>
      <c r="AQ1146" s="75">
        <f t="shared" si="1139"/>
        <v>0</v>
      </c>
      <c r="AR1146" s="75"/>
      <c r="AS1146" s="75"/>
      <c r="AT1146" s="75"/>
      <c r="AU1146" s="75"/>
      <c r="AV1146" s="75"/>
      <c r="AW1146" s="75"/>
      <c r="AX1146" s="75"/>
      <c r="AY1146" s="67">
        <f t="shared" ca="1" si="1"/>
        <v>0</v>
      </c>
      <c r="AZ1146" s="75"/>
      <c r="BA1146" s="67">
        <f t="shared" ca="1" si="2"/>
        <v>0</v>
      </c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8"/>
      <c r="BL1146" s="78">
        <f t="shared" ca="1" si="3"/>
        <v>0</v>
      </c>
      <c r="BM1146" s="78"/>
      <c r="BN1146" s="78">
        <f t="shared" ca="1" si="4"/>
        <v>0</v>
      </c>
      <c r="BO1146" s="66"/>
      <c r="BP1146" s="66"/>
    </row>
    <row r="1147" spans="1:68" ht="13.2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>
        <f t="shared" ref="AP1147:AQ1147" si="1140">AR1147+AT1147+AV1147</f>
        <v>0</v>
      </c>
      <c r="AQ1147" s="75">
        <f t="shared" si="1140"/>
        <v>0</v>
      </c>
      <c r="AR1147" s="75"/>
      <c r="AS1147" s="75"/>
      <c r="AT1147" s="75"/>
      <c r="AU1147" s="75"/>
      <c r="AV1147" s="75"/>
      <c r="AW1147" s="75"/>
      <c r="AX1147" s="75"/>
      <c r="AY1147" s="67">
        <f t="shared" ca="1" si="1"/>
        <v>0</v>
      </c>
      <c r="AZ1147" s="75"/>
      <c r="BA1147" s="67">
        <f t="shared" ca="1" si="2"/>
        <v>0</v>
      </c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8"/>
      <c r="BL1147" s="78">
        <f t="shared" ca="1" si="3"/>
        <v>0</v>
      </c>
      <c r="BM1147" s="78"/>
      <c r="BN1147" s="78">
        <f t="shared" ca="1" si="4"/>
        <v>0</v>
      </c>
      <c r="BO1147" s="66"/>
      <c r="BP1147" s="66"/>
    </row>
    <row r="1148" spans="1:68" ht="13.2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>
        <f t="shared" ref="AP1148:AQ1148" si="1141">AR1148+AT1148+AV1148</f>
        <v>0</v>
      </c>
      <c r="AQ1148" s="75">
        <f t="shared" si="1141"/>
        <v>0</v>
      </c>
      <c r="AR1148" s="75"/>
      <c r="AS1148" s="75"/>
      <c r="AT1148" s="75"/>
      <c r="AU1148" s="75"/>
      <c r="AV1148" s="75"/>
      <c r="AW1148" s="75"/>
      <c r="AX1148" s="75"/>
      <c r="AY1148" s="67">
        <f t="shared" ca="1" si="1"/>
        <v>0</v>
      </c>
      <c r="AZ1148" s="75"/>
      <c r="BA1148" s="67">
        <f t="shared" ca="1" si="2"/>
        <v>0</v>
      </c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8"/>
      <c r="BL1148" s="78">
        <f t="shared" ca="1" si="3"/>
        <v>0</v>
      </c>
      <c r="BM1148" s="78"/>
      <c r="BN1148" s="78">
        <f t="shared" ca="1" si="4"/>
        <v>0</v>
      </c>
      <c r="BO1148" s="66"/>
      <c r="BP1148" s="66"/>
    </row>
    <row r="1149" spans="1:68" ht="13.2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>
        <f t="shared" ref="AP1149:AQ1149" si="1142">AR1149+AT1149+AV1149</f>
        <v>0</v>
      </c>
      <c r="AQ1149" s="75">
        <f t="shared" si="1142"/>
        <v>0</v>
      </c>
      <c r="AR1149" s="75"/>
      <c r="AS1149" s="75"/>
      <c r="AT1149" s="75"/>
      <c r="AU1149" s="75"/>
      <c r="AV1149" s="75"/>
      <c r="AW1149" s="75"/>
      <c r="AX1149" s="75"/>
      <c r="AY1149" s="67">
        <f t="shared" ca="1" si="1"/>
        <v>0</v>
      </c>
      <c r="AZ1149" s="75"/>
      <c r="BA1149" s="67">
        <f t="shared" ca="1" si="2"/>
        <v>0</v>
      </c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8"/>
      <c r="BL1149" s="78">
        <f t="shared" ca="1" si="3"/>
        <v>0</v>
      </c>
      <c r="BM1149" s="78"/>
      <c r="BN1149" s="78">
        <f t="shared" ca="1" si="4"/>
        <v>0</v>
      </c>
      <c r="BO1149" s="66"/>
      <c r="BP1149" s="66"/>
    </row>
    <row r="1150" spans="1:68" ht="13.2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>
        <f t="shared" ref="AP1150:AQ1150" si="1143">AR1150+AT1150+AV1150</f>
        <v>0</v>
      </c>
      <c r="AQ1150" s="75">
        <f t="shared" si="1143"/>
        <v>0</v>
      </c>
      <c r="AR1150" s="75"/>
      <c r="AS1150" s="75"/>
      <c r="AT1150" s="75"/>
      <c r="AU1150" s="75"/>
      <c r="AV1150" s="75"/>
      <c r="AW1150" s="75"/>
      <c r="AX1150" s="75"/>
      <c r="AY1150" s="67">
        <f t="shared" ca="1" si="1"/>
        <v>0</v>
      </c>
      <c r="AZ1150" s="75"/>
      <c r="BA1150" s="67">
        <f t="shared" ca="1" si="2"/>
        <v>0</v>
      </c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8"/>
      <c r="BL1150" s="78">
        <f t="shared" ca="1" si="3"/>
        <v>0</v>
      </c>
      <c r="BM1150" s="78"/>
      <c r="BN1150" s="78">
        <f t="shared" ca="1" si="4"/>
        <v>0</v>
      </c>
      <c r="BO1150" s="66"/>
      <c r="BP1150" s="66"/>
    </row>
    <row r="1151" spans="1:68" ht="13.2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>
        <f t="shared" ref="AP1151:AQ1151" si="1144">AR1151+AT1151+AV1151</f>
        <v>0</v>
      </c>
      <c r="AQ1151" s="75">
        <f t="shared" si="1144"/>
        <v>0</v>
      </c>
      <c r="AR1151" s="75"/>
      <c r="AS1151" s="75"/>
      <c r="AT1151" s="75"/>
      <c r="AU1151" s="75"/>
      <c r="AV1151" s="75"/>
      <c r="AW1151" s="75"/>
      <c r="AX1151" s="75"/>
      <c r="AY1151" s="67">
        <f t="shared" ca="1" si="1"/>
        <v>0</v>
      </c>
      <c r="AZ1151" s="75"/>
      <c r="BA1151" s="67">
        <f t="shared" ca="1" si="2"/>
        <v>0</v>
      </c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8"/>
      <c r="BL1151" s="78">
        <f t="shared" ca="1" si="3"/>
        <v>0</v>
      </c>
      <c r="BM1151" s="78"/>
      <c r="BN1151" s="78">
        <f t="shared" ca="1" si="4"/>
        <v>0</v>
      </c>
      <c r="BO1151" s="66"/>
      <c r="BP1151" s="66"/>
    </row>
    <row r="1152" spans="1:68" ht="13.2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>
        <f t="shared" ref="AP1152:AQ1152" si="1145">AR1152+AT1152+AV1152</f>
        <v>0</v>
      </c>
      <c r="AQ1152" s="75">
        <f t="shared" si="1145"/>
        <v>0</v>
      </c>
      <c r="AR1152" s="75"/>
      <c r="AS1152" s="75"/>
      <c r="AT1152" s="75"/>
      <c r="AU1152" s="75"/>
      <c r="AV1152" s="75"/>
      <c r="AW1152" s="75"/>
      <c r="AX1152" s="75"/>
      <c r="AY1152" s="67">
        <f t="shared" ca="1" si="1"/>
        <v>0</v>
      </c>
      <c r="AZ1152" s="75"/>
      <c r="BA1152" s="67">
        <f t="shared" ca="1" si="2"/>
        <v>0</v>
      </c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8"/>
      <c r="BL1152" s="78">
        <f t="shared" ca="1" si="3"/>
        <v>0</v>
      </c>
      <c r="BM1152" s="78"/>
      <c r="BN1152" s="78">
        <f t="shared" ca="1" si="4"/>
        <v>0</v>
      </c>
      <c r="BO1152" s="66"/>
      <c r="BP1152" s="66"/>
    </row>
    <row r="1153" spans="1:68" ht="13.2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>
        <f t="shared" ref="AP1153:AQ1153" si="1146">AR1153+AT1153+AV1153</f>
        <v>0</v>
      </c>
      <c r="AQ1153" s="75">
        <f t="shared" si="1146"/>
        <v>0</v>
      </c>
      <c r="AR1153" s="75"/>
      <c r="AS1153" s="75"/>
      <c r="AT1153" s="75"/>
      <c r="AU1153" s="75"/>
      <c r="AV1153" s="75"/>
      <c r="AW1153" s="75"/>
      <c r="AX1153" s="75"/>
      <c r="AY1153" s="67">
        <f t="shared" ca="1" si="1"/>
        <v>0</v>
      </c>
      <c r="AZ1153" s="75"/>
      <c r="BA1153" s="67">
        <f t="shared" ca="1" si="2"/>
        <v>0</v>
      </c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8"/>
      <c r="BL1153" s="78">
        <f t="shared" ca="1" si="3"/>
        <v>0</v>
      </c>
      <c r="BM1153" s="78"/>
      <c r="BN1153" s="78">
        <f t="shared" ca="1" si="4"/>
        <v>0</v>
      </c>
      <c r="BO1153" s="66"/>
      <c r="BP1153" s="66"/>
    </row>
    <row r="1154" spans="1:68" ht="13.2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>
        <f t="shared" ref="AP1154:AQ1154" si="1147">AR1154+AT1154+AV1154</f>
        <v>0</v>
      </c>
      <c r="AQ1154" s="75">
        <f t="shared" si="1147"/>
        <v>0</v>
      </c>
      <c r="AR1154" s="75"/>
      <c r="AS1154" s="75"/>
      <c r="AT1154" s="75"/>
      <c r="AU1154" s="75"/>
      <c r="AV1154" s="75"/>
      <c r="AW1154" s="75"/>
      <c r="AX1154" s="75"/>
      <c r="AY1154" s="67">
        <f t="shared" ca="1" si="1"/>
        <v>0</v>
      </c>
      <c r="AZ1154" s="75"/>
      <c r="BA1154" s="67">
        <f t="shared" ca="1" si="2"/>
        <v>0</v>
      </c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8"/>
      <c r="BL1154" s="78">
        <f t="shared" ca="1" si="3"/>
        <v>0</v>
      </c>
      <c r="BM1154" s="78"/>
      <c r="BN1154" s="78">
        <f t="shared" ca="1" si="4"/>
        <v>0</v>
      </c>
      <c r="BO1154" s="66"/>
      <c r="BP1154" s="66"/>
    </row>
    <row r="1155" spans="1:68" ht="13.2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>
        <f t="shared" ref="AP1155:AQ1155" si="1148">AR1155+AT1155+AV1155</f>
        <v>0</v>
      </c>
      <c r="AQ1155" s="75">
        <f t="shared" si="1148"/>
        <v>0</v>
      </c>
      <c r="AR1155" s="75"/>
      <c r="AS1155" s="75"/>
      <c r="AT1155" s="75"/>
      <c r="AU1155" s="75"/>
      <c r="AV1155" s="75"/>
      <c r="AW1155" s="75"/>
      <c r="AX1155" s="75"/>
      <c r="AY1155" s="67">
        <f t="shared" ca="1" si="1"/>
        <v>0</v>
      </c>
      <c r="AZ1155" s="75"/>
      <c r="BA1155" s="67">
        <f t="shared" ca="1" si="2"/>
        <v>0</v>
      </c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8"/>
      <c r="BL1155" s="78">
        <f t="shared" ca="1" si="3"/>
        <v>0</v>
      </c>
      <c r="BM1155" s="78"/>
      <c r="BN1155" s="78">
        <f t="shared" ca="1" si="4"/>
        <v>0</v>
      </c>
      <c r="BO1155" s="66"/>
      <c r="BP1155" s="66"/>
    </row>
    <row r="1156" spans="1:68" ht="13.2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>
        <f t="shared" ref="AP1156:AQ1156" si="1149">AR1156+AT1156+AV1156</f>
        <v>0</v>
      </c>
      <c r="AQ1156" s="75">
        <f t="shared" si="1149"/>
        <v>0</v>
      </c>
      <c r="AR1156" s="75"/>
      <c r="AS1156" s="75"/>
      <c r="AT1156" s="75"/>
      <c r="AU1156" s="75"/>
      <c r="AV1156" s="75"/>
      <c r="AW1156" s="75"/>
      <c r="AX1156" s="75"/>
      <c r="AY1156" s="67">
        <f t="shared" ca="1" si="1"/>
        <v>0</v>
      </c>
      <c r="AZ1156" s="75"/>
      <c r="BA1156" s="67">
        <f t="shared" ca="1" si="2"/>
        <v>0</v>
      </c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8"/>
      <c r="BL1156" s="78">
        <f t="shared" ca="1" si="3"/>
        <v>0</v>
      </c>
      <c r="BM1156" s="78"/>
      <c r="BN1156" s="78">
        <f t="shared" ca="1" si="4"/>
        <v>0</v>
      </c>
      <c r="BO1156" s="66"/>
      <c r="BP1156" s="66"/>
    </row>
    <row r="1157" spans="1:68" ht="13.2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>
        <f t="shared" ref="AP1157:AQ1157" si="1150">AR1157+AT1157+AV1157</f>
        <v>0</v>
      </c>
      <c r="AQ1157" s="75">
        <f t="shared" si="1150"/>
        <v>0</v>
      </c>
      <c r="AR1157" s="75"/>
      <c r="AS1157" s="75"/>
      <c r="AT1157" s="75"/>
      <c r="AU1157" s="75"/>
      <c r="AV1157" s="75"/>
      <c r="AW1157" s="75"/>
      <c r="AX1157" s="75"/>
      <c r="AY1157" s="67">
        <f t="shared" ca="1" si="1"/>
        <v>0</v>
      </c>
      <c r="AZ1157" s="75"/>
      <c r="BA1157" s="67">
        <f t="shared" ca="1" si="2"/>
        <v>0</v>
      </c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8"/>
      <c r="BL1157" s="78">
        <f t="shared" ca="1" si="3"/>
        <v>0</v>
      </c>
      <c r="BM1157" s="78"/>
      <c r="BN1157" s="78">
        <f t="shared" ca="1" si="4"/>
        <v>0</v>
      </c>
      <c r="BO1157" s="66"/>
      <c r="BP1157" s="66"/>
    </row>
    <row r="1158" spans="1:68" ht="13.2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>
        <f t="shared" ref="AP1158:AQ1158" si="1151">AR1158+AT1158+AV1158</f>
        <v>0</v>
      </c>
      <c r="AQ1158" s="75">
        <f t="shared" si="1151"/>
        <v>0</v>
      </c>
      <c r="AR1158" s="75"/>
      <c r="AS1158" s="75"/>
      <c r="AT1158" s="75"/>
      <c r="AU1158" s="75"/>
      <c r="AV1158" s="75"/>
      <c r="AW1158" s="75"/>
      <c r="AX1158" s="75"/>
      <c r="AY1158" s="67">
        <f t="shared" ca="1" si="1"/>
        <v>0</v>
      </c>
      <c r="AZ1158" s="75"/>
      <c r="BA1158" s="67">
        <f t="shared" ca="1" si="2"/>
        <v>0</v>
      </c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8"/>
      <c r="BL1158" s="78">
        <f t="shared" ca="1" si="3"/>
        <v>0</v>
      </c>
      <c r="BM1158" s="78"/>
      <c r="BN1158" s="78">
        <f t="shared" ca="1" si="4"/>
        <v>0</v>
      </c>
      <c r="BO1158" s="66"/>
      <c r="BP1158" s="66"/>
    </row>
    <row r="1159" spans="1:68" ht="13.2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>
        <f t="shared" ref="AP1159:AQ1159" si="1152">AR1159+AT1159+AV1159</f>
        <v>0</v>
      </c>
      <c r="AQ1159" s="75">
        <f t="shared" si="1152"/>
        <v>0</v>
      </c>
      <c r="AR1159" s="75"/>
      <c r="AS1159" s="75"/>
      <c r="AT1159" s="75"/>
      <c r="AU1159" s="75"/>
      <c r="AV1159" s="75"/>
      <c r="AW1159" s="75"/>
      <c r="AX1159" s="75"/>
      <c r="AY1159" s="67">
        <f t="shared" ca="1" si="1"/>
        <v>0</v>
      </c>
      <c r="AZ1159" s="75"/>
      <c r="BA1159" s="67">
        <f t="shared" ca="1" si="2"/>
        <v>0</v>
      </c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8"/>
      <c r="BL1159" s="78">
        <f t="shared" ca="1" si="3"/>
        <v>0</v>
      </c>
      <c r="BM1159" s="78"/>
      <c r="BN1159" s="78">
        <f t="shared" ca="1" si="4"/>
        <v>0</v>
      </c>
      <c r="BO1159" s="66"/>
      <c r="BP1159" s="66"/>
    </row>
    <row r="1160" spans="1:68" ht="13.2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>
        <f t="shared" ref="AP1160:AQ1160" si="1153">AR1160+AT1160+AV1160</f>
        <v>0</v>
      </c>
      <c r="AQ1160" s="75">
        <f t="shared" si="1153"/>
        <v>0</v>
      </c>
      <c r="AR1160" s="75"/>
      <c r="AS1160" s="75"/>
      <c r="AT1160" s="75"/>
      <c r="AU1160" s="75"/>
      <c r="AV1160" s="75"/>
      <c r="AW1160" s="75"/>
      <c r="AX1160" s="75"/>
      <c r="AY1160" s="67">
        <f t="shared" ca="1" si="1"/>
        <v>0</v>
      </c>
      <c r="AZ1160" s="75"/>
      <c r="BA1160" s="67">
        <f t="shared" ca="1" si="2"/>
        <v>0</v>
      </c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8"/>
      <c r="BL1160" s="78">
        <f t="shared" ca="1" si="3"/>
        <v>0</v>
      </c>
      <c r="BM1160" s="78"/>
      <c r="BN1160" s="78">
        <f t="shared" ca="1" si="4"/>
        <v>0</v>
      </c>
      <c r="BO1160" s="66"/>
      <c r="BP1160" s="66"/>
    </row>
    <row r="1161" spans="1:68" ht="13.2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>
        <f t="shared" ref="AP1161:AQ1161" si="1154">AR1161+AT1161+AV1161</f>
        <v>0</v>
      </c>
      <c r="AQ1161" s="75">
        <f t="shared" si="1154"/>
        <v>0</v>
      </c>
      <c r="AR1161" s="75"/>
      <c r="AS1161" s="75"/>
      <c r="AT1161" s="75"/>
      <c r="AU1161" s="75"/>
      <c r="AV1161" s="75"/>
      <c r="AW1161" s="75"/>
      <c r="AX1161" s="75"/>
      <c r="AY1161" s="67">
        <f t="shared" ca="1" si="1"/>
        <v>0</v>
      </c>
      <c r="AZ1161" s="75"/>
      <c r="BA1161" s="67">
        <f t="shared" ca="1" si="2"/>
        <v>0</v>
      </c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8"/>
      <c r="BL1161" s="78">
        <f t="shared" ca="1" si="3"/>
        <v>0</v>
      </c>
      <c r="BM1161" s="78"/>
      <c r="BN1161" s="78">
        <f t="shared" ca="1" si="4"/>
        <v>0</v>
      </c>
      <c r="BO1161" s="66"/>
      <c r="BP1161" s="66"/>
    </row>
    <row r="1162" spans="1:68" ht="13.2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>
        <f t="shared" ref="AP1162:AQ1162" si="1155">AR1162+AT1162+AV1162</f>
        <v>0</v>
      </c>
      <c r="AQ1162" s="75">
        <f t="shared" si="1155"/>
        <v>0</v>
      </c>
      <c r="AR1162" s="75"/>
      <c r="AS1162" s="75"/>
      <c r="AT1162" s="75"/>
      <c r="AU1162" s="75"/>
      <c r="AV1162" s="75"/>
      <c r="AW1162" s="75"/>
      <c r="AX1162" s="75"/>
      <c r="AY1162" s="67">
        <f t="shared" ca="1" si="1"/>
        <v>0</v>
      </c>
      <c r="AZ1162" s="75"/>
      <c r="BA1162" s="67">
        <f t="shared" ca="1" si="2"/>
        <v>0</v>
      </c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8"/>
      <c r="BL1162" s="78">
        <f t="shared" ca="1" si="3"/>
        <v>0</v>
      </c>
      <c r="BM1162" s="78"/>
      <c r="BN1162" s="78">
        <f t="shared" ca="1" si="4"/>
        <v>0</v>
      </c>
      <c r="BO1162" s="66"/>
      <c r="BP1162" s="66"/>
    </row>
    <row r="1163" spans="1:68" ht="13.2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>
        <f t="shared" ref="AP1163:AQ1163" si="1156">AR1163+AT1163+AV1163</f>
        <v>0</v>
      </c>
      <c r="AQ1163" s="75">
        <f t="shared" si="1156"/>
        <v>0</v>
      </c>
      <c r="AR1163" s="75"/>
      <c r="AS1163" s="75"/>
      <c r="AT1163" s="75"/>
      <c r="AU1163" s="75"/>
      <c r="AV1163" s="75"/>
      <c r="AW1163" s="75"/>
      <c r="AX1163" s="75"/>
      <c r="AY1163" s="67">
        <f t="shared" ca="1" si="1"/>
        <v>0</v>
      </c>
      <c r="AZ1163" s="75"/>
      <c r="BA1163" s="67">
        <f t="shared" ca="1" si="2"/>
        <v>0</v>
      </c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8"/>
      <c r="BL1163" s="78">
        <f t="shared" ca="1" si="3"/>
        <v>0</v>
      </c>
      <c r="BM1163" s="78"/>
      <c r="BN1163" s="78">
        <f t="shared" ca="1" si="4"/>
        <v>0</v>
      </c>
      <c r="BO1163" s="66"/>
      <c r="BP1163" s="66"/>
    </row>
    <row r="1164" spans="1:68" ht="13.2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>
        <f t="shared" ref="AP1164:AQ1164" si="1157">AR1164+AT1164+AV1164</f>
        <v>0</v>
      </c>
      <c r="AQ1164" s="75">
        <f t="shared" si="1157"/>
        <v>0</v>
      </c>
      <c r="AR1164" s="75"/>
      <c r="AS1164" s="75"/>
      <c r="AT1164" s="75"/>
      <c r="AU1164" s="75"/>
      <c r="AV1164" s="75"/>
      <c r="AW1164" s="75"/>
      <c r="AX1164" s="75"/>
      <c r="AY1164" s="67">
        <f t="shared" ca="1" si="1"/>
        <v>0</v>
      </c>
      <c r="AZ1164" s="75"/>
      <c r="BA1164" s="67">
        <f t="shared" ca="1" si="2"/>
        <v>0</v>
      </c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8"/>
      <c r="BL1164" s="78">
        <f t="shared" ca="1" si="3"/>
        <v>0</v>
      </c>
      <c r="BM1164" s="78"/>
      <c r="BN1164" s="78">
        <f t="shared" ca="1" si="4"/>
        <v>0</v>
      </c>
      <c r="BO1164" s="66"/>
      <c r="BP1164" s="66"/>
    </row>
    <row r="1165" spans="1:68" ht="13.2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>
        <f t="shared" ref="AP1165:AQ1165" si="1158">AR1165+AT1165+AV1165</f>
        <v>0</v>
      </c>
      <c r="AQ1165" s="75">
        <f t="shared" si="1158"/>
        <v>0</v>
      </c>
      <c r="AR1165" s="75"/>
      <c r="AS1165" s="75"/>
      <c r="AT1165" s="75"/>
      <c r="AU1165" s="75"/>
      <c r="AV1165" s="75"/>
      <c r="AW1165" s="75"/>
      <c r="AX1165" s="75"/>
      <c r="AY1165" s="67">
        <f t="shared" ca="1" si="1"/>
        <v>0</v>
      </c>
      <c r="AZ1165" s="75"/>
      <c r="BA1165" s="67">
        <f t="shared" ca="1" si="2"/>
        <v>0</v>
      </c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8"/>
      <c r="BL1165" s="78">
        <f t="shared" ca="1" si="3"/>
        <v>0</v>
      </c>
      <c r="BM1165" s="78"/>
      <c r="BN1165" s="78">
        <f t="shared" ca="1" si="4"/>
        <v>0</v>
      </c>
      <c r="BO1165" s="66"/>
      <c r="BP1165" s="66"/>
    </row>
    <row r="1166" spans="1:68" ht="13.2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>
        <f t="shared" ref="AP1166:AQ1166" si="1159">AR1166+AT1166+AV1166</f>
        <v>0</v>
      </c>
      <c r="AQ1166" s="75">
        <f t="shared" si="1159"/>
        <v>0</v>
      </c>
      <c r="AR1166" s="75"/>
      <c r="AS1166" s="75"/>
      <c r="AT1166" s="75"/>
      <c r="AU1166" s="75"/>
      <c r="AV1166" s="75"/>
      <c r="AW1166" s="75"/>
      <c r="AX1166" s="75"/>
      <c r="AY1166" s="67">
        <f t="shared" ca="1" si="1"/>
        <v>0</v>
      </c>
      <c r="AZ1166" s="75"/>
      <c r="BA1166" s="67">
        <f t="shared" ca="1" si="2"/>
        <v>0</v>
      </c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8"/>
      <c r="BL1166" s="78">
        <f t="shared" ca="1" si="3"/>
        <v>0</v>
      </c>
      <c r="BM1166" s="78"/>
      <c r="BN1166" s="78">
        <f t="shared" ca="1" si="4"/>
        <v>0</v>
      </c>
      <c r="BO1166" s="66"/>
      <c r="BP1166" s="66"/>
    </row>
    <row r="1167" spans="1:68" ht="13.2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>
        <f t="shared" ref="AP1167:AQ1167" si="1160">AR1167+AT1167+AV1167</f>
        <v>0</v>
      </c>
      <c r="AQ1167" s="75">
        <f t="shared" si="1160"/>
        <v>0</v>
      </c>
      <c r="AR1167" s="75"/>
      <c r="AS1167" s="75"/>
      <c r="AT1167" s="75"/>
      <c r="AU1167" s="75"/>
      <c r="AV1167" s="75"/>
      <c r="AW1167" s="75"/>
      <c r="AX1167" s="75"/>
      <c r="AY1167" s="67">
        <f t="shared" ca="1" si="1"/>
        <v>0</v>
      </c>
      <c r="AZ1167" s="75"/>
      <c r="BA1167" s="67">
        <f t="shared" ca="1" si="2"/>
        <v>0</v>
      </c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8"/>
      <c r="BL1167" s="78">
        <f t="shared" ca="1" si="3"/>
        <v>0</v>
      </c>
      <c r="BM1167" s="78"/>
      <c r="BN1167" s="78">
        <f t="shared" ca="1" si="4"/>
        <v>0</v>
      </c>
      <c r="BO1167" s="66"/>
      <c r="BP1167" s="66"/>
    </row>
    <row r="1168" spans="1:68" ht="13.2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>
        <f t="shared" ref="AP1168:AQ1168" si="1161">AR1168+AT1168+AV1168</f>
        <v>0</v>
      </c>
      <c r="AQ1168" s="75">
        <f t="shared" si="1161"/>
        <v>0</v>
      </c>
      <c r="AR1168" s="75"/>
      <c r="AS1168" s="75"/>
      <c r="AT1168" s="75"/>
      <c r="AU1168" s="75"/>
      <c r="AV1168" s="75"/>
      <c r="AW1168" s="75"/>
      <c r="AX1168" s="75"/>
      <c r="AY1168" s="67">
        <f t="shared" ca="1" si="1"/>
        <v>0</v>
      </c>
      <c r="AZ1168" s="75"/>
      <c r="BA1168" s="67">
        <f t="shared" ca="1" si="2"/>
        <v>0</v>
      </c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8"/>
      <c r="BL1168" s="78">
        <f t="shared" ca="1" si="3"/>
        <v>0</v>
      </c>
      <c r="BM1168" s="78"/>
      <c r="BN1168" s="78">
        <f t="shared" ca="1" si="4"/>
        <v>0</v>
      </c>
      <c r="BO1168" s="66"/>
      <c r="BP1168" s="66"/>
    </row>
    <row r="1169" spans="1:68" ht="13.2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>
        <f t="shared" ref="AP1169:AQ1169" si="1162">AR1169+AT1169+AV1169</f>
        <v>0</v>
      </c>
      <c r="AQ1169" s="75">
        <f t="shared" si="1162"/>
        <v>0</v>
      </c>
      <c r="AR1169" s="75"/>
      <c r="AS1169" s="75"/>
      <c r="AT1169" s="75"/>
      <c r="AU1169" s="75"/>
      <c r="AV1169" s="75"/>
      <c r="AW1169" s="75"/>
      <c r="AX1169" s="75"/>
      <c r="AY1169" s="67">
        <f t="shared" ca="1" si="1"/>
        <v>0</v>
      </c>
      <c r="AZ1169" s="75"/>
      <c r="BA1169" s="67">
        <f t="shared" ca="1" si="2"/>
        <v>0</v>
      </c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8"/>
      <c r="BL1169" s="78">
        <f t="shared" ca="1" si="3"/>
        <v>0</v>
      </c>
      <c r="BM1169" s="78"/>
      <c r="BN1169" s="78">
        <f t="shared" ca="1" si="4"/>
        <v>0</v>
      </c>
      <c r="BO1169" s="66"/>
      <c r="BP1169" s="66"/>
    </row>
    <row r="1170" spans="1:68" ht="13.2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>
        <f t="shared" ref="AP1170:AQ1170" si="1163">AR1170+AT1170+AV1170</f>
        <v>0</v>
      </c>
      <c r="AQ1170" s="75">
        <f t="shared" si="1163"/>
        <v>0</v>
      </c>
      <c r="AR1170" s="75"/>
      <c r="AS1170" s="75"/>
      <c r="AT1170" s="75"/>
      <c r="AU1170" s="75"/>
      <c r="AV1170" s="75"/>
      <c r="AW1170" s="75"/>
      <c r="AX1170" s="75"/>
      <c r="AY1170" s="67">
        <f t="shared" ca="1" si="1"/>
        <v>0</v>
      </c>
      <c r="AZ1170" s="75"/>
      <c r="BA1170" s="67">
        <f t="shared" ca="1" si="2"/>
        <v>0</v>
      </c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8"/>
      <c r="BL1170" s="78">
        <f t="shared" ca="1" si="3"/>
        <v>0</v>
      </c>
      <c r="BM1170" s="78"/>
      <c r="BN1170" s="78">
        <f t="shared" ca="1" si="4"/>
        <v>0</v>
      </c>
      <c r="BO1170" s="66"/>
      <c r="BP1170" s="66"/>
    </row>
    <row r="1171" spans="1:68" ht="13.2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>
        <f t="shared" ref="AP1171:AQ1171" si="1164">AR1171+AT1171+AV1171</f>
        <v>0</v>
      </c>
      <c r="AQ1171" s="75">
        <f t="shared" si="1164"/>
        <v>0</v>
      </c>
      <c r="AR1171" s="75"/>
      <c r="AS1171" s="75"/>
      <c r="AT1171" s="75"/>
      <c r="AU1171" s="75"/>
      <c r="AV1171" s="75"/>
      <c r="AW1171" s="75"/>
      <c r="AX1171" s="75"/>
      <c r="AY1171" s="67">
        <f t="shared" ca="1" si="1"/>
        <v>0</v>
      </c>
      <c r="AZ1171" s="75"/>
      <c r="BA1171" s="67">
        <f t="shared" ca="1" si="2"/>
        <v>0</v>
      </c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8"/>
      <c r="BL1171" s="78">
        <f t="shared" ca="1" si="3"/>
        <v>0</v>
      </c>
      <c r="BM1171" s="78"/>
      <c r="BN1171" s="78">
        <f t="shared" ca="1" si="4"/>
        <v>0</v>
      </c>
      <c r="BO1171" s="66"/>
      <c r="BP1171" s="66"/>
    </row>
    <row r="1172" spans="1:68" ht="13.2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>
        <f t="shared" ref="AP1172:AQ1172" si="1165">AR1172+AT1172+AV1172</f>
        <v>0</v>
      </c>
      <c r="AQ1172" s="75">
        <f t="shared" si="1165"/>
        <v>0</v>
      </c>
      <c r="AR1172" s="75"/>
      <c r="AS1172" s="75"/>
      <c r="AT1172" s="75"/>
      <c r="AU1172" s="75"/>
      <c r="AV1172" s="75"/>
      <c r="AW1172" s="75"/>
      <c r="AX1172" s="75"/>
      <c r="AY1172" s="67">
        <f t="shared" ca="1" si="1"/>
        <v>0</v>
      </c>
      <c r="AZ1172" s="75"/>
      <c r="BA1172" s="67">
        <f t="shared" ca="1" si="2"/>
        <v>0</v>
      </c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8"/>
      <c r="BL1172" s="78">
        <f t="shared" ca="1" si="3"/>
        <v>0</v>
      </c>
      <c r="BM1172" s="78"/>
      <c r="BN1172" s="78">
        <f t="shared" ca="1" si="4"/>
        <v>0</v>
      </c>
      <c r="BO1172" s="66"/>
      <c r="BP1172" s="66"/>
    </row>
    <row r="1173" spans="1:68" ht="13.2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>
        <f t="shared" ref="AP1173:AQ1173" si="1166">AR1173+AT1173+AV1173</f>
        <v>0</v>
      </c>
      <c r="AQ1173" s="75">
        <f t="shared" si="1166"/>
        <v>0</v>
      </c>
      <c r="AR1173" s="75"/>
      <c r="AS1173" s="75"/>
      <c r="AT1173" s="75"/>
      <c r="AU1173" s="75"/>
      <c r="AV1173" s="75"/>
      <c r="AW1173" s="75"/>
      <c r="AX1173" s="75"/>
      <c r="AY1173" s="67">
        <f t="shared" ca="1" si="1"/>
        <v>0</v>
      </c>
      <c r="AZ1173" s="75"/>
      <c r="BA1173" s="67">
        <f t="shared" ca="1" si="2"/>
        <v>0</v>
      </c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8"/>
      <c r="BL1173" s="78">
        <f t="shared" ca="1" si="3"/>
        <v>0</v>
      </c>
      <c r="BM1173" s="78"/>
      <c r="BN1173" s="78">
        <f t="shared" ca="1" si="4"/>
        <v>0</v>
      </c>
      <c r="BO1173" s="66"/>
      <c r="BP1173" s="66"/>
    </row>
    <row r="1174" spans="1:68" ht="13.2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>
        <f t="shared" ref="AP1174:AQ1174" si="1167">AR1174+AT1174+AV1174</f>
        <v>0</v>
      </c>
      <c r="AQ1174" s="75">
        <f t="shared" si="1167"/>
        <v>0</v>
      </c>
      <c r="AR1174" s="75"/>
      <c r="AS1174" s="75"/>
      <c r="AT1174" s="75"/>
      <c r="AU1174" s="75"/>
      <c r="AV1174" s="75"/>
      <c r="AW1174" s="75"/>
      <c r="AX1174" s="75"/>
      <c r="AY1174" s="67">
        <f t="shared" ca="1" si="1"/>
        <v>0</v>
      </c>
      <c r="AZ1174" s="75"/>
      <c r="BA1174" s="67">
        <f t="shared" ca="1" si="2"/>
        <v>0</v>
      </c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8"/>
      <c r="BL1174" s="78">
        <f t="shared" ca="1" si="3"/>
        <v>0</v>
      </c>
      <c r="BM1174" s="78"/>
      <c r="BN1174" s="78">
        <f t="shared" ca="1" si="4"/>
        <v>0</v>
      </c>
      <c r="BO1174" s="66"/>
      <c r="BP1174" s="66"/>
    </row>
    <row r="1175" spans="1:68" ht="13.2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>
        <f t="shared" ref="AP1175:AQ1175" si="1168">AR1175+AT1175+AV1175</f>
        <v>0</v>
      </c>
      <c r="AQ1175" s="75">
        <f t="shared" si="1168"/>
        <v>0</v>
      </c>
      <c r="AR1175" s="75"/>
      <c r="AS1175" s="75"/>
      <c r="AT1175" s="75"/>
      <c r="AU1175" s="75"/>
      <c r="AV1175" s="75"/>
      <c r="AW1175" s="75"/>
      <c r="AX1175" s="75"/>
      <c r="AY1175" s="67">
        <f t="shared" ca="1" si="1"/>
        <v>0</v>
      </c>
      <c r="AZ1175" s="75"/>
      <c r="BA1175" s="67">
        <f t="shared" ca="1" si="2"/>
        <v>0</v>
      </c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8"/>
      <c r="BL1175" s="78">
        <f t="shared" ca="1" si="3"/>
        <v>0</v>
      </c>
      <c r="BM1175" s="78"/>
      <c r="BN1175" s="78">
        <f t="shared" ca="1" si="4"/>
        <v>0</v>
      </c>
      <c r="BO1175" s="66"/>
      <c r="BP1175" s="66"/>
    </row>
    <row r="1176" spans="1:68" ht="13.2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>
        <f t="shared" ref="AP1176:AQ1176" si="1169">AR1176+AT1176+AV1176</f>
        <v>0</v>
      </c>
      <c r="AQ1176" s="75">
        <f t="shared" si="1169"/>
        <v>0</v>
      </c>
      <c r="AR1176" s="75"/>
      <c r="AS1176" s="75"/>
      <c r="AT1176" s="75"/>
      <c r="AU1176" s="75"/>
      <c r="AV1176" s="75"/>
      <c r="AW1176" s="75"/>
      <c r="AX1176" s="75"/>
      <c r="AY1176" s="67">
        <f t="shared" ca="1" si="1"/>
        <v>0</v>
      </c>
      <c r="AZ1176" s="75"/>
      <c r="BA1176" s="67">
        <f t="shared" ca="1" si="2"/>
        <v>0</v>
      </c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8"/>
      <c r="BL1176" s="78">
        <f t="shared" ca="1" si="3"/>
        <v>0</v>
      </c>
      <c r="BM1176" s="78"/>
      <c r="BN1176" s="78">
        <f t="shared" ca="1" si="4"/>
        <v>0</v>
      </c>
      <c r="BO1176" s="66"/>
      <c r="BP1176" s="66"/>
    </row>
    <row r="1177" spans="1:68" ht="13.2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>
        <f t="shared" ref="AP1177:AQ1177" si="1170">AR1177+AT1177+AV1177</f>
        <v>0</v>
      </c>
      <c r="AQ1177" s="75">
        <f t="shared" si="1170"/>
        <v>0</v>
      </c>
      <c r="AR1177" s="75"/>
      <c r="AS1177" s="75"/>
      <c r="AT1177" s="75"/>
      <c r="AU1177" s="75"/>
      <c r="AV1177" s="75"/>
      <c r="AW1177" s="75"/>
      <c r="AX1177" s="75"/>
      <c r="AY1177" s="67">
        <f t="shared" ca="1" si="1"/>
        <v>0</v>
      </c>
      <c r="AZ1177" s="75"/>
      <c r="BA1177" s="67">
        <f t="shared" ca="1" si="2"/>
        <v>0</v>
      </c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8"/>
      <c r="BL1177" s="78">
        <f t="shared" ca="1" si="3"/>
        <v>0</v>
      </c>
      <c r="BM1177" s="78"/>
      <c r="BN1177" s="78">
        <f t="shared" ca="1" si="4"/>
        <v>0</v>
      </c>
      <c r="BO1177" s="66"/>
      <c r="BP1177" s="66"/>
    </row>
    <row r="1178" spans="1:68" ht="13.2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>
        <f t="shared" ref="AP1178:AQ1178" si="1171">AR1178+AT1178+AV1178</f>
        <v>0</v>
      </c>
      <c r="AQ1178" s="75">
        <f t="shared" si="1171"/>
        <v>0</v>
      </c>
      <c r="AR1178" s="75"/>
      <c r="AS1178" s="75"/>
      <c r="AT1178" s="75"/>
      <c r="AU1178" s="75"/>
      <c r="AV1178" s="75"/>
      <c r="AW1178" s="75"/>
      <c r="AX1178" s="75"/>
      <c r="AY1178" s="67">
        <f t="shared" ca="1" si="1"/>
        <v>0</v>
      </c>
      <c r="AZ1178" s="75"/>
      <c r="BA1178" s="67">
        <f t="shared" ca="1" si="2"/>
        <v>0</v>
      </c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8"/>
      <c r="BL1178" s="78">
        <f t="shared" ca="1" si="3"/>
        <v>0</v>
      </c>
      <c r="BM1178" s="78"/>
      <c r="BN1178" s="78">
        <f t="shared" ca="1" si="4"/>
        <v>0</v>
      </c>
      <c r="BO1178" s="66"/>
      <c r="BP1178" s="66"/>
    </row>
    <row r="1179" spans="1:68" ht="13.2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>
        <f t="shared" ref="AP1179:AQ1179" si="1172">AR1179+AT1179+AV1179</f>
        <v>0</v>
      </c>
      <c r="AQ1179" s="75">
        <f t="shared" si="1172"/>
        <v>0</v>
      </c>
      <c r="AR1179" s="75"/>
      <c r="AS1179" s="75"/>
      <c r="AT1179" s="75"/>
      <c r="AU1179" s="75"/>
      <c r="AV1179" s="75"/>
      <c r="AW1179" s="75"/>
      <c r="AX1179" s="75"/>
      <c r="AY1179" s="67">
        <f t="shared" ca="1" si="1"/>
        <v>0</v>
      </c>
      <c r="AZ1179" s="75"/>
      <c r="BA1179" s="67">
        <f t="shared" ca="1" si="2"/>
        <v>0</v>
      </c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8"/>
      <c r="BL1179" s="78">
        <f t="shared" ca="1" si="3"/>
        <v>0</v>
      </c>
      <c r="BM1179" s="78"/>
      <c r="BN1179" s="78">
        <f t="shared" ca="1" si="4"/>
        <v>0</v>
      </c>
      <c r="BO1179" s="66"/>
      <c r="BP1179" s="66"/>
    </row>
    <row r="1180" spans="1:68" ht="13.2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>
        <f t="shared" ref="AP1180:AQ1180" si="1173">AR1180+AT1180+AV1180</f>
        <v>0</v>
      </c>
      <c r="AQ1180" s="75">
        <f t="shared" si="1173"/>
        <v>0</v>
      </c>
      <c r="AR1180" s="75"/>
      <c r="AS1180" s="75"/>
      <c r="AT1180" s="75"/>
      <c r="AU1180" s="75"/>
      <c r="AV1180" s="75"/>
      <c r="AW1180" s="75"/>
      <c r="AX1180" s="75"/>
      <c r="AY1180" s="67">
        <f t="shared" ca="1" si="1"/>
        <v>0</v>
      </c>
      <c r="AZ1180" s="75"/>
      <c r="BA1180" s="67">
        <f t="shared" ca="1" si="2"/>
        <v>0</v>
      </c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8"/>
      <c r="BL1180" s="78">
        <f t="shared" ca="1" si="3"/>
        <v>0</v>
      </c>
      <c r="BM1180" s="78"/>
      <c r="BN1180" s="78">
        <f t="shared" ca="1" si="4"/>
        <v>0</v>
      </c>
      <c r="BO1180" s="66"/>
      <c r="BP1180" s="66"/>
    </row>
    <row r="1181" spans="1:68" ht="13.2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>
        <f t="shared" ref="AP1181:AQ1181" si="1174">AR1181+AT1181+AV1181</f>
        <v>0</v>
      </c>
      <c r="AQ1181" s="75">
        <f t="shared" si="1174"/>
        <v>0</v>
      </c>
      <c r="AR1181" s="75"/>
      <c r="AS1181" s="75"/>
      <c r="AT1181" s="75"/>
      <c r="AU1181" s="75"/>
      <c r="AV1181" s="75"/>
      <c r="AW1181" s="75"/>
      <c r="AX1181" s="75"/>
      <c r="AY1181" s="67">
        <f t="shared" ca="1" si="1"/>
        <v>0</v>
      </c>
      <c r="AZ1181" s="75"/>
      <c r="BA1181" s="67">
        <f t="shared" ca="1" si="2"/>
        <v>0</v>
      </c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8"/>
      <c r="BL1181" s="78">
        <f t="shared" ca="1" si="3"/>
        <v>0</v>
      </c>
      <c r="BM1181" s="78"/>
      <c r="BN1181" s="78">
        <f t="shared" ca="1" si="4"/>
        <v>0</v>
      </c>
      <c r="BO1181" s="66"/>
      <c r="BP1181" s="66"/>
    </row>
    <row r="1182" spans="1:68" ht="13.2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>
        <f t="shared" ref="AP1182:AQ1182" si="1175">AR1182+AT1182+AV1182</f>
        <v>0</v>
      </c>
      <c r="AQ1182" s="75">
        <f t="shared" si="1175"/>
        <v>0</v>
      </c>
      <c r="AR1182" s="75"/>
      <c r="AS1182" s="75"/>
      <c r="AT1182" s="75"/>
      <c r="AU1182" s="75"/>
      <c r="AV1182" s="75"/>
      <c r="AW1182" s="75"/>
      <c r="AX1182" s="75"/>
      <c r="AY1182" s="67">
        <f t="shared" ca="1" si="1"/>
        <v>0</v>
      </c>
      <c r="AZ1182" s="75"/>
      <c r="BA1182" s="67">
        <f t="shared" ca="1" si="2"/>
        <v>0</v>
      </c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8"/>
      <c r="BL1182" s="78">
        <f t="shared" ca="1" si="3"/>
        <v>0</v>
      </c>
      <c r="BM1182" s="78"/>
      <c r="BN1182" s="78">
        <f t="shared" ca="1" si="4"/>
        <v>0</v>
      </c>
      <c r="BO1182" s="66"/>
      <c r="BP1182" s="66"/>
    </row>
    <row r="1183" spans="1:68" ht="13.2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>
        <f t="shared" ref="AP1183:AQ1183" si="1176">AR1183+AT1183+AV1183</f>
        <v>0</v>
      </c>
      <c r="AQ1183" s="75">
        <f t="shared" si="1176"/>
        <v>0</v>
      </c>
      <c r="AR1183" s="75"/>
      <c r="AS1183" s="75"/>
      <c r="AT1183" s="75"/>
      <c r="AU1183" s="75"/>
      <c r="AV1183" s="75"/>
      <c r="AW1183" s="75"/>
      <c r="AX1183" s="75"/>
      <c r="AY1183" s="67">
        <f t="shared" ca="1" si="1"/>
        <v>0</v>
      </c>
      <c r="AZ1183" s="75"/>
      <c r="BA1183" s="67">
        <f t="shared" ca="1" si="2"/>
        <v>0</v>
      </c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8"/>
      <c r="BL1183" s="78">
        <f t="shared" ca="1" si="3"/>
        <v>0</v>
      </c>
      <c r="BM1183" s="78"/>
      <c r="BN1183" s="78">
        <f t="shared" ca="1" si="4"/>
        <v>0</v>
      </c>
      <c r="BO1183" s="66"/>
      <c r="BP1183" s="66"/>
    </row>
    <row r="1184" spans="1:68" ht="13.2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>
        <f t="shared" ref="AP1184:AQ1184" si="1177">AR1184+AT1184+AV1184</f>
        <v>0</v>
      </c>
      <c r="AQ1184" s="75">
        <f t="shared" si="1177"/>
        <v>0</v>
      </c>
      <c r="AR1184" s="75"/>
      <c r="AS1184" s="75"/>
      <c r="AT1184" s="75"/>
      <c r="AU1184" s="75"/>
      <c r="AV1184" s="75"/>
      <c r="AW1184" s="75"/>
      <c r="AX1184" s="75"/>
      <c r="AY1184" s="67">
        <f t="shared" ca="1" si="1"/>
        <v>0</v>
      </c>
      <c r="AZ1184" s="75"/>
      <c r="BA1184" s="67">
        <f t="shared" ca="1" si="2"/>
        <v>0</v>
      </c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8"/>
      <c r="BL1184" s="78">
        <f t="shared" ca="1" si="3"/>
        <v>0</v>
      </c>
      <c r="BM1184" s="78"/>
      <c r="BN1184" s="78">
        <f t="shared" ca="1" si="4"/>
        <v>0</v>
      </c>
      <c r="BO1184" s="66"/>
      <c r="BP1184" s="66"/>
    </row>
    <row r="1185" spans="1:68" ht="13.2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>
        <f t="shared" ref="AP1185:AQ1185" si="1178">AR1185+AT1185+AV1185</f>
        <v>0</v>
      </c>
      <c r="AQ1185" s="75">
        <f t="shared" si="1178"/>
        <v>0</v>
      </c>
      <c r="AR1185" s="75"/>
      <c r="AS1185" s="75"/>
      <c r="AT1185" s="75"/>
      <c r="AU1185" s="75"/>
      <c r="AV1185" s="75"/>
      <c r="AW1185" s="75"/>
      <c r="AX1185" s="75"/>
      <c r="AY1185" s="67">
        <f t="shared" ca="1" si="1"/>
        <v>0</v>
      </c>
      <c r="AZ1185" s="75"/>
      <c r="BA1185" s="67">
        <f t="shared" ca="1" si="2"/>
        <v>0</v>
      </c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8"/>
      <c r="BL1185" s="78">
        <f t="shared" ca="1" si="3"/>
        <v>0</v>
      </c>
      <c r="BM1185" s="78"/>
      <c r="BN1185" s="78">
        <f t="shared" ca="1" si="4"/>
        <v>0</v>
      </c>
      <c r="BO1185" s="66"/>
      <c r="BP1185" s="66"/>
    </row>
    <row r="1186" spans="1:68" ht="13.2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>
        <f t="shared" ref="AP1186:AQ1186" si="1179">AR1186+AT1186+AV1186</f>
        <v>0</v>
      </c>
      <c r="AQ1186" s="75">
        <f t="shared" si="1179"/>
        <v>0</v>
      </c>
      <c r="AR1186" s="75"/>
      <c r="AS1186" s="75"/>
      <c r="AT1186" s="75"/>
      <c r="AU1186" s="75"/>
      <c r="AV1186" s="75"/>
      <c r="AW1186" s="75"/>
      <c r="AX1186" s="75"/>
      <c r="AY1186" s="67">
        <f t="shared" ca="1" si="1"/>
        <v>0</v>
      </c>
      <c r="AZ1186" s="75"/>
      <c r="BA1186" s="67">
        <f t="shared" ca="1" si="2"/>
        <v>0</v>
      </c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8"/>
      <c r="BL1186" s="78">
        <f t="shared" ca="1" si="3"/>
        <v>0</v>
      </c>
      <c r="BM1186" s="78"/>
      <c r="BN1186" s="78">
        <f t="shared" ca="1" si="4"/>
        <v>0</v>
      </c>
      <c r="BO1186" s="66"/>
      <c r="BP1186" s="66"/>
    </row>
    <row r="1187" spans="1:68" ht="13.2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>
        <f t="shared" ref="AP1187:AQ1187" si="1180">AR1187+AT1187+AV1187</f>
        <v>0</v>
      </c>
      <c r="AQ1187" s="75">
        <f t="shared" si="1180"/>
        <v>0</v>
      </c>
      <c r="AR1187" s="75"/>
      <c r="AS1187" s="75"/>
      <c r="AT1187" s="75"/>
      <c r="AU1187" s="75"/>
      <c r="AV1187" s="75"/>
      <c r="AW1187" s="75"/>
      <c r="AX1187" s="75"/>
      <c r="AY1187" s="67">
        <f t="shared" ca="1" si="1"/>
        <v>0</v>
      </c>
      <c r="AZ1187" s="75"/>
      <c r="BA1187" s="67">
        <f t="shared" ca="1" si="2"/>
        <v>0</v>
      </c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8"/>
      <c r="BL1187" s="78">
        <f t="shared" ca="1" si="3"/>
        <v>0</v>
      </c>
      <c r="BM1187" s="78"/>
      <c r="BN1187" s="78">
        <f t="shared" ca="1" si="4"/>
        <v>0</v>
      </c>
      <c r="BO1187" s="66"/>
      <c r="BP1187" s="66"/>
    </row>
    <row r="1188" spans="1:68" ht="13.2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>
        <f t="shared" ref="AP1188:AQ1188" si="1181">AR1188+AT1188+AV1188</f>
        <v>0</v>
      </c>
      <c r="AQ1188" s="75">
        <f t="shared" si="1181"/>
        <v>0</v>
      </c>
      <c r="AR1188" s="75"/>
      <c r="AS1188" s="75"/>
      <c r="AT1188" s="75"/>
      <c r="AU1188" s="75"/>
      <c r="AV1188" s="75"/>
      <c r="AW1188" s="75"/>
      <c r="AX1188" s="75"/>
      <c r="AY1188" s="67">
        <f t="shared" ca="1" si="1"/>
        <v>0</v>
      </c>
      <c r="AZ1188" s="75"/>
      <c r="BA1188" s="67">
        <f t="shared" ca="1" si="2"/>
        <v>0</v>
      </c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8"/>
      <c r="BL1188" s="78">
        <f t="shared" ca="1" si="3"/>
        <v>0</v>
      </c>
      <c r="BM1188" s="78"/>
      <c r="BN1188" s="78">
        <f t="shared" ca="1" si="4"/>
        <v>0</v>
      </c>
      <c r="BO1188" s="66"/>
      <c r="BP1188" s="66"/>
    </row>
    <row r="1189" spans="1:68" ht="13.2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>
        <f t="shared" ref="AP1189:AQ1189" si="1182">AR1189+AT1189+AV1189</f>
        <v>0</v>
      </c>
      <c r="AQ1189" s="75">
        <f t="shared" si="1182"/>
        <v>0</v>
      </c>
      <c r="AR1189" s="75"/>
      <c r="AS1189" s="75"/>
      <c r="AT1189" s="75"/>
      <c r="AU1189" s="75"/>
      <c r="AV1189" s="75"/>
      <c r="AW1189" s="75"/>
      <c r="AX1189" s="75"/>
      <c r="AY1189" s="67">
        <f t="shared" ca="1" si="1"/>
        <v>0</v>
      </c>
      <c r="AZ1189" s="75"/>
      <c r="BA1189" s="67">
        <f t="shared" ca="1" si="2"/>
        <v>0</v>
      </c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8"/>
      <c r="BL1189" s="78">
        <f t="shared" ca="1" si="3"/>
        <v>0</v>
      </c>
      <c r="BM1189" s="78"/>
      <c r="BN1189" s="78">
        <f t="shared" ca="1" si="4"/>
        <v>0</v>
      </c>
      <c r="BO1189" s="66"/>
      <c r="BP1189" s="66"/>
    </row>
    <row r="1190" spans="1:68" ht="13.2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>
        <f t="shared" ref="AP1190:AQ1190" si="1183">AR1190+AT1190+AV1190</f>
        <v>0</v>
      </c>
      <c r="AQ1190" s="75">
        <f t="shared" si="1183"/>
        <v>0</v>
      </c>
      <c r="AR1190" s="75"/>
      <c r="AS1190" s="75"/>
      <c r="AT1190" s="75"/>
      <c r="AU1190" s="75"/>
      <c r="AV1190" s="75"/>
      <c r="AW1190" s="75"/>
      <c r="AX1190" s="75"/>
      <c r="AY1190" s="67">
        <f t="shared" ca="1" si="1"/>
        <v>0</v>
      </c>
      <c r="AZ1190" s="75"/>
      <c r="BA1190" s="67">
        <f t="shared" ca="1" si="2"/>
        <v>0</v>
      </c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8"/>
      <c r="BL1190" s="78">
        <f t="shared" ca="1" si="3"/>
        <v>0</v>
      </c>
      <c r="BM1190" s="78"/>
      <c r="BN1190" s="78">
        <f t="shared" ca="1" si="4"/>
        <v>0</v>
      </c>
      <c r="BO1190" s="66"/>
      <c r="BP1190" s="66"/>
    </row>
    <row r="1191" spans="1:68" ht="13.2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>
        <f t="shared" ref="AP1191:AQ1191" si="1184">AR1191+AT1191+AV1191</f>
        <v>0</v>
      </c>
      <c r="AQ1191" s="75">
        <f t="shared" si="1184"/>
        <v>0</v>
      </c>
      <c r="AR1191" s="75"/>
      <c r="AS1191" s="75"/>
      <c r="AT1191" s="75"/>
      <c r="AU1191" s="75"/>
      <c r="AV1191" s="75"/>
      <c r="AW1191" s="75"/>
      <c r="AX1191" s="75"/>
      <c r="AY1191" s="67">
        <f t="shared" ca="1" si="1"/>
        <v>0</v>
      </c>
      <c r="AZ1191" s="75"/>
      <c r="BA1191" s="67">
        <f t="shared" ca="1" si="2"/>
        <v>0</v>
      </c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8"/>
      <c r="BL1191" s="78">
        <f t="shared" ca="1" si="3"/>
        <v>0</v>
      </c>
      <c r="BM1191" s="78"/>
      <c r="BN1191" s="78">
        <f t="shared" ca="1" si="4"/>
        <v>0</v>
      </c>
      <c r="BO1191" s="66"/>
      <c r="BP1191" s="66"/>
    </row>
    <row r="1192" spans="1:68" ht="13.2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>
        <f t="shared" ref="AP1192:AQ1192" si="1185">AR1192+AT1192+AV1192</f>
        <v>0</v>
      </c>
      <c r="AQ1192" s="75">
        <f t="shared" si="1185"/>
        <v>0</v>
      </c>
      <c r="AR1192" s="75"/>
      <c r="AS1192" s="75"/>
      <c r="AT1192" s="75"/>
      <c r="AU1192" s="75"/>
      <c r="AV1192" s="75"/>
      <c r="AW1192" s="75"/>
      <c r="AX1192" s="75"/>
      <c r="AY1192" s="67">
        <f t="shared" ca="1" si="1"/>
        <v>0</v>
      </c>
      <c r="AZ1192" s="75"/>
      <c r="BA1192" s="67">
        <f t="shared" ca="1" si="2"/>
        <v>0</v>
      </c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8"/>
      <c r="BL1192" s="78">
        <f t="shared" ca="1" si="3"/>
        <v>0</v>
      </c>
      <c r="BM1192" s="78"/>
      <c r="BN1192" s="78">
        <f t="shared" ca="1" si="4"/>
        <v>0</v>
      </c>
      <c r="BO1192" s="66"/>
      <c r="BP1192" s="66"/>
    </row>
    <row r="1193" spans="1:68" ht="13.2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>
        <f t="shared" ref="AP1193:AQ1193" si="1186">AR1193+AT1193+AV1193</f>
        <v>0</v>
      </c>
      <c r="AQ1193" s="75">
        <f t="shared" si="1186"/>
        <v>0</v>
      </c>
      <c r="AR1193" s="75"/>
      <c r="AS1193" s="75"/>
      <c r="AT1193" s="75"/>
      <c r="AU1193" s="75"/>
      <c r="AV1193" s="75"/>
      <c r="AW1193" s="75"/>
      <c r="AX1193" s="75"/>
      <c r="AY1193" s="67">
        <f t="shared" ca="1" si="1"/>
        <v>0</v>
      </c>
      <c r="AZ1193" s="75"/>
      <c r="BA1193" s="67">
        <f t="shared" ca="1" si="2"/>
        <v>0</v>
      </c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8"/>
      <c r="BL1193" s="78">
        <f t="shared" ca="1" si="3"/>
        <v>0</v>
      </c>
      <c r="BM1193" s="78"/>
      <c r="BN1193" s="78">
        <f t="shared" ca="1" si="4"/>
        <v>0</v>
      </c>
      <c r="BO1193" s="66"/>
      <c r="BP1193" s="66"/>
    </row>
    <row r="1194" spans="1:68" ht="13.2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>
        <f t="shared" ref="AP1194:AQ1194" si="1187">AR1194+AT1194+AV1194</f>
        <v>0</v>
      </c>
      <c r="AQ1194" s="75">
        <f t="shared" si="1187"/>
        <v>0</v>
      </c>
      <c r="AR1194" s="75"/>
      <c r="AS1194" s="75"/>
      <c r="AT1194" s="75"/>
      <c r="AU1194" s="75"/>
      <c r="AV1194" s="75"/>
      <c r="AW1194" s="75"/>
      <c r="AX1194" s="75"/>
      <c r="AY1194" s="67">
        <f t="shared" ca="1" si="1"/>
        <v>0</v>
      </c>
      <c r="AZ1194" s="75"/>
      <c r="BA1194" s="67">
        <f t="shared" ca="1" si="2"/>
        <v>0</v>
      </c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8"/>
      <c r="BL1194" s="78">
        <f t="shared" ca="1" si="3"/>
        <v>0</v>
      </c>
      <c r="BM1194" s="78"/>
      <c r="BN1194" s="78">
        <f t="shared" ca="1" si="4"/>
        <v>0</v>
      </c>
      <c r="BO1194" s="66"/>
      <c r="BP1194" s="66"/>
    </row>
    <row r="1195" spans="1:68" ht="13.2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>
        <f t="shared" ref="AP1195:AQ1195" si="1188">AR1195+AT1195+AV1195</f>
        <v>0</v>
      </c>
      <c r="AQ1195" s="75">
        <f t="shared" si="1188"/>
        <v>0</v>
      </c>
      <c r="AR1195" s="75"/>
      <c r="AS1195" s="75"/>
      <c r="AT1195" s="75"/>
      <c r="AU1195" s="75"/>
      <c r="AV1195" s="75"/>
      <c r="AW1195" s="75"/>
      <c r="AX1195" s="75"/>
      <c r="AY1195" s="67">
        <f t="shared" ca="1" si="1"/>
        <v>0</v>
      </c>
      <c r="AZ1195" s="75"/>
      <c r="BA1195" s="67">
        <f t="shared" ca="1" si="2"/>
        <v>0</v>
      </c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8"/>
      <c r="BL1195" s="78">
        <f t="shared" ca="1" si="3"/>
        <v>0</v>
      </c>
      <c r="BM1195" s="78"/>
      <c r="BN1195" s="78">
        <f t="shared" ca="1" si="4"/>
        <v>0</v>
      </c>
      <c r="BO1195" s="66"/>
      <c r="BP1195" s="66"/>
    </row>
    <row r="1196" spans="1:68" ht="13.2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>
        <f t="shared" ref="AP1196:AQ1196" si="1189">AR1196+AT1196+AV1196</f>
        <v>0</v>
      </c>
      <c r="AQ1196" s="75">
        <f t="shared" si="1189"/>
        <v>0</v>
      </c>
      <c r="AR1196" s="75"/>
      <c r="AS1196" s="75"/>
      <c r="AT1196" s="75"/>
      <c r="AU1196" s="75"/>
      <c r="AV1196" s="75"/>
      <c r="AW1196" s="75"/>
      <c r="AX1196" s="75"/>
      <c r="AY1196" s="67">
        <f t="shared" ca="1" si="1"/>
        <v>0</v>
      </c>
      <c r="AZ1196" s="75"/>
      <c r="BA1196" s="67">
        <f t="shared" ca="1" si="2"/>
        <v>0</v>
      </c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8"/>
      <c r="BL1196" s="78">
        <f t="shared" ca="1" si="3"/>
        <v>0</v>
      </c>
      <c r="BM1196" s="78"/>
      <c r="BN1196" s="78">
        <f t="shared" ca="1" si="4"/>
        <v>0</v>
      </c>
      <c r="BO1196" s="66"/>
      <c r="BP1196" s="66"/>
    </row>
    <row r="1197" spans="1:68" ht="13.2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>
        <f t="shared" ref="AP1197:AQ1197" si="1190">AR1197+AT1197+AV1197</f>
        <v>0</v>
      </c>
      <c r="AQ1197" s="75">
        <f t="shared" si="1190"/>
        <v>0</v>
      </c>
      <c r="AR1197" s="75"/>
      <c r="AS1197" s="75"/>
      <c r="AT1197" s="75"/>
      <c r="AU1197" s="75"/>
      <c r="AV1197" s="75"/>
      <c r="AW1197" s="75"/>
      <c r="AX1197" s="75"/>
      <c r="AY1197" s="67">
        <f t="shared" ca="1" si="1"/>
        <v>0</v>
      </c>
      <c r="AZ1197" s="75"/>
      <c r="BA1197" s="67">
        <f t="shared" ca="1" si="2"/>
        <v>0</v>
      </c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8"/>
      <c r="BL1197" s="78">
        <f t="shared" ca="1" si="3"/>
        <v>0</v>
      </c>
      <c r="BM1197" s="78"/>
      <c r="BN1197" s="78">
        <f t="shared" ca="1" si="4"/>
        <v>0</v>
      </c>
      <c r="BO1197" s="66"/>
      <c r="BP1197" s="66"/>
    </row>
    <row r="1198" spans="1:68" ht="13.2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>
        <f t="shared" ref="AP1198:AQ1198" si="1191">AR1198+AT1198+AV1198</f>
        <v>0</v>
      </c>
      <c r="AQ1198" s="75">
        <f t="shared" si="1191"/>
        <v>0</v>
      </c>
      <c r="AR1198" s="75"/>
      <c r="AS1198" s="75"/>
      <c r="AT1198" s="75"/>
      <c r="AU1198" s="75"/>
      <c r="AV1198" s="75"/>
      <c r="AW1198" s="75"/>
      <c r="AX1198" s="75"/>
      <c r="AY1198" s="67">
        <f t="shared" ca="1" si="1"/>
        <v>0</v>
      </c>
      <c r="AZ1198" s="75"/>
      <c r="BA1198" s="67">
        <f t="shared" ca="1" si="2"/>
        <v>0</v>
      </c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8"/>
      <c r="BL1198" s="78">
        <f t="shared" ca="1" si="3"/>
        <v>0</v>
      </c>
      <c r="BM1198" s="78"/>
      <c r="BN1198" s="78">
        <f t="shared" ca="1" si="4"/>
        <v>0</v>
      </c>
      <c r="BO1198" s="66"/>
      <c r="BP1198" s="66"/>
    </row>
    <row r="1199" spans="1:68" ht="13.2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>
        <f t="shared" ref="AP1199:AQ1199" si="1192">AR1199+AT1199+AV1199</f>
        <v>0</v>
      </c>
      <c r="AQ1199" s="75">
        <f t="shared" si="1192"/>
        <v>0</v>
      </c>
      <c r="AR1199" s="75"/>
      <c r="AS1199" s="75"/>
      <c r="AT1199" s="75"/>
      <c r="AU1199" s="75"/>
      <c r="AV1199" s="75"/>
      <c r="AW1199" s="75"/>
      <c r="AX1199" s="75"/>
      <c r="AY1199" s="67">
        <f t="shared" ca="1" si="1"/>
        <v>0</v>
      </c>
      <c r="AZ1199" s="75"/>
      <c r="BA1199" s="67">
        <f t="shared" ca="1" si="2"/>
        <v>0</v>
      </c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8"/>
      <c r="BL1199" s="78">
        <f t="shared" ca="1" si="3"/>
        <v>0</v>
      </c>
      <c r="BM1199" s="78"/>
      <c r="BN1199" s="78">
        <f t="shared" ca="1" si="4"/>
        <v>0</v>
      </c>
      <c r="BO1199" s="66"/>
      <c r="BP1199" s="66"/>
    </row>
    <row r="1200" spans="1:68" ht="13.2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>
        <f t="shared" ref="AP1200:AQ1200" si="1193">AR1200+AT1200+AV1200</f>
        <v>0</v>
      </c>
      <c r="AQ1200" s="75">
        <f t="shared" si="1193"/>
        <v>0</v>
      </c>
      <c r="AR1200" s="75"/>
      <c r="AS1200" s="75"/>
      <c r="AT1200" s="75"/>
      <c r="AU1200" s="75"/>
      <c r="AV1200" s="75"/>
      <c r="AW1200" s="75"/>
      <c r="AX1200" s="75"/>
      <c r="AY1200" s="67">
        <f t="shared" ca="1" si="1"/>
        <v>0</v>
      </c>
      <c r="AZ1200" s="75"/>
      <c r="BA1200" s="67">
        <f t="shared" ca="1" si="2"/>
        <v>0</v>
      </c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8"/>
      <c r="BL1200" s="78">
        <f t="shared" ca="1" si="3"/>
        <v>0</v>
      </c>
      <c r="BM1200" s="78"/>
      <c r="BN1200" s="78">
        <f t="shared" ca="1" si="4"/>
        <v>0</v>
      </c>
      <c r="BO1200" s="66"/>
      <c r="BP1200" s="66"/>
    </row>
    <row r="1201" spans="1:68" ht="13.2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>
        <f t="shared" ref="AP1201:AQ1201" si="1194">AR1201+AT1201+AV1201</f>
        <v>0</v>
      </c>
      <c r="AQ1201" s="75">
        <f t="shared" si="1194"/>
        <v>0</v>
      </c>
      <c r="AR1201" s="75"/>
      <c r="AS1201" s="75"/>
      <c r="AT1201" s="75"/>
      <c r="AU1201" s="75"/>
      <c r="AV1201" s="75"/>
      <c r="AW1201" s="75"/>
      <c r="AX1201" s="75"/>
      <c r="AY1201" s="67">
        <f t="shared" ca="1" si="1"/>
        <v>0</v>
      </c>
      <c r="AZ1201" s="75"/>
      <c r="BA1201" s="67">
        <f t="shared" ca="1" si="2"/>
        <v>0</v>
      </c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8"/>
      <c r="BL1201" s="78">
        <f t="shared" ca="1" si="3"/>
        <v>0</v>
      </c>
      <c r="BM1201" s="78"/>
      <c r="BN1201" s="78">
        <f t="shared" ca="1" si="4"/>
        <v>0</v>
      </c>
      <c r="BO1201" s="66"/>
      <c r="BP1201" s="66"/>
    </row>
    <row r="1202" spans="1:68" ht="13.2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>
        <f t="shared" ref="AP1202:AQ1202" si="1195">AR1202+AT1202+AV1202</f>
        <v>0</v>
      </c>
      <c r="AQ1202" s="75">
        <f t="shared" si="1195"/>
        <v>0</v>
      </c>
      <c r="AR1202" s="75"/>
      <c r="AS1202" s="75"/>
      <c r="AT1202" s="75"/>
      <c r="AU1202" s="75"/>
      <c r="AV1202" s="75"/>
      <c r="AW1202" s="75"/>
      <c r="AX1202" s="75"/>
      <c r="AY1202" s="67">
        <f t="shared" ca="1" si="1"/>
        <v>0</v>
      </c>
      <c r="AZ1202" s="75"/>
      <c r="BA1202" s="67">
        <f t="shared" ca="1" si="2"/>
        <v>0</v>
      </c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8"/>
      <c r="BL1202" s="78">
        <f t="shared" ca="1" si="3"/>
        <v>0</v>
      </c>
      <c r="BM1202" s="78"/>
      <c r="BN1202" s="78">
        <f t="shared" ca="1" si="4"/>
        <v>0</v>
      </c>
      <c r="BO1202" s="66"/>
      <c r="BP1202" s="66"/>
    </row>
    <row r="1203" spans="1:68" ht="13.2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>
        <f t="shared" ref="AP1203:AQ1203" si="1196">AR1203+AT1203+AV1203</f>
        <v>0</v>
      </c>
      <c r="AQ1203" s="75">
        <f t="shared" si="1196"/>
        <v>0</v>
      </c>
      <c r="AR1203" s="75"/>
      <c r="AS1203" s="75"/>
      <c r="AT1203" s="75"/>
      <c r="AU1203" s="75"/>
      <c r="AV1203" s="75"/>
      <c r="AW1203" s="75"/>
      <c r="AX1203" s="75"/>
      <c r="AY1203" s="67">
        <f t="shared" ca="1" si="1"/>
        <v>0</v>
      </c>
      <c r="AZ1203" s="75"/>
      <c r="BA1203" s="67">
        <f t="shared" ca="1" si="2"/>
        <v>0</v>
      </c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8"/>
      <c r="BL1203" s="78">
        <f t="shared" ca="1" si="3"/>
        <v>0</v>
      </c>
      <c r="BM1203" s="78"/>
      <c r="BN1203" s="78">
        <f t="shared" ca="1" si="4"/>
        <v>0</v>
      </c>
      <c r="BO1203" s="66"/>
      <c r="BP1203" s="66"/>
    </row>
    <row r="1204" spans="1:68" ht="13.2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>
        <f t="shared" ref="AP1204:AQ1204" si="1197">AR1204+AT1204+AV1204</f>
        <v>0</v>
      </c>
      <c r="AQ1204" s="75">
        <f t="shared" si="1197"/>
        <v>0</v>
      </c>
      <c r="AR1204" s="75"/>
      <c r="AS1204" s="75"/>
      <c r="AT1204" s="75"/>
      <c r="AU1204" s="75"/>
      <c r="AV1204" s="75"/>
      <c r="AW1204" s="75"/>
      <c r="AX1204" s="75"/>
      <c r="AY1204" s="67">
        <f t="shared" ca="1" si="1"/>
        <v>0</v>
      </c>
      <c r="AZ1204" s="75"/>
      <c r="BA1204" s="67">
        <f t="shared" ca="1" si="2"/>
        <v>0</v>
      </c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8"/>
      <c r="BL1204" s="78">
        <f t="shared" ca="1" si="3"/>
        <v>0</v>
      </c>
      <c r="BM1204" s="78"/>
      <c r="BN1204" s="78">
        <f t="shared" ca="1" si="4"/>
        <v>0</v>
      </c>
      <c r="BO1204" s="66"/>
      <c r="BP1204" s="66"/>
    </row>
    <row r="1205" spans="1:68" ht="13.2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>
        <f t="shared" ref="AP1205:AQ1205" si="1198">AR1205+AT1205+AV1205</f>
        <v>0</v>
      </c>
      <c r="AQ1205" s="75">
        <f t="shared" si="1198"/>
        <v>0</v>
      </c>
      <c r="AR1205" s="75"/>
      <c r="AS1205" s="75"/>
      <c r="AT1205" s="75"/>
      <c r="AU1205" s="75"/>
      <c r="AV1205" s="75"/>
      <c r="AW1205" s="75"/>
      <c r="AX1205" s="75"/>
      <c r="AY1205" s="67">
        <f t="shared" ca="1" si="1"/>
        <v>0</v>
      </c>
      <c r="AZ1205" s="75"/>
      <c r="BA1205" s="67">
        <f t="shared" ca="1" si="2"/>
        <v>0</v>
      </c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8"/>
      <c r="BL1205" s="78">
        <f t="shared" ca="1" si="3"/>
        <v>0</v>
      </c>
      <c r="BM1205" s="78"/>
      <c r="BN1205" s="78">
        <f t="shared" ca="1" si="4"/>
        <v>0</v>
      </c>
      <c r="BO1205" s="66"/>
      <c r="BP1205" s="66"/>
    </row>
    <row r="1206" spans="1:68" ht="13.2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>
        <f t="shared" ref="AP1206:AQ1206" si="1199">AR1206+AT1206+AV1206</f>
        <v>0</v>
      </c>
      <c r="AQ1206" s="75">
        <f t="shared" si="1199"/>
        <v>0</v>
      </c>
      <c r="AR1206" s="75"/>
      <c r="AS1206" s="75"/>
      <c r="AT1206" s="75"/>
      <c r="AU1206" s="75"/>
      <c r="AV1206" s="75"/>
      <c r="AW1206" s="75"/>
      <c r="AX1206" s="75"/>
      <c r="AY1206" s="67">
        <f t="shared" ca="1" si="1"/>
        <v>0</v>
      </c>
      <c r="AZ1206" s="75"/>
      <c r="BA1206" s="67">
        <f t="shared" ca="1" si="2"/>
        <v>0</v>
      </c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8"/>
      <c r="BL1206" s="78">
        <f t="shared" ca="1" si="3"/>
        <v>0</v>
      </c>
      <c r="BM1206" s="78"/>
      <c r="BN1206" s="78">
        <f t="shared" ca="1" si="4"/>
        <v>0</v>
      </c>
      <c r="BO1206" s="66"/>
      <c r="BP1206" s="66"/>
    </row>
    <row r="1207" spans="1:68" ht="13.2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>
        <f t="shared" ref="AP1207:AQ1207" si="1200">AR1207+AT1207+AV1207</f>
        <v>0</v>
      </c>
      <c r="AQ1207" s="75">
        <f t="shared" si="1200"/>
        <v>0</v>
      </c>
      <c r="AR1207" s="75"/>
      <c r="AS1207" s="75"/>
      <c r="AT1207" s="75"/>
      <c r="AU1207" s="75"/>
      <c r="AV1207" s="75"/>
      <c r="AW1207" s="75"/>
      <c r="AX1207" s="75"/>
      <c r="AY1207" s="67">
        <f t="shared" ca="1" si="1"/>
        <v>0</v>
      </c>
      <c r="AZ1207" s="75"/>
      <c r="BA1207" s="67">
        <f t="shared" ca="1" si="2"/>
        <v>0</v>
      </c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8"/>
      <c r="BL1207" s="78">
        <f t="shared" ca="1" si="3"/>
        <v>0</v>
      </c>
      <c r="BM1207" s="78"/>
      <c r="BN1207" s="78">
        <f t="shared" ca="1" si="4"/>
        <v>0</v>
      </c>
      <c r="BO1207" s="66"/>
      <c r="BP1207" s="66"/>
    </row>
    <row r="1208" spans="1:68" ht="13.2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>
        <f t="shared" ref="AP1208:AQ1208" si="1201">AR1208+AT1208+AV1208</f>
        <v>0</v>
      </c>
      <c r="AQ1208" s="75">
        <f t="shared" si="1201"/>
        <v>0</v>
      </c>
      <c r="AR1208" s="75"/>
      <c r="AS1208" s="75"/>
      <c r="AT1208" s="75"/>
      <c r="AU1208" s="75"/>
      <c r="AV1208" s="75"/>
      <c r="AW1208" s="75"/>
      <c r="AX1208" s="75"/>
      <c r="AY1208" s="67">
        <f t="shared" ca="1" si="1"/>
        <v>0</v>
      </c>
      <c r="AZ1208" s="75"/>
      <c r="BA1208" s="67">
        <f t="shared" ca="1" si="2"/>
        <v>0</v>
      </c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8"/>
      <c r="BL1208" s="78">
        <f t="shared" ca="1" si="3"/>
        <v>0</v>
      </c>
      <c r="BM1208" s="78"/>
      <c r="BN1208" s="78">
        <f t="shared" ca="1" si="4"/>
        <v>0</v>
      </c>
      <c r="BO1208" s="66"/>
      <c r="BP1208" s="66"/>
    </row>
    <row r="1209" spans="1:68" ht="13.2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>
        <f t="shared" ref="AP1209:AQ1209" si="1202">AR1209+AT1209+AV1209</f>
        <v>0</v>
      </c>
      <c r="AQ1209" s="75">
        <f t="shared" si="1202"/>
        <v>0</v>
      </c>
      <c r="AR1209" s="75"/>
      <c r="AS1209" s="75"/>
      <c r="AT1209" s="75"/>
      <c r="AU1209" s="75"/>
      <c r="AV1209" s="75"/>
      <c r="AW1209" s="75"/>
      <c r="AX1209" s="75"/>
      <c r="AY1209" s="67">
        <f t="shared" ca="1" si="1"/>
        <v>0</v>
      </c>
      <c r="AZ1209" s="75"/>
      <c r="BA1209" s="67">
        <f t="shared" ca="1" si="2"/>
        <v>0</v>
      </c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8"/>
      <c r="BL1209" s="78">
        <f t="shared" ca="1" si="3"/>
        <v>0</v>
      </c>
      <c r="BM1209" s="78"/>
      <c r="BN1209" s="78">
        <f t="shared" ca="1" si="4"/>
        <v>0</v>
      </c>
      <c r="BO1209" s="66"/>
      <c r="BP1209" s="66"/>
    </row>
    <row r="1210" spans="1:68" ht="13.2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>
        <f t="shared" ref="AP1210:AQ1210" si="1203">AR1210+AT1210+AV1210</f>
        <v>0</v>
      </c>
      <c r="AQ1210" s="75">
        <f t="shared" si="1203"/>
        <v>0</v>
      </c>
      <c r="AR1210" s="75"/>
      <c r="AS1210" s="75"/>
      <c r="AT1210" s="75"/>
      <c r="AU1210" s="75"/>
      <c r="AV1210" s="75"/>
      <c r="AW1210" s="75"/>
      <c r="AX1210" s="75"/>
      <c r="AY1210" s="67">
        <f t="shared" ca="1" si="1"/>
        <v>0</v>
      </c>
      <c r="AZ1210" s="75"/>
      <c r="BA1210" s="67">
        <f t="shared" ca="1" si="2"/>
        <v>0</v>
      </c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8"/>
      <c r="BL1210" s="78">
        <f t="shared" ca="1" si="3"/>
        <v>0</v>
      </c>
      <c r="BM1210" s="78"/>
      <c r="BN1210" s="78">
        <f t="shared" ca="1" si="4"/>
        <v>0</v>
      </c>
      <c r="BO1210" s="66"/>
      <c r="BP1210" s="66"/>
    </row>
    <row r="1211" spans="1:68" ht="13.2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>
        <f t="shared" ref="AP1211:AQ1211" si="1204">AR1211+AT1211+AV1211</f>
        <v>0</v>
      </c>
      <c r="AQ1211" s="75">
        <f t="shared" si="1204"/>
        <v>0</v>
      </c>
      <c r="AR1211" s="75"/>
      <c r="AS1211" s="75"/>
      <c r="AT1211" s="75"/>
      <c r="AU1211" s="75"/>
      <c r="AV1211" s="75"/>
      <c r="AW1211" s="75"/>
      <c r="AX1211" s="75"/>
      <c r="AY1211" s="67">
        <f t="shared" ca="1" si="1"/>
        <v>0</v>
      </c>
      <c r="AZ1211" s="75"/>
      <c r="BA1211" s="67">
        <f t="shared" ca="1" si="2"/>
        <v>0</v>
      </c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8"/>
      <c r="BL1211" s="78">
        <f t="shared" ca="1" si="3"/>
        <v>0</v>
      </c>
      <c r="BM1211" s="78"/>
      <c r="BN1211" s="78">
        <f t="shared" ca="1" si="4"/>
        <v>0</v>
      </c>
      <c r="BO1211" s="66"/>
      <c r="BP1211" s="66"/>
    </row>
    <row r="1212" spans="1:68" ht="13.2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>
        <f t="shared" ref="AP1212:AQ1212" si="1205">AR1212+AT1212+AV1212</f>
        <v>0</v>
      </c>
      <c r="AQ1212" s="75">
        <f t="shared" si="1205"/>
        <v>0</v>
      </c>
      <c r="AR1212" s="75"/>
      <c r="AS1212" s="75"/>
      <c r="AT1212" s="75"/>
      <c r="AU1212" s="75"/>
      <c r="AV1212" s="75"/>
      <c r="AW1212" s="75"/>
      <c r="AX1212" s="75"/>
      <c r="AY1212" s="67">
        <f t="shared" ca="1" si="1"/>
        <v>0</v>
      </c>
      <c r="AZ1212" s="75"/>
      <c r="BA1212" s="67">
        <f t="shared" ca="1" si="2"/>
        <v>0</v>
      </c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8"/>
      <c r="BL1212" s="78">
        <f t="shared" ca="1" si="3"/>
        <v>0</v>
      </c>
      <c r="BM1212" s="78"/>
      <c r="BN1212" s="78">
        <f t="shared" ca="1" si="4"/>
        <v>0</v>
      </c>
      <c r="BO1212" s="66"/>
      <c r="BP1212" s="66"/>
    </row>
    <row r="1213" spans="1:68" ht="13.2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>
        <f t="shared" ref="AP1213:AQ1213" si="1206">AR1213+AT1213+AV1213</f>
        <v>0</v>
      </c>
      <c r="AQ1213" s="75">
        <f t="shared" si="1206"/>
        <v>0</v>
      </c>
      <c r="AR1213" s="75"/>
      <c r="AS1213" s="75"/>
      <c r="AT1213" s="75"/>
      <c r="AU1213" s="75"/>
      <c r="AV1213" s="75"/>
      <c r="AW1213" s="75"/>
      <c r="AX1213" s="75"/>
      <c r="AY1213" s="67">
        <f t="shared" ca="1" si="1"/>
        <v>0</v>
      </c>
      <c r="AZ1213" s="75"/>
      <c r="BA1213" s="67">
        <f t="shared" ca="1" si="2"/>
        <v>0</v>
      </c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8"/>
      <c r="BL1213" s="78">
        <f t="shared" ca="1" si="3"/>
        <v>0</v>
      </c>
      <c r="BM1213" s="78"/>
      <c r="BN1213" s="78">
        <f t="shared" ca="1" si="4"/>
        <v>0</v>
      </c>
      <c r="BO1213" s="66"/>
      <c r="BP1213" s="66"/>
    </row>
    <row r="1214" spans="1:68" ht="13.2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>
        <f t="shared" ref="AP1214:AQ1214" si="1207">AR1214+AT1214+AV1214</f>
        <v>0</v>
      </c>
      <c r="AQ1214" s="75">
        <f t="shared" si="1207"/>
        <v>0</v>
      </c>
      <c r="AR1214" s="75"/>
      <c r="AS1214" s="75"/>
      <c r="AT1214" s="75"/>
      <c r="AU1214" s="75"/>
      <c r="AV1214" s="75"/>
      <c r="AW1214" s="75"/>
      <c r="AX1214" s="75"/>
      <c r="AY1214" s="67">
        <f t="shared" ca="1" si="1"/>
        <v>0</v>
      </c>
      <c r="AZ1214" s="75"/>
      <c r="BA1214" s="67">
        <f t="shared" ca="1" si="2"/>
        <v>0</v>
      </c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8"/>
      <c r="BL1214" s="78">
        <f t="shared" ca="1" si="3"/>
        <v>0</v>
      </c>
      <c r="BM1214" s="78"/>
      <c r="BN1214" s="78">
        <f t="shared" ca="1" si="4"/>
        <v>0</v>
      </c>
      <c r="BO1214" s="66"/>
      <c r="BP1214" s="66"/>
    </row>
    <row r="1215" spans="1:68" ht="13.2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>
        <f t="shared" ref="AP1215:AQ1215" si="1208">AR1215+AT1215+AV1215</f>
        <v>0</v>
      </c>
      <c r="AQ1215" s="75">
        <f t="shared" si="1208"/>
        <v>0</v>
      </c>
      <c r="AR1215" s="75"/>
      <c r="AS1215" s="75"/>
      <c r="AT1215" s="75"/>
      <c r="AU1215" s="75"/>
      <c r="AV1215" s="75"/>
      <c r="AW1215" s="75"/>
      <c r="AX1215" s="75"/>
      <c r="AY1215" s="67">
        <f t="shared" ca="1" si="1"/>
        <v>0</v>
      </c>
      <c r="AZ1215" s="75"/>
      <c r="BA1215" s="67">
        <f t="shared" ca="1" si="2"/>
        <v>0</v>
      </c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8"/>
      <c r="BL1215" s="78">
        <f t="shared" ca="1" si="3"/>
        <v>0</v>
      </c>
      <c r="BM1215" s="78"/>
      <c r="BN1215" s="78">
        <f t="shared" ca="1" si="4"/>
        <v>0</v>
      </c>
      <c r="BO1215" s="66"/>
      <c r="BP1215" s="66"/>
    </row>
    <row r="1216" spans="1:68" ht="13.2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>
        <f t="shared" ref="AP1216:AQ1216" si="1209">AR1216+AT1216+AV1216</f>
        <v>0</v>
      </c>
      <c r="AQ1216" s="75">
        <f t="shared" si="1209"/>
        <v>0</v>
      </c>
      <c r="AR1216" s="75"/>
      <c r="AS1216" s="75"/>
      <c r="AT1216" s="75"/>
      <c r="AU1216" s="75"/>
      <c r="AV1216" s="75"/>
      <c r="AW1216" s="75"/>
      <c r="AX1216" s="75"/>
      <c r="AY1216" s="67">
        <f t="shared" ca="1" si="1"/>
        <v>0</v>
      </c>
      <c r="AZ1216" s="75"/>
      <c r="BA1216" s="67">
        <f t="shared" ca="1" si="2"/>
        <v>0</v>
      </c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8"/>
      <c r="BL1216" s="78">
        <f t="shared" ca="1" si="3"/>
        <v>0</v>
      </c>
      <c r="BM1216" s="78"/>
      <c r="BN1216" s="78">
        <f t="shared" ca="1" si="4"/>
        <v>0</v>
      </c>
      <c r="BO1216" s="66"/>
      <c r="BP1216" s="66"/>
    </row>
    <row r="1217" spans="1:68" ht="13.2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>
        <f t="shared" ref="AP1217:AQ1217" si="1210">AR1217+AT1217+AV1217</f>
        <v>0</v>
      </c>
      <c r="AQ1217" s="75">
        <f t="shared" si="1210"/>
        <v>0</v>
      </c>
      <c r="AR1217" s="75"/>
      <c r="AS1217" s="75"/>
      <c r="AT1217" s="75"/>
      <c r="AU1217" s="75"/>
      <c r="AV1217" s="75"/>
      <c r="AW1217" s="75"/>
      <c r="AX1217" s="75"/>
      <c r="AY1217" s="67">
        <f t="shared" ca="1" si="1"/>
        <v>0</v>
      </c>
      <c r="AZ1217" s="75"/>
      <c r="BA1217" s="67">
        <f t="shared" ca="1" si="2"/>
        <v>0</v>
      </c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8"/>
      <c r="BL1217" s="78">
        <f t="shared" ca="1" si="3"/>
        <v>0</v>
      </c>
      <c r="BM1217" s="78"/>
      <c r="BN1217" s="78">
        <f t="shared" ca="1" si="4"/>
        <v>0</v>
      </c>
      <c r="BO1217" s="66"/>
      <c r="BP1217" s="66"/>
    </row>
    <row r="1218" spans="1:68" ht="13.2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>
        <f t="shared" ref="AP1218:AQ1218" si="1211">AR1218+AT1218+AV1218</f>
        <v>0</v>
      </c>
      <c r="AQ1218" s="75">
        <f t="shared" si="1211"/>
        <v>0</v>
      </c>
      <c r="AR1218" s="75"/>
      <c r="AS1218" s="75"/>
      <c r="AT1218" s="75"/>
      <c r="AU1218" s="75"/>
      <c r="AV1218" s="75"/>
      <c r="AW1218" s="75"/>
      <c r="AX1218" s="75"/>
      <c r="AY1218" s="67">
        <f t="shared" ca="1" si="1"/>
        <v>0</v>
      </c>
      <c r="AZ1218" s="75"/>
      <c r="BA1218" s="67">
        <f t="shared" ca="1" si="2"/>
        <v>0</v>
      </c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8"/>
      <c r="BL1218" s="78">
        <f t="shared" ca="1" si="3"/>
        <v>0</v>
      </c>
      <c r="BM1218" s="78"/>
      <c r="BN1218" s="78">
        <f t="shared" ca="1" si="4"/>
        <v>0</v>
      </c>
      <c r="BO1218" s="66"/>
      <c r="BP1218" s="66"/>
    </row>
    <row r="1219" spans="1:68" ht="13.2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>
        <f t="shared" ref="AP1219:AQ1219" si="1212">AR1219+AT1219+AV1219</f>
        <v>0</v>
      </c>
      <c r="AQ1219" s="75">
        <f t="shared" si="1212"/>
        <v>0</v>
      </c>
      <c r="AR1219" s="75"/>
      <c r="AS1219" s="75"/>
      <c r="AT1219" s="75"/>
      <c r="AU1219" s="75"/>
      <c r="AV1219" s="75"/>
      <c r="AW1219" s="75"/>
      <c r="AX1219" s="75"/>
      <c r="AY1219" s="67">
        <f t="shared" ca="1" si="1"/>
        <v>0</v>
      </c>
      <c r="AZ1219" s="75"/>
      <c r="BA1219" s="67">
        <f t="shared" ca="1" si="2"/>
        <v>0</v>
      </c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8"/>
      <c r="BL1219" s="78">
        <f t="shared" ca="1" si="3"/>
        <v>0</v>
      </c>
      <c r="BM1219" s="78"/>
      <c r="BN1219" s="78">
        <f t="shared" ca="1" si="4"/>
        <v>0</v>
      </c>
      <c r="BO1219" s="66"/>
      <c r="BP1219" s="66"/>
    </row>
    <row r="1220" spans="1:68" ht="13.2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>
        <f t="shared" ref="AP1220:AQ1220" si="1213">AR1220+AT1220+AV1220</f>
        <v>0</v>
      </c>
      <c r="AQ1220" s="75">
        <f t="shared" si="1213"/>
        <v>0</v>
      </c>
      <c r="AR1220" s="75"/>
      <c r="AS1220" s="75"/>
      <c r="AT1220" s="75"/>
      <c r="AU1220" s="75"/>
      <c r="AV1220" s="75"/>
      <c r="AW1220" s="75"/>
      <c r="AX1220" s="75"/>
      <c r="AY1220" s="67">
        <f t="shared" ca="1" si="1"/>
        <v>0</v>
      </c>
      <c r="AZ1220" s="75"/>
      <c r="BA1220" s="67">
        <f t="shared" ca="1" si="2"/>
        <v>0</v>
      </c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8"/>
      <c r="BL1220" s="78">
        <f t="shared" ca="1" si="3"/>
        <v>0</v>
      </c>
      <c r="BM1220" s="78"/>
      <c r="BN1220" s="78">
        <f t="shared" ca="1" si="4"/>
        <v>0</v>
      </c>
      <c r="BO1220" s="66"/>
      <c r="BP1220" s="66"/>
    </row>
    <row r="1221" spans="1:68" ht="13.2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>
        <f t="shared" ref="AP1221:AQ1221" si="1214">AR1221+AT1221+AV1221</f>
        <v>0</v>
      </c>
      <c r="AQ1221" s="75">
        <f t="shared" si="1214"/>
        <v>0</v>
      </c>
      <c r="AR1221" s="75"/>
      <c r="AS1221" s="75"/>
      <c r="AT1221" s="75"/>
      <c r="AU1221" s="75"/>
      <c r="AV1221" s="75"/>
      <c r="AW1221" s="75"/>
      <c r="AX1221" s="75"/>
      <c r="AY1221" s="67">
        <f t="shared" ca="1" si="1"/>
        <v>0</v>
      </c>
      <c r="AZ1221" s="75"/>
      <c r="BA1221" s="67">
        <f t="shared" ca="1" si="2"/>
        <v>0</v>
      </c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8"/>
      <c r="BL1221" s="78">
        <f t="shared" ca="1" si="3"/>
        <v>0</v>
      </c>
      <c r="BM1221" s="78"/>
      <c r="BN1221" s="78">
        <f t="shared" ca="1" si="4"/>
        <v>0</v>
      </c>
      <c r="BO1221" s="66"/>
      <c r="BP1221" s="66"/>
    </row>
    <row r="1222" spans="1:68" ht="13.2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>
        <f t="shared" ref="AP1222:AQ1222" si="1215">AR1222+AT1222+AV1222</f>
        <v>0</v>
      </c>
      <c r="AQ1222" s="75">
        <f t="shared" si="1215"/>
        <v>0</v>
      </c>
      <c r="AR1222" s="75"/>
      <c r="AS1222" s="75"/>
      <c r="AT1222" s="75"/>
      <c r="AU1222" s="75"/>
      <c r="AV1222" s="75"/>
      <c r="AW1222" s="75"/>
      <c r="AX1222" s="75"/>
      <c r="AY1222" s="67">
        <f t="shared" ca="1" si="1"/>
        <v>0</v>
      </c>
      <c r="AZ1222" s="75"/>
      <c r="BA1222" s="67">
        <f t="shared" ca="1" si="2"/>
        <v>0</v>
      </c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8"/>
      <c r="BL1222" s="78">
        <f t="shared" ca="1" si="3"/>
        <v>0</v>
      </c>
      <c r="BM1222" s="78"/>
      <c r="BN1222" s="78">
        <f t="shared" ca="1" si="4"/>
        <v>0</v>
      </c>
      <c r="BO1222" s="66"/>
      <c r="BP1222" s="66"/>
    </row>
    <row r="1223" spans="1:68" ht="13.2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>
        <f t="shared" ref="AP1223:AQ1223" si="1216">AR1223+AT1223+AV1223</f>
        <v>0</v>
      </c>
      <c r="AQ1223" s="75">
        <f t="shared" si="1216"/>
        <v>0</v>
      </c>
      <c r="AR1223" s="75"/>
      <c r="AS1223" s="75"/>
      <c r="AT1223" s="75"/>
      <c r="AU1223" s="75"/>
      <c r="AV1223" s="75"/>
      <c r="AW1223" s="75"/>
      <c r="AX1223" s="75"/>
      <c r="AY1223" s="67">
        <f t="shared" ca="1" si="1"/>
        <v>0</v>
      </c>
      <c r="AZ1223" s="75"/>
      <c r="BA1223" s="67">
        <f t="shared" ca="1" si="2"/>
        <v>0</v>
      </c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8"/>
      <c r="BL1223" s="78">
        <f t="shared" ca="1" si="3"/>
        <v>0</v>
      </c>
      <c r="BM1223" s="78"/>
      <c r="BN1223" s="78">
        <f t="shared" ca="1" si="4"/>
        <v>0</v>
      </c>
      <c r="BO1223" s="66"/>
      <c r="BP1223" s="66"/>
    </row>
    <row r="1224" spans="1:68" ht="13.2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>
        <f t="shared" ref="AP1224:AQ1224" si="1217">AR1224+AT1224+AV1224</f>
        <v>0</v>
      </c>
      <c r="AQ1224" s="75">
        <f t="shared" si="1217"/>
        <v>0</v>
      </c>
      <c r="AR1224" s="75"/>
      <c r="AS1224" s="75"/>
      <c r="AT1224" s="75"/>
      <c r="AU1224" s="75"/>
      <c r="AV1224" s="75"/>
      <c r="AW1224" s="75"/>
      <c r="AX1224" s="75"/>
      <c r="AY1224" s="67">
        <f t="shared" ca="1" si="1"/>
        <v>0</v>
      </c>
      <c r="AZ1224" s="75"/>
      <c r="BA1224" s="67">
        <f t="shared" ca="1" si="2"/>
        <v>0</v>
      </c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8"/>
      <c r="BL1224" s="78">
        <f t="shared" ca="1" si="3"/>
        <v>0</v>
      </c>
      <c r="BM1224" s="78"/>
      <c r="BN1224" s="78">
        <f t="shared" ca="1" si="4"/>
        <v>0</v>
      </c>
      <c r="BO1224" s="66"/>
      <c r="BP1224" s="66"/>
    </row>
    <row r="1225" spans="1:68" ht="13.2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>
        <f t="shared" ref="AP1225:AQ1225" si="1218">AR1225+AT1225+AV1225</f>
        <v>0</v>
      </c>
      <c r="AQ1225" s="75">
        <f t="shared" si="1218"/>
        <v>0</v>
      </c>
      <c r="AR1225" s="75"/>
      <c r="AS1225" s="75"/>
      <c r="AT1225" s="75"/>
      <c r="AU1225" s="75"/>
      <c r="AV1225" s="75"/>
      <c r="AW1225" s="75"/>
      <c r="AX1225" s="75"/>
      <c r="AY1225" s="67">
        <f t="shared" ca="1" si="1"/>
        <v>0</v>
      </c>
      <c r="AZ1225" s="75"/>
      <c r="BA1225" s="67">
        <f t="shared" ca="1" si="2"/>
        <v>0</v>
      </c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8"/>
      <c r="BL1225" s="78">
        <f t="shared" ca="1" si="3"/>
        <v>0</v>
      </c>
      <c r="BM1225" s="78"/>
      <c r="BN1225" s="78">
        <f t="shared" ca="1" si="4"/>
        <v>0</v>
      </c>
      <c r="BO1225" s="66"/>
      <c r="BP1225" s="66"/>
    </row>
    <row r="1226" spans="1:68" ht="13.2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>
        <f t="shared" ref="AP1226:AQ1226" si="1219">AR1226+AT1226+AV1226</f>
        <v>0</v>
      </c>
      <c r="AQ1226" s="75">
        <f t="shared" si="1219"/>
        <v>0</v>
      </c>
      <c r="AR1226" s="75"/>
      <c r="AS1226" s="75"/>
      <c r="AT1226" s="75"/>
      <c r="AU1226" s="75"/>
      <c r="AV1226" s="75"/>
      <c r="AW1226" s="75"/>
      <c r="AX1226" s="75"/>
      <c r="AY1226" s="67">
        <f t="shared" ca="1" si="1"/>
        <v>0</v>
      </c>
      <c r="AZ1226" s="75"/>
      <c r="BA1226" s="67">
        <f t="shared" ca="1" si="2"/>
        <v>0</v>
      </c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8"/>
      <c r="BL1226" s="78">
        <f t="shared" ca="1" si="3"/>
        <v>0</v>
      </c>
      <c r="BM1226" s="78"/>
      <c r="BN1226" s="78">
        <f t="shared" ca="1" si="4"/>
        <v>0</v>
      </c>
      <c r="BO1226" s="66"/>
      <c r="BP1226" s="66"/>
    </row>
    <row r="1227" spans="1:68" ht="13.2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>
        <f t="shared" ref="AP1227:AQ1227" si="1220">AR1227+AT1227+AV1227</f>
        <v>0</v>
      </c>
      <c r="AQ1227" s="75">
        <f t="shared" si="1220"/>
        <v>0</v>
      </c>
      <c r="AR1227" s="75"/>
      <c r="AS1227" s="75"/>
      <c r="AT1227" s="75"/>
      <c r="AU1227" s="75"/>
      <c r="AV1227" s="75"/>
      <c r="AW1227" s="75"/>
      <c r="AX1227" s="75"/>
      <c r="AY1227" s="67">
        <f t="shared" ca="1" si="1"/>
        <v>0</v>
      </c>
      <c r="AZ1227" s="75"/>
      <c r="BA1227" s="67">
        <f t="shared" ca="1" si="2"/>
        <v>0</v>
      </c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8"/>
      <c r="BL1227" s="78">
        <f t="shared" ca="1" si="3"/>
        <v>0</v>
      </c>
      <c r="BM1227" s="78"/>
      <c r="BN1227" s="78">
        <f t="shared" ca="1" si="4"/>
        <v>0</v>
      </c>
      <c r="BO1227" s="66"/>
      <c r="BP1227" s="66"/>
    </row>
    <row r="1228" spans="1:68" ht="13.2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>
        <f t="shared" ref="AP1228:AQ1228" si="1221">AR1228+AT1228+AV1228</f>
        <v>0</v>
      </c>
      <c r="AQ1228" s="75">
        <f t="shared" si="1221"/>
        <v>0</v>
      </c>
      <c r="AR1228" s="75"/>
      <c r="AS1228" s="75"/>
      <c r="AT1228" s="75"/>
      <c r="AU1228" s="75"/>
      <c r="AV1228" s="75"/>
      <c r="AW1228" s="75"/>
      <c r="AX1228" s="75"/>
      <c r="AY1228" s="67">
        <f t="shared" ca="1" si="1"/>
        <v>0</v>
      </c>
      <c r="AZ1228" s="75"/>
      <c r="BA1228" s="67">
        <f t="shared" ca="1" si="2"/>
        <v>0</v>
      </c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8"/>
      <c r="BL1228" s="78">
        <f t="shared" ca="1" si="3"/>
        <v>0</v>
      </c>
      <c r="BM1228" s="78"/>
      <c r="BN1228" s="78">
        <f t="shared" ca="1" si="4"/>
        <v>0</v>
      </c>
      <c r="BO1228" s="66"/>
      <c r="BP1228" s="66"/>
    </row>
    <row r="1229" spans="1:68" ht="13.2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>
        <f t="shared" ref="AP1229:AQ1229" si="1222">AR1229+AT1229+AV1229</f>
        <v>0</v>
      </c>
      <c r="AQ1229" s="75">
        <f t="shared" si="1222"/>
        <v>0</v>
      </c>
      <c r="AR1229" s="75"/>
      <c r="AS1229" s="75"/>
      <c r="AT1229" s="75"/>
      <c r="AU1229" s="75"/>
      <c r="AV1229" s="75"/>
      <c r="AW1229" s="75"/>
      <c r="AX1229" s="75"/>
      <c r="AY1229" s="67">
        <f t="shared" ca="1" si="1"/>
        <v>0</v>
      </c>
      <c r="AZ1229" s="75"/>
      <c r="BA1229" s="67">
        <f t="shared" ca="1" si="2"/>
        <v>0</v>
      </c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8"/>
      <c r="BL1229" s="78">
        <f t="shared" ca="1" si="3"/>
        <v>0</v>
      </c>
      <c r="BM1229" s="78"/>
      <c r="BN1229" s="78">
        <f t="shared" ca="1" si="4"/>
        <v>0</v>
      </c>
      <c r="BO1229" s="66"/>
      <c r="BP1229" s="66"/>
    </row>
    <row r="1230" spans="1:68" ht="13.2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>
        <f t="shared" ref="AP1230:AQ1230" si="1223">AR1230+AT1230+AV1230</f>
        <v>0</v>
      </c>
      <c r="AQ1230" s="75">
        <f t="shared" si="1223"/>
        <v>0</v>
      </c>
      <c r="AR1230" s="75"/>
      <c r="AS1230" s="75"/>
      <c r="AT1230" s="75"/>
      <c r="AU1230" s="75"/>
      <c r="AV1230" s="75"/>
      <c r="AW1230" s="75"/>
      <c r="AX1230" s="75"/>
      <c r="AY1230" s="67">
        <f t="shared" ca="1" si="1"/>
        <v>0</v>
      </c>
      <c r="AZ1230" s="75"/>
      <c r="BA1230" s="67">
        <f t="shared" ca="1" si="2"/>
        <v>0</v>
      </c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8"/>
      <c r="BL1230" s="78">
        <f t="shared" ca="1" si="3"/>
        <v>0</v>
      </c>
      <c r="BM1230" s="78"/>
      <c r="BN1230" s="78">
        <f t="shared" ca="1" si="4"/>
        <v>0</v>
      </c>
      <c r="BO1230" s="66"/>
      <c r="BP1230" s="66"/>
    </row>
    <row r="1231" spans="1:68" ht="13.2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>
        <f t="shared" ref="AP1231:AQ1231" si="1224">AR1231+AT1231+AV1231</f>
        <v>0</v>
      </c>
      <c r="AQ1231" s="75">
        <f t="shared" si="1224"/>
        <v>0</v>
      </c>
      <c r="AR1231" s="75"/>
      <c r="AS1231" s="75"/>
      <c r="AT1231" s="75"/>
      <c r="AU1231" s="75"/>
      <c r="AV1231" s="75"/>
      <c r="AW1231" s="75"/>
      <c r="AX1231" s="75"/>
      <c r="AY1231" s="67">
        <f t="shared" ca="1" si="1"/>
        <v>0</v>
      </c>
      <c r="AZ1231" s="75"/>
      <c r="BA1231" s="67">
        <f t="shared" ca="1" si="2"/>
        <v>0</v>
      </c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8"/>
      <c r="BL1231" s="78">
        <f t="shared" ca="1" si="3"/>
        <v>0</v>
      </c>
      <c r="BM1231" s="78"/>
      <c r="BN1231" s="78">
        <f t="shared" ca="1" si="4"/>
        <v>0</v>
      </c>
      <c r="BO1231" s="66"/>
      <c r="BP1231" s="66"/>
    </row>
    <row r="1232" spans="1:68" ht="13.2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>
        <f t="shared" ref="AP1232:AQ1232" si="1225">AR1232+AT1232+AV1232</f>
        <v>0</v>
      </c>
      <c r="AQ1232" s="75">
        <f t="shared" si="1225"/>
        <v>0</v>
      </c>
      <c r="AR1232" s="75"/>
      <c r="AS1232" s="75"/>
      <c r="AT1232" s="75"/>
      <c r="AU1232" s="75"/>
      <c r="AV1232" s="75"/>
      <c r="AW1232" s="75"/>
      <c r="AX1232" s="75"/>
      <c r="AY1232" s="67">
        <f t="shared" ca="1" si="1"/>
        <v>0</v>
      </c>
      <c r="AZ1232" s="75"/>
      <c r="BA1232" s="67">
        <f t="shared" ca="1" si="2"/>
        <v>0</v>
      </c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8"/>
      <c r="BL1232" s="78">
        <f t="shared" ca="1" si="3"/>
        <v>0</v>
      </c>
      <c r="BM1232" s="78"/>
      <c r="BN1232" s="78">
        <f t="shared" ca="1" si="4"/>
        <v>0</v>
      </c>
      <c r="BO1232" s="66"/>
      <c r="BP1232" s="66"/>
    </row>
    <row r="1233" spans="1:68" ht="13.2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>
        <f t="shared" ref="AP1233:AQ1233" si="1226">AR1233+AT1233+AV1233</f>
        <v>0</v>
      </c>
      <c r="AQ1233" s="75">
        <f t="shared" si="1226"/>
        <v>0</v>
      </c>
      <c r="AR1233" s="75"/>
      <c r="AS1233" s="75"/>
      <c r="AT1233" s="75"/>
      <c r="AU1233" s="75"/>
      <c r="AV1233" s="75"/>
      <c r="AW1233" s="75"/>
      <c r="AX1233" s="75"/>
      <c r="AY1233" s="67">
        <f t="shared" ca="1" si="1"/>
        <v>0</v>
      </c>
      <c r="AZ1233" s="75"/>
      <c r="BA1233" s="67">
        <f t="shared" ca="1" si="2"/>
        <v>0</v>
      </c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8"/>
      <c r="BL1233" s="78">
        <f t="shared" ca="1" si="3"/>
        <v>0</v>
      </c>
      <c r="BM1233" s="78"/>
      <c r="BN1233" s="78">
        <f t="shared" ca="1" si="4"/>
        <v>0</v>
      </c>
      <c r="BO1233" s="66"/>
      <c r="BP1233" s="66"/>
    </row>
    <row r="1234" spans="1:68" ht="13.2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>
        <f t="shared" ref="AP1234:AQ1234" si="1227">AR1234+AT1234+AV1234</f>
        <v>0</v>
      </c>
      <c r="AQ1234" s="75">
        <f t="shared" si="1227"/>
        <v>0</v>
      </c>
      <c r="AR1234" s="75"/>
      <c r="AS1234" s="75"/>
      <c r="AT1234" s="75"/>
      <c r="AU1234" s="75"/>
      <c r="AV1234" s="75"/>
      <c r="AW1234" s="75"/>
      <c r="AX1234" s="75"/>
      <c r="AY1234" s="67">
        <f t="shared" ca="1" si="1"/>
        <v>0</v>
      </c>
      <c r="AZ1234" s="75"/>
      <c r="BA1234" s="67">
        <f t="shared" ca="1" si="2"/>
        <v>0</v>
      </c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8"/>
      <c r="BL1234" s="78">
        <f t="shared" ca="1" si="3"/>
        <v>0</v>
      </c>
      <c r="BM1234" s="78"/>
      <c r="BN1234" s="78">
        <f t="shared" ca="1" si="4"/>
        <v>0</v>
      </c>
      <c r="BO1234" s="66"/>
      <c r="BP1234" s="66"/>
    </row>
    <row r="1235" spans="1:68" ht="13.2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>
        <f t="shared" ref="AP1235:AQ1235" si="1228">AR1235+AT1235+AV1235</f>
        <v>0</v>
      </c>
      <c r="AQ1235" s="75">
        <f t="shared" si="1228"/>
        <v>0</v>
      </c>
      <c r="AR1235" s="75"/>
      <c r="AS1235" s="75"/>
      <c r="AT1235" s="75"/>
      <c r="AU1235" s="75"/>
      <c r="AV1235" s="75"/>
      <c r="AW1235" s="75"/>
      <c r="AX1235" s="75"/>
      <c r="AY1235" s="67">
        <f t="shared" ca="1" si="1"/>
        <v>0</v>
      </c>
      <c r="AZ1235" s="75"/>
      <c r="BA1235" s="67">
        <f t="shared" ca="1" si="2"/>
        <v>0</v>
      </c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8"/>
      <c r="BL1235" s="78">
        <f t="shared" ca="1" si="3"/>
        <v>0</v>
      </c>
      <c r="BM1235" s="78"/>
      <c r="BN1235" s="78">
        <f t="shared" ca="1" si="4"/>
        <v>0</v>
      </c>
      <c r="BO1235" s="66"/>
      <c r="BP1235" s="66"/>
    </row>
    <row r="1236" spans="1:68" ht="13.2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>
        <f t="shared" ref="AP1236:AQ1236" si="1229">AR1236+AT1236+AV1236</f>
        <v>0</v>
      </c>
      <c r="AQ1236" s="75">
        <f t="shared" si="1229"/>
        <v>0</v>
      </c>
      <c r="AR1236" s="75"/>
      <c r="AS1236" s="75"/>
      <c r="AT1236" s="75"/>
      <c r="AU1236" s="75"/>
      <c r="AV1236" s="75"/>
      <c r="AW1236" s="75"/>
      <c r="AX1236" s="75"/>
      <c r="AY1236" s="67">
        <f t="shared" ca="1" si="1"/>
        <v>0</v>
      </c>
      <c r="AZ1236" s="75"/>
      <c r="BA1236" s="67">
        <f t="shared" ca="1" si="2"/>
        <v>0</v>
      </c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8"/>
      <c r="BL1236" s="78">
        <f t="shared" ca="1" si="3"/>
        <v>0</v>
      </c>
      <c r="BM1236" s="78"/>
      <c r="BN1236" s="78">
        <f t="shared" ca="1" si="4"/>
        <v>0</v>
      </c>
      <c r="BO1236" s="66"/>
      <c r="BP1236" s="66"/>
    </row>
    <row r="1237" spans="1:68" ht="13.2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>
        <f t="shared" ref="AP1237:AQ1237" si="1230">AR1237+AT1237+AV1237</f>
        <v>0</v>
      </c>
      <c r="AQ1237" s="75">
        <f t="shared" si="1230"/>
        <v>0</v>
      </c>
      <c r="AR1237" s="75"/>
      <c r="AS1237" s="75"/>
      <c r="AT1237" s="75"/>
      <c r="AU1237" s="75"/>
      <c r="AV1237" s="75"/>
      <c r="AW1237" s="75"/>
      <c r="AX1237" s="75"/>
      <c r="AY1237" s="67">
        <f t="shared" ca="1" si="1"/>
        <v>0</v>
      </c>
      <c r="AZ1237" s="75"/>
      <c r="BA1237" s="67">
        <f t="shared" ca="1" si="2"/>
        <v>0</v>
      </c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8"/>
      <c r="BL1237" s="78">
        <f t="shared" ca="1" si="3"/>
        <v>0</v>
      </c>
      <c r="BM1237" s="78"/>
      <c r="BN1237" s="78">
        <f t="shared" ca="1" si="4"/>
        <v>0</v>
      </c>
      <c r="BO1237" s="66"/>
      <c r="BP1237" s="66"/>
    </row>
    <row r="1238" spans="1:68" ht="13.2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>
        <f t="shared" ref="AP1238:AQ1238" si="1231">AR1238+AT1238+AV1238</f>
        <v>0</v>
      </c>
      <c r="AQ1238" s="75">
        <f t="shared" si="1231"/>
        <v>0</v>
      </c>
      <c r="AR1238" s="75"/>
      <c r="AS1238" s="75"/>
      <c r="AT1238" s="75"/>
      <c r="AU1238" s="75"/>
      <c r="AV1238" s="75"/>
      <c r="AW1238" s="75"/>
      <c r="AX1238" s="75"/>
      <c r="AY1238" s="67">
        <f t="shared" ca="1" si="1"/>
        <v>0</v>
      </c>
      <c r="AZ1238" s="75"/>
      <c r="BA1238" s="67">
        <f t="shared" ca="1" si="2"/>
        <v>0</v>
      </c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8"/>
      <c r="BL1238" s="78">
        <f t="shared" ca="1" si="3"/>
        <v>0</v>
      </c>
      <c r="BM1238" s="78"/>
      <c r="BN1238" s="78">
        <f t="shared" ca="1" si="4"/>
        <v>0</v>
      </c>
      <c r="BO1238" s="66"/>
      <c r="BP1238" s="66"/>
    </row>
    <row r="1239" spans="1:68" ht="13.2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>
        <f t="shared" ref="AP1239:AQ1239" si="1232">AR1239+AT1239+AV1239</f>
        <v>0</v>
      </c>
      <c r="AQ1239" s="75">
        <f t="shared" si="1232"/>
        <v>0</v>
      </c>
      <c r="AR1239" s="75"/>
      <c r="AS1239" s="75"/>
      <c r="AT1239" s="75"/>
      <c r="AU1239" s="75"/>
      <c r="AV1239" s="75"/>
      <c r="AW1239" s="75"/>
      <c r="AX1239" s="75"/>
      <c r="AY1239" s="67">
        <f t="shared" ca="1" si="1"/>
        <v>0</v>
      </c>
      <c r="AZ1239" s="75"/>
      <c r="BA1239" s="67">
        <f t="shared" ca="1" si="2"/>
        <v>0</v>
      </c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8"/>
      <c r="BL1239" s="78">
        <f t="shared" ca="1" si="3"/>
        <v>0</v>
      </c>
      <c r="BM1239" s="78"/>
      <c r="BN1239" s="78">
        <f t="shared" ca="1" si="4"/>
        <v>0</v>
      </c>
      <c r="BO1239" s="66"/>
      <c r="BP1239" s="66"/>
    </row>
    <row r="1240" spans="1:68" ht="13.2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>
        <f t="shared" ref="AP1240:AQ1240" si="1233">AR1240+AT1240+AV1240</f>
        <v>0</v>
      </c>
      <c r="AQ1240" s="75">
        <f t="shared" si="1233"/>
        <v>0</v>
      </c>
      <c r="AR1240" s="75"/>
      <c r="AS1240" s="75"/>
      <c r="AT1240" s="75"/>
      <c r="AU1240" s="75"/>
      <c r="AV1240" s="75"/>
      <c r="AW1240" s="75"/>
      <c r="AX1240" s="75"/>
      <c r="AY1240" s="67">
        <f t="shared" ca="1" si="1"/>
        <v>0</v>
      </c>
      <c r="AZ1240" s="75"/>
      <c r="BA1240" s="67">
        <f t="shared" ca="1" si="2"/>
        <v>0</v>
      </c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8"/>
      <c r="BL1240" s="78">
        <f t="shared" ca="1" si="3"/>
        <v>0</v>
      </c>
      <c r="BM1240" s="78"/>
      <c r="BN1240" s="78">
        <f t="shared" ca="1" si="4"/>
        <v>0</v>
      </c>
      <c r="BO1240" s="66"/>
      <c r="BP1240" s="66"/>
    </row>
    <row r="1241" spans="1:68" ht="13.2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>
        <f t="shared" ref="AP1241:AQ1241" si="1234">AR1241+AT1241+AV1241</f>
        <v>0</v>
      </c>
      <c r="AQ1241" s="75">
        <f t="shared" si="1234"/>
        <v>0</v>
      </c>
      <c r="AR1241" s="75"/>
      <c r="AS1241" s="75"/>
      <c r="AT1241" s="75"/>
      <c r="AU1241" s="75"/>
      <c r="AV1241" s="75"/>
      <c r="AW1241" s="75"/>
      <c r="AX1241" s="75"/>
      <c r="AY1241" s="67">
        <f t="shared" ca="1" si="1"/>
        <v>0</v>
      </c>
      <c r="AZ1241" s="75"/>
      <c r="BA1241" s="67">
        <f t="shared" ca="1" si="2"/>
        <v>0</v>
      </c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8"/>
      <c r="BL1241" s="78">
        <f t="shared" ca="1" si="3"/>
        <v>0</v>
      </c>
      <c r="BM1241" s="78"/>
      <c r="BN1241" s="78">
        <f t="shared" ca="1" si="4"/>
        <v>0</v>
      </c>
      <c r="BO1241" s="66"/>
      <c r="BP1241" s="66"/>
    </row>
    <row r="1242" spans="1:68" ht="13.2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>
        <f t="shared" ref="AP1242:AQ1242" si="1235">AR1242+AT1242+AV1242</f>
        <v>0</v>
      </c>
      <c r="AQ1242" s="75">
        <f t="shared" si="1235"/>
        <v>0</v>
      </c>
      <c r="AR1242" s="75"/>
      <c r="AS1242" s="75"/>
      <c r="AT1242" s="75"/>
      <c r="AU1242" s="75"/>
      <c r="AV1242" s="75"/>
      <c r="AW1242" s="75"/>
      <c r="AX1242" s="75"/>
      <c r="AY1242" s="67">
        <f t="shared" ca="1" si="1"/>
        <v>0</v>
      </c>
      <c r="AZ1242" s="75"/>
      <c r="BA1242" s="67">
        <f t="shared" ca="1" si="2"/>
        <v>0</v>
      </c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8"/>
      <c r="BL1242" s="78">
        <f t="shared" ca="1" si="3"/>
        <v>0</v>
      </c>
      <c r="BM1242" s="78"/>
      <c r="BN1242" s="78">
        <f t="shared" ca="1" si="4"/>
        <v>0</v>
      </c>
      <c r="BO1242" s="66"/>
      <c r="BP1242" s="66"/>
    </row>
    <row r="1243" spans="1:68" ht="13.2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>
        <f t="shared" ref="AP1243:AQ1243" si="1236">AR1243+AT1243+AV1243</f>
        <v>0</v>
      </c>
      <c r="AQ1243" s="75">
        <f t="shared" si="1236"/>
        <v>0</v>
      </c>
      <c r="AR1243" s="75"/>
      <c r="AS1243" s="75"/>
      <c r="AT1243" s="75"/>
      <c r="AU1243" s="75"/>
      <c r="AV1243" s="75"/>
      <c r="AW1243" s="75"/>
      <c r="AX1243" s="75"/>
      <c r="AY1243" s="67">
        <f t="shared" ca="1" si="1"/>
        <v>0</v>
      </c>
      <c r="AZ1243" s="75"/>
      <c r="BA1243" s="67">
        <f t="shared" ca="1" si="2"/>
        <v>0</v>
      </c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8"/>
      <c r="BL1243" s="78">
        <f t="shared" ca="1" si="3"/>
        <v>0</v>
      </c>
      <c r="BM1243" s="78"/>
      <c r="BN1243" s="78">
        <f t="shared" ca="1" si="4"/>
        <v>0</v>
      </c>
      <c r="BO1243" s="66"/>
      <c r="BP1243" s="66"/>
    </row>
    <row r="1244" spans="1:68" ht="13.2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>
        <f t="shared" ref="AP1244:AQ1244" si="1237">AR1244+AT1244+AV1244</f>
        <v>0</v>
      </c>
      <c r="AQ1244" s="75">
        <f t="shared" si="1237"/>
        <v>0</v>
      </c>
      <c r="AR1244" s="75"/>
      <c r="AS1244" s="75"/>
      <c r="AT1244" s="75"/>
      <c r="AU1244" s="75"/>
      <c r="AV1244" s="75"/>
      <c r="AW1244" s="75"/>
      <c r="AX1244" s="75"/>
      <c r="AY1244" s="67">
        <f t="shared" ca="1" si="1"/>
        <v>0</v>
      </c>
      <c r="AZ1244" s="75"/>
      <c r="BA1244" s="67">
        <f t="shared" ca="1" si="2"/>
        <v>0</v>
      </c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8"/>
      <c r="BL1244" s="78">
        <f t="shared" ca="1" si="3"/>
        <v>0</v>
      </c>
      <c r="BM1244" s="78"/>
      <c r="BN1244" s="78">
        <f t="shared" ca="1" si="4"/>
        <v>0</v>
      </c>
      <c r="BO1244" s="66"/>
      <c r="BP1244" s="66"/>
    </row>
    <row r="1245" spans="1:68" ht="13.2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>
        <f t="shared" ref="AP1245:AQ1245" si="1238">AR1245+AT1245+AV1245</f>
        <v>0</v>
      </c>
      <c r="AQ1245" s="75">
        <f t="shared" si="1238"/>
        <v>0</v>
      </c>
      <c r="AR1245" s="75"/>
      <c r="AS1245" s="75"/>
      <c r="AT1245" s="75"/>
      <c r="AU1245" s="75"/>
      <c r="AV1245" s="75"/>
      <c r="AW1245" s="75"/>
      <c r="AX1245" s="75"/>
      <c r="AY1245" s="67">
        <f t="shared" ca="1" si="1"/>
        <v>0</v>
      </c>
      <c r="AZ1245" s="75"/>
      <c r="BA1245" s="67">
        <f t="shared" ca="1" si="2"/>
        <v>0</v>
      </c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8"/>
      <c r="BL1245" s="78">
        <f t="shared" ca="1" si="3"/>
        <v>0</v>
      </c>
      <c r="BM1245" s="78"/>
      <c r="BN1245" s="78">
        <f t="shared" ca="1" si="4"/>
        <v>0</v>
      </c>
      <c r="BO1245" s="66"/>
      <c r="BP1245" s="66"/>
    </row>
    <row r="1246" spans="1:68" ht="13.2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>
        <f t="shared" ref="AP1246:AQ1246" si="1239">AR1246+AT1246+AV1246</f>
        <v>0</v>
      </c>
      <c r="AQ1246" s="75">
        <f t="shared" si="1239"/>
        <v>0</v>
      </c>
      <c r="AR1246" s="75"/>
      <c r="AS1246" s="75"/>
      <c r="AT1246" s="75"/>
      <c r="AU1246" s="75"/>
      <c r="AV1246" s="75"/>
      <c r="AW1246" s="75"/>
      <c r="AX1246" s="75"/>
      <c r="AY1246" s="67">
        <f t="shared" ca="1" si="1"/>
        <v>0</v>
      </c>
      <c r="AZ1246" s="75"/>
      <c r="BA1246" s="67">
        <f t="shared" ca="1" si="2"/>
        <v>0</v>
      </c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8"/>
      <c r="BL1246" s="78">
        <f t="shared" ca="1" si="3"/>
        <v>0</v>
      </c>
      <c r="BM1246" s="78"/>
      <c r="BN1246" s="78">
        <f t="shared" ca="1" si="4"/>
        <v>0</v>
      </c>
      <c r="BO1246" s="66"/>
      <c r="BP1246" s="66"/>
    </row>
    <row r="1247" spans="1:68" ht="13.2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>
        <f t="shared" ref="AP1247:AQ1247" si="1240">AR1247+AT1247+AV1247</f>
        <v>0</v>
      </c>
      <c r="AQ1247" s="75">
        <f t="shared" si="1240"/>
        <v>0</v>
      </c>
      <c r="AR1247" s="75"/>
      <c r="AS1247" s="75"/>
      <c r="AT1247" s="75"/>
      <c r="AU1247" s="75"/>
      <c r="AV1247" s="75"/>
      <c r="AW1247" s="75"/>
      <c r="AX1247" s="75"/>
      <c r="AY1247" s="67">
        <f t="shared" ca="1" si="1"/>
        <v>0</v>
      </c>
      <c r="AZ1247" s="75"/>
      <c r="BA1247" s="67">
        <f t="shared" ca="1" si="2"/>
        <v>0</v>
      </c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8"/>
      <c r="BL1247" s="78">
        <f t="shared" ca="1" si="3"/>
        <v>0</v>
      </c>
      <c r="BM1247" s="78"/>
      <c r="BN1247" s="78">
        <f t="shared" ca="1" si="4"/>
        <v>0</v>
      </c>
      <c r="BO1247" s="66"/>
      <c r="BP1247" s="66"/>
    </row>
    <row r="1248" spans="1:68" ht="13.2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>
        <f t="shared" ref="AP1248:AQ1248" si="1241">AR1248+AT1248+AV1248</f>
        <v>0</v>
      </c>
      <c r="AQ1248" s="75">
        <f t="shared" si="1241"/>
        <v>0</v>
      </c>
      <c r="AR1248" s="75"/>
      <c r="AS1248" s="75"/>
      <c r="AT1248" s="75"/>
      <c r="AU1248" s="75"/>
      <c r="AV1248" s="75"/>
      <c r="AW1248" s="75"/>
      <c r="AX1248" s="75"/>
      <c r="AY1248" s="67">
        <f t="shared" ca="1" si="1"/>
        <v>0</v>
      </c>
      <c r="AZ1248" s="75"/>
      <c r="BA1248" s="67">
        <f t="shared" ca="1" si="2"/>
        <v>0</v>
      </c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8"/>
      <c r="BL1248" s="78">
        <f t="shared" ca="1" si="3"/>
        <v>0</v>
      </c>
      <c r="BM1248" s="78"/>
      <c r="BN1248" s="78">
        <f t="shared" ca="1" si="4"/>
        <v>0</v>
      </c>
      <c r="BO1248" s="66"/>
      <c r="BP1248" s="66"/>
    </row>
    <row r="1249" spans="1:68" ht="13.2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>
        <f t="shared" ref="AP1249:AQ1249" si="1242">AR1249+AT1249+AV1249</f>
        <v>0</v>
      </c>
      <c r="AQ1249" s="75">
        <f t="shared" si="1242"/>
        <v>0</v>
      </c>
      <c r="AR1249" s="75"/>
      <c r="AS1249" s="75"/>
      <c r="AT1249" s="75"/>
      <c r="AU1249" s="75"/>
      <c r="AV1249" s="75"/>
      <c r="AW1249" s="75"/>
      <c r="AX1249" s="75"/>
      <c r="AY1249" s="67">
        <f t="shared" ca="1" si="1"/>
        <v>0</v>
      </c>
      <c r="AZ1249" s="75"/>
      <c r="BA1249" s="67">
        <f t="shared" ca="1" si="2"/>
        <v>0</v>
      </c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8"/>
      <c r="BL1249" s="78">
        <f t="shared" ca="1" si="3"/>
        <v>0</v>
      </c>
      <c r="BM1249" s="78"/>
      <c r="BN1249" s="78">
        <f t="shared" ca="1" si="4"/>
        <v>0</v>
      </c>
      <c r="BO1249" s="66"/>
      <c r="BP1249" s="66"/>
    </row>
    <row r="1250" spans="1:68" ht="13.2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>
        <f t="shared" ref="AP1250:AQ1250" si="1243">AR1250+AT1250+AV1250</f>
        <v>0</v>
      </c>
      <c r="AQ1250" s="75">
        <f t="shared" si="1243"/>
        <v>0</v>
      </c>
      <c r="AR1250" s="75"/>
      <c r="AS1250" s="75"/>
      <c r="AT1250" s="75"/>
      <c r="AU1250" s="75"/>
      <c r="AV1250" s="75"/>
      <c r="AW1250" s="75"/>
      <c r="AX1250" s="75"/>
      <c r="AY1250" s="67">
        <f t="shared" ca="1" si="1"/>
        <v>0</v>
      </c>
      <c r="AZ1250" s="75"/>
      <c r="BA1250" s="67">
        <f t="shared" ca="1" si="2"/>
        <v>0</v>
      </c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8"/>
      <c r="BL1250" s="78">
        <f t="shared" ca="1" si="3"/>
        <v>0</v>
      </c>
      <c r="BM1250" s="78"/>
      <c r="BN1250" s="78">
        <f t="shared" ca="1" si="4"/>
        <v>0</v>
      </c>
      <c r="BO1250" s="66"/>
      <c r="BP1250" s="66"/>
    </row>
    <row r="1251" spans="1:68" ht="13.2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>
        <f t="shared" ref="AP1251:AQ1251" si="1244">AR1251+AT1251+AV1251</f>
        <v>0</v>
      </c>
      <c r="AQ1251" s="75">
        <f t="shared" si="1244"/>
        <v>0</v>
      </c>
      <c r="AR1251" s="75"/>
      <c r="AS1251" s="75"/>
      <c r="AT1251" s="75"/>
      <c r="AU1251" s="75"/>
      <c r="AV1251" s="75"/>
      <c r="AW1251" s="75"/>
      <c r="AX1251" s="75"/>
      <c r="AY1251" s="67">
        <f t="shared" ca="1" si="1"/>
        <v>0</v>
      </c>
      <c r="AZ1251" s="75"/>
      <c r="BA1251" s="67">
        <f t="shared" ca="1" si="2"/>
        <v>0</v>
      </c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8"/>
      <c r="BL1251" s="78">
        <f t="shared" ca="1" si="3"/>
        <v>0</v>
      </c>
      <c r="BM1251" s="78"/>
      <c r="BN1251" s="78">
        <f t="shared" ca="1" si="4"/>
        <v>0</v>
      </c>
      <c r="BO1251" s="66"/>
      <c r="BP1251" s="66"/>
    </row>
    <row r="1252" spans="1:68" ht="13.2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>
        <f t="shared" ref="AP1252:AQ1252" si="1245">AR1252+AT1252+AV1252</f>
        <v>0</v>
      </c>
      <c r="AQ1252" s="75">
        <f t="shared" si="1245"/>
        <v>0</v>
      </c>
      <c r="AR1252" s="75"/>
      <c r="AS1252" s="75"/>
      <c r="AT1252" s="75"/>
      <c r="AU1252" s="75"/>
      <c r="AV1252" s="75"/>
      <c r="AW1252" s="75"/>
      <c r="AX1252" s="75"/>
      <c r="AY1252" s="67">
        <f t="shared" ca="1" si="1"/>
        <v>0</v>
      </c>
      <c r="AZ1252" s="75"/>
      <c r="BA1252" s="67">
        <f t="shared" ca="1" si="2"/>
        <v>0</v>
      </c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8"/>
      <c r="BL1252" s="78">
        <f t="shared" ca="1" si="3"/>
        <v>0</v>
      </c>
      <c r="BM1252" s="78"/>
      <c r="BN1252" s="78">
        <f t="shared" ca="1" si="4"/>
        <v>0</v>
      </c>
      <c r="BO1252" s="66"/>
      <c r="BP1252" s="66"/>
    </row>
    <row r="1253" spans="1:68" ht="13.2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>
        <f t="shared" ref="AP1253:AQ1253" si="1246">AR1253+AT1253+AV1253</f>
        <v>0</v>
      </c>
      <c r="AQ1253" s="75">
        <f t="shared" si="1246"/>
        <v>0</v>
      </c>
      <c r="AR1253" s="75"/>
      <c r="AS1253" s="75"/>
      <c r="AT1253" s="75"/>
      <c r="AU1253" s="75"/>
      <c r="AV1253" s="75"/>
      <c r="AW1253" s="75"/>
      <c r="AX1253" s="75"/>
      <c r="AY1253" s="67">
        <f t="shared" ca="1" si="1"/>
        <v>0</v>
      </c>
      <c r="AZ1253" s="75"/>
      <c r="BA1253" s="67">
        <f t="shared" ca="1" si="2"/>
        <v>0</v>
      </c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8"/>
      <c r="BL1253" s="78">
        <f t="shared" ca="1" si="3"/>
        <v>0</v>
      </c>
      <c r="BM1253" s="78"/>
      <c r="BN1253" s="78">
        <f t="shared" ca="1" si="4"/>
        <v>0</v>
      </c>
      <c r="BO1253" s="66"/>
      <c r="BP1253" s="66"/>
    </row>
    <row r="1254" spans="1:68" ht="13.2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>
        <f t="shared" ref="AP1254:AQ1254" si="1247">AR1254+AT1254+AV1254</f>
        <v>0</v>
      </c>
      <c r="AQ1254" s="75">
        <f t="shared" si="1247"/>
        <v>0</v>
      </c>
      <c r="AR1254" s="75"/>
      <c r="AS1254" s="75"/>
      <c r="AT1254" s="75"/>
      <c r="AU1254" s="75"/>
      <c r="AV1254" s="75"/>
      <c r="AW1254" s="75"/>
      <c r="AX1254" s="75"/>
      <c r="AY1254" s="67">
        <f t="shared" ca="1" si="1"/>
        <v>0</v>
      </c>
      <c r="AZ1254" s="75"/>
      <c r="BA1254" s="67">
        <f t="shared" ca="1" si="2"/>
        <v>0</v>
      </c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8"/>
      <c r="BL1254" s="78">
        <f t="shared" ca="1" si="3"/>
        <v>0</v>
      </c>
      <c r="BM1254" s="78"/>
      <c r="BN1254" s="78">
        <f t="shared" ca="1" si="4"/>
        <v>0</v>
      </c>
      <c r="BO1254" s="66"/>
      <c r="BP1254" s="66"/>
    </row>
    <row r="1255" spans="1:68" ht="13.2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>
        <f t="shared" ref="AP1255:AQ1255" si="1248">AR1255+AT1255+AV1255</f>
        <v>0</v>
      </c>
      <c r="AQ1255" s="75">
        <f t="shared" si="1248"/>
        <v>0</v>
      </c>
      <c r="AR1255" s="75"/>
      <c r="AS1255" s="75"/>
      <c r="AT1255" s="75"/>
      <c r="AU1255" s="75"/>
      <c r="AV1255" s="75"/>
      <c r="AW1255" s="75"/>
      <c r="AX1255" s="75"/>
      <c r="AY1255" s="67">
        <f t="shared" ca="1" si="1"/>
        <v>0</v>
      </c>
      <c r="AZ1255" s="75"/>
      <c r="BA1255" s="67">
        <f t="shared" ca="1" si="2"/>
        <v>0</v>
      </c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8"/>
      <c r="BL1255" s="78">
        <f t="shared" ca="1" si="3"/>
        <v>0</v>
      </c>
      <c r="BM1255" s="78"/>
      <c r="BN1255" s="78">
        <f t="shared" ca="1" si="4"/>
        <v>0</v>
      </c>
      <c r="BO1255" s="66"/>
      <c r="BP1255" s="66"/>
    </row>
    <row r="1256" spans="1:68" ht="13.2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>
        <f t="shared" ref="AP1256:AQ1256" si="1249">AR1256+AT1256+AV1256</f>
        <v>0</v>
      </c>
      <c r="AQ1256" s="75">
        <f t="shared" si="1249"/>
        <v>0</v>
      </c>
      <c r="AR1256" s="75"/>
      <c r="AS1256" s="75"/>
      <c r="AT1256" s="75"/>
      <c r="AU1256" s="75"/>
      <c r="AV1256" s="75"/>
      <c r="AW1256" s="75"/>
      <c r="AX1256" s="75"/>
      <c r="AY1256" s="67">
        <f t="shared" ca="1" si="1"/>
        <v>0</v>
      </c>
      <c r="AZ1256" s="75"/>
      <c r="BA1256" s="67">
        <f t="shared" ca="1" si="2"/>
        <v>0</v>
      </c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8"/>
      <c r="BL1256" s="78">
        <f t="shared" ca="1" si="3"/>
        <v>0</v>
      </c>
      <c r="BM1256" s="78"/>
      <c r="BN1256" s="78">
        <f t="shared" ca="1" si="4"/>
        <v>0</v>
      </c>
      <c r="BO1256" s="66"/>
      <c r="BP1256" s="66"/>
    </row>
    <row r="1257" spans="1:68" ht="13.2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>
        <f t="shared" ref="AP1257:AQ1257" si="1250">AR1257+AT1257+AV1257</f>
        <v>0</v>
      </c>
      <c r="AQ1257" s="75">
        <f t="shared" si="1250"/>
        <v>0</v>
      </c>
      <c r="AR1257" s="75"/>
      <c r="AS1257" s="75"/>
      <c r="AT1257" s="75"/>
      <c r="AU1257" s="75"/>
      <c r="AV1257" s="75"/>
      <c r="AW1257" s="75"/>
      <c r="AX1257" s="75"/>
      <c r="AY1257" s="67">
        <f t="shared" ca="1" si="1"/>
        <v>0</v>
      </c>
      <c r="AZ1257" s="75"/>
      <c r="BA1257" s="67">
        <f t="shared" ca="1" si="2"/>
        <v>0</v>
      </c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8"/>
      <c r="BL1257" s="78">
        <f t="shared" ca="1" si="3"/>
        <v>0</v>
      </c>
      <c r="BM1257" s="78"/>
      <c r="BN1257" s="78">
        <f t="shared" ca="1" si="4"/>
        <v>0</v>
      </c>
      <c r="BO1257" s="66"/>
      <c r="BP1257" s="66"/>
    </row>
    <row r="1258" spans="1:68" ht="13.2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>
        <f t="shared" ref="AP1258:AQ1258" si="1251">AR1258+AT1258+AV1258</f>
        <v>0</v>
      </c>
      <c r="AQ1258" s="75">
        <f t="shared" si="1251"/>
        <v>0</v>
      </c>
      <c r="AR1258" s="75"/>
      <c r="AS1258" s="75"/>
      <c r="AT1258" s="75"/>
      <c r="AU1258" s="75"/>
      <c r="AV1258" s="75"/>
      <c r="AW1258" s="75"/>
      <c r="AX1258" s="75"/>
      <c r="AY1258" s="67">
        <f t="shared" ca="1" si="1"/>
        <v>0</v>
      </c>
      <c r="AZ1258" s="75"/>
      <c r="BA1258" s="67">
        <f t="shared" ca="1" si="2"/>
        <v>0</v>
      </c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8"/>
      <c r="BL1258" s="78">
        <f t="shared" ca="1" si="3"/>
        <v>0</v>
      </c>
      <c r="BM1258" s="78"/>
      <c r="BN1258" s="78">
        <f t="shared" ca="1" si="4"/>
        <v>0</v>
      </c>
      <c r="BO1258" s="66"/>
      <c r="BP1258" s="66"/>
    </row>
    <row r="1259" spans="1:68" ht="13.2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>
        <f t="shared" ref="AP1259:AQ1259" si="1252">AR1259+AT1259+AV1259</f>
        <v>0</v>
      </c>
      <c r="AQ1259" s="75">
        <f t="shared" si="1252"/>
        <v>0</v>
      </c>
      <c r="AR1259" s="75"/>
      <c r="AS1259" s="75"/>
      <c r="AT1259" s="75"/>
      <c r="AU1259" s="75"/>
      <c r="AV1259" s="75"/>
      <c r="AW1259" s="75"/>
      <c r="AX1259" s="75"/>
      <c r="AY1259" s="67">
        <f t="shared" ca="1" si="1"/>
        <v>0</v>
      </c>
      <c r="AZ1259" s="75"/>
      <c r="BA1259" s="67">
        <f t="shared" ca="1" si="2"/>
        <v>0</v>
      </c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8"/>
      <c r="BL1259" s="78">
        <f t="shared" ca="1" si="3"/>
        <v>0</v>
      </c>
      <c r="BM1259" s="78"/>
      <c r="BN1259" s="78">
        <f t="shared" ca="1" si="4"/>
        <v>0</v>
      </c>
      <c r="BO1259" s="66"/>
      <c r="BP1259" s="66"/>
    </row>
    <row r="1260" spans="1:68" ht="13.2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>
        <f t="shared" ref="AP1260:AQ1260" si="1253">AR1260+AT1260+AV1260</f>
        <v>0</v>
      </c>
      <c r="AQ1260" s="75">
        <f t="shared" si="1253"/>
        <v>0</v>
      </c>
      <c r="AR1260" s="75"/>
      <c r="AS1260" s="75"/>
      <c r="AT1260" s="75"/>
      <c r="AU1260" s="75"/>
      <c r="AV1260" s="75"/>
      <c r="AW1260" s="75"/>
      <c r="AX1260" s="75"/>
      <c r="AY1260" s="67">
        <f t="shared" ca="1" si="1"/>
        <v>0</v>
      </c>
      <c r="AZ1260" s="75"/>
      <c r="BA1260" s="67">
        <f t="shared" ca="1" si="2"/>
        <v>0</v>
      </c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8"/>
      <c r="BL1260" s="78">
        <f t="shared" ca="1" si="3"/>
        <v>0</v>
      </c>
      <c r="BM1260" s="78"/>
      <c r="BN1260" s="78">
        <f t="shared" ca="1" si="4"/>
        <v>0</v>
      </c>
      <c r="BO1260" s="66"/>
      <c r="BP1260" s="66"/>
    </row>
    <row r="1261" spans="1:68" ht="13.2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>
        <f t="shared" ref="AP1261:AQ1261" si="1254">AR1261+AT1261+AV1261</f>
        <v>0</v>
      </c>
      <c r="AQ1261" s="75">
        <f t="shared" si="1254"/>
        <v>0</v>
      </c>
      <c r="AR1261" s="75"/>
      <c r="AS1261" s="75"/>
      <c r="AT1261" s="75"/>
      <c r="AU1261" s="75"/>
      <c r="AV1261" s="75"/>
      <c r="AW1261" s="75"/>
      <c r="AX1261" s="75"/>
      <c r="AY1261" s="67">
        <f t="shared" ca="1" si="1"/>
        <v>0</v>
      </c>
      <c r="AZ1261" s="75"/>
      <c r="BA1261" s="67">
        <f t="shared" ca="1" si="2"/>
        <v>0</v>
      </c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8"/>
      <c r="BL1261" s="78">
        <f t="shared" ca="1" si="3"/>
        <v>0</v>
      </c>
      <c r="BM1261" s="78"/>
      <c r="BN1261" s="78">
        <f t="shared" ca="1" si="4"/>
        <v>0</v>
      </c>
      <c r="BO1261" s="66"/>
      <c r="BP1261" s="66"/>
    </row>
    <row r="1262" spans="1:68" ht="13.2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>
        <f t="shared" ref="AP1262:AQ1262" si="1255">AR1262+AT1262+AV1262</f>
        <v>0</v>
      </c>
      <c r="AQ1262" s="75">
        <f t="shared" si="1255"/>
        <v>0</v>
      </c>
      <c r="AR1262" s="75"/>
      <c r="AS1262" s="75"/>
      <c r="AT1262" s="75"/>
      <c r="AU1262" s="75"/>
      <c r="AV1262" s="75"/>
      <c r="AW1262" s="75"/>
      <c r="AX1262" s="75"/>
      <c r="AY1262" s="67">
        <f t="shared" ca="1" si="1"/>
        <v>0</v>
      </c>
      <c r="AZ1262" s="75"/>
      <c r="BA1262" s="67">
        <f t="shared" ca="1" si="2"/>
        <v>0</v>
      </c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8"/>
      <c r="BL1262" s="78">
        <f t="shared" ca="1" si="3"/>
        <v>0</v>
      </c>
      <c r="BM1262" s="78"/>
      <c r="BN1262" s="78">
        <f t="shared" ca="1" si="4"/>
        <v>0</v>
      </c>
      <c r="BO1262" s="66"/>
      <c r="BP1262" s="66"/>
    </row>
    <row r="1263" spans="1:68" ht="13.2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>
        <f t="shared" ref="AP1263:AQ1263" si="1256">AR1263+AT1263+AV1263</f>
        <v>0</v>
      </c>
      <c r="AQ1263" s="75">
        <f t="shared" si="1256"/>
        <v>0</v>
      </c>
      <c r="AR1263" s="75"/>
      <c r="AS1263" s="75"/>
      <c r="AT1263" s="75"/>
      <c r="AU1263" s="75"/>
      <c r="AV1263" s="75"/>
      <c r="AW1263" s="75"/>
      <c r="AX1263" s="75"/>
      <c r="AY1263" s="67">
        <f t="shared" ca="1" si="1"/>
        <v>0</v>
      </c>
      <c r="AZ1263" s="75"/>
      <c r="BA1263" s="67">
        <f t="shared" ca="1" si="2"/>
        <v>0</v>
      </c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8"/>
      <c r="BL1263" s="78">
        <f t="shared" ca="1" si="3"/>
        <v>0</v>
      </c>
      <c r="BM1263" s="78"/>
      <c r="BN1263" s="78">
        <f t="shared" ca="1" si="4"/>
        <v>0</v>
      </c>
      <c r="BO1263" s="66"/>
      <c r="BP1263" s="66"/>
    </row>
    <row r="1264" spans="1:68" ht="13.2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>
        <f t="shared" ref="AP1264:AQ1264" si="1257">AR1264+AT1264+AV1264</f>
        <v>0</v>
      </c>
      <c r="AQ1264" s="75">
        <f t="shared" si="1257"/>
        <v>0</v>
      </c>
      <c r="AR1264" s="75"/>
      <c r="AS1264" s="75"/>
      <c r="AT1264" s="75"/>
      <c r="AU1264" s="75"/>
      <c r="AV1264" s="75"/>
      <c r="AW1264" s="75"/>
      <c r="AX1264" s="75"/>
      <c r="AY1264" s="67">
        <f t="shared" ca="1" si="1"/>
        <v>0</v>
      </c>
      <c r="AZ1264" s="75"/>
      <c r="BA1264" s="67">
        <f t="shared" ca="1" si="2"/>
        <v>0</v>
      </c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8"/>
      <c r="BL1264" s="78">
        <f t="shared" ca="1" si="3"/>
        <v>0</v>
      </c>
      <c r="BM1264" s="78"/>
      <c r="BN1264" s="78">
        <f t="shared" ca="1" si="4"/>
        <v>0</v>
      </c>
      <c r="BO1264" s="66"/>
      <c r="BP1264" s="66"/>
    </row>
    <row r="1265" spans="1:68" ht="13.2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>
        <f t="shared" ref="AP1265:AQ1265" si="1258">AR1265+AT1265+AV1265</f>
        <v>0</v>
      </c>
      <c r="AQ1265" s="75">
        <f t="shared" si="1258"/>
        <v>0</v>
      </c>
      <c r="AR1265" s="75"/>
      <c r="AS1265" s="75"/>
      <c r="AT1265" s="75"/>
      <c r="AU1265" s="75"/>
      <c r="AV1265" s="75"/>
      <c r="AW1265" s="75"/>
      <c r="AX1265" s="75"/>
      <c r="AY1265" s="67">
        <f t="shared" ca="1" si="1"/>
        <v>0</v>
      </c>
      <c r="AZ1265" s="75"/>
      <c r="BA1265" s="67">
        <f t="shared" ca="1" si="2"/>
        <v>0</v>
      </c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8"/>
      <c r="BL1265" s="78">
        <f t="shared" ca="1" si="3"/>
        <v>0</v>
      </c>
      <c r="BM1265" s="78"/>
      <c r="BN1265" s="78">
        <f t="shared" ca="1" si="4"/>
        <v>0</v>
      </c>
      <c r="BO1265" s="66"/>
      <c r="BP1265" s="66"/>
    </row>
    <row r="1266" spans="1:68" ht="13.2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>
        <f t="shared" ref="AP1266:AQ1266" si="1259">AR1266+AT1266+AV1266</f>
        <v>0</v>
      </c>
      <c r="AQ1266" s="75">
        <f t="shared" si="1259"/>
        <v>0</v>
      </c>
      <c r="AR1266" s="75"/>
      <c r="AS1266" s="75"/>
      <c r="AT1266" s="75"/>
      <c r="AU1266" s="75"/>
      <c r="AV1266" s="75"/>
      <c r="AW1266" s="75"/>
      <c r="AX1266" s="75"/>
      <c r="AY1266" s="67">
        <f t="shared" ca="1" si="1"/>
        <v>0</v>
      </c>
      <c r="AZ1266" s="75"/>
      <c r="BA1266" s="67">
        <f t="shared" ca="1" si="2"/>
        <v>0</v>
      </c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8"/>
      <c r="BL1266" s="78">
        <f t="shared" ca="1" si="3"/>
        <v>0</v>
      </c>
      <c r="BM1266" s="78"/>
      <c r="BN1266" s="78">
        <f t="shared" ca="1" si="4"/>
        <v>0</v>
      </c>
      <c r="BO1266" s="66"/>
      <c r="BP1266" s="66"/>
    </row>
    <row r="1267" spans="1:68" ht="13.2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>
        <f t="shared" ref="AP1267:AQ1267" si="1260">AR1267+AT1267+AV1267</f>
        <v>0</v>
      </c>
      <c r="AQ1267" s="75">
        <f t="shared" si="1260"/>
        <v>0</v>
      </c>
      <c r="AR1267" s="75"/>
      <c r="AS1267" s="75"/>
      <c r="AT1267" s="75"/>
      <c r="AU1267" s="75"/>
      <c r="AV1267" s="75"/>
      <c r="AW1267" s="75"/>
      <c r="AX1267" s="75"/>
      <c r="AY1267" s="67">
        <f t="shared" ca="1" si="1"/>
        <v>0</v>
      </c>
      <c r="AZ1267" s="75"/>
      <c r="BA1267" s="67">
        <f t="shared" ca="1" si="2"/>
        <v>0</v>
      </c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8"/>
      <c r="BL1267" s="78">
        <f t="shared" ca="1" si="3"/>
        <v>0</v>
      </c>
      <c r="BM1267" s="78"/>
      <c r="BN1267" s="78">
        <f t="shared" ca="1" si="4"/>
        <v>0</v>
      </c>
      <c r="BO1267" s="66"/>
      <c r="BP1267" s="66"/>
    </row>
    <row r="1268" spans="1:68" ht="13.2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>
        <f t="shared" ref="AP1268:AQ1268" si="1261">AR1268+AT1268+AV1268</f>
        <v>0</v>
      </c>
      <c r="AQ1268" s="75">
        <f t="shared" si="1261"/>
        <v>0</v>
      </c>
      <c r="AR1268" s="75"/>
      <c r="AS1268" s="75"/>
      <c r="AT1268" s="75"/>
      <c r="AU1268" s="75"/>
      <c r="AV1268" s="75"/>
      <c r="AW1268" s="75"/>
      <c r="AX1268" s="75"/>
      <c r="AY1268" s="67">
        <f t="shared" ca="1" si="1"/>
        <v>0</v>
      </c>
      <c r="AZ1268" s="75"/>
      <c r="BA1268" s="67">
        <f t="shared" ca="1" si="2"/>
        <v>0</v>
      </c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8"/>
      <c r="BL1268" s="78">
        <f t="shared" ca="1" si="3"/>
        <v>0</v>
      </c>
      <c r="BM1268" s="78"/>
      <c r="BN1268" s="78">
        <f t="shared" ca="1" si="4"/>
        <v>0</v>
      </c>
      <c r="BO1268" s="66"/>
      <c r="BP1268" s="66"/>
    </row>
    <row r="1269" spans="1:68" ht="13.2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>
        <f t="shared" ref="AP1269:AQ1269" si="1262">AR1269+AT1269+AV1269</f>
        <v>0</v>
      </c>
      <c r="AQ1269" s="75">
        <f t="shared" si="1262"/>
        <v>0</v>
      </c>
      <c r="AR1269" s="75"/>
      <c r="AS1269" s="75"/>
      <c r="AT1269" s="75"/>
      <c r="AU1269" s="75"/>
      <c r="AV1269" s="75"/>
      <c r="AW1269" s="75"/>
      <c r="AX1269" s="75"/>
      <c r="AY1269" s="67">
        <f t="shared" ca="1" si="1"/>
        <v>0</v>
      </c>
      <c r="AZ1269" s="75"/>
      <c r="BA1269" s="67">
        <f t="shared" ca="1" si="2"/>
        <v>0</v>
      </c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8"/>
      <c r="BL1269" s="78">
        <f t="shared" ca="1" si="3"/>
        <v>0</v>
      </c>
      <c r="BM1269" s="78"/>
      <c r="BN1269" s="78">
        <f t="shared" ca="1" si="4"/>
        <v>0</v>
      </c>
      <c r="BO1269" s="66"/>
      <c r="BP1269" s="66"/>
    </row>
    <row r="1270" spans="1:68" ht="13.2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>
        <f t="shared" ref="AP1270:AQ1270" si="1263">AR1270+AT1270+AV1270</f>
        <v>0</v>
      </c>
      <c r="AQ1270" s="75">
        <f t="shared" si="1263"/>
        <v>0</v>
      </c>
      <c r="AR1270" s="75"/>
      <c r="AS1270" s="75"/>
      <c r="AT1270" s="75"/>
      <c r="AU1270" s="75"/>
      <c r="AV1270" s="75"/>
      <c r="AW1270" s="75"/>
      <c r="AX1270" s="75"/>
      <c r="AY1270" s="67">
        <f t="shared" ca="1" si="1"/>
        <v>0</v>
      </c>
      <c r="AZ1270" s="75"/>
      <c r="BA1270" s="67">
        <f t="shared" ca="1" si="2"/>
        <v>0</v>
      </c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8"/>
      <c r="BL1270" s="78">
        <f t="shared" ca="1" si="3"/>
        <v>0</v>
      </c>
      <c r="BM1270" s="78"/>
      <c r="BN1270" s="78">
        <f t="shared" ca="1" si="4"/>
        <v>0</v>
      </c>
      <c r="BO1270" s="66"/>
      <c r="BP1270" s="66"/>
    </row>
    <row r="1271" spans="1:68" ht="13.2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>
        <f t="shared" ref="AP1271:AQ1271" si="1264">AR1271+AT1271+AV1271</f>
        <v>0</v>
      </c>
      <c r="AQ1271" s="75">
        <f t="shared" si="1264"/>
        <v>0</v>
      </c>
      <c r="AR1271" s="75"/>
      <c r="AS1271" s="75"/>
      <c r="AT1271" s="75"/>
      <c r="AU1271" s="75"/>
      <c r="AV1271" s="75"/>
      <c r="AW1271" s="75"/>
      <c r="AX1271" s="75"/>
      <c r="AY1271" s="67">
        <f t="shared" ca="1" si="1"/>
        <v>0</v>
      </c>
      <c r="AZ1271" s="75"/>
      <c r="BA1271" s="67">
        <f t="shared" ca="1" si="2"/>
        <v>0</v>
      </c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8"/>
      <c r="BL1271" s="78">
        <f t="shared" ca="1" si="3"/>
        <v>0</v>
      </c>
      <c r="BM1271" s="78"/>
      <c r="BN1271" s="78">
        <f t="shared" ca="1" si="4"/>
        <v>0</v>
      </c>
      <c r="BO1271" s="66"/>
      <c r="BP1271" s="66"/>
    </row>
    <row r="1272" spans="1:68" ht="13.2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>
        <f t="shared" ref="AP1272:AQ1272" si="1265">AR1272+AT1272+AV1272</f>
        <v>0</v>
      </c>
      <c r="AQ1272" s="75">
        <f t="shared" si="1265"/>
        <v>0</v>
      </c>
      <c r="AR1272" s="75"/>
      <c r="AS1272" s="75"/>
      <c r="AT1272" s="75"/>
      <c r="AU1272" s="75"/>
      <c r="AV1272" s="75"/>
      <c r="AW1272" s="75"/>
      <c r="AX1272" s="75"/>
      <c r="AY1272" s="67">
        <f t="shared" ca="1" si="1"/>
        <v>0</v>
      </c>
      <c r="AZ1272" s="75"/>
      <c r="BA1272" s="67">
        <f t="shared" ca="1" si="2"/>
        <v>0</v>
      </c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8"/>
      <c r="BL1272" s="78">
        <f t="shared" ca="1" si="3"/>
        <v>0</v>
      </c>
      <c r="BM1272" s="78"/>
      <c r="BN1272" s="78">
        <f t="shared" ca="1" si="4"/>
        <v>0</v>
      </c>
      <c r="BO1272" s="66"/>
      <c r="BP1272" s="66"/>
    </row>
    <row r="1273" spans="1:68" ht="13.2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>
        <f t="shared" ref="AP1273:AQ1273" si="1266">AR1273+AT1273+AV1273</f>
        <v>0</v>
      </c>
      <c r="AQ1273" s="75">
        <f t="shared" si="1266"/>
        <v>0</v>
      </c>
      <c r="AR1273" s="75"/>
      <c r="AS1273" s="75"/>
      <c r="AT1273" s="75"/>
      <c r="AU1273" s="75"/>
      <c r="AV1273" s="75"/>
      <c r="AW1273" s="75"/>
      <c r="AX1273" s="75"/>
      <c r="AY1273" s="67">
        <f t="shared" ca="1" si="1"/>
        <v>0</v>
      </c>
      <c r="AZ1273" s="75"/>
      <c r="BA1273" s="67">
        <f t="shared" ca="1" si="2"/>
        <v>0</v>
      </c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8"/>
      <c r="BL1273" s="78">
        <f t="shared" ca="1" si="3"/>
        <v>0</v>
      </c>
      <c r="BM1273" s="78"/>
      <c r="BN1273" s="78">
        <f t="shared" ca="1" si="4"/>
        <v>0</v>
      </c>
      <c r="BO1273" s="66"/>
      <c r="BP1273" s="66"/>
    </row>
    <row r="1274" spans="1:68" ht="13.2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>
        <f t="shared" ref="AP1274:AQ1274" si="1267">AR1274+AT1274+AV1274</f>
        <v>0</v>
      </c>
      <c r="AQ1274" s="75">
        <f t="shared" si="1267"/>
        <v>0</v>
      </c>
      <c r="AR1274" s="75"/>
      <c r="AS1274" s="75"/>
      <c r="AT1274" s="75"/>
      <c r="AU1274" s="75"/>
      <c r="AV1274" s="75"/>
      <c r="AW1274" s="75"/>
      <c r="AX1274" s="75"/>
      <c r="AY1274" s="67">
        <f t="shared" ca="1" si="1"/>
        <v>0</v>
      </c>
      <c r="AZ1274" s="75"/>
      <c r="BA1274" s="67">
        <f t="shared" ca="1" si="2"/>
        <v>0</v>
      </c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8"/>
      <c r="BL1274" s="78">
        <f t="shared" ca="1" si="3"/>
        <v>0</v>
      </c>
      <c r="BM1274" s="78"/>
      <c r="BN1274" s="78">
        <f t="shared" ca="1" si="4"/>
        <v>0</v>
      </c>
      <c r="BO1274" s="66"/>
      <c r="BP1274" s="66"/>
    </row>
    <row r="1275" spans="1:68" ht="13.2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>
        <f t="shared" ref="AP1275:AQ1275" si="1268">AR1275+AT1275+AV1275</f>
        <v>0</v>
      </c>
      <c r="AQ1275" s="75">
        <f t="shared" si="1268"/>
        <v>0</v>
      </c>
      <c r="AR1275" s="75"/>
      <c r="AS1275" s="75"/>
      <c r="AT1275" s="75"/>
      <c r="AU1275" s="75"/>
      <c r="AV1275" s="75"/>
      <c r="AW1275" s="75"/>
      <c r="AX1275" s="75"/>
      <c r="AY1275" s="67">
        <f t="shared" ca="1" si="1"/>
        <v>0</v>
      </c>
      <c r="AZ1275" s="75"/>
      <c r="BA1275" s="67">
        <f t="shared" ca="1" si="2"/>
        <v>0</v>
      </c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8"/>
      <c r="BL1275" s="78">
        <f t="shared" ca="1" si="3"/>
        <v>0</v>
      </c>
      <c r="BM1275" s="78"/>
      <c r="BN1275" s="78">
        <f t="shared" ca="1" si="4"/>
        <v>0</v>
      </c>
      <c r="BO1275" s="66"/>
      <c r="BP1275" s="66"/>
    </row>
    <row r="1276" spans="1:68" ht="13.2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>
        <f t="shared" ref="AP1276:AQ1276" si="1269">AR1276+AT1276+AV1276</f>
        <v>0</v>
      </c>
      <c r="AQ1276" s="75">
        <f t="shared" si="1269"/>
        <v>0</v>
      </c>
      <c r="AR1276" s="75"/>
      <c r="AS1276" s="75"/>
      <c r="AT1276" s="75"/>
      <c r="AU1276" s="75"/>
      <c r="AV1276" s="75"/>
      <c r="AW1276" s="75"/>
      <c r="AX1276" s="75"/>
      <c r="AY1276" s="67">
        <f t="shared" ca="1" si="1"/>
        <v>0</v>
      </c>
      <c r="AZ1276" s="75"/>
      <c r="BA1276" s="67">
        <f t="shared" ca="1" si="2"/>
        <v>0</v>
      </c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8"/>
      <c r="BL1276" s="78">
        <f t="shared" ca="1" si="3"/>
        <v>0</v>
      </c>
      <c r="BM1276" s="78"/>
      <c r="BN1276" s="78">
        <f t="shared" ca="1" si="4"/>
        <v>0</v>
      </c>
      <c r="BO1276" s="66"/>
      <c r="BP1276" s="66"/>
    </row>
    <row r="1277" spans="1:68" ht="13.2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>
        <f t="shared" ref="AP1277:AQ1277" si="1270">AR1277+AT1277+AV1277</f>
        <v>0</v>
      </c>
      <c r="AQ1277" s="75">
        <f t="shared" si="1270"/>
        <v>0</v>
      </c>
      <c r="AR1277" s="75"/>
      <c r="AS1277" s="75"/>
      <c r="AT1277" s="75"/>
      <c r="AU1277" s="75"/>
      <c r="AV1277" s="75"/>
      <c r="AW1277" s="75"/>
      <c r="AX1277" s="75"/>
      <c r="AY1277" s="67">
        <f t="shared" ca="1" si="1"/>
        <v>0</v>
      </c>
      <c r="AZ1277" s="75"/>
      <c r="BA1277" s="67">
        <f t="shared" ca="1" si="2"/>
        <v>0</v>
      </c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8"/>
      <c r="BL1277" s="78">
        <f t="shared" ca="1" si="3"/>
        <v>0</v>
      </c>
      <c r="BM1277" s="78"/>
      <c r="BN1277" s="78">
        <f t="shared" ca="1" si="4"/>
        <v>0</v>
      </c>
      <c r="BO1277" s="66"/>
      <c r="BP1277" s="66"/>
    </row>
    <row r="1278" spans="1:68" ht="13.2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>
        <f t="shared" ref="AP1278:AQ1278" si="1271">AR1278+AT1278+AV1278</f>
        <v>0</v>
      </c>
      <c r="AQ1278" s="75">
        <f t="shared" si="1271"/>
        <v>0</v>
      </c>
      <c r="AR1278" s="75"/>
      <c r="AS1278" s="75"/>
      <c r="AT1278" s="75"/>
      <c r="AU1278" s="75"/>
      <c r="AV1278" s="75"/>
      <c r="AW1278" s="75"/>
      <c r="AX1278" s="75"/>
      <c r="AY1278" s="67">
        <f t="shared" ca="1" si="1"/>
        <v>0</v>
      </c>
      <c r="AZ1278" s="75"/>
      <c r="BA1278" s="67">
        <f t="shared" ca="1" si="2"/>
        <v>0</v>
      </c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8"/>
      <c r="BL1278" s="78">
        <f t="shared" ca="1" si="3"/>
        <v>0</v>
      </c>
      <c r="BM1278" s="78"/>
      <c r="BN1278" s="78">
        <f t="shared" ca="1" si="4"/>
        <v>0</v>
      </c>
      <c r="BO1278" s="66"/>
      <c r="BP1278" s="66"/>
    </row>
    <row r="1279" spans="1:68" ht="13.2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>
        <f t="shared" ref="AP1279:AQ1279" si="1272">AR1279+AT1279+AV1279</f>
        <v>0</v>
      </c>
      <c r="AQ1279" s="75">
        <f t="shared" si="1272"/>
        <v>0</v>
      </c>
      <c r="AR1279" s="75"/>
      <c r="AS1279" s="75"/>
      <c r="AT1279" s="75"/>
      <c r="AU1279" s="75"/>
      <c r="AV1279" s="75"/>
      <c r="AW1279" s="75"/>
      <c r="AX1279" s="75"/>
      <c r="AY1279" s="67">
        <f t="shared" ca="1" si="1"/>
        <v>0</v>
      </c>
      <c r="AZ1279" s="75"/>
      <c r="BA1279" s="67">
        <f t="shared" ca="1" si="2"/>
        <v>0</v>
      </c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8"/>
      <c r="BL1279" s="78">
        <f t="shared" ca="1" si="3"/>
        <v>0</v>
      </c>
      <c r="BM1279" s="78"/>
      <c r="BN1279" s="78">
        <f t="shared" ca="1" si="4"/>
        <v>0</v>
      </c>
      <c r="BO1279" s="66"/>
      <c r="BP1279" s="66"/>
    </row>
    <row r="1280" spans="1:68" ht="13.2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>
        <f t="shared" ref="AP1280:AQ1280" si="1273">AR1280+AT1280+AV1280</f>
        <v>0</v>
      </c>
      <c r="AQ1280" s="75">
        <f t="shared" si="1273"/>
        <v>0</v>
      </c>
      <c r="AR1280" s="75"/>
      <c r="AS1280" s="75"/>
      <c r="AT1280" s="75"/>
      <c r="AU1280" s="75"/>
      <c r="AV1280" s="75"/>
      <c r="AW1280" s="75"/>
      <c r="AX1280" s="75"/>
      <c r="AY1280" s="67">
        <f t="shared" ca="1" si="1"/>
        <v>0</v>
      </c>
      <c r="AZ1280" s="75"/>
      <c r="BA1280" s="67">
        <f t="shared" ca="1" si="2"/>
        <v>0</v>
      </c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8"/>
      <c r="BL1280" s="78">
        <f t="shared" ca="1" si="3"/>
        <v>0</v>
      </c>
      <c r="BM1280" s="78"/>
      <c r="BN1280" s="78">
        <f t="shared" ca="1" si="4"/>
        <v>0</v>
      </c>
      <c r="BO1280" s="66"/>
      <c r="BP1280" s="66"/>
    </row>
    <row r="1281" spans="1:68" ht="13.2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>
        <f t="shared" ref="AP1281:AQ1281" si="1274">AR1281+AT1281+AV1281</f>
        <v>0</v>
      </c>
      <c r="AQ1281" s="75">
        <f t="shared" si="1274"/>
        <v>0</v>
      </c>
      <c r="AR1281" s="75"/>
      <c r="AS1281" s="75"/>
      <c r="AT1281" s="75"/>
      <c r="AU1281" s="75"/>
      <c r="AV1281" s="75"/>
      <c r="AW1281" s="75"/>
      <c r="AX1281" s="75"/>
      <c r="AY1281" s="67">
        <f t="shared" ca="1" si="1"/>
        <v>0</v>
      </c>
      <c r="AZ1281" s="75"/>
      <c r="BA1281" s="67">
        <f t="shared" ca="1" si="2"/>
        <v>0</v>
      </c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8"/>
      <c r="BL1281" s="78">
        <f t="shared" ca="1" si="3"/>
        <v>0</v>
      </c>
      <c r="BM1281" s="78"/>
      <c r="BN1281" s="78">
        <f t="shared" ca="1" si="4"/>
        <v>0</v>
      </c>
      <c r="BO1281" s="66"/>
      <c r="BP1281" s="66"/>
    </row>
    <row r="1282" spans="1:68" ht="13.2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>
        <f t="shared" ref="AP1282:AQ1282" si="1275">AR1282+AT1282+AV1282</f>
        <v>0</v>
      </c>
      <c r="AQ1282" s="75">
        <f t="shared" si="1275"/>
        <v>0</v>
      </c>
      <c r="AR1282" s="75"/>
      <c r="AS1282" s="75"/>
      <c r="AT1282" s="75"/>
      <c r="AU1282" s="75"/>
      <c r="AV1282" s="75"/>
      <c r="AW1282" s="75"/>
      <c r="AX1282" s="75"/>
      <c r="AY1282" s="67">
        <f t="shared" ca="1" si="1"/>
        <v>0</v>
      </c>
      <c r="AZ1282" s="75"/>
      <c r="BA1282" s="67">
        <f t="shared" ca="1" si="2"/>
        <v>0</v>
      </c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8"/>
      <c r="BL1282" s="78">
        <f t="shared" ca="1" si="3"/>
        <v>0</v>
      </c>
      <c r="BM1282" s="78"/>
      <c r="BN1282" s="78">
        <f t="shared" ca="1" si="4"/>
        <v>0</v>
      </c>
      <c r="BO1282" s="66"/>
      <c r="BP1282" s="66"/>
    </row>
    <row r="1283" spans="1:68" ht="13.2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>
        <f t="shared" ref="AP1283:AQ1283" si="1276">AR1283+AT1283+AV1283</f>
        <v>0</v>
      </c>
      <c r="AQ1283" s="75">
        <f t="shared" si="1276"/>
        <v>0</v>
      </c>
      <c r="AR1283" s="75"/>
      <c r="AS1283" s="75"/>
      <c r="AT1283" s="75"/>
      <c r="AU1283" s="75"/>
      <c r="AV1283" s="75"/>
      <c r="AW1283" s="75"/>
      <c r="AX1283" s="75"/>
      <c r="AY1283" s="67">
        <f t="shared" ca="1" si="1"/>
        <v>0</v>
      </c>
      <c r="AZ1283" s="75"/>
      <c r="BA1283" s="67">
        <f t="shared" ca="1" si="2"/>
        <v>0</v>
      </c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8"/>
      <c r="BL1283" s="78">
        <f t="shared" ca="1" si="3"/>
        <v>0</v>
      </c>
      <c r="BM1283" s="78"/>
      <c r="BN1283" s="78">
        <f t="shared" ca="1" si="4"/>
        <v>0</v>
      </c>
      <c r="BO1283" s="66"/>
      <c r="BP1283" s="66"/>
    </row>
    <row r="1284" spans="1:68" ht="13.2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>
        <f t="shared" ref="AP1284:AQ1284" si="1277">AR1284+AT1284+AV1284</f>
        <v>0</v>
      </c>
      <c r="AQ1284" s="75">
        <f t="shared" si="1277"/>
        <v>0</v>
      </c>
      <c r="AR1284" s="75"/>
      <c r="AS1284" s="75"/>
      <c r="AT1284" s="75"/>
      <c r="AU1284" s="75"/>
      <c r="AV1284" s="75"/>
      <c r="AW1284" s="75"/>
      <c r="AX1284" s="75"/>
      <c r="AY1284" s="67">
        <f t="shared" ca="1" si="1"/>
        <v>0</v>
      </c>
      <c r="AZ1284" s="75"/>
      <c r="BA1284" s="67">
        <f t="shared" ca="1" si="2"/>
        <v>0</v>
      </c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8"/>
      <c r="BL1284" s="78">
        <f t="shared" ca="1" si="3"/>
        <v>0</v>
      </c>
      <c r="BM1284" s="78"/>
      <c r="BN1284" s="78">
        <f t="shared" ca="1" si="4"/>
        <v>0</v>
      </c>
      <c r="BO1284" s="66"/>
      <c r="BP1284" s="66"/>
    </row>
    <row r="1285" spans="1:68" ht="13.2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>
        <f t="shared" ref="AP1285:AQ1285" si="1278">AR1285+AT1285+AV1285</f>
        <v>0</v>
      </c>
      <c r="AQ1285" s="75">
        <f t="shared" si="1278"/>
        <v>0</v>
      </c>
      <c r="AR1285" s="75"/>
      <c r="AS1285" s="75"/>
      <c r="AT1285" s="75"/>
      <c r="AU1285" s="75"/>
      <c r="AV1285" s="75"/>
      <c r="AW1285" s="75"/>
      <c r="AX1285" s="75"/>
      <c r="AY1285" s="67">
        <f t="shared" ca="1" si="1"/>
        <v>0</v>
      </c>
      <c r="AZ1285" s="75"/>
      <c r="BA1285" s="67">
        <f t="shared" ca="1" si="2"/>
        <v>0</v>
      </c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8"/>
      <c r="BL1285" s="78">
        <f t="shared" ca="1" si="3"/>
        <v>0</v>
      </c>
      <c r="BM1285" s="78"/>
      <c r="BN1285" s="78">
        <f t="shared" ca="1" si="4"/>
        <v>0</v>
      </c>
      <c r="BO1285" s="66"/>
      <c r="BP1285" s="66"/>
    </row>
    <row r="1286" spans="1:68" ht="13.2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>
        <f t="shared" ref="AP1286:AQ1286" si="1279">AR1286+AT1286+AV1286</f>
        <v>0</v>
      </c>
      <c r="AQ1286" s="75">
        <f t="shared" si="1279"/>
        <v>0</v>
      </c>
      <c r="AR1286" s="75"/>
      <c r="AS1286" s="75"/>
      <c r="AT1286" s="75"/>
      <c r="AU1286" s="75"/>
      <c r="AV1286" s="75"/>
      <c r="AW1286" s="75"/>
      <c r="AX1286" s="75"/>
      <c r="AY1286" s="67">
        <f t="shared" ca="1" si="1"/>
        <v>0</v>
      </c>
      <c r="AZ1286" s="75"/>
      <c r="BA1286" s="67">
        <f t="shared" ca="1" si="2"/>
        <v>0</v>
      </c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8"/>
      <c r="BL1286" s="78">
        <f t="shared" ca="1" si="3"/>
        <v>0</v>
      </c>
      <c r="BM1286" s="78"/>
      <c r="BN1286" s="78">
        <f t="shared" ca="1" si="4"/>
        <v>0</v>
      </c>
      <c r="BO1286" s="66"/>
      <c r="BP1286" s="66"/>
    </row>
    <row r="1287" spans="1:68" ht="13.2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>
        <f t="shared" ref="AP1287:AQ1287" si="1280">AR1287+AT1287+AV1287</f>
        <v>0</v>
      </c>
      <c r="AQ1287" s="75">
        <f t="shared" si="1280"/>
        <v>0</v>
      </c>
      <c r="AR1287" s="75"/>
      <c r="AS1287" s="75"/>
      <c r="AT1287" s="75"/>
      <c r="AU1287" s="75"/>
      <c r="AV1287" s="75"/>
      <c r="AW1287" s="75"/>
      <c r="AX1287" s="75"/>
      <c r="AY1287" s="67">
        <f t="shared" ca="1" si="1"/>
        <v>0</v>
      </c>
      <c r="AZ1287" s="75"/>
      <c r="BA1287" s="67">
        <f t="shared" ca="1" si="2"/>
        <v>0</v>
      </c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8"/>
      <c r="BL1287" s="78">
        <f t="shared" ca="1" si="3"/>
        <v>0</v>
      </c>
      <c r="BM1287" s="78"/>
      <c r="BN1287" s="78">
        <f t="shared" ca="1" si="4"/>
        <v>0</v>
      </c>
      <c r="BO1287" s="66"/>
      <c r="BP1287" s="66"/>
    </row>
    <row r="1288" spans="1:68" ht="13.2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>
        <f t="shared" ref="AP1288:AQ1288" si="1281">AR1288+AT1288+AV1288</f>
        <v>0</v>
      </c>
      <c r="AQ1288" s="75">
        <f t="shared" si="1281"/>
        <v>0</v>
      </c>
      <c r="AR1288" s="75"/>
      <c r="AS1288" s="75"/>
      <c r="AT1288" s="75"/>
      <c r="AU1288" s="75"/>
      <c r="AV1288" s="75"/>
      <c r="AW1288" s="75"/>
      <c r="AX1288" s="75"/>
      <c r="AY1288" s="67">
        <f t="shared" ca="1" si="1"/>
        <v>0</v>
      </c>
      <c r="AZ1288" s="75"/>
      <c r="BA1288" s="67">
        <f t="shared" ca="1" si="2"/>
        <v>0</v>
      </c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8"/>
      <c r="BL1288" s="78">
        <f t="shared" ca="1" si="3"/>
        <v>0</v>
      </c>
      <c r="BM1288" s="78"/>
      <c r="BN1288" s="78">
        <f t="shared" ca="1" si="4"/>
        <v>0</v>
      </c>
      <c r="BO1288" s="66"/>
      <c r="BP1288" s="66"/>
    </row>
    <row r="1289" spans="1:68" ht="13.2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>
        <f t="shared" ref="AP1289:AQ1289" si="1282">AR1289+AT1289+AV1289</f>
        <v>0</v>
      </c>
      <c r="AQ1289" s="75">
        <f t="shared" si="1282"/>
        <v>0</v>
      </c>
      <c r="AR1289" s="75"/>
      <c r="AS1289" s="75"/>
      <c r="AT1289" s="75"/>
      <c r="AU1289" s="75"/>
      <c r="AV1289" s="75"/>
      <c r="AW1289" s="75"/>
      <c r="AX1289" s="75"/>
      <c r="AY1289" s="67">
        <f t="shared" ca="1" si="1"/>
        <v>0</v>
      </c>
      <c r="AZ1289" s="75"/>
      <c r="BA1289" s="67">
        <f t="shared" ca="1" si="2"/>
        <v>0</v>
      </c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8"/>
      <c r="BL1289" s="78">
        <f t="shared" ca="1" si="3"/>
        <v>0</v>
      </c>
      <c r="BM1289" s="78"/>
      <c r="BN1289" s="78">
        <f t="shared" ca="1" si="4"/>
        <v>0</v>
      </c>
      <c r="BO1289" s="66"/>
      <c r="BP1289" s="66"/>
    </row>
    <row r="1290" spans="1:68" ht="13.2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>
        <f t="shared" ref="AP1290:AQ1290" si="1283">AR1290+AT1290+AV1290</f>
        <v>0</v>
      </c>
      <c r="AQ1290" s="75">
        <f t="shared" si="1283"/>
        <v>0</v>
      </c>
      <c r="AR1290" s="75"/>
      <c r="AS1290" s="75"/>
      <c r="AT1290" s="75"/>
      <c r="AU1290" s="75"/>
      <c r="AV1290" s="75"/>
      <c r="AW1290" s="75"/>
      <c r="AX1290" s="75"/>
      <c r="AY1290" s="67">
        <f t="shared" ca="1" si="1"/>
        <v>0</v>
      </c>
      <c r="AZ1290" s="75"/>
      <c r="BA1290" s="67">
        <f t="shared" ca="1" si="2"/>
        <v>0</v>
      </c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8"/>
      <c r="BL1290" s="78">
        <f t="shared" ca="1" si="3"/>
        <v>0</v>
      </c>
      <c r="BM1290" s="78"/>
      <c r="BN1290" s="78">
        <f t="shared" ca="1" si="4"/>
        <v>0</v>
      </c>
      <c r="BO1290" s="66"/>
      <c r="BP1290" s="66"/>
    </row>
    <row r="1291" spans="1:68" ht="13.2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>
        <f t="shared" ref="AP1291:AQ1291" si="1284">AR1291+AT1291+AV1291</f>
        <v>0</v>
      </c>
      <c r="AQ1291" s="75">
        <f t="shared" si="1284"/>
        <v>0</v>
      </c>
      <c r="AR1291" s="75"/>
      <c r="AS1291" s="75"/>
      <c r="AT1291" s="75"/>
      <c r="AU1291" s="75"/>
      <c r="AV1291" s="75"/>
      <c r="AW1291" s="75"/>
      <c r="AX1291" s="75"/>
      <c r="AY1291" s="67">
        <f t="shared" ca="1" si="1"/>
        <v>0</v>
      </c>
      <c r="AZ1291" s="75"/>
      <c r="BA1291" s="67">
        <f t="shared" ca="1" si="2"/>
        <v>0</v>
      </c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8"/>
      <c r="BL1291" s="78">
        <f t="shared" ca="1" si="3"/>
        <v>0</v>
      </c>
      <c r="BM1291" s="78"/>
      <c r="BN1291" s="78">
        <f t="shared" ca="1" si="4"/>
        <v>0</v>
      </c>
      <c r="BO1291" s="66"/>
      <c r="BP1291" s="66"/>
    </row>
    <row r="1292" spans="1:68" ht="13.2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>
        <f t="shared" ref="AP1292:AQ1292" si="1285">AR1292+AT1292+AV1292</f>
        <v>0</v>
      </c>
      <c r="AQ1292" s="75">
        <f t="shared" si="1285"/>
        <v>0</v>
      </c>
      <c r="AR1292" s="75"/>
      <c r="AS1292" s="75"/>
      <c r="AT1292" s="75"/>
      <c r="AU1292" s="75"/>
      <c r="AV1292" s="75"/>
      <c r="AW1292" s="75"/>
      <c r="AX1292" s="75"/>
      <c r="AY1292" s="67">
        <f t="shared" ca="1" si="1"/>
        <v>0</v>
      </c>
      <c r="AZ1292" s="75"/>
      <c r="BA1292" s="67">
        <f t="shared" ca="1" si="2"/>
        <v>0</v>
      </c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8"/>
      <c r="BL1292" s="78">
        <f t="shared" ca="1" si="3"/>
        <v>0</v>
      </c>
      <c r="BM1292" s="78"/>
      <c r="BN1292" s="78">
        <f t="shared" ca="1" si="4"/>
        <v>0</v>
      </c>
      <c r="BO1292" s="66"/>
      <c r="BP1292" s="66"/>
    </row>
    <row r="1293" spans="1:68" ht="13.2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>
        <f t="shared" ref="AP1293:AQ1293" si="1286">AR1293+AT1293+AV1293</f>
        <v>0</v>
      </c>
      <c r="AQ1293" s="75">
        <f t="shared" si="1286"/>
        <v>0</v>
      </c>
      <c r="AR1293" s="75"/>
      <c r="AS1293" s="75"/>
      <c r="AT1293" s="75"/>
      <c r="AU1293" s="75"/>
      <c r="AV1293" s="75"/>
      <c r="AW1293" s="75"/>
      <c r="AX1293" s="75"/>
      <c r="AY1293" s="67">
        <f t="shared" ca="1" si="1"/>
        <v>0</v>
      </c>
      <c r="AZ1293" s="75"/>
      <c r="BA1293" s="67">
        <f t="shared" ca="1" si="2"/>
        <v>0</v>
      </c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8"/>
      <c r="BL1293" s="78">
        <f t="shared" ca="1" si="3"/>
        <v>0</v>
      </c>
      <c r="BM1293" s="78"/>
      <c r="BN1293" s="78">
        <f t="shared" ca="1" si="4"/>
        <v>0</v>
      </c>
      <c r="BO1293" s="66"/>
      <c r="BP1293" s="66"/>
    </row>
    <row r="1294" spans="1:68" ht="13.2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>
        <f t="shared" ref="AP1294:AQ1294" si="1287">AR1294+AT1294+AV1294</f>
        <v>0</v>
      </c>
      <c r="AQ1294" s="75">
        <f t="shared" si="1287"/>
        <v>0</v>
      </c>
      <c r="AR1294" s="75"/>
      <c r="AS1294" s="75"/>
      <c r="AT1294" s="75"/>
      <c r="AU1294" s="75"/>
      <c r="AV1294" s="75"/>
      <c r="AW1294" s="75"/>
      <c r="AX1294" s="75"/>
      <c r="AY1294" s="67">
        <f t="shared" ca="1" si="1"/>
        <v>0</v>
      </c>
      <c r="AZ1294" s="75"/>
      <c r="BA1294" s="67">
        <f t="shared" ca="1" si="2"/>
        <v>0</v>
      </c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8"/>
      <c r="BL1294" s="78">
        <f t="shared" ca="1" si="3"/>
        <v>0</v>
      </c>
      <c r="BM1294" s="78"/>
      <c r="BN1294" s="78">
        <f t="shared" ca="1" si="4"/>
        <v>0</v>
      </c>
      <c r="BO1294" s="66"/>
      <c r="BP1294" s="66"/>
    </row>
    <row r="1295" spans="1:68" ht="13.2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>
        <f t="shared" ref="AP1295:AQ1295" si="1288">AR1295+AT1295+AV1295</f>
        <v>0</v>
      </c>
      <c r="AQ1295" s="75">
        <f t="shared" si="1288"/>
        <v>0</v>
      </c>
      <c r="AR1295" s="75"/>
      <c r="AS1295" s="75"/>
      <c r="AT1295" s="75"/>
      <c r="AU1295" s="75"/>
      <c r="AV1295" s="75"/>
      <c r="AW1295" s="75"/>
      <c r="AX1295" s="75"/>
      <c r="AY1295" s="67">
        <f t="shared" ca="1" si="1"/>
        <v>0</v>
      </c>
      <c r="AZ1295" s="75"/>
      <c r="BA1295" s="67">
        <f t="shared" ca="1" si="2"/>
        <v>0</v>
      </c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8"/>
      <c r="BL1295" s="78">
        <f t="shared" ca="1" si="3"/>
        <v>0</v>
      </c>
      <c r="BM1295" s="78"/>
      <c r="BN1295" s="78">
        <f t="shared" ca="1" si="4"/>
        <v>0</v>
      </c>
      <c r="BO1295" s="66"/>
      <c r="BP1295" s="66"/>
    </row>
    <row r="1296" spans="1:68" ht="13.2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>
        <f t="shared" ref="AP1296:AQ1296" si="1289">AR1296+AT1296+AV1296</f>
        <v>0</v>
      </c>
      <c r="AQ1296" s="75">
        <f t="shared" si="1289"/>
        <v>0</v>
      </c>
      <c r="AR1296" s="75"/>
      <c r="AS1296" s="75"/>
      <c r="AT1296" s="75"/>
      <c r="AU1296" s="75"/>
      <c r="AV1296" s="75"/>
      <c r="AW1296" s="75"/>
      <c r="AX1296" s="75"/>
      <c r="AY1296" s="67">
        <f t="shared" ca="1" si="1"/>
        <v>0</v>
      </c>
      <c r="AZ1296" s="75"/>
      <c r="BA1296" s="67">
        <f t="shared" ca="1" si="2"/>
        <v>0</v>
      </c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8"/>
      <c r="BL1296" s="78">
        <f t="shared" ca="1" si="3"/>
        <v>0</v>
      </c>
      <c r="BM1296" s="78"/>
      <c r="BN1296" s="78">
        <f t="shared" ca="1" si="4"/>
        <v>0</v>
      </c>
      <c r="BO1296" s="66"/>
      <c r="BP1296" s="66"/>
    </row>
    <row r="1297" spans="1:68" ht="13.2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>
        <f t="shared" ref="AP1297:AQ1297" si="1290">AR1297+AT1297+AV1297</f>
        <v>0</v>
      </c>
      <c r="AQ1297" s="75">
        <f t="shared" si="1290"/>
        <v>0</v>
      </c>
      <c r="AR1297" s="75"/>
      <c r="AS1297" s="75"/>
      <c r="AT1297" s="75"/>
      <c r="AU1297" s="75"/>
      <c r="AV1297" s="75"/>
      <c r="AW1297" s="75"/>
      <c r="AX1297" s="75"/>
      <c r="AY1297" s="67">
        <f t="shared" ca="1" si="1"/>
        <v>0</v>
      </c>
      <c r="AZ1297" s="75"/>
      <c r="BA1297" s="67">
        <f t="shared" ca="1" si="2"/>
        <v>0</v>
      </c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8"/>
      <c r="BL1297" s="78">
        <f t="shared" ca="1" si="3"/>
        <v>0</v>
      </c>
      <c r="BM1297" s="78"/>
      <c r="BN1297" s="78">
        <f t="shared" ca="1" si="4"/>
        <v>0</v>
      </c>
      <c r="BO1297" s="66"/>
      <c r="BP1297" s="66"/>
    </row>
    <row r="1298" spans="1:68" ht="13.2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>
        <f t="shared" ref="AP1298:AQ1298" si="1291">AR1298+AT1298+AV1298</f>
        <v>0</v>
      </c>
      <c r="AQ1298" s="75">
        <f t="shared" si="1291"/>
        <v>0</v>
      </c>
      <c r="AR1298" s="75"/>
      <c r="AS1298" s="75"/>
      <c r="AT1298" s="75"/>
      <c r="AU1298" s="75"/>
      <c r="AV1298" s="75"/>
      <c r="AW1298" s="75"/>
      <c r="AX1298" s="75"/>
      <c r="AY1298" s="67">
        <f t="shared" ca="1" si="1"/>
        <v>0</v>
      </c>
      <c r="AZ1298" s="75"/>
      <c r="BA1298" s="67">
        <f t="shared" ca="1" si="2"/>
        <v>0</v>
      </c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8"/>
      <c r="BL1298" s="78">
        <f t="shared" ca="1" si="3"/>
        <v>0</v>
      </c>
      <c r="BM1298" s="78"/>
      <c r="BN1298" s="78">
        <f t="shared" ca="1" si="4"/>
        <v>0</v>
      </c>
      <c r="BO1298" s="66"/>
      <c r="BP1298" s="66"/>
    </row>
    <row r="1299" spans="1:68" ht="13.2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>
        <f t="shared" ref="AP1299:AQ1299" si="1292">AR1299+AT1299+AV1299</f>
        <v>0</v>
      </c>
      <c r="AQ1299" s="75">
        <f t="shared" si="1292"/>
        <v>0</v>
      </c>
      <c r="AR1299" s="75"/>
      <c r="AS1299" s="75"/>
      <c r="AT1299" s="75"/>
      <c r="AU1299" s="75"/>
      <c r="AV1299" s="75"/>
      <c r="AW1299" s="75"/>
      <c r="AX1299" s="75"/>
      <c r="AY1299" s="67">
        <f t="shared" ca="1" si="1"/>
        <v>0</v>
      </c>
      <c r="AZ1299" s="75"/>
      <c r="BA1299" s="67">
        <f t="shared" ca="1" si="2"/>
        <v>0</v>
      </c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8"/>
      <c r="BL1299" s="78">
        <f t="shared" ca="1" si="3"/>
        <v>0</v>
      </c>
      <c r="BM1299" s="78"/>
      <c r="BN1299" s="78">
        <f t="shared" ca="1" si="4"/>
        <v>0</v>
      </c>
      <c r="BO1299" s="66"/>
      <c r="BP1299" s="66"/>
    </row>
    <row r="1300" spans="1:68" ht="13.2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>
        <f t="shared" ref="AP1300:AQ1300" si="1293">AR1300+AT1300+AV1300</f>
        <v>0</v>
      </c>
      <c r="AQ1300" s="75">
        <f t="shared" si="1293"/>
        <v>0</v>
      </c>
      <c r="AR1300" s="75"/>
      <c r="AS1300" s="75"/>
      <c r="AT1300" s="75"/>
      <c r="AU1300" s="75"/>
      <c r="AV1300" s="75"/>
      <c r="AW1300" s="75"/>
      <c r="AX1300" s="75"/>
      <c r="AY1300" s="67">
        <f t="shared" ca="1" si="1"/>
        <v>0</v>
      </c>
      <c r="AZ1300" s="75"/>
      <c r="BA1300" s="67">
        <f t="shared" ca="1" si="2"/>
        <v>0</v>
      </c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8"/>
      <c r="BL1300" s="78">
        <f t="shared" ca="1" si="3"/>
        <v>0</v>
      </c>
      <c r="BM1300" s="78"/>
      <c r="BN1300" s="78">
        <f t="shared" ca="1" si="4"/>
        <v>0</v>
      </c>
      <c r="BO1300" s="66"/>
      <c r="BP1300" s="66"/>
    </row>
    <row r="1301" spans="1:68" ht="13.2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>
        <f t="shared" ref="AP1301:AQ1301" si="1294">AR1301+AT1301+AV1301</f>
        <v>0</v>
      </c>
      <c r="AQ1301" s="75">
        <f t="shared" si="1294"/>
        <v>0</v>
      </c>
      <c r="AR1301" s="75"/>
      <c r="AS1301" s="75"/>
      <c r="AT1301" s="75"/>
      <c r="AU1301" s="75"/>
      <c r="AV1301" s="75"/>
      <c r="AW1301" s="75"/>
      <c r="AX1301" s="75"/>
      <c r="AY1301" s="67">
        <f t="shared" ca="1" si="1"/>
        <v>0</v>
      </c>
      <c r="AZ1301" s="75"/>
      <c r="BA1301" s="67">
        <f t="shared" ca="1" si="2"/>
        <v>0</v>
      </c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8"/>
      <c r="BL1301" s="78">
        <f t="shared" ca="1" si="3"/>
        <v>0</v>
      </c>
      <c r="BM1301" s="78"/>
      <c r="BN1301" s="78">
        <f t="shared" ca="1" si="4"/>
        <v>0</v>
      </c>
      <c r="BO1301" s="66"/>
      <c r="BP1301" s="66"/>
    </row>
    <row r="1302" spans="1:68" ht="13.2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>
        <f t="shared" ref="AP1302:AQ1302" si="1295">AR1302+AT1302+AV1302</f>
        <v>0</v>
      </c>
      <c r="AQ1302" s="75">
        <f t="shared" si="1295"/>
        <v>0</v>
      </c>
      <c r="AR1302" s="75"/>
      <c r="AS1302" s="75"/>
      <c r="AT1302" s="75"/>
      <c r="AU1302" s="75"/>
      <c r="AV1302" s="75"/>
      <c r="AW1302" s="75"/>
      <c r="AX1302" s="75"/>
      <c r="AY1302" s="67">
        <f t="shared" ca="1" si="1"/>
        <v>0</v>
      </c>
      <c r="AZ1302" s="75"/>
      <c r="BA1302" s="67">
        <f t="shared" ca="1" si="2"/>
        <v>0</v>
      </c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8"/>
      <c r="BL1302" s="78">
        <f t="shared" ca="1" si="3"/>
        <v>0</v>
      </c>
      <c r="BM1302" s="78"/>
      <c r="BN1302" s="78">
        <f t="shared" ca="1" si="4"/>
        <v>0</v>
      </c>
      <c r="BO1302" s="66"/>
      <c r="BP1302" s="66"/>
    </row>
    <row r="1303" spans="1:68" ht="13.2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>
        <f t="shared" ref="AP1303:AQ1303" si="1296">AR1303+AT1303+AV1303</f>
        <v>0</v>
      </c>
      <c r="AQ1303" s="75">
        <f t="shared" si="1296"/>
        <v>0</v>
      </c>
      <c r="AR1303" s="75"/>
      <c r="AS1303" s="75"/>
      <c r="AT1303" s="75"/>
      <c r="AU1303" s="75"/>
      <c r="AV1303" s="75"/>
      <c r="AW1303" s="75"/>
      <c r="AX1303" s="75"/>
      <c r="AY1303" s="67">
        <f t="shared" ca="1" si="1"/>
        <v>0</v>
      </c>
      <c r="AZ1303" s="75"/>
      <c r="BA1303" s="67">
        <f t="shared" ca="1" si="2"/>
        <v>0</v>
      </c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8"/>
      <c r="BL1303" s="78">
        <f t="shared" ca="1" si="3"/>
        <v>0</v>
      </c>
      <c r="BM1303" s="78"/>
      <c r="BN1303" s="78">
        <f t="shared" ca="1" si="4"/>
        <v>0</v>
      </c>
      <c r="BO1303" s="66"/>
      <c r="BP1303" s="66"/>
    </row>
    <row r="1304" spans="1:68" ht="13.2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>
        <f t="shared" ref="AP1304:AQ1304" si="1297">AR1304+AT1304+AV1304</f>
        <v>0</v>
      </c>
      <c r="AQ1304" s="75">
        <f t="shared" si="1297"/>
        <v>0</v>
      </c>
      <c r="AR1304" s="75"/>
      <c r="AS1304" s="75"/>
      <c r="AT1304" s="75"/>
      <c r="AU1304" s="75"/>
      <c r="AV1304" s="75"/>
      <c r="AW1304" s="75"/>
      <c r="AX1304" s="75"/>
      <c r="AY1304" s="67">
        <f t="shared" ca="1" si="1"/>
        <v>0</v>
      </c>
      <c r="AZ1304" s="75"/>
      <c r="BA1304" s="67">
        <f t="shared" ca="1" si="2"/>
        <v>0</v>
      </c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8"/>
      <c r="BL1304" s="78">
        <f t="shared" ca="1" si="3"/>
        <v>0</v>
      </c>
      <c r="BM1304" s="78"/>
      <c r="BN1304" s="78">
        <f t="shared" ca="1" si="4"/>
        <v>0</v>
      </c>
      <c r="BO1304" s="66"/>
      <c r="BP1304" s="66"/>
    </row>
    <row r="1305" spans="1:68" ht="13.2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>
        <f t="shared" ref="AP1305:AQ1305" si="1298">AR1305+AT1305+AV1305</f>
        <v>0</v>
      </c>
      <c r="AQ1305" s="75">
        <f t="shared" si="1298"/>
        <v>0</v>
      </c>
      <c r="AR1305" s="75"/>
      <c r="AS1305" s="75"/>
      <c r="AT1305" s="75"/>
      <c r="AU1305" s="75"/>
      <c r="AV1305" s="75"/>
      <c r="AW1305" s="75"/>
      <c r="AX1305" s="75"/>
      <c r="AY1305" s="67">
        <f t="shared" ca="1" si="1"/>
        <v>0</v>
      </c>
      <c r="AZ1305" s="75"/>
      <c r="BA1305" s="67">
        <f t="shared" ca="1" si="2"/>
        <v>0</v>
      </c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8"/>
      <c r="BL1305" s="78">
        <f t="shared" ca="1" si="3"/>
        <v>0</v>
      </c>
      <c r="BM1305" s="78"/>
      <c r="BN1305" s="78">
        <f t="shared" ca="1" si="4"/>
        <v>0</v>
      </c>
      <c r="BO1305" s="66"/>
      <c r="BP1305" s="66"/>
    </row>
    <row r="1306" spans="1:68" ht="13.2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>
        <f t="shared" ref="AP1306:AQ1306" si="1299">AR1306+AT1306+AV1306</f>
        <v>0</v>
      </c>
      <c r="AQ1306" s="75">
        <f t="shared" si="1299"/>
        <v>0</v>
      </c>
      <c r="AR1306" s="75"/>
      <c r="AS1306" s="75"/>
      <c r="AT1306" s="75"/>
      <c r="AU1306" s="75"/>
      <c r="AV1306" s="75"/>
      <c r="AW1306" s="75"/>
      <c r="AX1306" s="75"/>
      <c r="AY1306" s="67">
        <f t="shared" ca="1" si="1"/>
        <v>0</v>
      </c>
      <c r="AZ1306" s="75"/>
      <c r="BA1306" s="67">
        <f t="shared" ca="1" si="2"/>
        <v>0</v>
      </c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8"/>
      <c r="BL1306" s="78">
        <f t="shared" ca="1" si="3"/>
        <v>0</v>
      </c>
      <c r="BM1306" s="78"/>
      <c r="BN1306" s="78">
        <f t="shared" ca="1" si="4"/>
        <v>0</v>
      </c>
      <c r="BO1306" s="66"/>
      <c r="BP1306" s="66"/>
    </row>
    <row r="1307" spans="1:68" ht="13.2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>
        <f t="shared" ref="AP1307:AQ1307" si="1300">AR1307+AT1307+AV1307</f>
        <v>0</v>
      </c>
      <c r="AQ1307" s="75">
        <f t="shared" si="1300"/>
        <v>0</v>
      </c>
      <c r="AR1307" s="75"/>
      <c r="AS1307" s="75"/>
      <c r="AT1307" s="75"/>
      <c r="AU1307" s="75"/>
      <c r="AV1307" s="75"/>
      <c r="AW1307" s="75"/>
      <c r="AX1307" s="75"/>
      <c r="AY1307" s="67">
        <f t="shared" ca="1" si="1"/>
        <v>0</v>
      </c>
      <c r="AZ1307" s="75"/>
      <c r="BA1307" s="67">
        <f t="shared" ca="1" si="2"/>
        <v>0</v>
      </c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8"/>
      <c r="BL1307" s="78">
        <f t="shared" ca="1" si="3"/>
        <v>0</v>
      </c>
      <c r="BM1307" s="78"/>
      <c r="BN1307" s="78">
        <f t="shared" ca="1" si="4"/>
        <v>0</v>
      </c>
      <c r="BO1307" s="66"/>
      <c r="BP1307" s="66"/>
    </row>
    <row r="1308" spans="1:68" ht="13.2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>
        <f t="shared" ref="AP1308:AQ1308" si="1301">AR1308+AT1308+AV1308</f>
        <v>0</v>
      </c>
      <c r="AQ1308" s="75">
        <f t="shared" si="1301"/>
        <v>0</v>
      </c>
      <c r="AR1308" s="75"/>
      <c r="AS1308" s="75"/>
      <c r="AT1308" s="75"/>
      <c r="AU1308" s="75"/>
      <c r="AV1308" s="75"/>
      <c r="AW1308" s="75"/>
      <c r="AX1308" s="75"/>
      <c r="AY1308" s="67">
        <f t="shared" ca="1" si="1"/>
        <v>0</v>
      </c>
      <c r="AZ1308" s="75"/>
      <c r="BA1308" s="67">
        <f t="shared" ca="1" si="2"/>
        <v>0</v>
      </c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8"/>
      <c r="BL1308" s="78">
        <f t="shared" ca="1" si="3"/>
        <v>0</v>
      </c>
      <c r="BM1308" s="78"/>
      <c r="BN1308" s="78">
        <f t="shared" ca="1" si="4"/>
        <v>0</v>
      </c>
      <c r="BO1308" s="66"/>
      <c r="BP1308" s="66"/>
    </row>
    <row r="1309" spans="1:68" ht="13.2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>
        <f t="shared" ref="AP1309:AQ1309" si="1302">AR1309+AT1309+AV1309</f>
        <v>0</v>
      </c>
      <c r="AQ1309" s="75">
        <f t="shared" si="1302"/>
        <v>0</v>
      </c>
      <c r="AR1309" s="75"/>
      <c r="AS1309" s="75"/>
      <c r="AT1309" s="75"/>
      <c r="AU1309" s="75"/>
      <c r="AV1309" s="75"/>
      <c r="AW1309" s="75"/>
      <c r="AX1309" s="75"/>
      <c r="AY1309" s="67">
        <f t="shared" ca="1" si="1"/>
        <v>0</v>
      </c>
      <c r="AZ1309" s="75"/>
      <c r="BA1309" s="67">
        <f t="shared" ca="1" si="2"/>
        <v>0</v>
      </c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8"/>
      <c r="BL1309" s="78">
        <f t="shared" ca="1" si="3"/>
        <v>0</v>
      </c>
      <c r="BM1309" s="78"/>
      <c r="BN1309" s="78">
        <f t="shared" ca="1" si="4"/>
        <v>0</v>
      </c>
      <c r="BO1309" s="66"/>
      <c r="BP1309" s="66"/>
    </row>
    <row r="1310" spans="1:68" ht="13.2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>
        <f t="shared" ref="AP1310:AQ1310" si="1303">AR1310+AT1310+AV1310</f>
        <v>0</v>
      </c>
      <c r="AQ1310" s="75">
        <f t="shared" si="1303"/>
        <v>0</v>
      </c>
      <c r="AR1310" s="75"/>
      <c r="AS1310" s="75"/>
      <c r="AT1310" s="75"/>
      <c r="AU1310" s="75"/>
      <c r="AV1310" s="75"/>
      <c r="AW1310" s="75"/>
      <c r="AX1310" s="75"/>
      <c r="AY1310" s="67">
        <f t="shared" ca="1" si="1"/>
        <v>0</v>
      </c>
      <c r="AZ1310" s="75"/>
      <c r="BA1310" s="67">
        <f t="shared" ca="1" si="2"/>
        <v>0</v>
      </c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8"/>
      <c r="BL1310" s="78">
        <f t="shared" ca="1" si="3"/>
        <v>0</v>
      </c>
      <c r="BM1310" s="78"/>
      <c r="BN1310" s="78">
        <f t="shared" ca="1" si="4"/>
        <v>0</v>
      </c>
      <c r="BO1310" s="66"/>
      <c r="BP1310" s="66"/>
    </row>
    <row r="1311" spans="1:68" ht="13.2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>
        <f t="shared" ref="AP1311:AQ1311" si="1304">AR1311+AT1311+AV1311</f>
        <v>0</v>
      </c>
      <c r="AQ1311" s="75">
        <f t="shared" si="1304"/>
        <v>0</v>
      </c>
      <c r="AR1311" s="75"/>
      <c r="AS1311" s="75"/>
      <c r="AT1311" s="75"/>
      <c r="AU1311" s="75"/>
      <c r="AV1311" s="75"/>
      <c r="AW1311" s="75"/>
      <c r="AX1311" s="75"/>
      <c r="AY1311" s="67">
        <f t="shared" ca="1" si="1"/>
        <v>0</v>
      </c>
      <c r="AZ1311" s="75"/>
      <c r="BA1311" s="67">
        <f t="shared" ca="1" si="2"/>
        <v>0</v>
      </c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8"/>
      <c r="BL1311" s="78">
        <f t="shared" ca="1" si="3"/>
        <v>0</v>
      </c>
      <c r="BM1311" s="78"/>
      <c r="BN1311" s="78">
        <f t="shared" ca="1" si="4"/>
        <v>0</v>
      </c>
      <c r="BO1311" s="66"/>
      <c r="BP1311" s="66"/>
    </row>
    <row r="1312" spans="1:68" ht="13.2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>
        <f t="shared" ref="AP1312:AQ1312" si="1305">AR1312+AT1312+AV1312</f>
        <v>0</v>
      </c>
      <c r="AQ1312" s="75">
        <f t="shared" si="1305"/>
        <v>0</v>
      </c>
      <c r="AR1312" s="75"/>
      <c r="AS1312" s="75"/>
      <c r="AT1312" s="75"/>
      <c r="AU1312" s="75"/>
      <c r="AV1312" s="75"/>
      <c r="AW1312" s="75"/>
      <c r="AX1312" s="75"/>
      <c r="AY1312" s="67">
        <f t="shared" ca="1" si="1"/>
        <v>0</v>
      </c>
      <c r="AZ1312" s="75"/>
      <c r="BA1312" s="67">
        <f t="shared" ca="1" si="2"/>
        <v>0</v>
      </c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8"/>
      <c r="BL1312" s="78">
        <f t="shared" ca="1" si="3"/>
        <v>0</v>
      </c>
      <c r="BM1312" s="78"/>
      <c r="BN1312" s="78">
        <f t="shared" ca="1" si="4"/>
        <v>0</v>
      </c>
      <c r="BO1312" s="66"/>
      <c r="BP1312" s="66"/>
    </row>
    <row r="1313" spans="1:68" ht="13.2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>
        <f t="shared" ref="AP1313:AQ1313" si="1306">AR1313+AT1313+AV1313</f>
        <v>0</v>
      </c>
      <c r="AQ1313" s="75">
        <f t="shared" si="1306"/>
        <v>0</v>
      </c>
      <c r="AR1313" s="75"/>
      <c r="AS1313" s="75"/>
      <c r="AT1313" s="75"/>
      <c r="AU1313" s="75"/>
      <c r="AV1313" s="75"/>
      <c r="AW1313" s="75"/>
      <c r="AX1313" s="75"/>
      <c r="AY1313" s="67">
        <f t="shared" ca="1" si="1"/>
        <v>0</v>
      </c>
      <c r="AZ1313" s="75"/>
      <c r="BA1313" s="67">
        <f t="shared" ca="1" si="2"/>
        <v>0</v>
      </c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8"/>
      <c r="BL1313" s="78">
        <f t="shared" ca="1" si="3"/>
        <v>0</v>
      </c>
      <c r="BM1313" s="78"/>
      <c r="BN1313" s="78">
        <f t="shared" ca="1" si="4"/>
        <v>0</v>
      </c>
      <c r="BO1313" s="66"/>
      <c r="BP1313" s="66"/>
    </row>
    <row r="1314" spans="1:68" ht="13.2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>
        <f t="shared" ref="AP1314:AQ1314" si="1307">AR1314+AT1314+AV1314</f>
        <v>0</v>
      </c>
      <c r="AQ1314" s="75">
        <f t="shared" si="1307"/>
        <v>0</v>
      </c>
      <c r="AR1314" s="75"/>
      <c r="AS1314" s="75"/>
      <c r="AT1314" s="75"/>
      <c r="AU1314" s="75"/>
      <c r="AV1314" s="75"/>
      <c r="AW1314" s="75"/>
      <c r="AX1314" s="75"/>
      <c r="AY1314" s="67">
        <f t="shared" ca="1" si="1"/>
        <v>0</v>
      </c>
      <c r="AZ1314" s="75"/>
      <c r="BA1314" s="67">
        <f t="shared" ca="1" si="2"/>
        <v>0</v>
      </c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8"/>
      <c r="BL1314" s="78">
        <f t="shared" ca="1" si="3"/>
        <v>0</v>
      </c>
      <c r="BM1314" s="78"/>
      <c r="BN1314" s="78">
        <f t="shared" ca="1" si="4"/>
        <v>0</v>
      </c>
      <c r="BO1314" s="66"/>
      <c r="BP1314" s="66"/>
    </row>
    <row r="1315" spans="1:68" ht="13.2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>
        <f t="shared" ref="AP1315:AQ1315" si="1308">AR1315+AT1315+AV1315</f>
        <v>0</v>
      </c>
      <c r="AQ1315" s="75">
        <f t="shared" si="1308"/>
        <v>0</v>
      </c>
      <c r="AR1315" s="75"/>
      <c r="AS1315" s="75"/>
      <c r="AT1315" s="75"/>
      <c r="AU1315" s="75"/>
      <c r="AV1315" s="75"/>
      <c r="AW1315" s="75"/>
      <c r="AX1315" s="75"/>
      <c r="AY1315" s="67">
        <f t="shared" ca="1" si="1"/>
        <v>0</v>
      </c>
      <c r="AZ1315" s="75"/>
      <c r="BA1315" s="67">
        <f t="shared" ca="1" si="2"/>
        <v>0</v>
      </c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8"/>
      <c r="BL1315" s="78">
        <f t="shared" ca="1" si="3"/>
        <v>0</v>
      </c>
      <c r="BM1315" s="78"/>
      <c r="BN1315" s="78">
        <f t="shared" ca="1" si="4"/>
        <v>0</v>
      </c>
      <c r="BO1315" s="66"/>
      <c r="BP1315" s="66"/>
    </row>
    <row r="1316" spans="1:68" ht="13.2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>
        <f t="shared" ref="AP1316:AQ1316" si="1309">AR1316+AT1316+AV1316</f>
        <v>0</v>
      </c>
      <c r="AQ1316" s="75">
        <f t="shared" si="1309"/>
        <v>0</v>
      </c>
      <c r="AR1316" s="75"/>
      <c r="AS1316" s="75"/>
      <c r="AT1316" s="75"/>
      <c r="AU1316" s="75"/>
      <c r="AV1316" s="75"/>
      <c r="AW1316" s="75"/>
      <c r="AX1316" s="75"/>
      <c r="AY1316" s="67">
        <f t="shared" ca="1" si="1"/>
        <v>0</v>
      </c>
      <c r="AZ1316" s="75"/>
      <c r="BA1316" s="67">
        <f t="shared" ca="1" si="2"/>
        <v>0</v>
      </c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8"/>
      <c r="BL1316" s="78">
        <f t="shared" ca="1" si="3"/>
        <v>0</v>
      </c>
      <c r="BM1316" s="78"/>
      <c r="BN1316" s="78">
        <f t="shared" ca="1" si="4"/>
        <v>0</v>
      </c>
      <c r="BO1316" s="66"/>
      <c r="BP1316" s="66"/>
    </row>
    <row r="1317" spans="1:68" ht="13.2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>
        <f t="shared" ref="AP1317:AQ1317" si="1310">AR1317+AT1317+AV1317</f>
        <v>0</v>
      </c>
      <c r="AQ1317" s="75">
        <f t="shared" si="1310"/>
        <v>0</v>
      </c>
      <c r="AR1317" s="75"/>
      <c r="AS1317" s="75"/>
      <c r="AT1317" s="75"/>
      <c r="AU1317" s="75"/>
      <c r="AV1317" s="75"/>
      <c r="AW1317" s="75"/>
      <c r="AX1317" s="75"/>
      <c r="AY1317" s="67">
        <f t="shared" ca="1" si="1"/>
        <v>0</v>
      </c>
      <c r="AZ1317" s="75"/>
      <c r="BA1317" s="67">
        <f t="shared" ca="1" si="2"/>
        <v>0</v>
      </c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8"/>
      <c r="BL1317" s="78">
        <f t="shared" ca="1" si="3"/>
        <v>0</v>
      </c>
      <c r="BM1317" s="78"/>
      <c r="BN1317" s="78">
        <f t="shared" ca="1" si="4"/>
        <v>0</v>
      </c>
      <c r="BO1317" s="66"/>
      <c r="BP1317" s="66"/>
    </row>
    <row r="1318" spans="1:68" ht="13.2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>
        <f t="shared" ref="AP1318:AQ1318" si="1311">AR1318+AT1318+AV1318</f>
        <v>0</v>
      </c>
      <c r="AQ1318" s="75">
        <f t="shared" si="1311"/>
        <v>0</v>
      </c>
      <c r="AR1318" s="75"/>
      <c r="AS1318" s="75"/>
      <c r="AT1318" s="75"/>
      <c r="AU1318" s="75"/>
      <c r="AV1318" s="75"/>
      <c r="AW1318" s="75"/>
      <c r="AX1318" s="75"/>
      <c r="AY1318" s="67">
        <f t="shared" ca="1" si="1"/>
        <v>0</v>
      </c>
      <c r="AZ1318" s="75"/>
      <c r="BA1318" s="67">
        <f t="shared" ca="1" si="2"/>
        <v>0</v>
      </c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8"/>
      <c r="BL1318" s="78">
        <f t="shared" ca="1" si="3"/>
        <v>0</v>
      </c>
      <c r="BM1318" s="78"/>
      <c r="BN1318" s="78">
        <f t="shared" ca="1" si="4"/>
        <v>0</v>
      </c>
      <c r="BO1318" s="66"/>
      <c r="BP1318" s="66"/>
    </row>
    <row r="1319" spans="1:68" ht="13.2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>
        <f t="shared" ref="AP1319:AQ1319" si="1312">AR1319+AT1319+AV1319</f>
        <v>0</v>
      </c>
      <c r="AQ1319" s="75">
        <f t="shared" si="1312"/>
        <v>0</v>
      </c>
      <c r="AR1319" s="75"/>
      <c r="AS1319" s="75"/>
      <c r="AT1319" s="75"/>
      <c r="AU1319" s="75"/>
      <c r="AV1319" s="75"/>
      <c r="AW1319" s="75"/>
      <c r="AX1319" s="75"/>
      <c r="AY1319" s="67">
        <f t="shared" ca="1" si="1"/>
        <v>0</v>
      </c>
      <c r="AZ1319" s="75"/>
      <c r="BA1319" s="67">
        <f t="shared" ca="1" si="2"/>
        <v>0</v>
      </c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8"/>
      <c r="BL1319" s="78">
        <f t="shared" ca="1" si="3"/>
        <v>0</v>
      </c>
      <c r="BM1319" s="78"/>
      <c r="BN1319" s="78">
        <f t="shared" ca="1" si="4"/>
        <v>0</v>
      </c>
      <c r="BO1319" s="66"/>
      <c r="BP1319" s="66"/>
    </row>
    <row r="1320" spans="1:68" ht="13.2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>
        <f t="shared" ref="AP1320:AQ1320" si="1313">AR1320+AT1320+AV1320</f>
        <v>0</v>
      </c>
      <c r="AQ1320" s="75">
        <f t="shared" si="1313"/>
        <v>0</v>
      </c>
      <c r="AR1320" s="75"/>
      <c r="AS1320" s="75"/>
      <c r="AT1320" s="75"/>
      <c r="AU1320" s="75"/>
      <c r="AV1320" s="75"/>
      <c r="AW1320" s="75"/>
      <c r="AX1320" s="75"/>
      <c r="AY1320" s="67">
        <f t="shared" ca="1" si="1"/>
        <v>0</v>
      </c>
      <c r="AZ1320" s="75"/>
      <c r="BA1320" s="67">
        <f t="shared" ca="1" si="2"/>
        <v>0</v>
      </c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8"/>
      <c r="BL1320" s="78">
        <f t="shared" ca="1" si="3"/>
        <v>0</v>
      </c>
      <c r="BM1320" s="78"/>
      <c r="BN1320" s="78">
        <f t="shared" ca="1" si="4"/>
        <v>0</v>
      </c>
      <c r="BO1320" s="66"/>
      <c r="BP1320" s="66"/>
    </row>
    <row r="1321" spans="1:68" ht="13.2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>
        <f t="shared" ref="AP1321:AQ1321" si="1314">AR1321+AT1321+AV1321</f>
        <v>0</v>
      </c>
      <c r="AQ1321" s="75">
        <f t="shared" si="1314"/>
        <v>0</v>
      </c>
      <c r="AR1321" s="75"/>
      <c r="AS1321" s="75"/>
      <c r="AT1321" s="75"/>
      <c r="AU1321" s="75"/>
      <c r="AV1321" s="75"/>
      <c r="AW1321" s="75"/>
      <c r="AX1321" s="75"/>
      <c r="AY1321" s="67">
        <f t="shared" ca="1" si="1"/>
        <v>0</v>
      </c>
      <c r="AZ1321" s="75"/>
      <c r="BA1321" s="67">
        <f t="shared" ca="1" si="2"/>
        <v>0</v>
      </c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8"/>
      <c r="BL1321" s="78">
        <f t="shared" ca="1" si="3"/>
        <v>0</v>
      </c>
      <c r="BM1321" s="78"/>
      <c r="BN1321" s="78">
        <f t="shared" ca="1" si="4"/>
        <v>0</v>
      </c>
      <c r="BO1321" s="66"/>
      <c r="BP1321" s="66"/>
    </row>
    <row r="1322" spans="1:68" ht="13.2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>
        <f t="shared" ref="AP1322:AQ1322" si="1315">AR1322+AT1322+AV1322</f>
        <v>0</v>
      </c>
      <c r="AQ1322" s="75">
        <f t="shared" si="1315"/>
        <v>0</v>
      </c>
      <c r="AR1322" s="75"/>
      <c r="AS1322" s="75"/>
      <c r="AT1322" s="75"/>
      <c r="AU1322" s="75"/>
      <c r="AV1322" s="75"/>
      <c r="AW1322" s="75"/>
      <c r="AX1322" s="75"/>
      <c r="AY1322" s="67">
        <f t="shared" ca="1" si="1"/>
        <v>0</v>
      </c>
      <c r="AZ1322" s="75"/>
      <c r="BA1322" s="67">
        <f t="shared" ca="1" si="2"/>
        <v>0</v>
      </c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8"/>
      <c r="BL1322" s="78">
        <f t="shared" ca="1" si="3"/>
        <v>0</v>
      </c>
      <c r="BM1322" s="78"/>
      <c r="BN1322" s="78">
        <f t="shared" ca="1" si="4"/>
        <v>0</v>
      </c>
      <c r="BO1322" s="66"/>
      <c r="BP1322" s="66"/>
    </row>
    <row r="1323" spans="1:68" ht="13.2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>
        <f t="shared" ref="AP1323:AQ1323" si="1316">AR1323+AT1323+AV1323</f>
        <v>0</v>
      </c>
      <c r="AQ1323" s="75">
        <f t="shared" si="1316"/>
        <v>0</v>
      </c>
      <c r="AR1323" s="75"/>
      <c r="AS1323" s="75"/>
      <c r="AT1323" s="75"/>
      <c r="AU1323" s="75"/>
      <c r="AV1323" s="75"/>
      <c r="AW1323" s="75"/>
      <c r="AX1323" s="75"/>
      <c r="AY1323" s="67">
        <f t="shared" ca="1" si="1"/>
        <v>0</v>
      </c>
      <c r="AZ1323" s="75"/>
      <c r="BA1323" s="67">
        <f t="shared" ca="1" si="2"/>
        <v>0</v>
      </c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8"/>
      <c r="BL1323" s="78">
        <f t="shared" ca="1" si="3"/>
        <v>0</v>
      </c>
      <c r="BM1323" s="78"/>
      <c r="BN1323" s="78">
        <f t="shared" ca="1" si="4"/>
        <v>0</v>
      </c>
      <c r="BO1323" s="66"/>
      <c r="BP1323" s="66"/>
    </row>
    <row r="1324" spans="1:68" ht="13.2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>
        <f t="shared" ref="AP1324:AQ1324" si="1317">AR1324+AT1324+AV1324</f>
        <v>0</v>
      </c>
      <c r="AQ1324" s="75">
        <f t="shared" si="1317"/>
        <v>0</v>
      </c>
      <c r="AR1324" s="75"/>
      <c r="AS1324" s="75"/>
      <c r="AT1324" s="75"/>
      <c r="AU1324" s="75"/>
      <c r="AV1324" s="75"/>
      <c r="AW1324" s="75"/>
      <c r="AX1324" s="75"/>
      <c r="AY1324" s="67">
        <f t="shared" ca="1" si="1"/>
        <v>0</v>
      </c>
      <c r="AZ1324" s="75"/>
      <c r="BA1324" s="67">
        <f t="shared" ca="1" si="2"/>
        <v>0</v>
      </c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8"/>
      <c r="BL1324" s="78">
        <f t="shared" ca="1" si="3"/>
        <v>0</v>
      </c>
      <c r="BM1324" s="78"/>
      <c r="BN1324" s="78">
        <f t="shared" ca="1" si="4"/>
        <v>0</v>
      </c>
      <c r="BO1324" s="66"/>
      <c r="BP1324" s="66"/>
    </row>
    <row r="1325" spans="1:68" ht="13.2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>
        <f t="shared" ref="AP1325:AQ1325" si="1318">AR1325+AT1325+AV1325</f>
        <v>0</v>
      </c>
      <c r="AQ1325" s="75">
        <f t="shared" si="1318"/>
        <v>0</v>
      </c>
      <c r="AR1325" s="75"/>
      <c r="AS1325" s="75"/>
      <c r="AT1325" s="75"/>
      <c r="AU1325" s="75"/>
      <c r="AV1325" s="75"/>
      <c r="AW1325" s="75"/>
      <c r="AX1325" s="75"/>
      <c r="AY1325" s="67">
        <f t="shared" ca="1" si="1"/>
        <v>0</v>
      </c>
      <c r="AZ1325" s="75"/>
      <c r="BA1325" s="67">
        <f t="shared" ca="1" si="2"/>
        <v>0</v>
      </c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8"/>
      <c r="BL1325" s="78">
        <f t="shared" ca="1" si="3"/>
        <v>0</v>
      </c>
      <c r="BM1325" s="78"/>
      <c r="BN1325" s="78">
        <f t="shared" ca="1" si="4"/>
        <v>0</v>
      </c>
      <c r="BO1325" s="66"/>
      <c r="BP1325" s="66"/>
    </row>
    <row r="1326" spans="1:68" ht="13.2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>
        <f t="shared" ref="AP1326:AQ1326" si="1319">AR1326+AT1326+AV1326</f>
        <v>0</v>
      </c>
      <c r="AQ1326" s="75">
        <f t="shared" si="1319"/>
        <v>0</v>
      </c>
      <c r="AR1326" s="75"/>
      <c r="AS1326" s="75"/>
      <c r="AT1326" s="75"/>
      <c r="AU1326" s="75"/>
      <c r="AV1326" s="75"/>
      <c r="AW1326" s="75"/>
      <c r="AX1326" s="75"/>
      <c r="AY1326" s="67">
        <f t="shared" ca="1" si="1"/>
        <v>0</v>
      </c>
      <c r="AZ1326" s="75"/>
      <c r="BA1326" s="67">
        <f t="shared" ca="1" si="2"/>
        <v>0</v>
      </c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8"/>
      <c r="BL1326" s="78">
        <f t="shared" ca="1" si="3"/>
        <v>0</v>
      </c>
      <c r="BM1326" s="78"/>
      <c r="BN1326" s="78">
        <f t="shared" ca="1" si="4"/>
        <v>0</v>
      </c>
      <c r="BO1326" s="66"/>
      <c r="BP1326" s="66"/>
    </row>
    <row r="1327" spans="1:68" ht="13.2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>
        <f t="shared" ref="AP1327:AQ1327" si="1320">AR1327+AT1327+AV1327</f>
        <v>0</v>
      </c>
      <c r="AQ1327" s="75">
        <f t="shared" si="1320"/>
        <v>0</v>
      </c>
      <c r="AR1327" s="75"/>
      <c r="AS1327" s="75"/>
      <c r="AT1327" s="75"/>
      <c r="AU1327" s="75"/>
      <c r="AV1327" s="75"/>
      <c r="AW1327" s="75"/>
      <c r="AX1327" s="75"/>
      <c r="AY1327" s="67">
        <f t="shared" ca="1" si="1"/>
        <v>0</v>
      </c>
      <c r="AZ1327" s="75"/>
      <c r="BA1327" s="67">
        <f t="shared" ca="1" si="2"/>
        <v>0</v>
      </c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8"/>
      <c r="BL1327" s="78">
        <f t="shared" ca="1" si="3"/>
        <v>0</v>
      </c>
      <c r="BM1327" s="78"/>
      <c r="BN1327" s="78">
        <f t="shared" ca="1" si="4"/>
        <v>0</v>
      </c>
      <c r="BO1327" s="66"/>
      <c r="BP1327" s="66"/>
    </row>
    <row r="1328" spans="1:68" ht="13.2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>
        <f t="shared" ref="AP1328:AQ1328" si="1321">AR1328+AT1328+AV1328</f>
        <v>0</v>
      </c>
      <c r="AQ1328" s="75">
        <f t="shared" si="1321"/>
        <v>0</v>
      </c>
      <c r="AR1328" s="75"/>
      <c r="AS1328" s="75"/>
      <c r="AT1328" s="75"/>
      <c r="AU1328" s="75"/>
      <c r="AV1328" s="75"/>
      <c r="AW1328" s="75"/>
      <c r="AX1328" s="75"/>
      <c r="AY1328" s="67">
        <f t="shared" ca="1" si="1"/>
        <v>0</v>
      </c>
      <c r="AZ1328" s="75"/>
      <c r="BA1328" s="67">
        <f t="shared" ca="1" si="2"/>
        <v>0</v>
      </c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8"/>
      <c r="BL1328" s="78">
        <f t="shared" ca="1" si="3"/>
        <v>0</v>
      </c>
      <c r="BM1328" s="78"/>
      <c r="BN1328" s="78">
        <f t="shared" ca="1" si="4"/>
        <v>0</v>
      </c>
      <c r="BO1328" s="66"/>
      <c r="BP1328" s="66"/>
    </row>
    <row r="1329" spans="1:68" ht="13.2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>
        <f t="shared" ref="AP1329:AQ1329" si="1322">AR1329+AT1329+AV1329</f>
        <v>0</v>
      </c>
      <c r="AQ1329" s="75">
        <f t="shared" si="1322"/>
        <v>0</v>
      </c>
      <c r="AR1329" s="75"/>
      <c r="AS1329" s="75"/>
      <c r="AT1329" s="75"/>
      <c r="AU1329" s="75"/>
      <c r="AV1329" s="75"/>
      <c r="AW1329" s="75"/>
      <c r="AX1329" s="75"/>
      <c r="AY1329" s="67">
        <f t="shared" ca="1" si="1"/>
        <v>0</v>
      </c>
      <c r="AZ1329" s="75"/>
      <c r="BA1329" s="67">
        <f t="shared" ca="1" si="2"/>
        <v>0</v>
      </c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8"/>
      <c r="BL1329" s="78">
        <f t="shared" ca="1" si="3"/>
        <v>0</v>
      </c>
      <c r="BM1329" s="78"/>
      <c r="BN1329" s="78">
        <f t="shared" ca="1" si="4"/>
        <v>0</v>
      </c>
      <c r="BO1329" s="66"/>
      <c r="BP1329" s="66"/>
    </row>
    <row r="1330" spans="1:68" ht="13.2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>
        <f t="shared" ref="AP1330:AQ1330" si="1323">AR1330+AT1330+AV1330</f>
        <v>0</v>
      </c>
      <c r="AQ1330" s="75">
        <f t="shared" si="1323"/>
        <v>0</v>
      </c>
      <c r="AR1330" s="75"/>
      <c r="AS1330" s="75"/>
      <c r="AT1330" s="75"/>
      <c r="AU1330" s="75"/>
      <c r="AV1330" s="75"/>
      <c r="AW1330" s="75"/>
      <c r="AX1330" s="75"/>
      <c r="AY1330" s="67">
        <f t="shared" ca="1" si="1"/>
        <v>0</v>
      </c>
      <c r="AZ1330" s="75"/>
      <c r="BA1330" s="67">
        <f t="shared" ca="1" si="2"/>
        <v>0</v>
      </c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8"/>
      <c r="BL1330" s="78">
        <f t="shared" ca="1" si="3"/>
        <v>0</v>
      </c>
      <c r="BM1330" s="78"/>
      <c r="BN1330" s="78">
        <f t="shared" ca="1" si="4"/>
        <v>0</v>
      </c>
      <c r="BO1330" s="66"/>
      <c r="BP1330" s="66"/>
    </row>
    <row r="1331" spans="1:68" ht="13.2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>
        <f t="shared" ref="AP1331:AQ1331" si="1324">AR1331+AT1331+AV1331</f>
        <v>0</v>
      </c>
      <c r="AQ1331" s="75">
        <f t="shared" si="1324"/>
        <v>0</v>
      </c>
      <c r="AR1331" s="75"/>
      <c r="AS1331" s="75"/>
      <c r="AT1331" s="75"/>
      <c r="AU1331" s="75"/>
      <c r="AV1331" s="75"/>
      <c r="AW1331" s="75"/>
      <c r="AX1331" s="75"/>
      <c r="AY1331" s="67">
        <f t="shared" ca="1" si="1"/>
        <v>0</v>
      </c>
      <c r="AZ1331" s="75"/>
      <c r="BA1331" s="67">
        <f t="shared" ca="1" si="2"/>
        <v>0</v>
      </c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8"/>
      <c r="BL1331" s="78">
        <f t="shared" ca="1" si="3"/>
        <v>0</v>
      </c>
      <c r="BM1331" s="78"/>
      <c r="BN1331" s="78">
        <f t="shared" ca="1" si="4"/>
        <v>0</v>
      </c>
      <c r="BO1331" s="66"/>
      <c r="BP1331" s="66"/>
    </row>
    <row r="1332" spans="1:68" ht="13.2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>
        <f t="shared" ref="AP1332:AQ1332" si="1325">AR1332+AT1332+AV1332</f>
        <v>0</v>
      </c>
      <c r="AQ1332" s="75">
        <f t="shared" si="1325"/>
        <v>0</v>
      </c>
      <c r="AR1332" s="75"/>
      <c r="AS1332" s="75"/>
      <c r="AT1332" s="75"/>
      <c r="AU1332" s="75"/>
      <c r="AV1332" s="75"/>
      <c r="AW1332" s="75"/>
      <c r="AX1332" s="75"/>
      <c r="AY1332" s="67">
        <f t="shared" ca="1" si="1"/>
        <v>0</v>
      </c>
      <c r="AZ1332" s="75"/>
      <c r="BA1332" s="67">
        <f t="shared" ca="1" si="2"/>
        <v>0</v>
      </c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8"/>
      <c r="BL1332" s="78">
        <f t="shared" ca="1" si="3"/>
        <v>0</v>
      </c>
      <c r="BM1332" s="78"/>
      <c r="BN1332" s="78">
        <f t="shared" ca="1" si="4"/>
        <v>0</v>
      </c>
      <c r="BO1332" s="66"/>
      <c r="BP1332" s="66"/>
    </row>
    <row r="1333" spans="1:68" ht="13.2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>
        <f t="shared" ref="AP1333:AQ1333" si="1326">AR1333+AT1333+AV1333</f>
        <v>0</v>
      </c>
      <c r="AQ1333" s="75">
        <f t="shared" si="1326"/>
        <v>0</v>
      </c>
      <c r="AR1333" s="75"/>
      <c r="AS1333" s="75"/>
      <c r="AT1333" s="75"/>
      <c r="AU1333" s="75"/>
      <c r="AV1333" s="75"/>
      <c r="AW1333" s="75"/>
      <c r="AX1333" s="75"/>
      <c r="AY1333" s="67">
        <f t="shared" ca="1" si="1"/>
        <v>0</v>
      </c>
      <c r="AZ1333" s="75"/>
      <c r="BA1333" s="67">
        <f t="shared" ca="1" si="2"/>
        <v>0</v>
      </c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8"/>
      <c r="BL1333" s="78">
        <f t="shared" ca="1" si="3"/>
        <v>0</v>
      </c>
      <c r="BM1333" s="78"/>
      <c r="BN1333" s="78">
        <f t="shared" ca="1" si="4"/>
        <v>0</v>
      </c>
      <c r="BO1333" s="66"/>
      <c r="BP1333" s="66"/>
    </row>
    <row r="1334" spans="1:68" ht="13.2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>
        <f t="shared" ref="AP1334:AQ1334" si="1327">AR1334+AT1334+AV1334</f>
        <v>0</v>
      </c>
      <c r="AQ1334" s="75">
        <f t="shared" si="1327"/>
        <v>0</v>
      </c>
      <c r="AR1334" s="75"/>
      <c r="AS1334" s="75"/>
      <c r="AT1334" s="75"/>
      <c r="AU1334" s="75"/>
      <c r="AV1334" s="75"/>
      <c r="AW1334" s="75"/>
      <c r="AX1334" s="75"/>
      <c r="AY1334" s="67">
        <f t="shared" ca="1" si="1"/>
        <v>0</v>
      </c>
      <c r="AZ1334" s="75"/>
      <c r="BA1334" s="67">
        <f t="shared" ca="1" si="2"/>
        <v>0</v>
      </c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8"/>
      <c r="BL1334" s="78">
        <f t="shared" ca="1" si="3"/>
        <v>0</v>
      </c>
      <c r="BM1334" s="78"/>
      <c r="BN1334" s="78">
        <f t="shared" ca="1" si="4"/>
        <v>0</v>
      </c>
      <c r="BO1334" s="66"/>
      <c r="BP1334" s="66"/>
    </row>
    <row r="1335" spans="1:68" ht="13.2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>
        <f t="shared" ref="AP1335:AQ1335" si="1328">AR1335+AT1335+AV1335</f>
        <v>0</v>
      </c>
      <c r="AQ1335" s="75">
        <f t="shared" si="1328"/>
        <v>0</v>
      </c>
      <c r="AR1335" s="75"/>
      <c r="AS1335" s="75"/>
      <c r="AT1335" s="75"/>
      <c r="AU1335" s="75"/>
      <c r="AV1335" s="75"/>
      <c r="AW1335" s="75"/>
      <c r="AX1335" s="75"/>
      <c r="AY1335" s="67">
        <f t="shared" ca="1" si="1"/>
        <v>0</v>
      </c>
      <c r="AZ1335" s="75"/>
      <c r="BA1335" s="67">
        <f t="shared" ca="1" si="2"/>
        <v>0</v>
      </c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8"/>
      <c r="BL1335" s="78">
        <f t="shared" ca="1" si="3"/>
        <v>0</v>
      </c>
      <c r="BM1335" s="78"/>
      <c r="BN1335" s="78">
        <f t="shared" ca="1" si="4"/>
        <v>0</v>
      </c>
      <c r="BO1335" s="66"/>
      <c r="BP1335" s="66"/>
    </row>
    <row r="1336" spans="1:68" ht="13.2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>
        <f t="shared" ref="AP1336:AQ1336" si="1329">AR1336+AT1336+AV1336</f>
        <v>0</v>
      </c>
      <c r="AQ1336" s="75">
        <f t="shared" si="1329"/>
        <v>0</v>
      </c>
      <c r="AR1336" s="75"/>
      <c r="AS1336" s="75"/>
      <c r="AT1336" s="75"/>
      <c r="AU1336" s="75"/>
      <c r="AV1336" s="75"/>
      <c r="AW1336" s="75"/>
      <c r="AX1336" s="75"/>
      <c r="AY1336" s="67">
        <f t="shared" ca="1" si="1"/>
        <v>0</v>
      </c>
      <c r="AZ1336" s="75"/>
      <c r="BA1336" s="67">
        <f t="shared" ca="1" si="2"/>
        <v>0</v>
      </c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8"/>
      <c r="BL1336" s="78">
        <f t="shared" ca="1" si="3"/>
        <v>0</v>
      </c>
      <c r="BM1336" s="78"/>
      <c r="BN1336" s="78">
        <f t="shared" ca="1" si="4"/>
        <v>0</v>
      </c>
      <c r="BO1336" s="66"/>
      <c r="BP1336" s="66"/>
    </row>
    <row r="1337" spans="1:68" ht="13.2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>
        <f t="shared" ref="AP1337:AQ1337" si="1330">AR1337+AT1337+AV1337</f>
        <v>0</v>
      </c>
      <c r="AQ1337" s="75">
        <f t="shared" si="1330"/>
        <v>0</v>
      </c>
      <c r="AR1337" s="75"/>
      <c r="AS1337" s="75"/>
      <c r="AT1337" s="75"/>
      <c r="AU1337" s="75"/>
      <c r="AV1337" s="75"/>
      <c r="AW1337" s="75"/>
      <c r="AX1337" s="75"/>
      <c r="AY1337" s="67">
        <f t="shared" ca="1" si="1"/>
        <v>0</v>
      </c>
      <c r="AZ1337" s="75"/>
      <c r="BA1337" s="67">
        <f t="shared" ca="1" si="2"/>
        <v>0</v>
      </c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8"/>
      <c r="BL1337" s="78">
        <f t="shared" ca="1" si="3"/>
        <v>0</v>
      </c>
      <c r="BM1337" s="78"/>
      <c r="BN1337" s="78">
        <f t="shared" ca="1" si="4"/>
        <v>0</v>
      </c>
      <c r="BO1337" s="66"/>
      <c r="BP1337" s="66"/>
    </row>
    <row r="1338" spans="1:68" ht="13.2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>
        <f t="shared" ref="AP1338:AQ1338" si="1331">AR1338+AT1338+AV1338</f>
        <v>0</v>
      </c>
      <c r="AQ1338" s="75">
        <f t="shared" si="1331"/>
        <v>0</v>
      </c>
      <c r="AR1338" s="75"/>
      <c r="AS1338" s="75"/>
      <c r="AT1338" s="75"/>
      <c r="AU1338" s="75"/>
      <c r="AV1338" s="75"/>
      <c r="AW1338" s="75"/>
      <c r="AX1338" s="75"/>
      <c r="AY1338" s="67">
        <f t="shared" ca="1" si="1"/>
        <v>0</v>
      </c>
      <c r="AZ1338" s="75"/>
      <c r="BA1338" s="67">
        <f t="shared" ca="1" si="2"/>
        <v>0</v>
      </c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8"/>
      <c r="BL1338" s="78">
        <f t="shared" ca="1" si="3"/>
        <v>0</v>
      </c>
      <c r="BM1338" s="78"/>
      <c r="BN1338" s="78">
        <f t="shared" ca="1" si="4"/>
        <v>0</v>
      </c>
      <c r="BO1338" s="66"/>
      <c r="BP1338" s="66"/>
    </row>
    <row r="1339" spans="1:68" ht="13.2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>
        <f t="shared" ref="AP1339:AQ1339" si="1332">AR1339+AT1339+AV1339</f>
        <v>0</v>
      </c>
      <c r="AQ1339" s="75">
        <f t="shared" si="1332"/>
        <v>0</v>
      </c>
      <c r="AR1339" s="75"/>
      <c r="AS1339" s="75"/>
      <c r="AT1339" s="75"/>
      <c r="AU1339" s="75"/>
      <c r="AV1339" s="75"/>
      <c r="AW1339" s="75"/>
      <c r="AX1339" s="75"/>
      <c r="AY1339" s="67">
        <f t="shared" ca="1" si="1"/>
        <v>0</v>
      </c>
      <c r="AZ1339" s="75"/>
      <c r="BA1339" s="67">
        <f t="shared" ca="1" si="2"/>
        <v>0</v>
      </c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8"/>
      <c r="BL1339" s="78">
        <f t="shared" ca="1" si="3"/>
        <v>0</v>
      </c>
      <c r="BM1339" s="78"/>
      <c r="BN1339" s="78">
        <f t="shared" ca="1" si="4"/>
        <v>0</v>
      </c>
      <c r="BO1339" s="66"/>
      <c r="BP1339" s="66"/>
    </row>
    <row r="1340" spans="1:68" ht="13.2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>
        <f t="shared" ref="AP1340:AQ1340" si="1333">AR1340+AT1340+AV1340</f>
        <v>0</v>
      </c>
      <c r="AQ1340" s="75">
        <f t="shared" si="1333"/>
        <v>0</v>
      </c>
      <c r="AR1340" s="75"/>
      <c r="AS1340" s="75"/>
      <c r="AT1340" s="75"/>
      <c r="AU1340" s="75"/>
      <c r="AV1340" s="75"/>
      <c r="AW1340" s="75"/>
      <c r="AX1340" s="75"/>
      <c r="AY1340" s="67">
        <f t="shared" ca="1" si="1"/>
        <v>0</v>
      </c>
      <c r="AZ1340" s="75"/>
      <c r="BA1340" s="67">
        <f t="shared" ca="1" si="2"/>
        <v>0</v>
      </c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8"/>
      <c r="BL1340" s="78">
        <f t="shared" ca="1" si="3"/>
        <v>0</v>
      </c>
      <c r="BM1340" s="78"/>
      <c r="BN1340" s="78">
        <f t="shared" ca="1" si="4"/>
        <v>0</v>
      </c>
      <c r="BO1340" s="66"/>
      <c r="BP1340" s="66"/>
    </row>
    <row r="1341" spans="1:68" ht="13.2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>
        <f t="shared" ref="AP1341:AQ1341" si="1334">AR1341+AT1341+AV1341</f>
        <v>0</v>
      </c>
      <c r="AQ1341" s="75">
        <f t="shared" si="1334"/>
        <v>0</v>
      </c>
      <c r="AR1341" s="75"/>
      <c r="AS1341" s="75"/>
      <c r="AT1341" s="75"/>
      <c r="AU1341" s="75"/>
      <c r="AV1341" s="75"/>
      <c r="AW1341" s="75"/>
      <c r="AX1341" s="75"/>
      <c r="AY1341" s="67">
        <f t="shared" ca="1" si="1"/>
        <v>0</v>
      </c>
      <c r="AZ1341" s="75"/>
      <c r="BA1341" s="67">
        <f t="shared" ca="1" si="2"/>
        <v>0</v>
      </c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8"/>
      <c r="BL1341" s="78">
        <f t="shared" ca="1" si="3"/>
        <v>0</v>
      </c>
      <c r="BM1341" s="78"/>
      <c r="BN1341" s="78">
        <f t="shared" ca="1" si="4"/>
        <v>0</v>
      </c>
      <c r="BO1341" s="66"/>
      <c r="BP1341" s="66"/>
    </row>
    <row r="1342" spans="1:68" ht="13.2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>
        <f t="shared" ref="AP1342:AQ1342" si="1335">AR1342+AT1342+AV1342</f>
        <v>0</v>
      </c>
      <c r="AQ1342" s="75">
        <f t="shared" si="1335"/>
        <v>0</v>
      </c>
      <c r="AR1342" s="75"/>
      <c r="AS1342" s="75"/>
      <c r="AT1342" s="75"/>
      <c r="AU1342" s="75"/>
      <c r="AV1342" s="75"/>
      <c r="AW1342" s="75"/>
      <c r="AX1342" s="75"/>
      <c r="AY1342" s="67">
        <f t="shared" ca="1" si="1"/>
        <v>0</v>
      </c>
      <c r="AZ1342" s="75"/>
      <c r="BA1342" s="67">
        <f t="shared" ca="1" si="2"/>
        <v>0</v>
      </c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8"/>
      <c r="BL1342" s="78">
        <f t="shared" ca="1" si="3"/>
        <v>0</v>
      </c>
      <c r="BM1342" s="78"/>
      <c r="BN1342" s="78">
        <f t="shared" ca="1" si="4"/>
        <v>0</v>
      </c>
      <c r="BO1342" s="66"/>
      <c r="BP1342" s="66"/>
    </row>
    <row r="1343" spans="1:68" ht="13.2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>
        <f t="shared" ref="AP1343:AQ1343" si="1336">AR1343+AT1343+AV1343</f>
        <v>0</v>
      </c>
      <c r="AQ1343" s="75">
        <f t="shared" si="1336"/>
        <v>0</v>
      </c>
      <c r="AR1343" s="75"/>
      <c r="AS1343" s="75"/>
      <c r="AT1343" s="75"/>
      <c r="AU1343" s="75"/>
      <c r="AV1343" s="75"/>
      <c r="AW1343" s="75"/>
      <c r="AX1343" s="75"/>
      <c r="AY1343" s="67">
        <f t="shared" ca="1" si="1"/>
        <v>0</v>
      </c>
      <c r="AZ1343" s="75"/>
      <c r="BA1343" s="67">
        <f t="shared" ca="1" si="2"/>
        <v>0</v>
      </c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8"/>
      <c r="BL1343" s="78">
        <f t="shared" ca="1" si="3"/>
        <v>0</v>
      </c>
      <c r="BM1343" s="78"/>
      <c r="BN1343" s="78">
        <f t="shared" ca="1" si="4"/>
        <v>0</v>
      </c>
      <c r="BO1343" s="66"/>
      <c r="BP1343" s="66"/>
    </row>
    <row r="1344" spans="1:68" ht="13.2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>
        <f t="shared" ref="AP1344:AQ1344" si="1337">AR1344+AT1344+AV1344</f>
        <v>0</v>
      </c>
      <c r="AQ1344" s="75">
        <f t="shared" si="1337"/>
        <v>0</v>
      </c>
      <c r="AR1344" s="75"/>
      <c r="AS1344" s="75"/>
      <c r="AT1344" s="75"/>
      <c r="AU1344" s="75"/>
      <c r="AV1344" s="75"/>
      <c r="AW1344" s="75"/>
      <c r="AX1344" s="75"/>
      <c r="AY1344" s="67">
        <f t="shared" ca="1" si="1"/>
        <v>0</v>
      </c>
      <c r="AZ1344" s="75"/>
      <c r="BA1344" s="67">
        <f t="shared" ca="1" si="2"/>
        <v>0</v>
      </c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8"/>
      <c r="BL1344" s="78">
        <f t="shared" ca="1" si="3"/>
        <v>0</v>
      </c>
      <c r="BM1344" s="78"/>
      <c r="BN1344" s="78">
        <f t="shared" ca="1" si="4"/>
        <v>0</v>
      </c>
      <c r="BO1344" s="66"/>
      <c r="BP1344" s="66"/>
    </row>
    <row r="1345" spans="1:68" ht="13.2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>
        <f t="shared" ref="AP1345:AQ1345" si="1338">AR1345+AT1345+AV1345</f>
        <v>0</v>
      </c>
      <c r="AQ1345" s="75">
        <f t="shared" si="1338"/>
        <v>0</v>
      </c>
      <c r="AR1345" s="75"/>
      <c r="AS1345" s="75"/>
      <c r="AT1345" s="75"/>
      <c r="AU1345" s="75"/>
      <c r="AV1345" s="75"/>
      <c r="AW1345" s="75"/>
      <c r="AX1345" s="75"/>
      <c r="AY1345" s="67">
        <f t="shared" ca="1" si="1"/>
        <v>0</v>
      </c>
      <c r="AZ1345" s="75"/>
      <c r="BA1345" s="67">
        <f t="shared" ca="1" si="2"/>
        <v>0</v>
      </c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8"/>
      <c r="BL1345" s="78">
        <f t="shared" ca="1" si="3"/>
        <v>0</v>
      </c>
      <c r="BM1345" s="78"/>
      <c r="BN1345" s="78">
        <f t="shared" ca="1" si="4"/>
        <v>0</v>
      </c>
      <c r="BO1345" s="66"/>
      <c r="BP1345" s="66"/>
    </row>
    <row r="1346" spans="1:68" ht="13.2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>
        <f t="shared" ref="AP1346:AQ1346" si="1339">AR1346+AT1346+AV1346</f>
        <v>0</v>
      </c>
      <c r="AQ1346" s="75">
        <f t="shared" si="1339"/>
        <v>0</v>
      </c>
      <c r="AR1346" s="75"/>
      <c r="AS1346" s="75"/>
      <c r="AT1346" s="75"/>
      <c r="AU1346" s="75"/>
      <c r="AV1346" s="75"/>
      <c r="AW1346" s="75"/>
      <c r="AX1346" s="75"/>
      <c r="AY1346" s="67">
        <f t="shared" ca="1" si="1"/>
        <v>0</v>
      </c>
      <c r="AZ1346" s="75"/>
      <c r="BA1346" s="67">
        <f t="shared" ca="1" si="2"/>
        <v>0</v>
      </c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8"/>
      <c r="BL1346" s="78">
        <f t="shared" ca="1" si="3"/>
        <v>0</v>
      </c>
      <c r="BM1346" s="78"/>
      <c r="BN1346" s="78">
        <f t="shared" ca="1" si="4"/>
        <v>0</v>
      </c>
      <c r="BO1346" s="66"/>
      <c r="BP1346" s="66"/>
    </row>
    <row r="1347" spans="1:68" ht="13.2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>
        <f t="shared" ref="AP1347:AQ1347" si="1340">AR1347+AT1347+AV1347</f>
        <v>0</v>
      </c>
      <c r="AQ1347" s="75">
        <f t="shared" si="1340"/>
        <v>0</v>
      </c>
      <c r="AR1347" s="75"/>
      <c r="AS1347" s="75"/>
      <c r="AT1347" s="75"/>
      <c r="AU1347" s="75"/>
      <c r="AV1347" s="75"/>
      <c r="AW1347" s="75"/>
      <c r="AX1347" s="75"/>
      <c r="AY1347" s="67">
        <f t="shared" ca="1" si="1"/>
        <v>0</v>
      </c>
      <c r="AZ1347" s="75"/>
      <c r="BA1347" s="67">
        <f t="shared" ca="1" si="2"/>
        <v>0</v>
      </c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8"/>
      <c r="BL1347" s="78">
        <f t="shared" ca="1" si="3"/>
        <v>0</v>
      </c>
      <c r="BM1347" s="78"/>
      <c r="BN1347" s="78">
        <f t="shared" ca="1" si="4"/>
        <v>0</v>
      </c>
      <c r="BO1347" s="66"/>
      <c r="BP1347" s="66"/>
    </row>
    <row r="1348" spans="1:68" ht="13.2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>
        <f t="shared" ref="AP1348:AQ1348" si="1341">AR1348+AT1348+AV1348</f>
        <v>0</v>
      </c>
      <c r="AQ1348" s="75">
        <f t="shared" si="1341"/>
        <v>0</v>
      </c>
      <c r="AR1348" s="75"/>
      <c r="AS1348" s="75"/>
      <c r="AT1348" s="75"/>
      <c r="AU1348" s="75"/>
      <c r="AV1348" s="75"/>
      <c r="AW1348" s="75"/>
      <c r="AX1348" s="75"/>
      <c r="AY1348" s="67">
        <f t="shared" ca="1" si="1"/>
        <v>0</v>
      </c>
      <c r="AZ1348" s="75"/>
      <c r="BA1348" s="67">
        <f t="shared" ca="1" si="2"/>
        <v>0</v>
      </c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8"/>
      <c r="BL1348" s="78">
        <f t="shared" ca="1" si="3"/>
        <v>0</v>
      </c>
      <c r="BM1348" s="78"/>
      <c r="BN1348" s="78">
        <f t="shared" ca="1" si="4"/>
        <v>0</v>
      </c>
      <c r="BO1348" s="66"/>
      <c r="BP1348" s="66"/>
    </row>
    <row r="1349" spans="1:68" ht="13.2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>
        <f t="shared" ref="AP1349:AQ1349" si="1342">AR1349+AT1349+AV1349</f>
        <v>0</v>
      </c>
      <c r="AQ1349" s="75">
        <f t="shared" si="1342"/>
        <v>0</v>
      </c>
      <c r="AR1349" s="75"/>
      <c r="AS1349" s="75"/>
      <c r="AT1349" s="75"/>
      <c r="AU1349" s="75"/>
      <c r="AV1349" s="75"/>
      <c r="AW1349" s="75"/>
      <c r="AX1349" s="75"/>
      <c r="AY1349" s="67">
        <f t="shared" ca="1" si="1"/>
        <v>0</v>
      </c>
      <c r="AZ1349" s="75"/>
      <c r="BA1349" s="67">
        <f t="shared" ca="1" si="2"/>
        <v>0</v>
      </c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8"/>
      <c r="BL1349" s="78">
        <f t="shared" ca="1" si="3"/>
        <v>0</v>
      </c>
      <c r="BM1349" s="78"/>
      <c r="BN1349" s="78">
        <f t="shared" ca="1" si="4"/>
        <v>0</v>
      </c>
      <c r="BO1349" s="66"/>
      <c r="BP1349" s="66"/>
    </row>
    <row r="1350" spans="1:68" ht="13.2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>
        <f t="shared" ref="AP1350:AQ1350" si="1343">AR1350+AT1350+AV1350</f>
        <v>0</v>
      </c>
      <c r="AQ1350" s="75">
        <f t="shared" si="1343"/>
        <v>0</v>
      </c>
      <c r="AR1350" s="75"/>
      <c r="AS1350" s="75"/>
      <c r="AT1350" s="75"/>
      <c r="AU1350" s="75"/>
      <c r="AV1350" s="75"/>
      <c r="AW1350" s="75"/>
      <c r="AX1350" s="75"/>
      <c r="AY1350" s="67">
        <f t="shared" ca="1" si="1"/>
        <v>0</v>
      </c>
      <c r="AZ1350" s="75"/>
      <c r="BA1350" s="67">
        <f t="shared" ca="1" si="2"/>
        <v>0</v>
      </c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8"/>
      <c r="BL1350" s="78">
        <f t="shared" ca="1" si="3"/>
        <v>0</v>
      </c>
      <c r="BM1350" s="78"/>
      <c r="BN1350" s="78">
        <f t="shared" ca="1" si="4"/>
        <v>0</v>
      </c>
      <c r="BO1350" s="66"/>
      <c r="BP1350" s="66"/>
    </row>
    <row r="1351" spans="1:68" ht="13.2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>
        <f t="shared" ref="AP1351:AQ1351" si="1344">AR1351+AT1351+AV1351</f>
        <v>0</v>
      </c>
      <c r="AQ1351" s="75">
        <f t="shared" si="1344"/>
        <v>0</v>
      </c>
      <c r="AR1351" s="75"/>
      <c r="AS1351" s="75"/>
      <c r="AT1351" s="75"/>
      <c r="AU1351" s="75"/>
      <c r="AV1351" s="75"/>
      <c r="AW1351" s="75"/>
      <c r="AX1351" s="75"/>
      <c r="AY1351" s="67">
        <f t="shared" ca="1" si="1"/>
        <v>0</v>
      </c>
      <c r="AZ1351" s="75"/>
      <c r="BA1351" s="67">
        <f t="shared" ca="1" si="2"/>
        <v>0</v>
      </c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8"/>
      <c r="BL1351" s="78">
        <f t="shared" ca="1" si="3"/>
        <v>0</v>
      </c>
      <c r="BM1351" s="78"/>
      <c r="BN1351" s="78">
        <f t="shared" ca="1" si="4"/>
        <v>0</v>
      </c>
      <c r="BO1351" s="66"/>
      <c r="BP1351" s="66"/>
    </row>
    <row r="1352" spans="1:68" ht="13.2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>
        <f t="shared" ref="AP1352:AQ1352" si="1345">AR1352+AT1352+AV1352</f>
        <v>0</v>
      </c>
      <c r="AQ1352" s="75">
        <f t="shared" si="1345"/>
        <v>0</v>
      </c>
      <c r="AR1352" s="75"/>
      <c r="AS1352" s="75"/>
      <c r="AT1352" s="75"/>
      <c r="AU1352" s="75"/>
      <c r="AV1352" s="75"/>
      <c r="AW1352" s="75"/>
      <c r="AX1352" s="75"/>
      <c r="AY1352" s="67">
        <f t="shared" ca="1" si="1"/>
        <v>0</v>
      </c>
      <c r="AZ1352" s="75"/>
      <c r="BA1352" s="67">
        <f t="shared" ca="1" si="2"/>
        <v>0</v>
      </c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8"/>
      <c r="BL1352" s="78">
        <f t="shared" ca="1" si="3"/>
        <v>0</v>
      </c>
      <c r="BM1352" s="78"/>
      <c r="BN1352" s="78">
        <f t="shared" ca="1" si="4"/>
        <v>0</v>
      </c>
      <c r="BO1352" s="66"/>
      <c r="BP1352" s="66"/>
    </row>
    <row r="1353" spans="1:68" ht="13.2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>
        <f t="shared" ref="AP1353:AQ1353" si="1346">AR1353+AT1353+AV1353</f>
        <v>0</v>
      </c>
      <c r="AQ1353" s="75">
        <f t="shared" si="1346"/>
        <v>0</v>
      </c>
      <c r="AR1353" s="75"/>
      <c r="AS1353" s="75"/>
      <c r="AT1353" s="75"/>
      <c r="AU1353" s="75"/>
      <c r="AV1353" s="75"/>
      <c r="AW1353" s="75"/>
      <c r="AX1353" s="75"/>
      <c r="AY1353" s="67">
        <f t="shared" ca="1" si="1"/>
        <v>0</v>
      </c>
      <c r="AZ1353" s="75"/>
      <c r="BA1353" s="67">
        <f t="shared" ca="1" si="2"/>
        <v>0</v>
      </c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8"/>
      <c r="BL1353" s="78">
        <f t="shared" ca="1" si="3"/>
        <v>0</v>
      </c>
      <c r="BM1353" s="78"/>
      <c r="BN1353" s="78">
        <f t="shared" ca="1" si="4"/>
        <v>0</v>
      </c>
      <c r="BO1353" s="66"/>
      <c r="BP1353" s="66"/>
    </row>
    <row r="1354" spans="1:68" ht="13.2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>
        <f t="shared" ref="AP1354:AQ1354" si="1347">AR1354+AT1354+AV1354</f>
        <v>0</v>
      </c>
      <c r="AQ1354" s="75">
        <f t="shared" si="1347"/>
        <v>0</v>
      </c>
      <c r="AR1354" s="75"/>
      <c r="AS1354" s="75"/>
      <c r="AT1354" s="75"/>
      <c r="AU1354" s="75"/>
      <c r="AV1354" s="75"/>
      <c r="AW1354" s="75"/>
      <c r="AX1354" s="75"/>
      <c r="AY1354" s="67">
        <f t="shared" ca="1" si="1"/>
        <v>0</v>
      </c>
      <c r="AZ1354" s="75"/>
      <c r="BA1354" s="67">
        <f t="shared" ca="1" si="2"/>
        <v>0</v>
      </c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8"/>
      <c r="BL1354" s="78">
        <f t="shared" ca="1" si="3"/>
        <v>0</v>
      </c>
      <c r="BM1354" s="78"/>
      <c r="BN1354" s="78">
        <f t="shared" ca="1" si="4"/>
        <v>0</v>
      </c>
      <c r="BO1354" s="66"/>
      <c r="BP1354" s="66"/>
    </row>
    <row r="1355" spans="1:68" ht="13.2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>
        <f t="shared" ref="AP1355:AQ1355" si="1348">AR1355+AT1355+AV1355</f>
        <v>0</v>
      </c>
      <c r="AQ1355" s="75">
        <f t="shared" si="1348"/>
        <v>0</v>
      </c>
      <c r="AR1355" s="75"/>
      <c r="AS1355" s="75"/>
      <c r="AT1355" s="75"/>
      <c r="AU1355" s="75"/>
      <c r="AV1355" s="75"/>
      <c r="AW1355" s="75"/>
      <c r="AX1355" s="75"/>
      <c r="AY1355" s="67">
        <f t="shared" ca="1" si="1"/>
        <v>0</v>
      </c>
      <c r="AZ1355" s="75"/>
      <c r="BA1355" s="67">
        <f t="shared" ca="1" si="2"/>
        <v>0</v>
      </c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8"/>
      <c r="BL1355" s="78">
        <f t="shared" ca="1" si="3"/>
        <v>0</v>
      </c>
      <c r="BM1355" s="78"/>
      <c r="BN1355" s="78">
        <f t="shared" ca="1" si="4"/>
        <v>0</v>
      </c>
      <c r="BO1355" s="66"/>
      <c r="BP1355" s="66"/>
    </row>
    <row r="1356" spans="1:68" ht="13.2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>
        <f t="shared" ref="AP1356:AQ1356" si="1349">AR1356+AT1356+AV1356</f>
        <v>0</v>
      </c>
      <c r="AQ1356" s="75">
        <f t="shared" si="1349"/>
        <v>0</v>
      </c>
      <c r="AR1356" s="75"/>
      <c r="AS1356" s="75"/>
      <c r="AT1356" s="75"/>
      <c r="AU1356" s="75"/>
      <c r="AV1356" s="75"/>
      <c r="AW1356" s="75"/>
      <c r="AX1356" s="75"/>
      <c r="AY1356" s="67">
        <f t="shared" ca="1" si="1"/>
        <v>0</v>
      </c>
      <c r="AZ1356" s="75"/>
      <c r="BA1356" s="67">
        <f t="shared" ca="1" si="2"/>
        <v>0</v>
      </c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8"/>
      <c r="BL1356" s="78">
        <f t="shared" ca="1" si="3"/>
        <v>0</v>
      </c>
      <c r="BM1356" s="78"/>
      <c r="BN1356" s="78">
        <f t="shared" ca="1" si="4"/>
        <v>0</v>
      </c>
      <c r="BO1356" s="66"/>
      <c r="BP1356" s="66"/>
    </row>
    <row r="1357" spans="1:68" ht="13.2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>
        <f t="shared" ref="AP1357:AQ1357" si="1350">AR1357+AT1357+AV1357</f>
        <v>0</v>
      </c>
      <c r="AQ1357" s="75">
        <f t="shared" si="1350"/>
        <v>0</v>
      </c>
      <c r="AR1357" s="75"/>
      <c r="AS1357" s="75"/>
      <c r="AT1357" s="75"/>
      <c r="AU1357" s="75"/>
      <c r="AV1357" s="75"/>
      <c r="AW1357" s="75"/>
      <c r="AX1357" s="75"/>
      <c r="AY1357" s="67">
        <f t="shared" ca="1" si="1"/>
        <v>0</v>
      </c>
      <c r="AZ1357" s="75"/>
      <c r="BA1357" s="67">
        <f t="shared" ca="1" si="2"/>
        <v>0</v>
      </c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8"/>
      <c r="BL1357" s="78">
        <f t="shared" ca="1" si="3"/>
        <v>0</v>
      </c>
      <c r="BM1357" s="78"/>
      <c r="BN1357" s="78">
        <f t="shared" ca="1" si="4"/>
        <v>0</v>
      </c>
      <c r="BO1357" s="66"/>
      <c r="BP1357" s="66"/>
    </row>
    <row r="1358" spans="1:68" ht="13.2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>
        <f t="shared" ref="AP1358:AQ1358" si="1351">AR1358+AT1358+AV1358</f>
        <v>0</v>
      </c>
      <c r="AQ1358" s="75">
        <f t="shared" si="1351"/>
        <v>0</v>
      </c>
      <c r="AR1358" s="75"/>
      <c r="AS1358" s="75"/>
      <c r="AT1358" s="75"/>
      <c r="AU1358" s="75"/>
      <c r="AV1358" s="75"/>
      <c r="AW1358" s="75"/>
      <c r="AX1358" s="75"/>
      <c r="AY1358" s="67">
        <f t="shared" ca="1" si="1"/>
        <v>0</v>
      </c>
      <c r="AZ1358" s="75"/>
      <c r="BA1358" s="67">
        <f t="shared" ca="1" si="2"/>
        <v>0</v>
      </c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8"/>
      <c r="BL1358" s="78">
        <f t="shared" ca="1" si="3"/>
        <v>0</v>
      </c>
      <c r="BM1358" s="78"/>
      <c r="BN1358" s="78">
        <f t="shared" ca="1" si="4"/>
        <v>0</v>
      </c>
      <c r="BO1358" s="66"/>
      <c r="BP1358" s="66"/>
    </row>
    <row r="1359" spans="1:68" ht="13.2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>
        <f t="shared" ref="AP1359:AQ1359" si="1352">AR1359+AT1359+AV1359</f>
        <v>0</v>
      </c>
      <c r="AQ1359" s="75">
        <f t="shared" si="1352"/>
        <v>0</v>
      </c>
      <c r="AR1359" s="75"/>
      <c r="AS1359" s="75"/>
      <c r="AT1359" s="75"/>
      <c r="AU1359" s="75"/>
      <c r="AV1359" s="75"/>
      <c r="AW1359" s="75"/>
      <c r="AX1359" s="75"/>
      <c r="AY1359" s="67">
        <f t="shared" ca="1" si="1"/>
        <v>0</v>
      </c>
      <c r="AZ1359" s="75"/>
      <c r="BA1359" s="67">
        <f t="shared" ca="1" si="2"/>
        <v>0</v>
      </c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8"/>
      <c r="BL1359" s="78">
        <f t="shared" ca="1" si="3"/>
        <v>0</v>
      </c>
      <c r="BM1359" s="78"/>
      <c r="BN1359" s="78">
        <f t="shared" ca="1" si="4"/>
        <v>0</v>
      </c>
      <c r="BO1359" s="66"/>
      <c r="BP1359" s="66"/>
    </row>
    <row r="1360" spans="1:68" ht="13.2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>
        <f t="shared" ref="AP1360:AQ1360" si="1353">AR1360+AT1360+AV1360</f>
        <v>0</v>
      </c>
      <c r="AQ1360" s="75">
        <f t="shared" si="1353"/>
        <v>0</v>
      </c>
      <c r="AR1360" s="75"/>
      <c r="AS1360" s="75"/>
      <c r="AT1360" s="75"/>
      <c r="AU1360" s="75"/>
      <c r="AV1360" s="75"/>
      <c r="AW1360" s="75"/>
      <c r="AX1360" s="75"/>
      <c r="AY1360" s="67">
        <f t="shared" ca="1" si="1"/>
        <v>0</v>
      </c>
      <c r="AZ1360" s="75"/>
      <c r="BA1360" s="67">
        <f t="shared" ca="1" si="2"/>
        <v>0</v>
      </c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8"/>
      <c r="BL1360" s="78">
        <f t="shared" ca="1" si="3"/>
        <v>0</v>
      </c>
      <c r="BM1360" s="78"/>
      <c r="BN1360" s="78">
        <f t="shared" ca="1" si="4"/>
        <v>0</v>
      </c>
      <c r="BO1360" s="66"/>
      <c r="BP1360" s="66"/>
    </row>
    <row r="1361" spans="1:68" ht="13.2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>
        <f t="shared" ref="AP1361:AQ1361" si="1354">AR1361+AT1361+AV1361</f>
        <v>0</v>
      </c>
      <c r="AQ1361" s="75">
        <f t="shared" si="1354"/>
        <v>0</v>
      </c>
      <c r="AR1361" s="75"/>
      <c r="AS1361" s="75"/>
      <c r="AT1361" s="75"/>
      <c r="AU1361" s="75"/>
      <c r="AV1361" s="75"/>
      <c r="AW1361" s="75"/>
      <c r="AX1361" s="75"/>
      <c r="AY1361" s="67">
        <f t="shared" ca="1" si="1"/>
        <v>0</v>
      </c>
      <c r="AZ1361" s="75"/>
      <c r="BA1361" s="67">
        <f t="shared" ca="1" si="2"/>
        <v>0</v>
      </c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8"/>
      <c r="BL1361" s="78">
        <f t="shared" ca="1" si="3"/>
        <v>0</v>
      </c>
      <c r="BM1361" s="78"/>
      <c r="BN1361" s="78">
        <f t="shared" ca="1" si="4"/>
        <v>0</v>
      </c>
      <c r="BO1361" s="66"/>
      <c r="BP1361" s="66"/>
    </row>
    <row r="1362" spans="1:68" ht="13.2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>
        <f t="shared" ref="AP1362:AQ1362" si="1355">AR1362+AT1362+AV1362</f>
        <v>0</v>
      </c>
      <c r="AQ1362" s="75">
        <f t="shared" si="1355"/>
        <v>0</v>
      </c>
      <c r="AR1362" s="75"/>
      <c r="AS1362" s="75"/>
      <c r="AT1362" s="75"/>
      <c r="AU1362" s="75"/>
      <c r="AV1362" s="75"/>
      <c r="AW1362" s="75"/>
      <c r="AX1362" s="75"/>
      <c r="AY1362" s="67">
        <f t="shared" ca="1" si="1"/>
        <v>0</v>
      </c>
      <c r="AZ1362" s="75"/>
      <c r="BA1362" s="67">
        <f t="shared" ca="1" si="2"/>
        <v>0</v>
      </c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8"/>
      <c r="BL1362" s="78">
        <f t="shared" ca="1" si="3"/>
        <v>0</v>
      </c>
      <c r="BM1362" s="78"/>
      <c r="BN1362" s="78">
        <f t="shared" ca="1" si="4"/>
        <v>0</v>
      </c>
      <c r="BO1362" s="66"/>
      <c r="BP1362" s="66"/>
    </row>
    <row r="1363" spans="1:68" ht="13.2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>
        <f t="shared" ref="AP1363:AQ1363" si="1356">AR1363+AT1363+AV1363</f>
        <v>0</v>
      </c>
      <c r="AQ1363" s="75">
        <f t="shared" si="1356"/>
        <v>0</v>
      </c>
      <c r="AR1363" s="75"/>
      <c r="AS1363" s="75"/>
      <c r="AT1363" s="75"/>
      <c r="AU1363" s="75"/>
      <c r="AV1363" s="75"/>
      <c r="AW1363" s="75"/>
      <c r="AX1363" s="75"/>
      <c r="AY1363" s="67">
        <f t="shared" ca="1" si="1"/>
        <v>0</v>
      </c>
      <c r="AZ1363" s="75"/>
      <c r="BA1363" s="67">
        <f t="shared" ca="1" si="2"/>
        <v>0</v>
      </c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8"/>
      <c r="BL1363" s="78">
        <f t="shared" ca="1" si="3"/>
        <v>0</v>
      </c>
      <c r="BM1363" s="78"/>
      <c r="BN1363" s="78">
        <f t="shared" ca="1" si="4"/>
        <v>0</v>
      </c>
      <c r="BO1363" s="66"/>
      <c r="BP1363" s="66"/>
    </row>
    <row r="1364" spans="1:68" ht="13.2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>
        <f t="shared" ref="AP1364:AQ1364" si="1357">AR1364+AT1364+AV1364</f>
        <v>0</v>
      </c>
      <c r="AQ1364" s="75">
        <f t="shared" si="1357"/>
        <v>0</v>
      </c>
      <c r="AR1364" s="75"/>
      <c r="AS1364" s="75"/>
      <c r="AT1364" s="75"/>
      <c r="AU1364" s="75"/>
      <c r="AV1364" s="75"/>
      <c r="AW1364" s="75"/>
      <c r="AX1364" s="75"/>
      <c r="AY1364" s="67">
        <f t="shared" ca="1" si="1"/>
        <v>0</v>
      </c>
      <c r="AZ1364" s="75"/>
      <c r="BA1364" s="67">
        <f t="shared" ca="1" si="2"/>
        <v>0</v>
      </c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8"/>
      <c r="BL1364" s="78">
        <f t="shared" ca="1" si="3"/>
        <v>0</v>
      </c>
      <c r="BM1364" s="78"/>
      <c r="BN1364" s="78">
        <f t="shared" ca="1" si="4"/>
        <v>0</v>
      </c>
      <c r="BO1364" s="66"/>
      <c r="BP1364" s="66"/>
    </row>
    <row r="1365" spans="1:68" ht="13.2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>
        <f t="shared" ref="AP1365:AQ1365" si="1358">AR1365+AT1365+AV1365</f>
        <v>0</v>
      </c>
      <c r="AQ1365" s="75">
        <f t="shared" si="1358"/>
        <v>0</v>
      </c>
      <c r="AR1365" s="75"/>
      <c r="AS1365" s="75"/>
      <c r="AT1365" s="75"/>
      <c r="AU1365" s="75"/>
      <c r="AV1365" s="75"/>
      <c r="AW1365" s="75"/>
      <c r="AX1365" s="75"/>
      <c r="AY1365" s="67">
        <f t="shared" ca="1" si="1"/>
        <v>0</v>
      </c>
      <c r="AZ1365" s="75"/>
      <c r="BA1365" s="67">
        <f t="shared" ca="1" si="2"/>
        <v>0</v>
      </c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8"/>
      <c r="BL1365" s="78">
        <f t="shared" ca="1" si="3"/>
        <v>0</v>
      </c>
      <c r="BM1365" s="78"/>
      <c r="BN1365" s="78">
        <f t="shared" ca="1" si="4"/>
        <v>0</v>
      </c>
      <c r="BO1365" s="66"/>
      <c r="BP1365" s="66"/>
    </row>
    <row r="1366" spans="1:68" ht="13.2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>
        <f t="shared" ref="AP1366:AQ1366" si="1359">AR1366+AT1366+AV1366</f>
        <v>0</v>
      </c>
      <c r="AQ1366" s="75">
        <f t="shared" si="1359"/>
        <v>0</v>
      </c>
      <c r="AR1366" s="75"/>
      <c r="AS1366" s="75"/>
      <c r="AT1366" s="75"/>
      <c r="AU1366" s="75"/>
      <c r="AV1366" s="75"/>
      <c r="AW1366" s="75"/>
      <c r="AX1366" s="75"/>
      <c r="AY1366" s="67">
        <f t="shared" ca="1" si="1"/>
        <v>0</v>
      </c>
      <c r="AZ1366" s="75"/>
      <c r="BA1366" s="67">
        <f t="shared" ca="1" si="2"/>
        <v>0</v>
      </c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8"/>
      <c r="BL1366" s="78">
        <f t="shared" ca="1" si="3"/>
        <v>0</v>
      </c>
      <c r="BM1366" s="78"/>
      <c r="BN1366" s="78">
        <f t="shared" ca="1" si="4"/>
        <v>0</v>
      </c>
      <c r="BO1366" s="66"/>
      <c r="BP1366" s="66"/>
    </row>
    <row r="1367" spans="1:68" ht="13.2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>
        <f t="shared" ref="AP1367:AQ1367" si="1360">AR1367+AT1367+AV1367</f>
        <v>0</v>
      </c>
      <c r="AQ1367" s="75">
        <f t="shared" si="1360"/>
        <v>0</v>
      </c>
      <c r="AR1367" s="75"/>
      <c r="AS1367" s="75"/>
      <c r="AT1367" s="75"/>
      <c r="AU1367" s="75"/>
      <c r="AV1367" s="75"/>
      <c r="AW1367" s="75"/>
      <c r="AX1367" s="75"/>
      <c r="AY1367" s="67">
        <f t="shared" ca="1" si="1"/>
        <v>0</v>
      </c>
      <c r="AZ1367" s="75"/>
      <c r="BA1367" s="67">
        <f t="shared" ca="1" si="2"/>
        <v>0</v>
      </c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8"/>
      <c r="BL1367" s="78">
        <f t="shared" ca="1" si="3"/>
        <v>0</v>
      </c>
      <c r="BM1367" s="78"/>
      <c r="BN1367" s="78">
        <f t="shared" ca="1" si="4"/>
        <v>0</v>
      </c>
      <c r="BO1367" s="66"/>
      <c r="BP1367" s="66"/>
    </row>
    <row r="1368" spans="1:68" ht="13.2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>
        <f t="shared" ref="AP1368:AQ1368" si="1361">AR1368+AT1368+AV1368</f>
        <v>0</v>
      </c>
      <c r="AQ1368" s="75">
        <f t="shared" si="1361"/>
        <v>0</v>
      </c>
      <c r="AR1368" s="75"/>
      <c r="AS1368" s="75"/>
      <c r="AT1368" s="75"/>
      <c r="AU1368" s="75"/>
      <c r="AV1368" s="75"/>
      <c r="AW1368" s="75"/>
      <c r="AX1368" s="75"/>
      <c r="AY1368" s="67">
        <f t="shared" ca="1" si="1"/>
        <v>0</v>
      </c>
      <c r="AZ1368" s="75"/>
      <c r="BA1368" s="67">
        <f t="shared" ca="1" si="2"/>
        <v>0</v>
      </c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8"/>
      <c r="BL1368" s="78">
        <f t="shared" ca="1" si="3"/>
        <v>0</v>
      </c>
      <c r="BM1368" s="78"/>
      <c r="BN1368" s="78">
        <f t="shared" ca="1" si="4"/>
        <v>0</v>
      </c>
      <c r="BO1368" s="66"/>
      <c r="BP1368" s="66"/>
    </row>
    <row r="1369" spans="1:68" ht="13.2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>
        <f t="shared" ref="AP1369:AQ1369" si="1362">AR1369+AT1369+AV1369</f>
        <v>0</v>
      </c>
      <c r="AQ1369" s="75">
        <f t="shared" si="1362"/>
        <v>0</v>
      </c>
      <c r="AR1369" s="75"/>
      <c r="AS1369" s="75"/>
      <c r="AT1369" s="75"/>
      <c r="AU1369" s="75"/>
      <c r="AV1369" s="75"/>
      <c r="AW1369" s="75"/>
      <c r="AX1369" s="75"/>
      <c r="AY1369" s="67">
        <f t="shared" ca="1" si="1"/>
        <v>0</v>
      </c>
      <c r="AZ1369" s="75"/>
      <c r="BA1369" s="67">
        <f t="shared" ca="1" si="2"/>
        <v>0</v>
      </c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8"/>
      <c r="BL1369" s="78">
        <f t="shared" ca="1" si="3"/>
        <v>0</v>
      </c>
      <c r="BM1369" s="78"/>
      <c r="BN1369" s="78">
        <f t="shared" ca="1" si="4"/>
        <v>0</v>
      </c>
      <c r="BO1369" s="66"/>
      <c r="BP1369" s="66"/>
    </row>
    <row r="1370" spans="1:68" ht="13.2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>
        <f t="shared" ref="AP1370:AQ1370" si="1363">AR1370+AT1370+AV1370</f>
        <v>0</v>
      </c>
      <c r="AQ1370" s="75">
        <f t="shared" si="1363"/>
        <v>0</v>
      </c>
      <c r="AR1370" s="75"/>
      <c r="AS1370" s="75"/>
      <c r="AT1370" s="75"/>
      <c r="AU1370" s="75"/>
      <c r="AV1370" s="75"/>
      <c r="AW1370" s="75"/>
      <c r="AX1370" s="75"/>
      <c r="AY1370" s="67">
        <f t="shared" ca="1" si="1"/>
        <v>0</v>
      </c>
      <c r="AZ1370" s="75"/>
      <c r="BA1370" s="67">
        <f t="shared" ca="1" si="2"/>
        <v>0</v>
      </c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8"/>
      <c r="BL1370" s="78">
        <f t="shared" ca="1" si="3"/>
        <v>0</v>
      </c>
      <c r="BM1370" s="78"/>
      <c r="BN1370" s="78">
        <f t="shared" ca="1" si="4"/>
        <v>0</v>
      </c>
      <c r="BO1370" s="66"/>
      <c r="BP1370" s="66"/>
    </row>
    <row r="1371" spans="1:68" ht="13.2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>
        <f t="shared" ref="AP1371:AQ1371" si="1364">AR1371+AT1371+AV1371</f>
        <v>0</v>
      </c>
      <c r="AQ1371" s="75">
        <f t="shared" si="1364"/>
        <v>0</v>
      </c>
      <c r="AR1371" s="75"/>
      <c r="AS1371" s="75"/>
      <c r="AT1371" s="75"/>
      <c r="AU1371" s="75"/>
      <c r="AV1371" s="75"/>
      <c r="AW1371" s="75"/>
      <c r="AX1371" s="75"/>
      <c r="AY1371" s="67">
        <f t="shared" ca="1" si="1"/>
        <v>0</v>
      </c>
      <c r="AZ1371" s="75"/>
      <c r="BA1371" s="67">
        <f t="shared" ca="1" si="2"/>
        <v>0</v>
      </c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8"/>
      <c r="BL1371" s="78">
        <f t="shared" ca="1" si="3"/>
        <v>0</v>
      </c>
      <c r="BM1371" s="78"/>
      <c r="BN1371" s="78">
        <f t="shared" ca="1" si="4"/>
        <v>0</v>
      </c>
      <c r="BO1371" s="66"/>
      <c r="BP1371" s="66"/>
    </row>
    <row r="1372" spans="1:68" ht="13.2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>
        <f t="shared" ref="AP1372:AQ1372" si="1365">AR1372+AT1372+AV1372</f>
        <v>0</v>
      </c>
      <c r="AQ1372" s="75">
        <f t="shared" si="1365"/>
        <v>0</v>
      </c>
      <c r="AR1372" s="75"/>
      <c r="AS1372" s="75"/>
      <c r="AT1372" s="75"/>
      <c r="AU1372" s="75"/>
      <c r="AV1372" s="75"/>
      <c r="AW1372" s="75"/>
      <c r="AX1372" s="75"/>
      <c r="AY1372" s="67">
        <f t="shared" ca="1" si="1"/>
        <v>0</v>
      </c>
      <c r="AZ1372" s="75"/>
      <c r="BA1372" s="67">
        <f t="shared" ca="1" si="2"/>
        <v>0</v>
      </c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8"/>
      <c r="BL1372" s="78">
        <f t="shared" ca="1" si="3"/>
        <v>0</v>
      </c>
      <c r="BM1372" s="78"/>
      <c r="BN1372" s="78">
        <f t="shared" ca="1" si="4"/>
        <v>0</v>
      </c>
      <c r="BO1372" s="66"/>
      <c r="BP1372" s="66"/>
    </row>
    <row r="1373" spans="1:68" ht="13.2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>
        <f t="shared" ref="AP1373:AQ1373" si="1366">AR1373+AT1373+AV1373</f>
        <v>0</v>
      </c>
      <c r="AQ1373" s="75">
        <f t="shared" si="1366"/>
        <v>0</v>
      </c>
      <c r="AR1373" s="75"/>
      <c r="AS1373" s="75"/>
      <c r="AT1373" s="75"/>
      <c r="AU1373" s="75"/>
      <c r="AV1373" s="75"/>
      <c r="AW1373" s="75"/>
      <c r="AX1373" s="75"/>
      <c r="AY1373" s="67">
        <f t="shared" ca="1" si="1"/>
        <v>0</v>
      </c>
      <c r="AZ1373" s="75"/>
      <c r="BA1373" s="67">
        <f t="shared" ca="1" si="2"/>
        <v>0</v>
      </c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8"/>
      <c r="BL1373" s="78">
        <f t="shared" ca="1" si="3"/>
        <v>0</v>
      </c>
      <c r="BM1373" s="78"/>
      <c r="BN1373" s="78">
        <f t="shared" ca="1" si="4"/>
        <v>0</v>
      </c>
      <c r="BO1373" s="66"/>
      <c r="BP1373" s="66"/>
    </row>
    <row r="1374" spans="1:68" ht="13.2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>
        <f t="shared" ref="AP1374:AQ1374" si="1367">AR1374+AT1374+AV1374</f>
        <v>0</v>
      </c>
      <c r="AQ1374" s="75">
        <f t="shared" si="1367"/>
        <v>0</v>
      </c>
      <c r="AR1374" s="75"/>
      <c r="AS1374" s="75"/>
      <c r="AT1374" s="75"/>
      <c r="AU1374" s="75"/>
      <c r="AV1374" s="75"/>
      <c r="AW1374" s="75"/>
      <c r="AX1374" s="75"/>
      <c r="AY1374" s="67">
        <f t="shared" ca="1" si="1"/>
        <v>0</v>
      </c>
      <c r="AZ1374" s="75"/>
      <c r="BA1374" s="67">
        <f t="shared" ca="1" si="2"/>
        <v>0</v>
      </c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8"/>
      <c r="BL1374" s="78">
        <f t="shared" ca="1" si="3"/>
        <v>0</v>
      </c>
      <c r="BM1374" s="78"/>
      <c r="BN1374" s="78">
        <f t="shared" ca="1" si="4"/>
        <v>0</v>
      </c>
      <c r="BO1374" s="66"/>
      <c r="BP1374" s="66"/>
    </row>
    <row r="1375" spans="1:68" ht="13.2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>
        <f t="shared" ref="AP1375:AQ1375" si="1368">AR1375+AT1375+AV1375</f>
        <v>0</v>
      </c>
      <c r="AQ1375" s="75">
        <f t="shared" si="1368"/>
        <v>0</v>
      </c>
      <c r="AR1375" s="75"/>
      <c r="AS1375" s="75"/>
      <c r="AT1375" s="75"/>
      <c r="AU1375" s="75"/>
      <c r="AV1375" s="75"/>
      <c r="AW1375" s="75"/>
      <c r="AX1375" s="75"/>
      <c r="AY1375" s="67">
        <f t="shared" ca="1" si="1"/>
        <v>0</v>
      </c>
      <c r="AZ1375" s="75"/>
      <c r="BA1375" s="67">
        <f t="shared" ca="1" si="2"/>
        <v>0</v>
      </c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8"/>
      <c r="BL1375" s="78">
        <f t="shared" ca="1" si="3"/>
        <v>0</v>
      </c>
      <c r="BM1375" s="78"/>
      <c r="BN1375" s="78">
        <f t="shared" ca="1" si="4"/>
        <v>0</v>
      </c>
      <c r="BO1375" s="66"/>
      <c r="BP1375" s="66"/>
    </row>
    <row r="1376" spans="1:68" ht="13.2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>
        <f t="shared" ref="AP1376:AQ1376" si="1369">AR1376+AT1376+AV1376</f>
        <v>0</v>
      </c>
      <c r="AQ1376" s="75">
        <f t="shared" si="1369"/>
        <v>0</v>
      </c>
      <c r="AR1376" s="75"/>
      <c r="AS1376" s="75"/>
      <c r="AT1376" s="75"/>
      <c r="AU1376" s="75"/>
      <c r="AV1376" s="75"/>
      <c r="AW1376" s="75"/>
      <c r="AX1376" s="75"/>
      <c r="AY1376" s="67">
        <f t="shared" ca="1" si="1"/>
        <v>0</v>
      </c>
      <c r="AZ1376" s="75"/>
      <c r="BA1376" s="67">
        <f t="shared" ca="1" si="2"/>
        <v>0</v>
      </c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8"/>
      <c r="BL1376" s="78">
        <f t="shared" ca="1" si="3"/>
        <v>0</v>
      </c>
      <c r="BM1376" s="78"/>
      <c r="BN1376" s="78">
        <f t="shared" ca="1" si="4"/>
        <v>0</v>
      </c>
      <c r="BO1376" s="66"/>
      <c r="BP1376" s="66"/>
    </row>
    <row r="1377" spans="1:68" ht="13.2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>
        <f t="shared" ref="AP1377:AQ1377" si="1370">AR1377+AT1377+AV1377</f>
        <v>0</v>
      </c>
      <c r="AQ1377" s="75">
        <f t="shared" si="1370"/>
        <v>0</v>
      </c>
      <c r="AR1377" s="75"/>
      <c r="AS1377" s="75"/>
      <c r="AT1377" s="75"/>
      <c r="AU1377" s="75"/>
      <c r="AV1377" s="75"/>
      <c r="AW1377" s="75"/>
      <c r="AX1377" s="75"/>
      <c r="AY1377" s="67">
        <f t="shared" ca="1" si="1"/>
        <v>0</v>
      </c>
      <c r="AZ1377" s="75"/>
      <c r="BA1377" s="67">
        <f t="shared" ca="1" si="2"/>
        <v>0</v>
      </c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8"/>
      <c r="BL1377" s="78">
        <f t="shared" ca="1" si="3"/>
        <v>0</v>
      </c>
      <c r="BM1377" s="78"/>
      <c r="BN1377" s="78">
        <f t="shared" ca="1" si="4"/>
        <v>0</v>
      </c>
      <c r="BO1377" s="66"/>
      <c r="BP1377" s="66"/>
    </row>
    <row r="1378" spans="1:68" ht="13.2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>
        <f t="shared" ref="AP1378:AQ1378" si="1371">AR1378+AT1378+AV1378</f>
        <v>0</v>
      </c>
      <c r="AQ1378" s="75">
        <f t="shared" si="1371"/>
        <v>0</v>
      </c>
      <c r="AR1378" s="75"/>
      <c r="AS1378" s="75"/>
      <c r="AT1378" s="75"/>
      <c r="AU1378" s="75"/>
      <c r="AV1378" s="75"/>
      <c r="AW1378" s="75"/>
      <c r="AX1378" s="75"/>
      <c r="AY1378" s="67">
        <f t="shared" ca="1" si="1"/>
        <v>0</v>
      </c>
      <c r="AZ1378" s="75"/>
      <c r="BA1378" s="67">
        <f t="shared" ca="1" si="2"/>
        <v>0</v>
      </c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8"/>
      <c r="BL1378" s="78">
        <f t="shared" ca="1" si="3"/>
        <v>0</v>
      </c>
      <c r="BM1378" s="78"/>
      <c r="BN1378" s="78">
        <f t="shared" ca="1" si="4"/>
        <v>0</v>
      </c>
      <c r="BO1378" s="66"/>
      <c r="BP1378" s="66"/>
    </row>
    <row r="1379" spans="1:68" ht="13.2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>
        <f t="shared" ref="AP1379:AQ1379" si="1372">AR1379+AT1379+AV1379</f>
        <v>0</v>
      </c>
      <c r="AQ1379" s="75">
        <f t="shared" si="1372"/>
        <v>0</v>
      </c>
      <c r="AR1379" s="75"/>
      <c r="AS1379" s="75"/>
      <c r="AT1379" s="75"/>
      <c r="AU1379" s="75"/>
      <c r="AV1379" s="75"/>
      <c r="AW1379" s="75"/>
      <c r="AX1379" s="75"/>
      <c r="AY1379" s="67">
        <f t="shared" ca="1" si="1"/>
        <v>0</v>
      </c>
      <c r="AZ1379" s="75"/>
      <c r="BA1379" s="67">
        <f t="shared" ca="1" si="2"/>
        <v>0</v>
      </c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8"/>
      <c r="BL1379" s="78">
        <f t="shared" ca="1" si="3"/>
        <v>0</v>
      </c>
      <c r="BM1379" s="78"/>
      <c r="BN1379" s="78">
        <f t="shared" ca="1" si="4"/>
        <v>0</v>
      </c>
      <c r="BO1379" s="66"/>
      <c r="BP1379" s="66"/>
    </row>
    <row r="1380" spans="1:68" ht="13.2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>
        <f t="shared" ref="AP1380:AQ1380" si="1373">AR1380+AT1380+AV1380</f>
        <v>0</v>
      </c>
      <c r="AQ1380" s="75">
        <f t="shared" si="1373"/>
        <v>0</v>
      </c>
      <c r="AR1380" s="75"/>
      <c r="AS1380" s="75"/>
      <c r="AT1380" s="75"/>
      <c r="AU1380" s="75"/>
      <c r="AV1380" s="75"/>
      <c r="AW1380" s="75"/>
      <c r="AX1380" s="75"/>
      <c r="AY1380" s="67">
        <f t="shared" ca="1" si="1"/>
        <v>0</v>
      </c>
      <c r="AZ1380" s="75"/>
      <c r="BA1380" s="67">
        <f t="shared" ca="1" si="2"/>
        <v>0</v>
      </c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8"/>
      <c r="BL1380" s="78">
        <f t="shared" ca="1" si="3"/>
        <v>0</v>
      </c>
      <c r="BM1380" s="78"/>
      <c r="BN1380" s="78">
        <f t="shared" ca="1" si="4"/>
        <v>0</v>
      </c>
      <c r="BO1380" s="66"/>
      <c r="BP1380" s="66"/>
    </row>
    <row r="1381" spans="1:68" ht="13.2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>
        <f t="shared" ref="AP1381:AQ1381" si="1374">AR1381+AT1381+AV1381</f>
        <v>0</v>
      </c>
      <c r="AQ1381" s="75">
        <f t="shared" si="1374"/>
        <v>0</v>
      </c>
      <c r="AR1381" s="75"/>
      <c r="AS1381" s="75"/>
      <c r="AT1381" s="75"/>
      <c r="AU1381" s="75"/>
      <c r="AV1381" s="75"/>
      <c r="AW1381" s="75"/>
      <c r="AX1381" s="75"/>
      <c r="AY1381" s="67">
        <f t="shared" ca="1" si="1"/>
        <v>0</v>
      </c>
      <c r="AZ1381" s="75"/>
      <c r="BA1381" s="67">
        <f t="shared" ca="1" si="2"/>
        <v>0</v>
      </c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8"/>
      <c r="BL1381" s="78">
        <f t="shared" ca="1" si="3"/>
        <v>0</v>
      </c>
      <c r="BM1381" s="78"/>
      <c r="BN1381" s="78">
        <f t="shared" ca="1" si="4"/>
        <v>0</v>
      </c>
      <c r="BO1381" s="66"/>
      <c r="BP1381" s="66"/>
    </row>
    <row r="1382" spans="1:68" ht="13.2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>
        <f t="shared" ref="AP1382:AQ1382" si="1375">AR1382+AT1382+AV1382</f>
        <v>0</v>
      </c>
      <c r="AQ1382" s="75">
        <f t="shared" si="1375"/>
        <v>0</v>
      </c>
      <c r="AR1382" s="75"/>
      <c r="AS1382" s="75"/>
      <c r="AT1382" s="75"/>
      <c r="AU1382" s="75"/>
      <c r="AV1382" s="75"/>
      <c r="AW1382" s="75"/>
      <c r="AX1382" s="75"/>
      <c r="AY1382" s="67">
        <f t="shared" ca="1" si="1"/>
        <v>0</v>
      </c>
      <c r="AZ1382" s="75"/>
      <c r="BA1382" s="67">
        <f t="shared" ca="1" si="2"/>
        <v>0</v>
      </c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8"/>
      <c r="BL1382" s="78">
        <f t="shared" ca="1" si="3"/>
        <v>0</v>
      </c>
      <c r="BM1382" s="78"/>
      <c r="BN1382" s="78">
        <f t="shared" ca="1" si="4"/>
        <v>0</v>
      </c>
      <c r="BO1382" s="66"/>
      <c r="BP1382" s="66"/>
    </row>
    <row r="1383" spans="1:68" ht="13.2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>
        <f t="shared" ref="AP1383:AQ1383" si="1376">AR1383+AT1383+AV1383</f>
        <v>0</v>
      </c>
      <c r="AQ1383" s="75">
        <f t="shared" si="1376"/>
        <v>0</v>
      </c>
      <c r="AR1383" s="75"/>
      <c r="AS1383" s="75"/>
      <c r="AT1383" s="75"/>
      <c r="AU1383" s="75"/>
      <c r="AV1383" s="75"/>
      <c r="AW1383" s="75"/>
      <c r="AX1383" s="75"/>
      <c r="AY1383" s="67">
        <f t="shared" ca="1" si="1"/>
        <v>0</v>
      </c>
      <c r="AZ1383" s="75"/>
      <c r="BA1383" s="67">
        <f t="shared" ca="1" si="2"/>
        <v>0</v>
      </c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8"/>
      <c r="BL1383" s="78">
        <f t="shared" ca="1" si="3"/>
        <v>0</v>
      </c>
      <c r="BM1383" s="78"/>
      <c r="BN1383" s="78">
        <f t="shared" ca="1" si="4"/>
        <v>0</v>
      </c>
      <c r="BO1383" s="66"/>
      <c r="BP1383" s="66"/>
    </row>
    <row r="1384" spans="1:68" ht="13.2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>
        <f t="shared" ref="AP1384:AQ1384" si="1377">AR1384+AT1384+AV1384</f>
        <v>0</v>
      </c>
      <c r="AQ1384" s="75">
        <f t="shared" si="1377"/>
        <v>0</v>
      </c>
      <c r="AR1384" s="75"/>
      <c r="AS1384" s="75"/>
      <c r="AT1384" s="75"/>
      <c r="AU1384" s="75"/>
      <c r="AV1384" s="75"/>
      <c r="AW1384" s="75"/>
      <c r="AX1384" s="75"/>
      <c r="AY1384" s="67">
        <f t="shared" ca="1" si="1"/>
        <v>0</v>
      </c>
      <c r="AZ1384" s="75"/>
      <c r="BA1384" s="67">
        <f t="shared" ca="1" si="2"/>
        <v>0</v>
      </c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8"/>
      <c r="BL1384" s="78">
        <f t="shared" ca="1" si="3"/>
        <v>0</v>
      </c>
      <c r="BM1384" s="78"/>
      <c r="BN1384" s="78">
        <f t="shared" ca="1" si="4"/>
        <v>0</v>
      </c>
      <c r="BO1384" s="66"/>
      <c r="BP1384" s="66"/>
    </row>
    <row r="1385" spans="1:68" ht="13.2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>
        <f t="shared" ref="AP1385:AQ1385" si="1378">AR1385+AT1385+AV1385</f>
        <v>0</v>
      </c>
      <c r="AQ1385" s="75">
        <f t="shared" si="1378"/>
        <v>0</v>
      </c>
      <c r="AR1385" s="75"/>
      <c r="AS1385" s="75"/>
      <c r="AT1385" s="75"/>
      <c r="AU1385" s="75"/>
      <c r="AV1385" s="75"/>
      <c r="AW1385" s="75"/>
      <c r="AX1385" s="75"/>
      <c r="AY1385" s="67">
        <f t="shared" ca="1" si="1"/>
        <v>0</v>
      </c>
      <c r="AZ1385" s="75"/>
      <c r="BA1385" s="67">
        <f t="shared" ca="1" si="2"/>
        <v>0</v>
      </c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8"/>
      <c r="BL1385" s="78">
        <f t="shared" ca="1" si="3"/>
        <v>0</v>
      </c>
      <c r="BM1385" s="78"/>
      <c r="BN1385" s="78">
        <f t="shared" ca="1" si="4"/>
        <v>0</v>
      </c>
      <c r="BO1385" s="66"/>
      <c r="BP1385" s="66"/>
    </row>
    <row r="1386" spans="1:68" ht="13.2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>
        <f t="shared" ref="AP1386:AQ1386" si="1379">AR1386+AT1386+AV1386</f>
        <v>0</v>
      </c>
      <c r="AQ1386" s="75">
        <f t="shared" si="1379"/>
        <v>0</v>
      </c>
      <c r="AR1386" s="75"/>
      <c r="AS1386" s="75"/>
      <c r="AT1386" s="75"/>
      <c r="AU1386" s="75"/>
      <c r="AV1386" s="75"/>
      <c r="AW1386" s="75"/>
      <c r="AX1386" s="75"/>
      <c r="AY1386" s="67">
        <f t="shared" ca="1" si="1"/>
        <v>0</v>
      </c>
      <c r="AZ1386" s="75"/>
      <c r="BA1386" s="67">
        <f t="shared" ca="1" si="2"/>
        <v>0</v>
      </c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8"/>
      <c r="BL1386" s="78">
        <f t="shared" ca="1" si="3"/>
        <v>0</v>
      </c>
      <c r="BM1386" s="78"/>
      <c r="BN1386" s="78">
        <f t="shared" ca="1" si="4"/>
        <v>0</v>
      </c>
      <c r="BO1386" s="66"/>
      <c r="BP1386" s="66"/>
    </row>
    <row r="1387" spans="1:68" ht="13.2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>
        <f t="shared" ref="AP1387:AQ1387" si="1380">AR1387+AT1387+AV1387</f>
        <v>0</v>
      </c>
      <c r="AQ1387" s="75">
        <f t="shared" si="1380"/>
        <v>0</v>
      </c>
      <c r="AR1387" s="75"/>
      <c r="AS1387" s="75"/>
      <c r="AT1387" s="75"/>
      <c r="AU1387" s="75"/>
      <c r="AV1387" s="75"/>
      <c r="AW1387" s="75"/>
      <c r="AX1387" s="75"/>
      <c r="AY1387" s="67">
        <f t="shared" ca="1" si="1"/>
        <v>0</v>
      </c>
      <c r="AZ1387" s="75"/>
      <c r="BA1387" s="67">
        <f t="shared" ca="1" si="2"/>
        <v>0</v>
      </c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8"/>
      <c r="BL1387" s="78">
        <f t="shared" ca="1" si="3"/>
        <v>0</v>
      </c>
      <c r="BM1387" s="78"/>
      <c r="BN1387" s="78">
        <f t="shared" ca="1" si="4"/>
        <v>0</v>
      </c>
      <c r="BO1387" s="66"/>
      <c r="BP1387" s="66"/>
    </row>
    <row r="1388" spans="1:68" ht="13.2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>
        <f t="shared" ref="AP1388:AQ1388" si="1381">AR1388+AT1388+AV1388</f>
        <v>0</v>
      </c>
      <c r="AQ1388" s="75">
        <f t="shared" si="1381"/>
        <v>0</v>
      </c>
      <c r="AR1388" s="75"/>
      <c r="AS1388" s="75"/>
      <c r="AT1388" s="75"/>
      <c r="AU1388" s="75"/>
      <c r="AV1388" s="75"/>
      <c r="AW1388" s="75"/>
      <c r="AX1388" s="75"/>
      <c r="AY1388" s="67">
        <f t="shared" ca="1" si="1"/>
        <v>0</v>
      </c>
      <c r="AZ1388" s="75"/>
      <c r="BA1388" s="67">
        <f t="shared" ca="1" si="2"/>
        <v>0</v>
      </c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8"/>
      <c r="BL1388" s="78">
        <f t="shared" ca="1" si="3"/>
        <v>0</v>
      </c>
      <c r="BM1388" s="78"/>
      <c r="BN1388" s="78">
        <f t="shared" ca="1" si="4"/>
        <v>0</v>
      </c>
      <c r="BO1388" s="66"/>
      <c r="BP1388" s="66"/>
    </row>
    <row r="1389" spans="1:68" ht="13.2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>
        <f t="shared" ref="AP1389:AQ1389" si="1382">AR1389+AT1389+AV1389</f>
        <v>0</v>
      </c>
      <c r="AQ1389" s="75">
        <f t="shared" si="1382"/>
        <v>0</v>
      </c>
      <c r="AR1389" s="75"/>
      <c r="AS1389" s="75"/>
      <c r="AT1389" s="75"/>
      <c r="AU1389" s="75"/>
      <c r="AV1389" s="75"/>
      <c r="AW1389" s="75"/>
      <c r="AX1389" s="75"/>
      <c r="AY1389" s="67">
        <f t="shared" ca="1" si="1"/>
        <v>0</v>
      </c>
      <c r="AZ1389" s="75"/>
      <c r="BA1389" s="67">
        <f t="shared" ca="1" si="2"/>
        <v>0</v>
      </c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8"/>
      <c r="BL1389" s="78">
        <f t="shared" ca="1" si="3"/>
        <v>0</v>
      </c>
      <c r="BM1389" s="78"/>
      <c r="BN1389" s="78">
        <f t="shared" ca="1" si="4"/>
        <v>0</v>
      </c>
      <c r="BO1389" s="66"/>
      <c r="BP1389" s="66"/>
    </row>
    <row r="1390" spans="1:68" ht="13.2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>
        <f t="shared" ref="AP1390:AQ1390" si="1383">AR1390+AT1390+AV1390</f>
        <v>0</v>
      </c>
      <c r="AQ1390" s="75">
        <f t="shared" si="1383"/>
        <v>0</v>
      </c>
      <c r="AR1390" s="75"/>
      <c r="AS1390" s="75"/>
      <c r="AT1390" s="75"/>
      <c r="AU1390" s="75"/>
      <c r="AV1390" s="75"/>
      <c r="AW1390" s="75"/>
      <c r="AX1390" s="75"/>
      <c r="AY1390" s="67">
        <f t="shared" ca="1" si="1"/>
        <v>0</v>
      </c>
      <c r="AZ1390" s="75"/>
      <c r="BA1390" s="67">
        <f t="shared" ca="1" si="2"/>
        <v>0</v>
      </c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8"/>
      <c r="BL1390" s="78">
        <f t="shared" ca="1" si="3"/>
        <v>0</v>
      </c>
      <c r="BM1390" s="78"/>
      <c r="BN1390" s="78">
        <f t="shared" ca="1" si="4"/>
        <v>0</v>
      </c>
      <c r="BO1390" s="66"/>
      <c r="BP1390" s="66"/>
    </row>
    <row r="1391" spans="1:68" ht="13.2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>
        <f t="shared" ref="AP1391:AQ1391" si="1384">AR1391+AT1391+AV1391</f>
        <v>0</v>
      </c>
      <c r="AQ1391" s="75">
        <f t="shared" si="1384"/>
        <v>0</v>
      </c>
      <c r="AR1391" s="75"/>
      <c r="AS1391" s="75"/>
      <c r="AT1391" s="75"/>
      <c r="AU1391" s="75"/>
      <c r="AV1391" s="75"/>
      <c r="AW1391" s="75"/>
      <c r="AX1391" s="75"/>
      <c r="AY1391" s="67">
        <f t="shared" ca="1" si="1"/>
        <v>0</v>
      </c>
      <c r="AZ1391" s="75"/>
      <c r="BA1391" s="67">
        <f t="shared" ca="1" si="2"/>
        <v>0</v>
      </c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8"/>
      <c r="BL1391" s="78">
        <f t="shared" ca="1" si="3"/>
        <v>0</v>
      </c>
      <c r="BM1391" s="78"/>
      <c r="BN1391" s="78">
        <f t="shared" ca="1" si="4"/>
        <v>0</v>
      </c>
      <c r="BO1391" s="66"/>
      <c r="BP1391" s="66"/>
    </row>
    <row r="1392" spans="1:68" ht="13.2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>
        <f t="shared" ref="AP1392:AQ1392" si="1385">AR1392+AT1392+AV1392</f>
        <v>0</v>
      </c>
      <c r="AQ1392" s="75">
        <f t="shared" si="1385"/>
        <v>0</v>
      </c>
      <c r="AR1392" s="75"/>
      <c r="AS1392" s="75"/>
      <c r="AT1392" s="75"/>
      <c r="AU1392" s="75"/>
      <c r="AV1392" s="75"/>
      <c r="AW1392" s="75"/>
      <c r="AX1392" s="75"/>
      <c r="AY1392" s="67">
        <f t="shared" ca="1" si="1"/>
        <v>0</v>
      </c>
      <c r="AZ1392" s="75"/>
      <c r="BA1392" s="67">
        <f t="shared" ca="1" si="2"/>
        <v>0</v>
      </c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8"/>
      <c r="BL1392" s="78">
        <f t="shared" ca="1" si="3"/>
        <v>0</v>
      </c>
      <c r="BM1392" s="78"/>
      <c r="BN1392" s="78">
        <f t="shared" ca="1" si="4"/>
        <v>0</v>
      </c>
      <c r="BO1392" s="66"/>
      <c r="BP1392" s="66"/>
    </row>
    <row r="1393" spans="1:68" ht="13.2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>
        <f t="shared" ref="AP1393:AQ1393" si="1386">AR1393+AT1393+AV1393</f>
        <v>0</v>
      </c>
      <c r="AQ1393" s="75">
        <f t="shared" si="1386"/>
        <v>0</v>
      </c>
      <c r="AR1393" s="75"/>
      <c r="AS1393" s="75"/>
      <c r="AT1393" s="75"/>
      <c r="AU1393" s="75"/>
      <c r="AV1393" s="75"/>
      <c r="AW1393" s="75"/>
      <c r="AX1393" s="75"/>
      <c r="AY1393" s="67">
        <f t="shared" ca="1" si="1"/>
        <v>0</v>
      </c>
      <c r="AZ1393" s="75"/>
      <c r="BA1393" s="67">
        <f t="shared" ca="1" si="2"/>
        <v>0</v>
      </c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8"/>
      <c r="BL1393" s="78">
        <f t="shared" ca="1" si="3"/>
        <v>0</v>
      </c>
      <c r="BM1393" s="78"/>
      <c r="BN1393" s="78">
        <f t="shared" ca="1" si="4"/>
        <v>0</v>
      </c>
      <c r="BO1393" s="66"/>
      <c r="BP1393" s="66"/>
    </row>
    <row r="1394" spans="1:68" ht="13.2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>
        <f t="shared" ref="AP1394:AQ1394" si="1387">AR1394+AT1394+AV1394</f>
        <v>0</v>
      </c>
      <c r="AQ1394" s="75">
        <f t="shared" si="1387"/>
        <v>0</v>
      </c>
      <c r="AR1394" s="75"/>
      <c r="AS1394" s="75"/>
      <c r="AT1394" s="75"/>
      <c r="AU1394" s="75"/>
      <c r="AV1394" s="75"/>
      <c r="AW1394" s="75"/>
      <c r="AX1394" s="75"/>
      <c r="AY1394" s="67">
        <f t="shared" ca="1" si="1"/>
        <v>0</v>
      </c>
      <c r="AZ1394" s="75"/>
      <c r="BA1394" s="67">
        <f t="shared" ca="1" si="2"/>
        <v>0</v>
      </c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8"/>
      <c r="BL1394" s="78">
        <f t="shared" ca="1" si="3"/>
        <v>0</v>
      </c>
      <c r="BM1394" s="78"/>
      <c r="BN1394" s="78">
        <f t="shared" ca="1" si="4"/>
        <v>0</v>
      </c>
      <c r="BO1394" s="66"/>
      <c r="BP1394" s="66"/>
    </row>
    <row r="1395" spans="1:68" ht="13.2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>
        <f t="shared" ref="AP1395:AQ1395" si="1388">AR1395+AT1395+AV1395</f>
        <v>0</v>
      </c>
      <c r="AQ1395" s="75">
        <f t="shared" si="1388"/>
        <v>0</v>
      </c>
      <c r="AR1395" s="75"/>
      <c r="AS1395" s="75"/>
      <c r="AT1395" s="75"/>
      <c r="AU1395" s="75"/>
      <c r="AV1395" s="75"/>
      <c r="AW1395" s="75"/>
      <c r="AX1395" s="75"/>
      <c r="AY1395" s="67">
        <f t="shared" ca="1" si="1"/>
        <v>0</v>
      </c>
      <c r="AZ1395" s="75"/>
      <c r="BA1395" s="67">
        <f t="shared" ca="1" si="2"/>
        <v>0</v>
      </c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8"/>
      <c r="BL1395" s="78">
        <f t="shared" ca="1" si="3"/>
        <v>0</v>
      </c>
      <c r="BM1395" s="78"/>
      <c r="BN1395" s="78">
        <f t="shared" ca="1" si="4"/>
        <v>0</v>
      </c>
      <c r="BO1395" s="66"/>
      <c r="BP1395" s="66"/>
    </row>
    <row r="1396" spans="1:68" ht="13.2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>
        <f t="shared" ref="AP1396:AQ1396" si="1389">AR1396+AT1396+AV1396</f>
        <v>0</v>
      </c>
      <c r="AQ1396" s="75">
        <f t="shared" si="1389"/>
        <v>0</v>
      </c>
      <c r="AR1396" s="75"/>
      <c r="AS1396" s="75"/>
      <c r="AT1396" s="75"/>
      <c r="AU1396" s="75"/>
      <c r="AV1396" s="75"/>
      <c r="AW1396" s="75"/>
      <c r="AX1396" s="75"/>
      <c r="AY1396" s="67">
        <f t="shared" ca="1" si="1"/>
        <v>0</v>
      </c>
      <c r="AZ1396" s="75"/>
      <c r="BA1396" s="67">
        <f t="shared" ca="1" si="2"/>
        <v>0</v>
      </c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8"/>
      <c r="BL1396" s="78">
        <f t="shared" ca="1" si="3"/>
        <v>0</v>
      </c>
      <c r="BM1396" s="78"/>
      <c r="BN1396" s="78">
        <f t="shared" ca="1" si="4"/>
        <v>0</v>
      </c>
      <c r="BO1396" s="66"/>
      <c r="BP1396" s="66"/>
    </row>
    <row r="1397" spans="1:68" ht="13.2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>
        <f t="shared" ref="AP1397:AQ1397" si="1390">AR1397+AT1397+AV1397</f>
        <v>0</v>
      </c>
      <c r="AQ1397" s="75">
        <f t="shared" si="1390"/>
        <v>0</v>
      </c>
      <c r="AR1397" s="75"/>
      <c r="AS1397" s="75"/>
      <c r="AT1397" s="75"/>
      <c r="AU1397" s="75"/>
      <c r="AV1397" s="75"/>
      <c r="AW1397" s="75"/>
      <c r="AX1397" s="75"/>
      <c r="AY1397" s="67">
        <f t="shared" ca="1" si="1"/>
        <v>0</v>
      </c>
      <c r="AZ1397" s="75"/>
      <c r="BA1397" s="67">
        <f t="shared" ca="1" si="2"/>
        <v>0</v>
      </c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8"/>
      <c r="BL1397" s="78">
        <f t="shared" ca="1" si="3"/>
        <v>0</v>
      </c>
      <c r="BM1397" s="78"/>
      <c r="BN1397" s="78">
        <f t="shared" ca="1" si="4"/>
        <v>0</v>
      </c>
      <c r="BO1397" s="66"/>
      <c r="BP1397" s="66"/>
    </row>
    <row r="1398" spans="1:68" ht="13.2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>
        <f t="shared" ref="AP1398:AQ1398" si="1391">AR1398+AT1398+AV1398</f>
        <v>0</v>
      </c>
      <c r="AQ1398" s="75">
        <f t="shared" si="1391"/>
        <v>0</v>
      </c>
      <c r="AR1398" s="75"/>
      <c r="AS1398" s="75"/>
      <c r="AT1398" s="75"/>
      <c r="AU1398" s="75"/>
      <c r="AV1398" s="75"/>
      <c r="AW1398" s="75"/>
      <c r="AX1398" s="75"/>
      <c r="AY1398" s="67">
        <f t="shared" ca="1" si="1"/>
        <v>0</v>
      </c>
      <c r="AZ1398" s="75"/>
      <c r="BA1398" s="67">
        <f t="shared" ca="1" si="2"/>
        <v>0</v>
      </c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8"/>
      <c r="BL1398" s="78">
        <f t="shared" ca="1" si="3"/>
        <v>0</v>
      </c>
      <c r="BM1398" s="78"/>
      <c r="BN1398" s="78">
        <f t="shared" ca="1" si="4"/>
        <v>0</v>
      </c>
      <c r="BO1398" s="66"/>
      <c r="BP1398" s="66"/>
    </row>
    <row r="1399" spans="1:68" ht="13.2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>
        <f t="shared" ref="AP1399:AQ1399" si="1392">AR1399+AT1399+AV1399</f>
        <v>0</v>
      </c>
      <c r="AQ1399" s="75">
        <f t="shared" si="1392"/>
        <v>0</v>
      </c>
      <c r="AR1399" s="75"/>
      <c r="AS1399" s="75"/>
      <c r="AT1399" s="75"/>
      <c r="AU1399" s="75"/>
      <c r="AV1399" s="75"/>
      <c r="AW1399" s="75"/>
      <c r="AX1399" s="75"/>
      <c r="AY1399" s="67">
        <f t="shared" ca="1" si="1"/>
        <v>0</v>
      </c>
      <c r="AZ1399" s="75"/>
      <c r="BA1399" s="67">
        <f t="shared" ca="1" si="2"/>
        <v>0</v>
      </c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8"/>
      <c r="BL1399" s="78">
        <f t="shared" ca="1" si="3"/>
        <v>0</v>
      </c>
      <c r="BM1399" s="78"/>
      <c r="BN1399" s="78">
        <f t="shared" ca="1" si="4"/>
        <v>0</v>
      </c>
      <c r="BO1399" s="66"/>
      <c r="BP1399" s="66"/>
    </row>
    <row r="1400" spans="1:68" ht="13.2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>
        <f t="shared" ref="AP1400:AQ1400" si="1393">AR1400+AT1400+AV1400</f>
        <v>0</v>
      </c>
      <c r="AQ1400" s="75">
        <f t="shared" si="1393"/>
        <v>0</v>
      </c>
      <c r="AR1400" s="75"/>
      <c r="AS1400" s="75"/>
      <c r="AT1400" s="75"/>
      <c r="AU1400" s="75"/>
      <c r="AV1400" s="75"/>
      <c r="AW1400" s="75"/>
      <c r="AX1400" s="75"/>
      <c r="AY1400" s="67">
        <f t="shared" ca="1" si="1"/>
        <v>0</v>
      </c>
      <c r="AZ1400" s="75"/>
      <c r="BA1400" s="67">
        <f t="shared" ca="1" si="2"/>
        <v>0</v>
      </c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8"/>
      <c r="BL1400" s="78">
        <f t="shared" ca="1" si="3"/>
        <v>0</v>
      </c>
      <c r="BM1400" s="78"/>
      <c r="BN1400" s="78">
        <f t="shared" ca="1" si="4"/>
        <v>0</v>
      </c>
      <c r="BO1400" s="66"/>
      <c r="BP1400" s="66"/>
    </row>
    <row r="1401" spans="1:68" ht="13.2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>
        <f t="shared" ref="AP1401:AQ1401" si="1394">AR1401+AT1401+AV1401</f>
        <v>0</v>
      </c>
      <c r="AQ1401" s="75">
        <f t="shared" si="1394"/>
        <v>0</v>
      </c>
      <c r="AR1401" s="75"/>
      <c r="AS1401" s="75"/>
      <c r="AT1401" s="75"/>
      <c r="AU1401" s="75"/>
      <c r="AV1401" s="75"/>
      <c r="AW1401" s="75"/>
      <c r="AX1401" s="75"/>
      <c r="AY1401" s="67">
        <f t="shared" ca="1" si="1"/>
        <v>0</v>
      </c>
      <c r="AZ1401" s="75"/>
      <c r="BA1401" s="67">
        <f t="shared" ca="1" si="2"/>
        <v>0</v>
      </c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8"/>
      <c r="BL1401" s="78">
        <f t="shared" ca="1" si="3"/>
        <v>0</v>
      </c>
      <c r="BM1401" s="78"/>
      <c r="BN1401" s="78">
        <f t="shared" ca="1" si="4"/>
        <v>0</v>
      </c>
      <c r="BO1401" s="66"/>
      <c r="BP1401" s="66"/>
    </row>
    <row r="1402" spans="1:68" ht="13.2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>
        <f t="shared" ref="AP1402:AQ1402" si="1395">AR1402+AT1402+AV1402</f>
        <v>0</v>
      </c>
      <c r="AQ1402" s="75">
        <f t="shared" si="1395"/>
        <v>0</v>
      </c>
      <c r="AR1402" s="75"/>
      <c r="AS1402" s="75"/>
      <c r="AT1402" s="75"/>
      <c r="AU1402" s="75"/>
      <c r="AV1402" s="75"/>
      <c r="AW1402" s="75"/>
      <c r="AX1402" s="75"/>
      <c r="AY1402" s="67">
        <f t="shared" ca="1" si="1"/>
        <v>0</v>
      </c>
      <c r="AZ1402" s="75"/>
      <c r="BA1402" s="67">
        <f t="shared" ca="1" si="2"/>
        <v>0</v>
      </c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8"/>
      <c r="BL1402" s="78">
        <f t="shared" ca="1" si="3"/>
        <v>0</v>
      </c>
      <c r="BM1402" s="78"/>
      <c r="BN1402" s="78">
        <f t="shared" ca="1" si="4"/>
        <v>0</v>
      </c>
      <c r="BO1402" s="66"/>
      <c r="BP1402" s="66"/>
    </row>
    <row r="1403" spans="1:68" ht="13.2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>
        <f t="shared" ref="AP1403:AQ1403" si="1396">AR1403+AT1403+AV1403</f>
        <v>0</v>
      </c>
      <c r="AQ1403" s="75">
        <f t="shared" si="1396"/>
        <v>0</v>
      </c>
      <c r="AR1403" s="75"/>
      <c r="AS1403" s="75"/>
      <c r="AT1403" s="75"/>
      <c r="AU1403" s="75"/>
      <c r="AV1403" s="75"/>
      <c r="AW1403" s="75"/>
      <c r="AX1403" s="75"/>
      <c r="AY1403" s="67">
        <f t="shared" ca="1" si="1"/>
        <v>0</v>
      </c>
      <c r="AZ1403" s="75"/>
      <c r="BA1403" s="67">
        <f t="shared" ca="1" si="2"/>
        <v>0</v>
      </c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8"/>
      <c r="BL1403" s="78">
        <f t="shared" ca="1" si="3"/>
        <v>0</v>
      </c>
      <c r="BM1403" s="78"/>
      <c r="BN1403" s="78">
        <f t="shared" ca="1" si="4"/>
        <v>0</v>
      </c>
      <c r="BO1403" s="66"/>
      <c r="BP1403" s="66"/>
    </row>
    <row r="1404" spans="1:68" ht="13.2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>
        <f t="shared" ref="AP1404:AQ1404" si="1397">AR1404+AT1404+AV1404</f>
        <v>0</v>
      </c>
      <c r="AQ1404" s="75">
        <f t="shared" si="1397"/>
        <v>0</v>
      </c>
      <c r="AR1404" s="75"/>
      <c r="AS1404" s="75"/>
      <c r="AT1404" s="75"/>
      <c r="AU1404" s="75"/>
      <c r="AV1404" s="75"/>
      <c r="AW1404" s="75"/>
      <c r="AX1404" s="75"/>
      <c r="AY1404" s="67">
        <f t="shared" ca="1" si="1"/>
        <v>0</v>
      </c>
      <c r="AZ1404" s="75"/>
      <c r="BA1404" s="67">
        <f t="shared" ca="1" si="2"/>
        <v>0</v>
      </c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8"/>
      <c r="BL1404" s="78">
        <f t="shared" ca="1" si="3"/>
        <v>0</v>
      </c>
      <c r="BM1404" s="78"/>
      <c r="BN1404" s="78">
        <f t="shared" ca="1" si="4"/>
        <v>0</v>
      </c>
      <c r="BO1404" s="66"/>
      <c r="BP1404" s="66"/>
    </row>
    <row r="1405" spans="1:68" ht="13.2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>
        <f t="shared" ref="AP1405:AQ1405" si="1398">AR1405+AT1405+AV1405</f>
        <v>0</v>
      </c>
      <c r="AQ1405" s="75">
        <f t="shared" si="1398"/>
        <v>0</v>
      </c>
      <c r="AR1405" s="75"/>
      <c r="AS1405" s="75"/>
      <c r="AT1405" s="75"/>
      <c r="AU1405" s="75"/>
      <c r="AV1405" s="75"/>
      <c r="AW1405" s="75"/>
      <c r="AX1405" s="75"/>
      <c r="AY1405" s="67">
        <f t="shared" ca="1" si="1"/>
        <v>0</v>
      </c>
      <c r="AZ1405" s="75"/>
      <c r="BA1405" s="67">
        <f t="shared" ca="1" si="2"/>
        <v>0</v>
      </c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8"/>
      <c r="BL1405" s="78">
        <f t="shared" ca="1" si="3"/>
        <v>0</v>
      </c>
      <c r="BM1405" s="78"/>
      <c r="BN1405" s="78">
        <f t="shared" ca="1" si="4"/>
        <v>0</v>
      </c>
      <c r="BO1405" s="66"/>
      <c r="BP1405" s="66"/>
    </row>
    <row r="1406" spans="1:68" ht="13.2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>
        <f t="shared" ref="AP1406:AQ1406" si="1399">AR1406+AT1406+AV1406</f>
        <v>0</v>
      </c>
      <c r="AQ1406" s="75">
        <f t="shared" si="1399"/>
        <v>0</v>
      </c>
      <c r="AR1406" s="75"/>
      <c r="AS1406" s="75"/>
      <c r="AT1406" s="75"/>
      <c r="AU1406" s="75"/>
      <c r="AV1406" s="75"/>
      <c r="AW1406" s="75"/>
      <c r="AX1406" s="75"/>
      <c r="AY1406" s="67">
        <f t="shared" ca="1" si="1"/>
        <v>0</v>
      </c>
      <c r="AZ1406" s="75"/>
      <c r="BA1406" s="67">
        <f t="shared" ca="1" si="2"/>
        <v>0</v>
      </c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8"/>
      <c r="BL1406" s="78">
        <f t="shared" ca="1" si="3"/>
        <v>0</v>
      </c>
      <c r="BM1406" s="78"/>
      <c r="BN1406" s="78">
        <f t="shared" ca="1" si="4"/>
        <v>0</v>
      </c>
      <c r="BO1406" s="66"/>
      <c r="BP1406" s="66"/>
    </row>
    <row r="1407" spans="1:68" ht="13.2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>
        <f t="shared" ref="AP1407:AQ1407" si="1400">AR1407+AT1407+AV1407</f>
        <v>0</v>
      </c>
      <c r="AQ1407" s="75">
        <f t="shared" si="1400"/>
        <v>0</v>
      </c>
      <c r="AR1407" s="75"/>
      <c r="AS1407" s="75"/>
      <c r="AT1407" s="75"/>
      <c r="AU1407" s="75"/>
      <c r="AV1407" s="75"/>
      <c r="AW1407" s="75"/>
      <c r="AX1407" s="75"/>
      <c r="AY1407" s="67">
        <f t="shared" ca="1" si="1"/>
        <v>0</v>
      </c>
      <c r="AZ1407" s="75"/>
      <c r="BA1407" s="67">
        <f t="shared" ca="1" si="2"/>
        <v>0</v>
      </c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8"/>
      <c r="BL1407" s="78">
        <f t="shared" ca="1" si="3"/>
        <v>0</v>
      </c>
      <c r="BM1407" s="78"/>
      <c r="BN1407" s="78">
        <f t="shared" ca="1" si="4"/>
        <v>0</v>
      </c>
      <c r="BO1407" s="66"/>
      <c r="BP1407" s="66"/>
    </row>
    <row r="1408" spans="1:68" ht="13.2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>
        <f t="shared" ref="AP1408:AQ1408" si="1401">AR1408+AT1408+AV1408</f>
        <v>0</v>
      </c>
      <c r="AQ1408" s="75">
        <f t="shared" si="1401"/>
        <v>0</v>
      </c>
      <c r="AR1408" s="75"/>
      <c r="AS1408" s="75"/>
      <c r="AT1408" s="75"/>
      <c r="AU1408" s="75"/>
      <c r="AV1408" s="75"/>
      <c r="AW1408" s="75"/>
      <c r="AX1408" s="75"/>
      <c r="AY1408" s="67">
        <f t="shared" ca="1" si="1"/>
        <v>0</v>
      </c>
      <c r="AZ1408" s="75"/>
      <c r="BA1408" s="67">
        <f t="shared" ca="1" si="2"/>
        <v>0</v>
      </c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8"/>
      <c r="BL1408" s="78">
        <f t="shared" ca="1" si="3"/>
        <v>0</v>
      </c>
      <c r="BM1408" s="78"/>
      <c r="BN1408" s="78">
        <f t="shared" ca="1" si="4"/>
        <v>0</v>
      </c>
      <c r="BO1408" s="66"/>
      <c r="BP1408" s="66"/>
    </row>
    <row r="1409" spans="1:68" ht="13.2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>
        <f t="shared" ref="AP1409:AQ1409" si="1402">AR1409+AT1409+AV1409</f>
        <v>0</v>
      </c>
      <c r="AQ1409" s="75">
        <f t="shared" si="1402"/>
        <v>0</v>
      </c>
      <c r="AR1409" s="75"/>
      <c r="AS1409" s="75"/>
      <c r="AT1409" s="75"/>
      <c r="AU1409" s="75"/>
      <c r="AV1409" s="75"/>
      <c r="AW1409" s="75"/>
      <c r="AX1409" s="75"/>
      <c r="AY1409" s="67">
        <f t="shared" ca="1" si="1"/>
        <v>0</v>
      </c>
      <c r="AZ1409" s="75"/>
      <c r="BA1409" s="67">
        <f t="shared" ca="1" si="2"/>
        <v>0</v>
      </c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8"/>
      <c r="BL1409" s="78">
        <f t="shared" ca="1" si="3"/>
        <v>0</v>
      </c>
      <c r="BM1409" s="78"/>
      <c r="BN1409" s="78">
        <f t="shared" ca="1" si="4"/>
        <v>0</v>
      </c>
      <c r="BO1409" s="66"/>
      <c r="BP1409" s="66"/>
    </row>
    <row r="1410" spans="1:68" ht="13.2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>
        <f t="shared" ref="AP1410:AQ1410" si="1403">AR1410+AT1410+AV1410</f>
        <v>0</v>
      </c>
      <c r="AQ1410" s="75">
        <f t="shared" si="1403"/>
        <v>0</v>
      </c>
      <c r="AR1410" s="75"/>
      <c r="AS1410" s="75"/>
      <c r="AT1410" s="75"/>
      <c r="AU1410" s="75"/>
      <c r="AV1410" s="75"/>
      <c r="AW1410" s="75"/>
      <c r="AX1410" s="75"/>
      <c r="AY1410" s="67">
        <f t="shared" ca="1" si="1"/>
        <v>0</v>
      </c>
      <c r="AZ1410" s="75"/>
      <c r="BA1410" s="67">
        <f t="shared" ca="1" si="2"/>
        <v>0</v>
      </c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8"/>
      <c r="BL1410" s="78">
        <f t="shared" ca="1" si="3"/>
        <v>0</v>
      </c>
      <c r="BM1410" s="78"/>
      <c r="BN1410" s="78">
        <f t="shared" ca="1" si="4"/>
        <v>0</v>
      </c>
      <c r="BO1410" s="66"/>
      <c r="BP1410" s="66"/>
    </row>
    <row r="1411" spans="1:68" ht="13.2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>
        <f t="shared" ref="AP1411:AQ1411" si="1404">AR1411+AT1411+AV1411</f>
        <v>0</v>
      </c>
      <c r="AQ1411" s="75">
        <f t="shared" si="1404"/>
        <v>0</v>
      </c>
      <c r="AR1411" s="75"/>
      <c r="AS1411" s="75"/>
      <c r="AT1411" s="75"/>
      <c r="AU1411" s="75"/>
      <c r="AV1411" s="75"/>
      <c r="AW1411" s="75"/>
      <c r="AX1411" s="75"/>
      <c r="AY1411" s="67">
        <f t="shared" ca="1" si="1"/>
        <v>0</v>
      </c>
      <c r="AZ1411" s="75"/>
      <c r="BA1411" s="67">
        <f t="shared" ca="1" si="2"/>
        <v>0</v>
      </c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8"/>
      <c r="BL1411" s="78">
        <f t="shared" ca="1" si="3"/>
        <v>0</v>
      </c>
      <c r="BM1411" s="78"/>
      <c r="BN1411" s="78">
        <f t="shared" ca="1" si="4"/>
        <v>0</v>
      </c>
      <c r="BO1411" s="66"/>
      <c r="BP1411" s="66"/>
    </row>
    <row r="1412" spans="1:68" ht="13.2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>
        <f t="shared" ref="AP1412:AQ1412" si="1405">AR1412+AT1412+AV1412</f>
        <v>0</v>
      </c>
      <c r="AQ1412" s="75">
        <f t="shared" si="1405"/>
        <v>0</v>
      </c>
      <c r="AR1412" s="75"/>
      <c r="AS1412" s="75"/>
      <c r="AT1412" s="75"/>
      <c r="AU1412" s="75"/>
      <c r="AV1412" s="75"/>
      <c r="AW1412" s="75"/>
      <c r="AX1412" s="75"/>
      <c r="AY1412" s="67">
        <f t="shared" ca="1" si="1"/>
        <v>0</v>
      </c>
      <c r="AZ1412" s="75"/>
      <c r="BA1412" s="67">
        <f t="shared" ca="1" si="2"/>
        <v>0</v>
      </c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8"/>
      <c r="BL1412" s="78">
        <f t="shared" ca="1" si="3"/>
        <v>0</v>
      </c>
      <c r="BM1412" s="78"/>
      <c r="BN1412" s="78">
        <f t="shared" ca="1" si="4"/>
        <v>0</v>
      </c>
      <c r="BO1412" s="66"/>
      <c r="BP1412" s="66"/>
    </row>
    <row r="1413" spans="1:68" ht="13.2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>
        <f t="shared" ref="AP1413:AQ1413" si="1406">AR1413+AT1413+AV1413</f>
        <v>0</v>
      </c>
      <c r="AQ1413" s="75">
        <f t="shared" si="1406"/>
        <v>0</v>
      </c>
      <c r="AR1413" s="75"/>
      <c r="AS1413" s="75"/>
      <c r="AT1413" s="75"/>
      <c r="AU1413" s="75"/>
      <c r="AV1413" s="75"/>
      <c r="AW1413" s="75"/>
      <c r="AX1413" s="75"/>
      <c r="AY1413" s="67">
        <f t="shared" ca="1" si="1"/>
        <v>0</v>
      </c>
      <c r="AZ1413" s="75"/>
      <c r="BA1413" s="67">
        <f t="shared" ca="1" si="2"/>
        <v>0</v>
      </c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8"/>
      <c r="BL1413" s="78">
        <f t="shared" ca="1" si="3"/>
        <v>0</v>
      </c>
      <c r="BM1413" s="78"/>
      <c r="BN1413" s="78">
        <f t="shared" ca="1" si="4"/>
        <v>0</v>
      </c>
      <c r="BO1413" s="66"/>
      <c r="BP1413" s="66"/>
    </row>
    <row r="1414" spans="1:68" ht="13.2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>
        <f t="shared" ref="AP1414:AQ1414" si="1407">AR1414+AT1414+AV1414</f>
        <v>0</v>
      </c>
      <c r="AQ1414" s="75">
        <f t="shared" si="1407"/>
        <v>0</v>
      </c>
      <c r="AR1414" s="75"/>
      <c r="AS1414" s="75"/>
      <c r="AT1414" s="75"/>
      <c r="AU1414" s="75"/>
      <c r="AV1414" s="75"/>
      <c r="AW1414" s="75"/>
      <c r="AX1414" s="75"/>
      <c r="AY1414" s="67">
        <f t="shared" ca="1" si="1"/>
        <v>0</v>
      </c>
      <c r="AZ1414" s="75"/>
      <c r="BA1414" s="67">
        <f t="shared" ca="1" si="2"/>
        <v>0</v>
      </c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8"/>
      <c r="BL1414" s="78">
        <f t="shared" ca="1" si="3"/>
        <v>0</v>
      </c>
      <c r="BM1414" s="78"/>
      <c r="BN1414" s="78">
        <f t="shared" ca="1" si="4"/>
        <v>0</v>
      </c>
      <c r="BO1414" s="66"/>
      <c r="BP1414" s="66"/>
    </row>
    <row r="1415" spans="1:68" ht="13.2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>
        <f t="shared" ref="AP1415:AQ1415" si="1408">AR1415+AT1415+AV1415</f>
        <v>0</v>
      </c>
      <c r="AQ1415" s="75">
        <f t="shared" si="1408"/>
        <v>0</v>
      </c>
      <c r="AR1415" s="75"/>
      <c r="AS1415" s="75"/>
      <c r="AT1415" s="75"/>
      <c r="AU1415" s="75"/>
      <c r="AV1415" s="75"/>
      <c r="AW1415" s="75"/>
      <c r="AX1415" s="75"/>
      <c r="AY1415" s="67">
        <f t="shared" ca="1" si="1"/>
        <v>0</v>
      </c>
      <c r="AZ1415" s="75"/>
      <c r="BA1415" s="67">
        <f t="shared" ca="1" si="2"/>
        <v>0</v>
      </c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8"/>
      <c r="BL1415" s="78">
        <f t="shared" ca="1" si="3"/>
        <v>0</v>
      </c>
      <c r="BM1415" s="78"/>
      <c r="BN1415" s="78">
        <f t="shared" ca="1" si="4"/>
        <v>0</v>
      </c>
      <c r="BO1415" s="66"/>
      <c r="BP1415" s="66"/>
    </row>
    <row r="1416" spans="1:68" ht="13.2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>
        <f t="shared" ref="AP1416:AQ1416" si="1409">AR1416+AT1416+AV1416</f>
        <v>0</v>
      </c>
      <c r="AQ1416" s="75">
        <f t="shared" si="1409"/>
        <v>0</v>
      </c>
      <c r="AR1416" s="75"/>
      <c r="AS1416" s="75"/>
      <c r="AT1416" s="75"/>
      <c r="AU1416" s="75"/>
      <c r="AV1416" s="75"/>
      <c r="AW1416" s="75"/>
      <c r="AX1416" s="75"/>
      <c r="AY1416" s="67">
        <f t="shared" ca="1" si="1"/>
        <v>0</v>
      </c>
      <c r="AZ1416" s="75"/>
      <c r="BA1416" s="67">
        <f t="shared" ca="1" si="2"/>
        <v>0</v>
      </c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8"/>
      <c r="BL1416" s="78">
        <f t="shared" ca="1" si="3"/>
        <v>0</v>
      </c>
      <c r="BM1416" s="78"/>
      <c r="BN1416" s="78">
        <f t="shared" ca="1" si="4"/>
        <v>0</v>
      </c>
      <c r="BO1416" s="66"/>
      <c r="BP1416" s="66"/>
    </row>
    <row r="1417" spans="1:68" ht="13.2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>
        <f t="shared" ref="AP1417:AQ1417" si="1410">AR1417+AT1417+AV1417</f>
        <v>0</v>
      </c>
      <c r="AQ1417" s="75">
        <f t="shared" si="1410"/>
        <v>0</v>
      </c>
      <c r="AR1417" s="75"/>
      <c r="AS1417" s="75"/>
      <c r="AT1417" s="75"/>
      <c r="AU1417" s="75"/>
      <c r="AV1417" s="75"/>
      <c r="AW1417" s="75"/>
      <c r="AX1417" s="75"/>
      <c r="AY1417" s="67">
        <f t="shared" ca="1" si="1"/>
        <v>0</v>
      </c>
      <c r="AZ1417" s="75"/>
      <c r="BA1417" s="67">
        <f t="shared" ca="1" si="2"/>
        <v>0</v>
      </c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8"/>
      <c r="BL1417" s="78">
        <f t="shared" ca="1" si="3"/>
        <v>0</v>
      </c>
      <c r="BM1417" s="78"/>
      <c r="BN1417" s="78">
        <f t="shared" ca="1" si="4"/>
        <v>0</v>
      </c>
      <c r="BO1417" s="66"/>
      <c r="BP1417" s="66"/>
    </row>
    <row r="1418" spans="1:68" ht="13.2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>
        <f t="shared" ref="AP1418:AQ1418" si="1411">AR1418+AT1418+AV1418</f>
        <v>0</v>
      </c>
      <c r="AQ1418" s="75">
        <f t="shared" si="1411"/>
        <v>0</v>
      </c>
      <c r="AR1418" s="75"/>
      <c r="AS1418" s="75"/>
      <c r="AT1418" s="75"/>
      <c r="AU1418" s="75"/>
      <c r="AV1418" s="75"/>
      <c r="AW1418" s="75"/>
      <c r="AX1418" s="75"/>
      <c r="AY1418" s="67">
        <f t="shared" ca="1" si="1"/>
        <v>0</v>
      </c>
      <c r="AZ1418" s="75"/>
      <c r="BA1418" s="67">
        <f t="shared" ca="1" si="2"/>
        <v>0</v>
      </c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8"/>
      <c r="BL1418" s="78">
        <f t="shared" ca="1" si="3"/>
        <v>0</v>
      </c>
      <c r="BM1418" s="78"/>
      <c r="BN1418" s="78">
        <f t="shared" ca="1" si="4"/>
        <v>0</v>
      </c>
      <c r="BO1418" s="66"/>
      <c r="BP1418" s="66"/>
    </row>
    <row r="1419" spans="1:68" ht="13.2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>
        <f t="shared" ref="AP1419:AQ1419" si="1412">AR1419+AT1419+AV1419</f>
        <v>0</v>
      </c>
      <c r="AQ1419" s="75">
        <f t="shared" si="1412"/>
        <v>0</v>
      </c>
      <c r="AR1419" s="75"/>
      <c r="AS1419" s="75"/>
      <c r="AT1419" s="75"/>
      <c r="AU1419" s="75"/>
      <c r="AV1419" s="75"/>
      <c r="AW1419" s="75"/>
      <c r="AX1419" s="75"/>
      <c r="AY1419" s="67">
        <f t="shared" ca="1" si="1"/>
        <v>0</v>
      </c>
      <c r="AZ1419" s="75"/>
      <c r="BA1419" s="67">
        <f t="shared" ca="1" si="2"/>
        <v>0</v>
      </c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8"/>
      <c r="BL1419" s="78">
        <f t="shared" ca="1" si="3"/>
        <v>0</v>
      </c>
      <c r="BM1419" s="78"/>
      <c r="BN1419" s="78">
        <f t="shared" ca="1" si="4"/>
        <v>0</v>
      </c>
      <c r="BO1419" s="66"/>
      <c r="BP1419" s="66"/>
    </row>
    <row r="1420" spans="1:68" ht="13.2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>
        <f t="shared" ref="AP1420:AQ1420" si="1413">AR1420+AT1420+AV1420</f>
        <v>0</v>
      </c>
      <c r="AQ1420" s="75">
        <f t="shared" si="1413"/>
        <v>0</v>
      </c>
      <c r="AR1420" s="75"/>
      <c r="AS1420" s="75"/>
      <c r="AT1420" s="75"/>
      <c r="AU1420" s="75"/>
      <c r="AV1420" s="75"/>
      <c r="AW1420" s="75"/>
      <c r="AX1420" s="75"/>
      <c r="AY1420" s="67">
        <f t="shared" ca="1" si="1"/>
        <v>0</v>
      </c>
      <c r="AZ1420" s="75"/>
      <c r="BA1420" s="67">
        <f t="shared" ca="1" si="2"/>
        <v>0</v>
      </c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8"/>
      <c r="BL1420" s="78">
        <f t="shared" ca="1" si="3"/>
        <v>0</v>
      </c>
      <c r="BM1420" s="78"/>
      <c r="BN1420" s="78">
        <f t="shared" ca="1" si="4"/>
        <v>0</v>
      </c>
      <c r="BO1420" s="66"/>
      <c r="BP1420" s="66"/>
    </row>
    <row r="1421" spans="1:68" ht="13.2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>
        <f t="shared" ref="AP1421:AQ1421" si="1414">AR1421+AT1421+AV1421</f>
        <v>0</v>
      </c>
      <c r="AQ1421" s="75">
        <f t="shared" si="1414"/>
        <v>0</v>
      </c>
      <c r="AR1421" s="75"/>
      <c r="AS1421" s="75"/>
      <c r="AT1421" s="75"/>
      <c r="AU1421" s="75"/>
      <c r="AV1421" s="75"/>
      <c r="AW1421" s="75"/>
      <c r="AX1421" s="75"/>
      <c r="AY1421" s="67">
        <f t="shared" ca="1" si="1"/>
        <v>0</v>
      </c>
      <c r="AZ1421" s="75"/>
      <c r="BA1421" s="67">
        <f t="shared" ca="1" si="2"/>
        <v>0</v>
      </c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8"/>
      <c r="BL1421" s="78">
        <f t="shared" ca="1" si="3"/>
        <v>0</v>
      </c>
      <c r="BM1421" s="78"/>
      <c r="BN1421" s="78">
        <f t="shared" ca="1" si="4"/>
        <v>0</v>
      </c>
      <c r="BO1421" s="66"/>
      <c r="BP1421" s="66"/>
    </row>
    <row r="1422" spans="1:68" ht="13.2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>
        <f t="shared" ref="AP1422:AQ1422" si="1415">AR1422+AT1422+AV1422</f>
        <v>0</v>
      </c>
      <c r="AQ1422" s="75">
        <f t="shared" si="1415"/>
        <v>0</v>
      </c>
      <c r="AR1422" s="75"/>
      <c r="AS1422" s="75"/>
      <c r="AT1422" s="75"/>
      <c r="AU1422" s="75"/>
      <c r="AV1422" s="75"/>
      <c r="AW1422" s="75"/>
      <c r="AX1422" s="75"/>
      <c r="AY1422" s="67">
        <f t="shared" ca="1" si="1"/>
        <v>0</v>
      </c>
      <c r="AZ1422" s="75"/>
      <c r="BA1422" s="67">
        <f t="shared" ca="1" si="2"/>
        <v>0</v>
      </c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8"/>
      <c r="BL1422" s="78">
        <f t="shared" ca="1" si="3"/>
        <v>0</v>
      </c>
      <c r="BM1422" s="78"/>
      <c r="BN1422" s="78">
        <f t="shared" ca="1" si="4"/>
        <v>0</v>
      </c>
      <c r="BO1422" s="66"/>
      <c r="BP1422" s="66"/>
    </row>
    <row r="1423" spans="1:68" ht="13.2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>
        <f t="shared" ref="AP1423:AQ1423" si="1416">AR1423+AT1423+AV1423</f>
        <v>0</v>
      </c>
      <c r="AQ1423" s="75">
        <f t="shared" si="1416"/>
        <v>0</v>
      </c>
      <c r="AR1423" s="75"/>
      <c r="AS1423" s="75"/>
      <c r="AT1423" s="75"/>
      <c r="AU1423" s="75"/>
      <c r="AV1423" s="75"/>
      <c r="AW1423" s="75"/>
      <c r="AX1423" s="75"/>
      <c r="AY1423" s="67">
        <f t="shared" ca="1" si="1"/>
        <v>0</v>
      </c>
      <c r="AZ1423" s="75"/>
      <c r="BA1423" s="67">
        <f t="shared" ca="1" si="2"/>
        <v>0</v>
      </c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8"/>
      <c r="BL1423" s="78">
        <f t="shared" ca="1" si="3"/>
        <v>0</v>
      </c>
      <c r="BM1423" s="78"/>
      <c r="BN1423" s="78">
        <f t="shared" ca="1" si="4"/>
        <v>0</v>
      </c>
      <c r="BO1423" s="66"/>
      <c r="BP1423" s="66"/>
    </row>
    <row r="1424" spans="1:68" ht="13.2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>
        <f t="shared" ref="AP1424:AQ1424" si="1417">AR1424+AT1424+AV1424</f>
        <v>0</v>
      </c>
      <c r="AQ1424" s="75">
        <f t="shared" si="1417"/>
        <v>0</v>
      </c>
      <c r="AR1424" s="75"/>
      <c r="AS1424" s="75"/>
      <c r="AT1424" s="75"/>
      <c r="AU1424" s="75"/>
      <c r="AV1424" s="75"/>
      <c r="AW1424" s="75"/>
      <c r="AX1424" s="75"/>
      <c r="AY1424" s="67">
        <f t="shared" ca="1" si="1"/>
        <v>0</v>
      </c>
      <c r="AZ1424" s="75"/>
      <c r="BA1424" s="67">
        <f t="shared" ca="1" si="2"/>
        <v>0</v>
      </c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8"/>
      <c r="BL1424" s="78">
        <f t="shared" ca="1" si="3"/>
        <v>0</v>
      </c>
      <c r="BM1424" s="78"/>
      <c r="BN1424" s="78">
        <f t="shared" ca="1" si="4"/>
        <v>0</v>
      </c>
      <c r="BO1424" s="66"/>
      <c r="BP1424" s="66"/>
    </row>
    <row r="1425" spans="1:68" ht="13.2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>
        <f t="shared" ref="AP1425:AQ1425" si="1418">AR1425+AT1425+AV1425</f>
        <v>0</v>
      </c>
      <c r="AQ1425" s="75">
        <f t="shared" si="1418"/>
        <v>0</v>
      </c>
      <c r="AR1425" s="75"/>
      <c r="AS1425" s="75"/>
      <c r="AT1425" s="75"/>
      <c r="AU1425" s="75"/>
      <c r="AV1425" s="75"/>
      <c r="AW1425" s="75"/>
      <c r="AX1425" s="75"/>
      <c r="AY1425" s="67">
        <f t="shared" ca="1" si="1"/>
        <v>0</v>
      </c>
      <c r="AZ1425" s="75"/>
      <c r="BA1425" s="67">
        <f t="shared" ca="1" si="2"/>
        <v>0</v>
      </c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8"/>
      <c r="BL1425" s="78">
        <f t="shared" ca="1" si="3"/>
        <v>0</v>
      </c>
      <c r="BM1425" s="78"/>
      <c r="BN1425" s="78">
        <f t="shared" ca="1" si="4"/>
        <v>0</v>
      </c>
      <c r="BO1425" s="66"/>
      <c r="BP1425" s="66"/>
    </row>
    <row r="1426" spans="1:68" ht="13.2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>
        <f t="shared" ref="AP1426:AQ1426" si="1419">AR1426+AT1426+AV1426</f>
        <v>0</v>
      </c>
      <c r="AQ1426" s="75">
        <f t="shared" si="1419"/>
        <v>0</v>
      </c>
      <c r="AR1426" s="75"/>
      <c r="AS1426" s="75"/>
      <c r="AT1426" s="75"/>
      <c r="AU1426" s="75"/>
      <c r="AV1426" s="75"/>
      <c r="AW1426" s="75"/>
      <c r="AX1426" s="75"/>
      <c r="AY1426" s="67">
        <f t="shared" ca="1" si="1"/>
        <v>0</v>
      </c>
      <c r="AZ1426" s="75"/>
      <c r="BA1426" s="67">
        <f t="shared" ca="1" si="2"/>
        <v>0</v>
      </c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8"/>
      <c r="BL1426" s="78">
        <f t="shared" ca="1" si="3"/>
        <v>0</v>
      </c>
      <c r="BM1426" s="78"/>
      <c r="BN1426" s="78">
        <f t="shared" ca="1" si="4"/>
        <v>0</v>
      </c>
      <c r="BO1426" s="66"/>
      <c r="BP1426" s="66"/>
    </row>
    <row r="1427" spans="1:68" ht="13.2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>
        <f t="shared" ref="AP1427:AQ1427" si="1420">AR1427+AT1427+AV1427</f>
        <v>0</v>
      </c>
      <c r="AQ1427" s="75">
        <f t="shared" si="1420"/>
        <v>0</v>
      </c>
      <c r="AR1427" s="75"/>
      <c r="AS1427" s="75"/>
      <c r="AT1427" s="75"/>
      <c r="AU1427" s="75"/>
      <c r="AV1427" s="75"/>
      <c r="AW1427" s="75"/>
      <c r="AX1427" s="75"/>
      <c r="AY1427" s="67">
        <f t="shared" ca="1" si="1"/>
        <v>0</v>
      </c>
      <c r="AZ1427" s="75"/>
      <c r="BA1427" s="67">
        <f t="shared" ca="1" si="2"/>
        <v>0</v>
      </c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8"/>
      <c r="BL1427" s="78">
        <f t="shared" ca="1" si="3"/>
        <v>0</v>
      </c>
      <c r="BM1427" s="78"/>
      <c r="BN1427" s="78">
        <f t="shared" ca="1" si="4"/>
        <v>0</v>
      </c>
      <c r="BO1427" s="66"/>
      <c r="BP1427" s="66"/>
    </row>
    <row r="1428" spans="1:68" ht="13.2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>
        <f t="shared" ref="AP1428:AQ1428" si="1421">AR1428+AT1428+AV1428</f>
        <v>0</v>
      </c>
      <c r="AQ1428" s="75">
        <f t="shared" si="1421"/>
        <v>0</v>
      </c>
      <c r="AR1428" s="75"/>
      <c r="AS1428" s="75"/>
      <c r="AT1428" s="75"/>
      <c r="AU1428" s="75"/>
      <c r="AV1428" s="75"/>
      <c r="AW1428" s="75"/>
      <c r="AX1428" s="75"/>
      <c r="AY1428" s="67">
        <f t="shared" ca="1" si="1"/>
        <v>0</v>
      </c>
      <c r="AZ1428" s="75"/>
      <c r="BA1428" s="67">
        <f t="shared" ca="1" si="2"/>
        <v>0</v>
      </c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8"/>
      <c r="BL1428" s="78">
        <f t="shared" ca="1" si="3"/>
        <v>0</v>
      </c>
      <c r="BM1428" s="78"/>
      <c r="BN1428" s="78">
        <f t="shared" ca="1" si="4"/>
        <v>0</v>
      </c>
      <c r="BO1428" s="66"/>
      <c r="BP1428" s="66"/>
    </row>
    <row r="1429" spans="1:68" ht="13.2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>
        <f t="shared" ref="AP1429:AQ1429" si="1422">AR1429+AT1429+AV1429</f>
        <v>0</v>
      </c>
      <c r="AQ1429" s="75">
        <f t="shared" si="1422"/>
        <v>0</v>
      </c>
      <c r="AR1429" s="75"/>
      <c r="AS1429" s="75"/>
      <c r="AT1429" s="75"/>
      <c r="AU1429" s="75"/>
      <c r="AV1429" s="75"/>
      <c r="AW1429" s="75"/>
      <c r="AX1429" s="75"/>
      <c r="AY1429" s="67">
        <f t="shared" ca="1" si="1"/>
        <v>0</v>
      </c>
      <c r="AZ1429" s="75"/>
      <c r="BA1429" s="67">
        <f t="shared" ca="1" si="2"/>
        <v>0</v>
      </c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8"/>
      <c r="BL1429" s="78">
        <f t="shared" ca="1" si="3"/>
        <v>0</v>
      </c>
      <c r="BM1429" s="78"/>
      <c r="BN1429" s="78">
        <f t="shared" ca="1" si="4"/>
        <v>0</v>
      </c>
      <c r="BO1429" s="66"/>
      <c r="BP1429" s="66"/>
    </row>
    <row r="1430" spans="1:68" ht="13.2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>
        <f t="shared" ref="AP1430:AQ1430" si="1423">AR1430+AT1430+AV1430</f>
        <v>0</v>
      </c>
      <c r="AQ1430" s="75">
        <f t="shared" si="1423"/>
        <v>0</v>
      </c>
      <c r="AR1430" s="75"/>
      <c r="AS1430" s="75"/>
      <c r="AT1430" s="75"/>
      <c r="AU1430" s="75"/>
      <c r="AV1430" s="75"/>
      <c r="AW1430" s="75"/>
      <c r="AX1430" s="75"/>
      <c r="AY1430" s="67">
        <f t="shared" ca="1" si="1"/>
        <v>0</v>
      </c>
      <c r="AZ1430" s="75"/>
      <c r="BA1430" s="67">
        <f t="shared" ca="1" si="2"/>
        <v>0</v>
      </c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8"/>
      <c r="BL1430" s="78">
        <f t="shared" ca="1" si="3"/>
        <v>0</v>
      </c>
      <c r="BM1430" s="78"/>
      <c r="BN1430" s="78">
        <f t="shared" ca="1" si="4"/>
        <v>0</v>
      </c>
      <c r="BO1430" s="66"/>
      <c r="BP1430" s="66"/>
    </row>
    <row r="1431" spans="1:68" ht="13.2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>
        <f t="shared" ref="AP1431:AQ1431" si="1424">AR1431+AT1431+AV1431</f>
        <v>0</v>
      </c>
      <c r="AQ1431" s="75">
        <f t="shared" si="1424"/>
        <v>0</v>
      </c>
      <c r="AR1431" s="75"/>
      <c r="AS1431" s="75"/>
      <c r="AT1431" s="75"/>
      <c r="AU1431" s="75"/>
      <c r="AV1431" s="75"/>
      <c r="AW1431" s="75"/>
      <c r="AX1431" s="75"/>
      <c r="AY1431" s="67">
        <f t="shared" ca="1" si="1"/>
        <v>0</v>
      </c>
      <c r="AZ1431" s="75"/>
      <c r="BA1431" s="67">
        <f t="shared" ca="1" si="2"/>
        <v>0</v>
      </c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8"/>
      <c r="BL1431" s="78">
        <f t="shared" ca="1" si="3"/>
        <v>0</v>
      </c>
      <c r="BM1431" s="78"/>
      <c r="BN1431" s="78">
        <f t="shared" ca="1" si="4"/>
        <v>0</v>
      </c>
      <c r="BO1431" s="66"/>
      <c r="BP1431" s="66"/>
    </row>
    <row r="1432" spans="1:68" ht="13.2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>
        <f t="shared" ref="AP1432:AQ1432" si="1425">AR1432+AT1432+AV1432</f>
        <v>0</v>
      </c>
      <c r="AQ1432" s="75">
        <f t="shared" si="1425"/>
        <v>0</v>
      </c>
      <c r="AR1432" s="75"/>
      <c r="AS1432" s="75"/>
      <c r="AT1432" s="75"/>
      <c r="AU1432" s="75"/>
      <c r="AV1432" s="75"/>
      <c r="AW1432" s="75"/>
      <c r="AX1432" s="75"/>
      <c r="AY1432" s="67">
        <f t="shared" ca="1" si="1"/>
        <v>0</v>
      </c>
      <c r="AZ1432" s="75"/>
      <c r="BA1432" s="67">
        <f t="shared" ca="1" si="2"/>
        <v>0</v>
      </c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8"/>
      <c r="BL1432" s="78">
        <f t="shared" ca="1" si="3"/>
        <v>0</v>
      </c>
      <c r="BM1432" s="78"/>
      <c r="BN1432" s="78">
        <f t="shared" ca="1" si="4"/>
        <v>0</v>
      </c>
      <c r="BO1432" s="66"/>
      <c r="BP1432" s="66"/>
    </row>
    <row r="1433" spans="1:68" ht="13.2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>
        <f t="shared" ref="AP1433:AQ1433" si="1426">AR1433+AT1433+AV1433</f>
        <v>0</v>
      </c>
      <c r="AQ1433" s="75">
        <f t="shared" si="1426"/>
        <v>0</v>
      </c>
      <c r="AR1433" s="75"/>
      <c r="AS1433" s="75"/>
      <c r="AT1433" s="75"/>
      <c r="AU1433" s="75"/>
      <c r="AV1433" s="75"/>
      <c r="AW1433" s="75"/>
      <c r="AX1433" s="75"/>
      <c r="AY1433" s="67">
        <f t="shared" ca="1" si="1"/>
        <v>0</v>
      </c>
      <c r="AZ1433" s="75"/>
      <c r="BA1433" s="67">
        <f t="shared" ca="1" si="2"/>
        <v>0</v>
      </c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8"/>
      <c r="BL1433" s="78">
        <f t="shared" ca="1" si="3"/>
        <v>0</v>
      </c>
      <c r="BM1433" s="78"/>
      <c r="BN1433" s="78">
        <f t="shared" ca="1" si="4"/>
        <v>0</v>
      </c>
      <c r="BO1433" s="66"/>
      <c r="BP1433" s="66"/>
    </row>
    <row r="1434" spans="1:68" ht="13.2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>
        <f t="shared" ref="AP1434:AQ1434" si="1427">AR1434+AT1434+AV1434</f>
        <v>0</v>
      </c>
      <c r="AQ1434" s="75">
        <f t="shared" si="1427"/>
        <v>0</v>
      </c>
      <c r="AR1434" s="75"/>
      <c r="AS1434" s="75"/>
      <c r="AT1434" s="75"/>
      <c r="AU1434" s="75"/>
      <c r="AV1434" s="75"/>
      <c r="AW1434" s="75"/>
      <c r="AX1434" s="75"/>
      <c r="AY1434" s="67">
        <f t="shared" ca="1" si="1"/>
        <v>0</v>
      </c>
      <c r="AZ1434" s="75"/>
      <c r="BA1434" s="67">
        <f t="shared" ca="1" si="2"/>
        <v>0</v>
      </c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8"/>
      <c r="BL1434" s="78">
        <f t="shared" ca="1" si="3"/>
        <v>0</v>
      </c>
      <c r="BM1434" s="78"/>
      <c r="BN1434" s="78">
        <f t="shared" ca="1" si="4"/>
        <v>0</v>
      </c>
      <c r="BO1434" s="66"/>
      <c r="BP1434" s="66"/>
    </row>
    <row r="1435" spans="1:68" ht="13.2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>
        <f t="shared" ref="AP1435:AQ1435" si="1428">AR1435+AT1435+AV1435</f>
        <v>0</v>
      </c>
      <c r="AQ1435" s="75">
        <f t="shared" si="1428"/>
        <v>0</v>
      </c>
      <c r="AR1435" s="75"/>
      <c r="AS1435" s="75"/>
      <c r="AT1435" s="75"/>
      <c r="AU1435" s="75"/>
      <c r="AV1435" s="75"/>
      <c r="AW1435" s="75"/>
      <c r="AX1435" s="75"/>
      <c r="AY1435" s="67">
        <f t="shared" ca="1" si="1"/>
        <v>0</v>
      </c>
      <c r="AZ1435" s="75"/>
      <c r="BA1435" s="67">
        <f t="shared" ca="1" si="2"/>
        <v>0</v>
      </c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8"/>
      <c r="BL1435" s="78">
        <f t="shared" ca="1" si="3"/>
        <v>0</v>
      </c>
      <c r="BM1435" s="78"/>
      <c r="BN1435" s="78">
        <f t="shared" ca="1" si="4"/>
        <v>0</v>
      </c>
      <c r="BO1435" s="66"/>
      <c r="BP1435" s="66"/>
    </row>
    <row r="1436" spans="1:68" ht="13.2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>
        <f t="shared" ref="AP1436:AQ1436" si="1429">AR1436+AT1436+AV1436</f>
        <v>0</v>
      </c>
      <c r="AQ1436" s="75">
        <f t="shared" si="1429"/>
        <v>0</v>
      </c>
      <c r="AR1436" s="75"/>
      <c r="AS1436" s="75"/>
      <c r="AT1436" s="75"/>
      <c r="AU1436" s="75"/>
      <c r="AV1436" s="75"/>
      <c r="AW1436" s="75"/>
      <c r="AX1436" s="75"/>
      <c r="AY1436" s="67">
        <f t="shared" ca="1" si="1"/>
        <v>0</v>
      </c>
      <c r="AZ1436" s="75"/>
      <c r="BA1436" s="67">
        <f t="shared" ca="1" si="2"/>
        <v>0</v>
      </c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8"/>
      <c r="BL1436" s="78">
        <f t="shared" ca="1" si="3"/>
        <v>0</v>
      </c>
      <c r="BM1436" s="78"/>
      <c r="BN1436" s="78">
        <f t="shared" ca="1" si="4"/>
        <v>0</v>
      </c>
      <c r="BO1436" s="66"/>
      <c r="BP1436" s="66"/>
    </row>
    <row r="1437" spans="1:68" ht="13.2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>
        <f t="shared" ref="AP1437:AQ1437" si="1430">AR1437+AT1437+AV1437</f>
        <v>0</v>
      </c>
      <c r="AQ1437" s="75">
        <f t="shared" si="1430"/>
        <v>0</v>
      </c>
      <c r="AR1437" s="75"/>
      <c r="AS1437" s="75"/>
      <c r="AT1437" s="75"/>
      <c r="AU1437" s="75"/>
      <c r="AV1437" s="75"/>
      <c r="AW1437" s="75"/>
      <c r="AX1437" s="75"/>
      <c r="AY1437" s="67">
        <f t="shared" ca="1" si="1"/>
        <v>0</v>
      </c>
      <c r="AZ1437" s="75"/>
      <c r="BA1437" s="67">
        <f t="shared" ca="1" si="2"/>
        <v>0</v>
      </c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8"/>
      <c r="BL1437" s="78">
        <f t="shared" ca="1" si="3"/>
        <v>0</v>
      </c>
      <c r="BM1437" s="78"/>
      <c r="BN1437" s="78">
        <f t="shared" ca="1" si="4"/>
        <v>0</v>
      </c>
      <c r="BO1437" s="66"/>
      <c r="BP1437" s="66"/>
    </row>
    <row r="1438" spans="1:68" ht="13.2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>
        <f t="shared" ref="AP1438:AQ1438" si="1431">AR1438+AT1438+AV1438</f>
        <v>0</v>
      </c>
      <c r="AQ1438" s="75">
        <f t="shared" si="1431"/>
        <v>0</v>
      </c>
      <c r="AR1438" s="75"/>
      <c r="AS1438" s="75"/>
      <c r="AT1438" s="75"/>
      <c r="AU1438" s="75"/>
      <c r="AV1438" s="75"/>
      <c r="AW1438" s="75"/>
      <c r="AX1438" s="75"/>
      <c r="AY1438" s="67">
        <f t="shared" ca="1" si="1"/>
        <v>0</v>
      </c>
      <c r="AZ1438" s="75"/>
      <c r="BA1438" s="67">
        <f t="shared" ca="1" si="2"/>
        <v>0</v>
      </c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8"/>
      <c r="BL1438" s="78">
        <f t="shared" ca="1" si="3"/>
        <v>0</v>
      </c>
      <c r="BM1438" s="78"/>
      <c r="BN1438" s="78">
        <f t="shared" ca="1" si="4"/>
        <v>0</v>
      </c>
      <c r="BO1438" s="66"/>
      <c r="BP1438" s="66"/>
    </row>
    <row r="1439" spans="1:68" ht="13.2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>
        <f t="shared" ref="AP1439:AQ1439" si="1432">AR1439+AT1439+AV1439</f>
        <v>0</v>
      </c>
      <c r="AQ1439" s="75">
        <f t="shared" si="1432"/>
        <v>0</v>
      </c>
      <c r="AR1439" s="75"/>
      <c r="AS1439" s="75"/>
      <c r="AT1439" s="75"/>
      <c r="AU1439" s="75"/>
      <c r="AV1439" s="75"/>
      <c r="AW1439" s="75"/>
      <c r="AX1439" s="75"/>
      <c r="AY1439" s="67">
        <f t="shared" ca="1" si="1"/>
        <v>0</v>
      </c>
      <c r="AZ1439" s="75"/>
      <c r="BA1439" s="67">
        <f t="shared" ca="1" si="2"/>
        <v>0</v>
      </c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8"/>
      <c r="BL1439" s="78">
        <f t="shared" ca="1" si="3"/>
        <v>0</v>
      </c>
      <c r="BM1439" s="78"/>
      <c r="BN1439" s="78">
        <f t="shared" ca="1" si="4"/>
        <v>0</v>
      </c>
      <c r="BO1439" s="66"/>
      <c r="BP1439" s="66"/>
    </row>
    <row r="1440" spans="1:68" ht="13.2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>
        <f t="shared" ref="AP1440:AQ1440" si="1433">AR1440+AT1440+AV1440</f>
        <v>0</v>
      </c>
      <c r="AQ1440" s="75">
        <f t="shared" si="1433"/>
        <v>0</v>
      </c>
      <c r="AR1440" s="75"/>
      <c r="AS1440" s="75"/>
      <c r="AT1440" s="75"/>
      <c r="AU1440" s="75"/>
      <c r="AV1440" s="75"/>
      <c r="AW1440" s="75"/>
      <c r="AX1440" s="75"/>
      <c r="AY1440" s="67">
        <f t="shared" ca="1" si="1"/>
        <v>0</v>
      </c>
      <c r="AZ1440" s="75"/>
      <c r="BA1440" s="67">
        <f t="shared" ca="1" si="2"/>
        <v>0</v>
      </c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8"/>
      <c r="BL1440" s="78">
        <f t="shared" ca="1" si="3"/>
        <v>0</v>
      </c>
      <c r="BM1440" s="78"/>
      <c r="BN1440" s="78">
        <f t="shared" ca="1" si="4"/>
        <v>0</v>
      </c>
      <c r="BO1440" s="66"/>
      <c r="BP1440" s="66"/>
    </row>
    <row r="1441" spans="1:68" ht="13.2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>
        <f t="shared" ref="AP1441:AQ1441" si="1434">AR1441+AT1441+AV1441</f>
        <v>0</v>
      </c>
      <c r="AQ1441" s="75">
        <f t="shared" si="1434"/>
        <v>0</v>
      </c>
      <c r="AR1441" s="75"/>
      <c r="AS1441" s="75"/>
      <c r="AT1441" s="75"/>
      <c r="AU1441" s="75"/>
      <c r="AV1441" s="75"/>
      <c r="AW1441" s="75"/>
      <c r="AX1441" s="75"/>
      <c r="AY1441" s="67">
        <f t="shared" ca="1" si="1"/>
        <v>0</v>
      </c>
      <c r="AZ1441" s="75"/>
      <c r="BA1441" s="67">
        <f t="shared" ca="1" si="2"/>
        <v>0</v>
      </c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8"/>
      <c r="BL1441" s="78">
        <f t="shared" ca="1" si="3"/>
        <v>0</v>
      </c>
      <c r="BM1441" s="78"/>
      <c r="BN1441" s="78">
        <f t="shared" ca="1" si="4"/>
        <v>0</v>
      </c>
      <c r="BO1441" s="66"/>
      <c r="BP1441" s="66"/>
    </row>
    <row r="1442" spans="1:68" ht="13.2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>
        <f t="shared" ref="AP1442:AQ1442" si="1435">AR1442+AT1442+AV1442</f>
        <v>0</v>
      </c>
      <c r="AQ1442" s="75">
        <f t="shared" si="1435"/>
        <v>0</v>
      </c>
      <c r="AR1442" s="75"/>
      <c r="AS1442" s="75"/>
      <c r="AT1442" s="75"/>
      <c r="AU1442" s="75"/>
      <c r="AV1442" s="75"/>
      <c r="AW1442" s="75"/>
      <c r="AX1442" s="75"/>
      <c r="AY1442" s="67">
        <f t="shared" ca="1" si="1"/>
        <v>0</v>
      </c>
      <c r="AZ1442" s="75"/>
      <c r="BA1442" s="67">
        <f t="shared" ca="1" si="2"/>
        <v>0</v>
      </c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8"/>
      <c r="BL1442" s="78">
        <f t="shared" ca="1" si="3"/>
        <v>0</v>
      </c>
      <c r="BM1442" s="78"/>
      <c r="BN1442" s="78">
        <f t="shared" ca="1" si="4"/>
        <v>0</v>
      </c>
      <c r="BO1442" s="66"/>
      <c r="BP1442" s="66"/>
    </row>
    <row r="1443" spans="1:68" ht="13.2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>
        <f t="shared" ref="AP1443:AQ1443" si="1436">AR1443+AT1443+AV1443</f>
        <v>0</v>
      </c>
      <c r="AQ1443" s="75">
        <f t="shared" si="1436"/>
        <v>0</v>
      </c>
      <c r="AR1443" s="75"/>
      <c r="AS1443" s="75"/>
      <c r="AT1443" s="75"/>
      <c r="AU1443" s="75"/>
      <c r="AV1443" s="75"/>
      <c r="AW1443" s="75"/>
      <c r="AX1443" s="75"/>
      <c r="AY1443" s="67">
        <f t="shared" ca="1" si="1"/>
        <v>0</v>
      </c>
      <c r="AZ1443" s="75"/>
      <c r="BA1443" s="67">
        <f t="shared" ca="1" si="2"/>
        <v>0</v>
      </c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8"/>
      <c r="BL1443" s="78">
        <f t="shared" ca="1" si="3"/>
        <v>0</v>
      </c>
      <c r="BM1443" s="78"/>
      <c r="BN1443" s="78">
        <f t="shared" ca="1" si="4"/>
        <v>0</v>
      </c>
      <c r="BO1443" s="66"/>
      <c r="BP1443" s="66"/>
    </row>
    <row r="1444" spans="1:68" ht="13.2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>
        <f t="shared" ref="AP1444:AQ1444" si="1437">AR1444+AT1444+AV1444</f>
        <v>0</v>
      </c>
      <c r="AQ1444" s="75">
        <f t="shared" si="1437"/>
        <v>0</v>
      </c>
      <c r="AR1444" s="75"/>
      <c r="AS1444" s="75"/>
      <c r="AT1444" s="75"/>
      <c r="AU1444" s="75"/>
      <c r="AV1444" s="75"/>
      <c r="AW1444" s="75"/>
      <c r="AX1444" s="75"/>
      <c r="AY1444" s="67">
        <f t="shared" ca="1" si="1"/>
        <v>0</v>
      </c>
      <c r="AZ1444" s="75"/>
      <c r="BA1444" s="67">
        <f t="shared" ca="1" si="2"/>
        <v>0</v>
      </c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8"/>
      <c r="BL1444" s="78">
        <f t="shared" ca="1" si="3"/>
        <v>0</v>
      </c>
      <c r="BM1444" s="78"/>
      <c r="BN1444" s="78">
        <f t="shared" ca="1" si="4"/>
        <v>0</v>
      </c>
      <c r="BO1444" s="66"/>
      <c r="BP1444" s="66"/>
    </row>
    <row r="1445" spans="1:68" ht="13.2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>
        <f t="shared" ref="AP1445:AQ1445" si="1438">AR1445+AT1445+AV1445</f>
        <v>0</v>
      </c>
      <c r="AQ1445" s="75">
        <f t="shared" si="1438"/>
        <v>0</v>
      </c>
      <c r="AR1445" s="75"/>
      <c r="AS1445" s="75"/>
      <c r="AT1445" s="75"/>
      <c r="AU1445" s="75"/>
      <c r="AV1445" s="75"/>
      <c r="AW1445" s="75"/>
      <c r="AX1445" s="75"/>
      <c r="AY1445" s="67">
        <f t="shared" ca="1" si="1"/>
        <v>0</v>
      </c>
      <c r="AZ1445" s="75"/>
      <c r="BA1445" s="67">
        <f t="shared" ca="1" si="2"/>
        <v>0</v>
      </c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8"/>
      <c r="BL1445" s="78">
        <f t="shared" ca="1" si="3"/>
        <v>0</v>
      </c>
      <c r="BM1445" s="78"/>
      <c r="BN1445" s="78">
        <f t="shared" ca="1" si="4"/>
        <v>0</v>
      </c>
      <c r="BO1445" s="66"/>
      <c r="BP1445" s="66"/>
    </row>
    <row r="1446" spans="1:68" ht="13.2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>
        <f t="shared" ref="AP1446:AQ1446" si="1439">AR1446+AT1446+AV1446</f>
        <v>0</v>
      </c>
      <c r="AQ1446" s="75">
        <f t="shared" si="1439"/>
        <v>0</v>
      </c>
      <c r="AR1446" s="75"/>
      <c r="AS1446" s="75"/>
      <c r="AT1446" s="75"/>
      <c r="AU1446" s="75"/>
      <c r="AV1446" s="75"/>
      <c r="AW1446" s="75"/>
      <c r="AX1446" s="75"/>
      <c r="AY1446" s="67">
        <f t="shared" ca="1" si="1"/>
        <v>0</v>
      </c>
      <c r="AZ1446" s="75"/>
      <c r="BA1446" s="67">
        <f t="shared" ca="1" si="2"/>
        <v>0</v>
      </c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8"/>
      <c r="BL1446" s="78">
        <f t="shared" ca="1" si="3"/>
        <v>0</v>
      </c>
      <c r="BM1446" s="78"/>
      <c r="BN1446" s="78">
        <f t="shared" ca="1" si="4"/>
        <v>0</v>
      </c>
      <c r="BO1446" s="66"/>
      <c r="BP1446" s="66"/>
    </row>
    <row r="1447" spans="1:68" ht="13.2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>
        <f t="shared" ref="AP1447:AQ1447" si="1440">AR1447+AT1447+AV1447</f>
        <v>0</v>
      </c>
      <c r="AQ1447" s="75">
        <f t="shared" si="1440"/>
        <v>0</v>
      </c>
      <c r="AR1447" s="75"/>
      <c r="AS1447" s="75"/>
      <c r="AT1447" s="75"/>
      <c r="AU1447" s="75"/>
      <c r="AV1447" s="75"/>
      <c r="AW1447" s="75"/>
      <c r="AX1447" s="75"/>
      <c r="AY1447" s="67">
        <f t="shared" ca="1" si="1"/>
        <v>0</v>
      </c>
      <c r="AZ1447" s="75"/>
      <c r="BA1447" s="67">
        <f t="shared" ca="1" si="2"/>
        <v>0</v>
      </c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8"/>
      <c r="BL1447" s="78">
        <f t="shared" ca="1" si="3"/>
        <v>0</v>
      </c>
      <c r="BM1447" s="78"/>
      <c r="BN1447" s="78">
        <f t="shared" ca="1" si="4"/>
        <v>0</v>
      </c>
      <c r="BO1447" s="66"/>
      <c r="BP1447" s="66"/>
    </row>
    <row r="1448" spans="1:68" ht="13.2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>
        <f t="shared" ref="AP1448:AQ1448" si="1441">AR1448+AT1448+AV1448</f>
        <v>0</v>
      </c>
      <c r="AQ1448" s="75">
        <f t="shared" si="1441"/>
        <v>0</v>
      </c>
      <c r="AR1448" s="75"/>
      <c r="AS1448" s="75"/>
      <c r="AT1448" s="75"/>
      <c r="AU1448" s="75"/>
      <c r="AV1448" s="75"/>
      <c r="AW1448" s="75"/>
      <c r="AX1448" s="75"/>
      <c r="AY1448" s="67">
        <f t="shared" ca="1" si="1"/>
        <v>0</v>
      </c>
      <c r="AZ1448" s="75"/>
      <c r="BA1448" s="67">
        <f t="shared" ca="1" si="2"/>
        <v>0</v>
      </c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8"/>
      <c r="BL1448" s="78">
        <f t="shared" ca="1" si="3"/>
        <v>0</v>
      </c>
      <c r="BM1448" s="78"/>
      <c r="BN1448" s="78">
        <f t="shared" ca="1" si="4"/>
        <v>0</v>
      </c>
      <c r="BO1448" s="66"/>
      <c r="BP1448" s="66"/>
    </row>
    <row r="1449" spans="1:68" ht="13.2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>
        <f t="shared" ref="AP1449:AQ1449" si="1442">AR1449+AT1449+AV1449</f>
        <v>0</v>
      </c>
      <c r="AQ1449" s="75">
        <f t="shared" si="1442"/>
        <v>0</v>
      </c>
      <c r="AR1449" s="75"/>
      <c r="AS1449" s="75"/>
      <c r="AT1449" s="75"/>
      <c r="AU1449" s="75"/>
      <c r="AV1449" s="75"/>
      <c r="AW1449" s="75"/>
      <c r="AX1449" s="75"/>
      <c r="AY1449" s="67">
        <f t="shared" ca="1" si="1"/>
        <v>0</v>
      </c>
      <c r="AZ1449" s="75"/>
      <c r="BA1449" s="67">
        <f t="shared" ca="1" si="2"/>
        <v>0</v>
      </c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8"/>
      <c r="BL1449" s="78">
        <f t="shared" ca="1" si="3"/>
        <v>0</v>
      </c>
      <c r="BM1449" s="78"/>
      <c r="BN1449" s="78">
        <f t="shared" ca="1" si="4"/>
        <v>0</v>
      </c>
      <c r="BO1449" s="66"/>
      <c r="BP1449" s="66"/>
    </row>
    <row r="1450" spans="1:68" ht="13.2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>
        <f t="shared" ref="AP1450:AQ1450" si="1443">AR1450+AT1450+AV1450</f>
        <v>0</v>
      </c>
      <c r="AQ1450" s="75">
        <f t="shared" si="1443"/>
        <v>0</v>
      </c>
      <c r="AR1450" s="75"/>
      <c r="AS1450" s="75"/>
      <c r="AT1450" s="75"/>
      <c r="AU1450" s="75"/>
      <c r="AV1450" s="75"/>
      <c r="AW1450" s="75"/>
      <c r="AX1450" s="75"/>
      <c r="AY1450" s="67">
        <f t="shared" ca="1" si="1"/>
        <v>0</v>
      </c>
      <c r="AZ1450" s="75"/>
      <c r="BA1450" s="67">
        <f t="shared" ca="1" si="2"/>
        <v>0</v>
      </c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8"/>
      <c r="BL1450" s="78">
        <f t="shared" ca="1" si="3"/>
        <v>0</v>
      </c>
      <c r="BM1450" s="78"/>
      <c r="BN1450" s="78">
        <f t="shared" ca="1" si="4"/>
        <v>0</v>
      </c>
      <c r="BO1450" s="66"/>
      <c r="BP1450" s="66"/>
    </row>
    <row r="1451" spans="1:68" ht="13.2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>
        <f t="shared" ref="AP1451:AQ1451" si="1444">AR1451+AT1451+AV1451</f>
        <v>0</v>
      </c>
      <c r="AQ1451" s="75">
        <f t="shared" si="1444"/>
        <v>0</v>
      </c>
      <c r="AR1451" s="75"/>
      <c r="AS1451" s="75"/>
      <c r="AT1451" s="75"/>
      <c r="AU1451" s="75"/>
      <c r="AV1451" s="75"/>
      <c r="AW1451" s="75"/>
      <c r="AX1451" s="75"/>
      <c r="AY1451" s="67">
        <f t="shared" ca="1" si="1"/>
        <v>0</v>
      </c>
      <c r="AZ1451" s="75"/>
      <c r="BA1451" s="67">
        <f t="shared" ca="1" si="2"/>
        <v>0</v>
      </c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8"/>
      <c r="BL1451" s="78">
        <f t="shared" ca="1" si="3"/>
        <v>0</v>
      </c>
      <c r="BM1451" s="78"/>
      <c r="BN1451" s="78">
        <f t="shared" ca="1" si="4"/>
        <v>0</v>
      </c>
      <c r="BO1451" s="66"/>
      <c r="BP1451" s="66"/>
    </row>
    <row r="1452" spans="1:68" ht="13.2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>
        <f t="shared" ref="AP1452:AQ1452" si="1445">AR1452+AT1452+AV1452</f>
        <v>0</v>
      </c>
      <c r="AQ1452" s="75">
        <f t="shared" si="1445"/>
        <v>0</v>
      </c>
      <c r="AR1452" s="75"/>
      <c r="AS1452" s="75"/>
      <c r="AT1452" s="75"/>
      <c r="AU1452" s="75"/>
      <c r="AV1452" s="75"/>
      <c r="AW1452" s="75"/>
      <c r="AX1452" s="75"/>
      <c r="AY1452" s="67">
        <f t="shared" ca="1" si="1"/>
        <v>0</v>
      </c>
      <c r="AZ1452" s="75"/>
      <c r="BA1452" s="67">
        <f t="shared" ca="1" si="2"/>
        <v>0</v>
      </c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8"/>
      <c r="BL1452" s="78">
        <f t="shared" ca="1" si="3"/>
        <v>0</v>
      </c>
      <c r="BM1452" s="78"/>
      <c r="BN1452" s="78">
        <f t="shared" ca="1" si="4"/>
        <v>0</v>
      </c>
      <c r="BO1452" s="66"/>
      <c r="BP1452" s="66"/>
    </row>
    <row r="1453" spans="1:68" ht="13.2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>
        <f t="shared" ref="AP1453:AQ1453" si="1446">AR1453+AT1453+AV1453</f>
        <v>0</v>
      </c>
      <c r="AQ1453" s="75">
        <f t="shared" si="1446"/>
        <v>0</v>
      </c>
      <c r="AR1453" s="75"/>
      <c r="AS1453" s="75"/>
      <c r="AT1453" s="75"/>
      <c r="AU1453" s="75"/>
      <c r="AV1453" s="75"/>
      <c r="AW1453" s="75"/>
      <c r="AX1453" s="75"/>
      <c r="AY1453" s="67">
        <f t="shared" ca="1" si="1"/>
        <v>0</v>
      </c>
      <c r="AZ1453" s="75"/>
      <c r="BA1453" s="67">
        <f t="shared" ca="1" si="2"/>
        <v>0</v>
      </c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8"/>
      <c r="BL1453" s="78">
        <f t="shared" ca="1" si="3"/>
        <v>0</v>
      </c>
      <c r="BM1453" s="78"/>
      <c r="BN1453" s="78">
        <f t="shared" ca="1" si="4"/>
        <v>0</v>
      </c>
      <c r="BO1453" s="66"/>
      <c r="BP1453" s="66"/>
    </row>
    <row r="1454" spans="1:68" ht="13.2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>
        <f t="shared" ref="AP1454:AQ1454" si="1447">AR1454+AT1454+AV1454</f>
        <v>0</v>
      </c>
      <c r="AQ1454" s="75">
        <f t="shared" si="1447"/>
        <v>0</v>
      </c>
      <c r="AR1454" s="75"/>
      <c r="AS1454" s="75"/>
      <c r="AT1454" s="75"/>
      <c r="AU1454" s="75"/>
      <c r="AV1454" s="75"/>
      <c r="AW1454" s="75"/>
      <c r="AX1454" s="75"/>
      <c r="AY1454" s="67">
        <f t="shared" ca="1" si="1"/>
        <v>0</v>
      </c>
      <c r="AZ1454" s="75"/>
      <c r="BA1454" s="67">
        <f t="shared" ca="1" si="2"/>
        <v>0</v>
      </c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8"/>
      <c r="BL1454" s="78">
        <f t="shared" ca="1" si="3"/>
        <v>0</v>
      </c>
      <c r="BM1454" s="78"/>
      <c r="BN1454" s="78">
        <f t="shared" ca="1" si="4"/>
        <v>0</v>
      </c>
      <c r="BO1454" s="66"/>
      <c r="BP1454" s="66"/>
    </row>
    <row r="1455" spans="1:68" ht="13.2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>
        <f t="shared" ref="AP1455:AQ1455" si="1448">AR1455+AT1455+AV1455</f>
        <v>0</v>
      </c>
      <c r="AQ1455" s="75">
        <f t="shared" si="1448"/>
        <v>0</v>
      </c>
      <c r="AR1455" s="75"/>
      <c r="AS1455" s="75"/>
      <c r="AT1455" s="75"/>
      <c r="AU1455" s="75"/>
      <c r="AV1455" s="75"/>
      <c r="AW1455" s="75"/>
      <c r="AX1455" s="75"/>
      <c r="AY1455" s="67">
        <f t="shared" ca="1" si="1"/>
        <v>0</v>
      </c>
      <c r="AZ1455" s="75"/>
      <c r="BA1455" s="67">
        <f t="shared" ca="1" si="2"/>
        <v>0</v>
      </c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8"/>
      <c r="BL1455" s="78">
        <f t="shared" ca="1" si="3"/>
        <v>0</v>
      </c>
      <c r="BM1455" s="78"/>
      <c r="BN1455" s="78">
        <f t="shared" ca="1" si="4"/>
        <v>0</v>
      </c>
      <c r="BO1455" s="66"/>
      <c r="BP1455" s="66"/>
    </row>
    <row r="1456" spans="1:68" ht="13.2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>
        <f t="shared" ref="AP1456:AQ1456" si="1449">AR1456+AT1456+AV1456</f>
        <v>0</v>
      </c>
      <c r="AQ1456" s="75">
        <f t="shared" si="1449"/>
        <v>0</v>
      </c>
      <c r="AR1456" s="75"/>
      <c r="AS1456" s="75"/>
      <c r="AT1456" s="75"/>
      <c r="AU1456" s="75"/>
      <c r="AV1456" s="75"/>
      <c r="AW1456" s="75"/>
      <c r="AX1456" s="75"/>
      <c r="AY1456" s="67">
        <f t="shared" ca="1" si="1"/>
        <v>0</v>
      </c>
      <c r="AZ1456" s="75"/>
      <c r="BA1456" s="67">
        <f t="shared" ca="1" si="2"/>
        <v>0</v>
      </c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8"/>
      <c r="BL1456" s="78">
        <f t="shared" ca="1" si="3"/>
        <v>0</v>
      </c>
      <c r="BM1456" s="78"/>
      <c r="BN1456" s="78">
        <f t="shared" ca="1" si="4"/>
        <v>0</v>
      </c>
      <c r="BO1456" s="66"/>
      <c r="BP1456" s="66"/>
    </row>
    <row r="1457" spans="1:68" ht="13.2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>
        <f t="shared" ref="AP1457:AQ1457" si="1450">AR1457+AT1457+AV1457</f>
        <v>0</v>
      </c>
      <c r="AQ1457" s="75">
        <f t="shared" si="1450"/>
        <v>0</v>
      </c>
      <c r="AR1457" s="75"/>
      <c r="AS1457" s="75"/>
      <c r="AT1457" s="75"/>
      <c r="AU1457" s="75"/>
      <c r="AV1457" s="75"/>
      <c r="AW1457" s="75"/>
      <c r="AX1457" s="75"/>
      <c r="AY1457" s="67">
        <f t="shared" ca="1" si="1"/>
        <v>0</v>
      </c>
      <c r="AZ1457" s="75"/>
      <c r="BA1457" s="67">
        <f t="shared" ca="1" si="2"/>
        <v>0</v>
      </c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8"/>
      <c r="BL1457" s="78">
        <f t="shared" ca="1" si="3"/>
        <v>0</v>
      </c>
      <c r="BM1457" s="78"/>
      <c r="BN1457" s="78">
        <f t="shared" ca="1" si="4"/>
        <v>0</v>
      </c>
      <c r="BO1457" s="66"/>
      <c r="BP1457" s="66"/>
    </row>
    <row r="1458" spans="1:68" ht="13.2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>
        <f t="shared" ref="AP1458:AQ1458" si="1451">AR1458+AT1458+AV1458</f>
        <v>0</v>
      </c>
      <c r="AQ1458" s="75">
        <f t="shared" si="1451"/>
        <v>0</v>
      </c>
      <c r="AR1458" s="75"/>
      <c r="AS1458" s="75"/>
      <c r="AT1458" s="75"/>
      <c r="AU1458" s="75"/>
      <c r="AV1458" s="75"/>
      <c r="AW1458" s="75"/>
      <c r="AX1458" s="75"/>
      <c r="AY1458" s="67">
        <f t="shared" ca="1" si="1"/>
        <v>0</v>
      </c>
      <c r="AZ1458" s="75"/>
      <c r="BA1458" s="67">
        <f t="shared" ca="1" si="2"/>
        <v>0</v>
      </c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8"/>
      <c r="BL1458" s="78">
        <f t="shared" ca="1" si="3"/>
        <v>0</v>
      </c>
      <c r="BM1458" s="78"/>
      <c r="BN1458" s="78">
        <f t="shared" ca="1" si="4"/>
        <v>0</v>
      </c>
      <c r="BO1458" s="66"/>
      <c r="BP1458" s="66"/>
    </row>
    <row r="1459" spans="1:68" ht="13.2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>
        <f t="shared" ref="AP1459:AQ1459" si="1452">AR1459+AT1459+AV1459</f>
        <v>0</v>
      </c>
      <c r="AQ1459" s="75">
        <f t="shared" si="1452"/>
        <v>0</v>
      </c>
      <c r="AR1459" s="75"/>
      <c r="AS1459" s="75"/>
      <c r="AT1459" s="75"/>
      <c r="AU1459" s="75"/>
      <c r="AV1459" s="75"/>
      <c r="AW1459" s="75"/>
      <c r="AX1459" s="75"/>
      <c r="AY1459" s="67">
        <f t="shared" ca="1" si="1"/>
        <v>0</v>
      </c>
      <c r="AZ1459" s="75"/>
      <c r="BA1459" s="67">
        <f t="shared" ca="1" si="2"/>
        <v>0</v>
      </c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8"/>
      <c r="BL1459" s="78">
        <f t="shared" ca="1" si="3"/>
        <v>0</v>
      </c>
      <c r="BM1459" s="78"/>
      <c r="BN1459" s="78">
        <f t="shared" ca="1" si="4"/>
        <v>0</v>
      </c>
      <c r="BO1459" s="66"/>
      <c r="BP1459" s="66"/>
    </row>
    <row r="1460" spans="1:68" ht="13.2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>
        <f t="shared" ref="AP1460:AQ1460" si="1453">AR1460+AT1460+AV1460</f>
        <v>0</v>
      </c>
      <c r="AQ1460" s="75">
        <f t="shared" si="1453"/>
        <v>0</v>
      </c>
      <c r="AR1460" s="75"/>
      <c r="AS1460" s="75"/>
      <c r="AT1460" s="75"/>
      <c r="AU1460" s="75"/>
      <c r="AV1460" s="75"/>
      <c r="AW1460" s="75"/>
      <c r="AX1460" s="75"/>
      <c r="AY1460" s="67">
        <f t="shared" ca="1" si="1"/>
        <v>0</v>
      </c>
      <c r="AZ1460" s="75"/>
      <c r="BA1460" s="67">
        <f t="shared" ca="1" si="2"/>
        <v>0</v>
      </c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8"/>
      <c r="BL1460" s="78">
        <f t="shared" ca="1" si="3"/>
        <v>0</v>
      </c>
      <c r="BM1460" s="78"/>
      <c r="BN1460" s="78">
        <f t="shared" ca="1" si="4"/>
        <v>0</v>
      </c>
      <c r="BO1460" s="66"/>
      <c r="BP1460" s="66"/>
    </row>
    <row r="1461" spans="1:68" ht="13.2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>
        <f t="shared" ref="AP1461:AQ1461" si="1454">AR1461+AT1461+AV1461</f>
        <v>0</v>
      </c>
      <c r="AQ1461" s="75">
        <f t="shared" si="1454"/>
        <v>0</v>
      </c>
      <c r="AR1461" s="75"/>
      <c r="AS1461" s="75"/>
      <c r="AT1461" s="75"/>
      <c r="AU1461" s="75"/>
      <c r="AV1461" s="75"/>
      <c r="AW1461" s="75"/>
      <c r="AX1461" s="75"/>
      <c r="AY1461" s="67">
        <f t="shared" ca="1" si="1"/>
        <v>0</v>
      </c>
      <c r="AZ1461" s="75"/>
      <c r="BA1461" s="67">
        <f t="shared" ca="1" si="2"/>
        <v>0</v>
      </c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8"/>
      <c r="BL1461" s="78">
        <f t="shared" ca="1" si="3"/>
        <v>0</v>
      </c>
      <c r="BM1461" s="78"/>
      <c r="BN1461" s="78">
        <f t="shared" ca="1" si="4"/>
        <v>0</v>
      </c>
      <c r="BO1461" s="66"/>
      <c r="BP1461" s="66"/>
    </row>
    <row r="1462" spans="1:68" ht="13.2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>
        <f t="shared" ref="AP1462:AQ1462" si="1455">AR1462+AT1462+AV1462</f>
        <v>0</v>
      </c>
      <c r="AQ1462" s="75">
        <f t="shared" si="1455"/>
        <v>0</v>
      </c>
      <c r="AR1462" s="75"/>
      <c r="AS1462" s="75"/>
      <c r="AT1462" s="75"/>
      <c r="AU1462" s="75"/>
      <c r="AV1462" s="75"/>
      <c r="AW1462" s="75"/>
      <c r="AX1462" s="75"/>
      <c r="AY1462" s="67">
        <f t="shared" ca="1" si="1"/>
        <v>0</v>
      </c>
      <c r="AZ1462" s="75"/>
      <c r="BA1462" s="67">
        <f t="shared" ca="1" si="2"/>
        <v>0</v>
      </c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8"/>
      <c r="BL1462" s="78">
        <f t="shared" ca="1" si="3"/>
        <v>0</v>
      </c>
      <c r="BM1462" s="78"/>
      <c r="BN1462" s="78">
        <f t="shared" ca="1" si="4"/>
        <v>0</v>
      </c>
      <c r="BO1462" s="66"/>
      <c r="BP1462" s="66"/>
    </row>
    <row r="1463" spans="1:68" ht="13.2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>
        <f t="shared" ref="AP1463:AQ1463" si="1456">AR1463+AT1463+AV1463</f>
        <v>0</v>
      </c>
      <c r="AQ1463" s="75">
        <f t="shared" si="1456"/>
        <v>0</v>
      </c>
      <c r="AR1463" s="75"/>
      <c r="AS1463" s="75"/>
      <c r="AT1463" s="75"/>
      <c r="AU1463" s="75"/>
      <c r="AV1463" s="75"/>
      <c r="AW1463" s="75"/>
      <c r="AX1463" s="75"/>
      <c r="AY1463" s="67">
        <f t="shared" ca="1" si="1"/>
        <v>0</v>
      </c>
      <c r="AZ1463" s="75"/>
      <c r="BA1463" s="67">
        <f t="shared" ca="1" si="2"/>
        <v>0</v>
      </c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8"/>
      <c r="BL1463" s="78">
        <f t="shared" ca="1" si="3"/>
        <v>0</v>
      </c>
      <c r="BM1463" s="78"/>
      <c r="BN1463" s="78">
        <f t="shared" ca="1" si="4"/>
        <v>0</v>
      </c>
      <c r="BO1463" s="66"/>
      <c r="BP1463" s="66"/>
    </row>
    <row r="1464" spans="1:68" ht="13.2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>
        <f t="shared" ref="AP1464:AQ1464" si="1457">AR1464+AT1464+AV1464</f>
        <v>0</v>
      </c>
      <c r="AQ1464" s="75">
        <f t="shared" si="1457"/>
        <v>0</v>
      </c>
      <c r="AR1464" s="75"/>
      <c r="AS1464" s="75"/>
      <c r="AT1464" s="75"/>
      <c r="AU1464" s="75"/>
      <c r="AV1464" s="75"/>
      <c r="AW1464" s="75"/>
      <c r="AX1464" s="75"/>
      <c r="AY1464" s="67">
        <f t="shared" ca="1" si="1"/>
        <v>0</v>
      </c>
      <c r="AZ1464" s="75"/>
      <c r="BA1464" s="67">
        <f t="shared" ca="1" si="2"/>
        <v>0</v>
      </c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8"/>
      <c r="BL1464" s="78">
        <f t="shared" ca="1" si="3"/>
        <v>0</v>
      </c>
      <c r="BM1464" s="78"/>
      <c r="BN1464" s="78">
        <f t="shared" ca="1" si="4"/>
        <v>0</v>
      </c>
      <c r="BO1464" s="66"/>
      <c r="BP1464" s="66"/>
    </row>
    <row r="1465" spans="1:68" ht="13.2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>
        <f t="shared" ref="AP1465:AQ1465" si="1458">AR1465+AT1465+AV1465</f>
        <v>0</v>
      </c>
      <c r="AQ1465" s="75">
        <f t="shared" si="1458"/>
        <v>0</v>
      </c>
      <c r="AR1465" s="75"/>
      <c r="AS1465" s="75"/>
      <c r="AT1465" s="75"/>
      <c r="AU1465" s="75"/>
      <c r="AV1465" s="75"/>
      <c r="AW1465" s="75"/>
      <c r="AX1465" s="75"/>
      <c r="AY1465" s="67">
        <f t="shared" ca="1" si="1"/>
        <v>0</v>
      </c>
      <c r="AZ1465" s="75"/>
      <c r="BA1465" s="67">
        <f t="shared" ca="1" si="2"/>
        <v>0</v>
      </c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8"/>
      <c r="BL1465" s="78">
        <f t="shared" ca="1" si="3"/>
        <v>0</v>
      </c>
      <c r="BM1465" s="78"/>
      <c r="BN1465" s="78">
        <f t="shared" ca="1" si="4"/>
        <v>0</v>
      </c>
      <c r="BO1465" s="66"/>
      <c r="BP1465" s="66"/>
    </row>
    <row r="1466" spans="1:68" ht="13.2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>
        <f t="shared" ref="AP1466:AQ1466" si="1459">AR1466+AT1466+AV1466</f>
        <v>0</v>
      </c>
      <c r="AQ1466" s="75">
        <f t="shared" si="1459"/>
        <v>0</v>
      </c>
      <c r="AR1466" s="75"/>
      <c r="AS1466" s="75"/>
      <c r="AT1466" s="75"/>
      <c r="AU1466" s="75"/>
      <c r="AV1466" s="75"/>
      <c r="AW1466" s="75"/>
      <c r="AX1466" s="75"/>
      <c r="AY1466" s="67">
        <f t="shared" ca="1" si="1"/>
        <v>0</v>
      </c>
      <c r="AZ1466" s="75"/>
      <c r="BA1466" s="67">
        <f t="shared" ca="1" si="2"/>
        <v>0</v>
      </c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8"/>
      <c r="BL1466" s="78">
        <f t="shared" ca="1" si="3"/>
        <v>0</v>
      </c>
      <c r="BM1466" s="78"/>
      <c r="BN1466" s="78">
        <f t="shared" ca="1" si="4"/>
        <v>0</v>
      </c>
      <c r="BO1466" s="66"/>
      <c r="BP1466" s="66"/>
    </row>
    <row r="1467" spans="1:68" ht="13.2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>
        <f t="shared" ref="AP1467:AQ1467" si="1460">AR1467+AT1467+AV1467</f>
        <v>0</v>
      </c>
      <c r="AQ1467" s="75">
        <f t="shared" si="1460"/>
        <v>0</v>
      </c>
      <c r="AR1467" s="75"/>
      <c r="AS1467" s="75"/>
      <c r="AT1467" s="75"/>
      <c r="AU1467" s="75"/>
      <c r="AV1467" s="75"/>
      <c r="AW1467" s="75"/>
      <c r="AX1467" s="75"/>
      <c r="AY1467" s="67">
        <f t="shared" ca="1" si="1"/>
        <v>0</v>
      </c>
      <c r="AZ1467" s="75"/>
      <c r="BA1467" s="67">
        <f t="shared" ca="1" si="2"/>
        <v>0</v>
      </c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8"/>
      <c r="BL1467" s="78">
        <f t="shared" ca="1" si="3"/>
        <v>0</v>
      </c>
      <c r="BM1467" s="78"/>
      <c r="BN1467" s="78">
        <f t="shared" ca="1" si="4"/>
        <v>0</v>
      </c>
      <c r="BO1467" s="66"/>
      <c r="BP1467" s="66"/>
    </row>
    <row r="1468" spans="1:68" ht="13.2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>
        <f t="shared" ref="AP1468:AQ1468" si="1461">AR1468+AT1468+AV1468</f>
        <v>0</v>
      </c>
      <c r="AQ1468" s="75">
        <f t="shared" si="1461"/>
        <v>0</v>
      </c>
      <c r="AR1468" s="75"/>
      <c r="AS1468" s="75"/>
      <c r="AT1468" s="75"/>
      <c r="AU1468" s="75"/>
      <c r="AV1468" s="75"/>
      <c r="AW1468" s="75"/>
      <c r="AX1468" s="75"/>
      <c r="AY1468" s="67">
        <f t="shared" ca="1" si="1"/>
        <v>0</v>
      </c>
      <c r="AZ1468" s="75"/>
      <c r="BA1468" s="67">
        <f t="shared" ca="1" si="2"/>
        <v>0</v>
      </c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8"/>
      <c r="BL1468" s="78">
        <f t="shared" ca="1" si="3"/>
        <v>0</v>
      </c>
      <c r="BM1468" s="78"/>
      <c r="BN1468" s="78">
        <f t="shared" ca="1" si="4"/>
        <v>0</v>
      </c>
      <c r="BO1468" s="66"/>
      <c r="BP1468" s="66"/>
    </row>
    <row r="1469" spans="1:68" ht="13.2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>
        <f t="shared" ref="AP1469:AQ1469" si="1462">AR1469+AT1469+AV1469</f>
        <v>0</v>
      </c>
      <c r="AQ1469" s="75">
        <f t="shared" si="1462"/>
        <v>0</v>
      </c>
      <c r="AR1469" s="75"/>
      <c r="AS1469" s="75"/>
      <c r="AT1469" s="75"/>
      <c r="AU1469" s="75"/>
      <c r="AV1469" s="75"/>
      <c r="AW1469" s="75"/>
      <c r="AX1469" s="75"/>
      <c r="AY1469" s="67">
        <f t="shared" ca="1" si="1"/>
        <v>0</v>
      </c>
      <c r="AZ1469" s="75"/>
      <c r="BA1469" s="67">
        <f t="shared" ca="1" si="2"/>
        <v>0</v>
      </c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8"/>
      <c r="BL1469" s="78">
        <f t="shared" ca="1" si="3"/>
        <v>0</v>
      </c>
      <c r="BM1469" s="78"/>
      <c r="BN1469" s="78">
        <f t="shared" ca="1" si="4"/>
        <v>0</v>
      </c>
      <c r="BO1469" s="66"/>
      <c r="BP1469" s="66"/>
    </row>
    <row r="1470" spans="1:68" ht="13.2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>
        <f t="shared" ref="AP1470:AQ1470" si="1463">AR1470+AT1470+AV1470</f>
        <v>0</v>
      </c>
      <c r="AQ1470" s="75">
        <f t="shared" si="1463"/>
        <v>0</v>
      </c>
      <c r="AR1470" s="75"/>
      <c r="AS1470" s="75"/>
      <c r="AT1470" s="75"/>
      <c r="AU1470" s="75"/>
      <c r="AV1470" s="75"/>
      <c r="AW1470" s="75"/>
      <c r="AX1470" s="75"/>
      <c r="AY1470" s="67">
        <f t="shared" ca="1" si="1"/>
        <v>0</v>
      </c>
      <c r="AZ1470" s="75"/>
      <c r="BA1470" s="67">
        <f t="shared" ca="1" si="2"/>
        <v>0</v>
      </c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8"/>
      <c r="BL1470" s="78">
        <f t="shared" ca="1" si="3"/>
        <v>0</v>
      </c>
      <c r="BM1470" s="78"/>
      <c r="BN1470" s="78">
        <f t="shared" ca="1" si="4"/>
        <v>0</v>
      </c>
      <c r="BO1470" s="66"/>
      <c r="BP1470" s="66"/>
    </row>
    <row r="1471" spans="1:68" ht="13.2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>
        <f t="shared" ref="AP1471:AQ1471" si="1464">AR1471+AT1471+AV1471</f>
        <v>0</v>
      </c>
      <c r="AQ1471" s="75">
        <f t="shared" si="1464"/>
        <v>0</v>
      </c>
      <c r="AR1471" s="75"/>
      <c r="AS1471" s="75"/>
      <c r="AT1471" s="75"/>
      <c r="AU1471" s="75"/>
      <c r="AV1471" s="75"/>
      <c r="AW1471" s="75"/>
      <c r="AX1471" s="75"/>
      <c r="AY1471" s="67">
        <f t="shared" ca="1" si="1"/>
        <v>0</v>
      </c>
      <c r="AZ1471" s="75"/>
      <c r="BA1471" s="67">
        <f t="shared" ca="1" si="2"/>
        <v>0</v>
      </c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8"/>
      <c r="BL1471" s="78">
        <f t="shared" ca="1" si="3"/>
        <v>0</v>
      </c>
      <c r="BM1471" s="78"/>
      <c r="BN1471" s="78">
        <f t="shared" ca="1" si="4"/>
        <v>0</v>
      </c>
      <c r="BO1471" s="66"/>
      <c r="BP1471" s="66"/>
    </row>
    <row r="1472" spans="1:68" ht="13.2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>
        <f t="shared" ref="AP1472:AQ1472" si="1465">AR1472+AT1472+AV1472</f>
        <v>0</v>
      </c>
      <c r="AQ1472" s="75">
        <f t="shared" si="1465"/>
        <v>0</v>
      </c>
      <c r="AR1472" s="75"/>
      <c r="AS1472" s="75"/>
      <c r="AT1472" s="75"/>
      <c r="AU1472" s="75"/>
      <c r="AV1472" s="75"/>
      <c r="AW1472" s="75"/>
      <c r="AX1472" s="75"/>
      <c r="AY1472" s="67">
        <f t="shared" ca="1" si="1"/>
        <v>0</v>
      </c>
      <c r="AZ1472" s="75"/>
      <c r="BA1472" s="67">
        <f t="shared" ca="1" si="2"/>
        <v>0</v>
      </c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8"/>
      <c r="BL1472" s="78">
        <f t="shared" ca="1" si="3"/>
        <v>0</v>
      </c>
      <c r="BM1472" s="78"/>
      <c r="BN1472" s="78">
        <f t="shared" ca="1" si="4"/>
        <v>0</v>
      </c>
      <c r="BO1472" s="66"/>
      <c r="BP1472" s="66"/>
    </row>
    <row r="1473" spans="1:68" ht="13.2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>
        <f t="shared" ref="AP1473:AQ1473" si="1466">AR1473+AT1473+AV1473</f>
        <v>0</v>
      </c>
      <c r="AQ1473" s="75">
        <f t="shared" si="1466"/>
        <v>0</v>
      </c>
      <c r="AR1473" s="75"/>
      <c r="AS1473" s="75"/>
      <c r="AT1473" s="75"/>
      <c r="AU1473" s="75"/>
      <c r="AV1473" s="75"/>
      <c r="AW1473" s="75"/>
      <c r="AX1473" s="75"/>
      <c r="AY1473" s="67">
        <f t="shared" ca="1" si="1"/>
        <v>0</v>
      </c>
      <c r="AZ1473" s="75"/>
      <c r="BA1473" s="67">
        <f t="shared" ca="1" si="2"/>
        <v>0</v>
      </c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8"/>
      <c r="BL1473" s="78">
        <f t="shared" ca="1" si="3"/>
        <v>0</v>
      </c>
      <c r="BM1473" s="78"/>
      <c r="BN1473" s="78">
        <f t="shared" ca="1" si="4"/>
        <v>0</v>
      </c>
      <c r="BO1473" s="66"/>
      <c r="BP1473" s="66"/>
    </row>
    <row r="1474" spans="1:68" ht="13.2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>
        <f t="shared" ref="AP1474:AQ1474" si="1467">AR1474+AT1474+AV1474</f>
        <v>0</v>
      </c>
      <c r="AQ1474" s="75">
        <f t="shared" si="1467"/>
        <v>0</v>
      </c>
      <c r="AR1474" s="75"/>
      <c r="AS1474" s="75"/>
      <c r="AT1474" s="75"/>
      <c r="AU1474" s="75"/>
      <c r="AV1474" s="75"/>
      <c r="AW1474" s="75"/>
      <c r="AX1474" s="75"/>
      <c r="AY1474" s="67">
        <f t="shared" ca="1" si="1"/>
        <v>0</v>
      </c>
      <c r="AZ1474" s="75"/>
      <c r="BA1474" s="67">
        <f t="shared" ca="1" si="2"/>
        <v>0</v>
      </c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8"/>
      <c r="BL1474" s="78">
        <f t="shared" ca="1" si="3"/>
        <v>0</v>
      </c>
      <c r="BM1474" s="78"/>
      <c r="BN1474" s="78">
        <f t="shared" ca="1" si="4"/>
        <v>0</v>
      </c>
      <c r="BO1474" s="66"/>
      <c r="BP1474" s="66"/>
    </row>
    <row r="1475" spans="1:68" ht="13.2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>
        <f t="shared" ref="AP1475:AQ1475" si="1468">AR1475+AT1475+AV1475</f>
        <v>0</v>
      </c>
      <c r="AQ1475" s="75">
        <f t="shared" si="1468"/>
        <v>0</v>
      </c>
      <c r="AR1475" s="75"/>
      <c r="AS1475" s="75"/>
      <c r="AT1475" s="75"/>
      <c r="AU1475" s="75"/>
      <c r="AV1475" s="75"/>
      <c r="AW1475" s="75"/>
      <c r="AX1475" s="75"/>
      <c r="AY1475" s="67">
        <f t="shared" ca="1" si="1"/>
        <v>0</v>
      </c>
      <c r="AZ1475" s="75"/>
      <c r="BA1475" s="67">
        <f t="shared" ca="1" si="2"/>
        <v>0</v>
      </c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8"/>
      <c r="BL1475" s="78">
        <f t="shared" ca="1" si="3"/>
        <v>0</v>
      </c>
      <c r="BM1475" s="78"/>
      <c r="BN1475" s="78">
        <f t="shared" ca="1" si="4"/>
        <v>0</v>
      </c>
      <c r="BO1475" s="66"/>
      <c r="BP1475" s="66"/>
    </row>
    <row r="1476" spans="1:68" ht="13.2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>
        <f t="shared" ref="AP1476:AQ1476" si="1469">AR1476+AT1476+AV1476</f>
        <v>0</v>
      </c>
      <c r="AQ1476" s="75">
        <f t="shared" si="1469"/>
        <v>0</v>
      </c>
      <c r="AR1476" s="75"/>
      <c r="AS1476" s="75"/>
      <c r="AT1476" s="75"/>
      <c r="AU1476" s="75"/>
      <c r="AV1476" s="75"/>
      <c r="AW1476" s="75"/>
      <c r="AX1476" s="75"/>
      <c r="AY1476" s="67">
        <f t="shared" ca="1" si="1"/>
        <v>0</v>
      </c>
      <c r="AZ1476" s="75"/>
      <c r="BA1476" s="67">
        <f t="shared" ca="1" si="2"/>
        <v>0</v>
      </c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8"/>
      <c r="BL1476" s="78">
        <f t="shared" ca="1" si="3"/>
        <v>0</v>
      </c>
      <c r="BM1476" s="78"/>
      <c r="BN1476" s="78">
        <f t="shared" ca="1" si="4"/>
        <v>0</v>
      </c>
      <c r="BO1476" s="66"/>
      <c r="BP1476" s="66"/>
    </row>
    <row r="1477" spans="1:68" ht="13.2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>
        <f t="shared" ref="AP1477:AQ1477" si="1470">AR1477+AT1477+AV1477</f>
        <v>0</v>
      </c>
      <c r="AQ1477" s="75">
        <f t="shared" si="1470"/>
        <v>0</v>
      </c>
      <c r="AR1477" s="75"/>
      <c r="AS1477" s="75"/>
      <c r="AT1477" s="75"/>
      <c r="AU1477" s="75"/>
      <c r="AV1477" s="75"/>
      <c r="AW1477" s="75"/>
      <c r="AX1477" s="75"/>
      <c r="AY1477" s="67">
        <f t="shared" ca="1" si="1"/>
        <v>0</v>
      </c>
      <c r="AZ1477" s="75"/>
      <c r="BA1477" s="67">
        <f t="shared" ca="1" si="2"/>
        <v>0</v>
      </c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8"/>
      <c r="BL1477" s="78">
        <f t="shared" ca="1" si="3"/>
        <v>0</v>
      </c>
      <c r="BM1477" s="78"/>
      <c r="BN1477" s="78">
        <f t="shared" ca="1" si="4"/>
        <v>0</v>
      </c>
      <c r="BO1477" s="66"/>
      <c r="BP1477" s="66"/>
    </row>
    <row r="1478" spans="1:68" ht="13.2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>
        <f t="shared" ref="AP1478:AQ1478" si="1471">AR1478+AT1478+AV1478</f>
        <v>0</v>
      </c>
      <c r="AQ1478" s="75">
        <f t="shared" si="1471"/>
        <v>0</v>
      </c>
      <c r="AR1478" s="75"/>
      <c r="AS1478" s="75"/>
      <c r="AT1478" s="75"/>
      <c r="AU1478" s="75"/>
      <c r="AV1478" s="75"/>
      <c r="AW1478" s="75"/>
      <c r="AX1478" s="75"/>
      <c r="AY1478" s="67">
        <f t="shared" ca="1" si="1"/>
        <v>0</v>
      </c>
      <c r="AZ1478" s="75"/>
      <c r="BA1478" s="67">
        <f t="shared" ca="1" si="2"/>
        <v>0</v>
      </c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8"/>
      <c r="BL1478" s="78">
        <f t="shared" ca="1" si="3"/>
        <v>0</v>
      </c>
      <c r="BM1478" s="78"/>
      <c r="BN1478" s="78">
        <f t="shared" ca="1" si="4"/>
        <v>0</v>
      </c>
      <c r="BO1478" s="66"/>
      <c r="BP1478" s="66"/>
    </row>
    <row r="1479" spans="1:68" ht="13.2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>
        <f t="shared" ref="AP1479:AQ1479" si="1472">AR1479+AT1479+AV1479</f>
        <v>0</v>
      </c>
      <c r="AQ1479" s="75">
        <f t="shared" si="1472"/>
        <v>0</v>
      </c>
      <c r="AR1479" s="75"/>
      <c r="AS1479" s="75"/>
      <c r="AT1479" s="75"/>
      <c r="AU1479" s="75"/>
      <c r="AV1479" s="75"/>
      <c r="AW1479" s="75"/>
      <c r="AX1479" s="75"/>
      <c r="AY1479" s="67">
        <f t="shared" ca="1" si="1"/>
        <v>0</v>
      </c>
      <c r="AZ1479" s="75"/>
      <c r="BA1479" s="67">
        <f t="shared" ca="1" si="2"/>
        <v>0</v>
      </c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8"/>
      <c r="BL1479" s="78">
        <f t="shared" ca="1" si="3"/>
        <v>0</v>
      </c>
      <c r="BM1479" s="78"/>
      <c r="BN1479" s="78">
        <f t="shared" ca="1" si="4"/>
        <v>0</v>
      </c>
      <c r="BO1479" s="66"/>
      <c r="BP1479" s="66"/>
    </row>
    <row r="1480" spans="1:68" ht="13.2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>
        <f t="shared" ref="AP1480:AQ1480" si="1473">AR1480+AT1480+AV1480</f>
        <v>0</v>
      </c>
      <c r="AQ1480" s="75">
        <f t="shared" si="1473"/>
        <v>0</v>
      </c>
      <c r="AR1480" s="75"/>
      <c r="AS1480" s="75"/>
      <c r="AT1480" s="75"/>
      <c r="AU1480" s="75"/>
      <c r="AV1480" s="75"/>
      <c r="AW1480" s="75"/>
      <c r="AX1480" s="75"/>
      <c r="AY1480" s="67">
        <f t="shared" ca="1" si="1"/>
        <v>0</v>
      </c>
      <c r="AZ1480" s="75"/>
      <c r="BA1480" s="67">
        <f t="shared" ca="1" si="2"/>
        <v>0</v>
      </c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8"/>
      <c r="BL1480" s="78">
        <f t="shared" ca="1" si="3"/>
        <v>0</v>
      </c>
      <c r="BM1480" s="78"/>
      <c r="BN1480" s="78">
        <f t="shared" ca="1" si="4"/>
        <v>0</v>
      </c>
      <c r="BO1480" s="66"/>
      <c r="BP1480" s="66"/>
    </row>
    <row r="1481" spans="1:68" ht="13.2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>
        <f t="shared" ref="AP1481:AQ1481" si="1474">AR1481+AT1481+AV1481</f>
        <v>0</v>
      </c>
      <c r="AQ1481" s="75">
        <f t="shared" si="1474"/>
        <v>0</v>
      </c>
      <c r="AR1481" s="75"/>
      <c r="AS1481" s="75"/>
      <c r="AT1481" s="75"/>
      <c r="AU1481" s="75"/>
      <c r="AV1481" s="75"/>
      <c r="AW1481" s="75"/>
      <c r="AX1481" s="75"/>
      <c r="AY1481" s="67">
        <f t="shared" ca="1" si="1"/>
        <v>0</v>
      </c>
      <c r="AZ1481" s="75"/>
      <c r="BA1481" s="67">
        <f t="shared" ca="1" si="2"/>
        <v>0</v>
      </c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8"/>
      <c r="BL1481" s="78">
        <f t="shared" ca="1" si="3"/>
        <v>0</v>
      </c>
      <c r="BM1481" s="78"/>
      <c r="BN1481" s="78">
        <f t="shared" ca="1" si="4"/>
        <v>0</v>
      </c>
      <c r="BO1481" s="66"/>
      <c r="BP1481" s="66"/>
    </row>
    <row r="1482" spans="1:68" ht="13.2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>
        <f t="shared" ref="AP1482:AQ1482" si="1475">AR1482+AT1482+AV1482</f>
        <v>0</v>
      </c>
      <c r="AQ1482" s="75">
        <f t="shared" si="1475"/>
        <v>0</v>
      </c>
      <c r="AR1482" s="75"/>
      <c r="AS1482" s="75"/>
      <c r="AT1482" s="75"/>
      <c r="AU1482" s="75"/>
      <c r="AV1482" s="75"/>
      <c r="AW1482" s="75"/>
      <c r="AX1482" s="75"/>
      <c r="AY1482" s="67">
        <f t="shared" ca="1" si="1"/>
        <v>0</v>
      </c>
      <c r="AZ1482" s="75"/>
      <c r="BA1482" s="67">
        <f t="shared" ca="1" si="2"/>
        <v>0</v>
      </c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8"/>
      <c r="BL1482" s="78">
        <f t="shared" ca="1" si="3"/>
        <v>0</v>
      </c>
      <c r="BM1482" s="78"/>
      <c r="BN1482" s="78">
        <f t="shared" ca="1" si="4"/>
        <v>0</v>
      </c>
      <c r="BO1482" s="66"/>
      <c r="BP1482" s="66"/>
    </row>
    <row r="1483" spans="1:68" ht="13.2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>
        <f t="shared" ref="AP1483:AQ1483" si="1476">AR1483+AT1483+AV1483</f>
        <v>0</v>
      </c>
      <c r="AQ1483" s="75">
        <f t="shared" si="1476"/>
        <v>0</v>
      </c>
      <c r="AR1483" s="75"/>
      <c r="AS1483" s="75"/>
      <c r="AT1483" s="75"/>
      <c r="AU1483" s="75"/>
      <c r="AV1483" s="75"/>
      <c r="AW1483" s="75"/>
      <c r="AX1483" s="75"/>
      <c r="AY1483" s="67">
        <f t="shared" ca="1" si="1"/>
        <v>0</v>
      </c>
      <c r="AZ1483" s="75"/>
      <c r="BA1483" s="67">
        <f t="shared" ca="1" si="2"/>
        <v>0</v>
      </c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8"/>
      <c r="BL1483" s="78">
        <f t="shared" ca="1" si="3"/>
        <v>0</v>
      </c>
      <c r="BM1483" s="78"/>
      <c r="BN1483" s="78">
        <f t="shared" ca="1" si="4"/>
        <v>0</v>
      </c>
      <c r="BO1483" s="66"/>
      <c r="BP1483" s="66"/>
    </row>
    <row r="1484" spans="1:68" ht="13.2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>
        <f t="shared" ref="AP1484:AQ1484" si="1477">AR1484+AT1484+AV1484</f>
        <v>0</v>
      </c>
      <c r="AQ1484" s="75">
        <f t="shared" si="1477"/>
        <v>0</v>
      </c>
      <c r="AR1484" s="75"/>
      <c r="AS1484" s="75"/>
      <c r="AT1484" s="75"/>
      <c r="AU1484" s="75"/>
      <c r="AV1484" s="75"/>
      <c r="AW1484" s="75"/>
      <c r="AX1484" s="75"/>
      <c r="AY1484" s="67">
        <f t="shared" ca="1" si="1"/>
        <v>0</v>
      </c>
      <c r="AZ1484" s="75"/>
      <c r="BA1484" s="67">
        <f t="shared" ca="1" si="2"/>
        <v>0</v>
      </c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8"/>
      <c r="BL1484" s="78">
        <f t="shared" ca="1" si="3"/>
        <v>0</v>
      </c>
      <c r="BM1484" s="78"/>
      <c r="BN1484" s="78">
        <f t="shared" ca="1" si="4"/>
        <v>0</v>
      </c>
      <c r="BO1484" s="66"/>
      <c r="BP1484" s="66"/>
    </row>
    <row r="1485" spans="1:68" ht="13.2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>
        <f t="shared" ref="AP1485:AQ1485" si="1478">AR1485+AT1485+AV1485</f>
        <v>0</v>
      </c>
      <c r="AQ1485" s="75">
        <f t="shared" si="1478"/>
        <v>0</v>
      </c>
      <c r="AR1485" s="75"/>
      <c r="AS1485" s="75"/>
      <c r="AT1485" s="75"/>
      <c r="AU1485" s="75"/>
      <c r="AV1485" s="75"/>
      <c r="AW1485" s="75"/>
      <c r="AX1485" s="75"/>
      <c r="AY1485" s="67">
        <f t="shared" ca="1" si="1"/>
        <v>0</v>
      </c>
      <c r="AZ1485" s="75"/>
      <c r="BA1485" s="67">
        <f t="shared" ca="1" si="2"/>
        <v>0</v>
      </c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8"/>
      <c r="BL1485" s="78">
        <f t="shared" ca="1" si="3"/>
        <v>0</v>
      </c>
      <c r="BM1485" s="78"/>
      <c r="BN1485" s="78">
        <f t="shared" ca="1" si="4"/>
        <v>0</v>
      </c>
      <c r="BO1485" s="66"/>
      <c r="BP1485" s="66"/>
    </row>
    <row r="1486" spans="1:68" ht="13.2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>
        <f t="shared" ref="AP1486:AQ1486" si="1479">AR1486+AT1486+AV1486</f>
        <v>0</v>
      </c>
      <c r="AQ1486" s="75">
        <f t="shared" si="1479"/>
        <v>0</v>
      </c>
      <c r="AR1486" s="75"/>
      <c r="AS1486" s="75"/>
      <c r="AT1486" s="75"/>
      <c r="AU1486" s="75"/>
      <c r="AV1486" s="75"/>
      <c r="AW1486" s="75"/>
      <c r="AX1486" s="75"/>
      <c r="AY1486" s="67">
        <f t="shared" ca="1" si="1"/>
        <v>0</v>
      </c>
      <c r="AZ1486" s="75"/>
      <c r="BA1486" s="67">
        <f t="shared" ca="1" si="2"/>
        <v>0</v>
      </c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8"/>
      <c r="BL1486" s="78">
        <f t="shared" ca="1" si="3"/>
        <v>0</v>
      </c>
      <c r="BM1486" s="78"/>
      <c r="BN1486" s="78">
        <f t="shared" ca="1" si="4"/>
        <v>0</v>
      </c>
      <c r="BO1486" s="66"/>
      <c r="BP1486" s="66"/>
    </row>
    <row r="1487" spans="1:68" ht="13.2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>
        <f t="shared" ref="AP1487:AQ1487" si="1480">AR1487+AT1487+AV1487</f>
        <v>0</v>
      </c>
      <c r="AQ1487" s="75">
        <f t="shared" si="1480"/>
        <v>0</v>
      </c>
      <c r="AR1487" s="75"/>
      <c r="AS1487" s="75"/>
      <c r="AT1487" s="75"/>
      <c r="AU1487" s="75"/>
      <c r="AV1487" s="75"/>
      <c r="AW1487" s="75"/>
      <c r="AX1487" s="75"/>
      <c r="AY1487" s="67">
        <f t="shared" ca="1" si="1"/>
        <v>0</v>
      </c>
      <c r="AZ1487" s="75"/>
      <c r="BA1487" s="67">
        <f t="shared" ca="1" si="2"/>
        <v>0</v>
      </c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8"/>
      <c r="BL1487" s="78">
        <f t="shared" ca="1" si="3"/>
        <v>0</v>
      </c>
      <c r="BM1487" s="78"/>
      <c r="BN1487" s="78">
        <f t="shared" ca="1" si="4"/>
        <v>0</v>
      </c>
      <c r="BO1487" s="66"/>
      <c r="BP1487" s="66"/>
    </row>
    <row r="1488" spans="1:68" ht="13.2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>
        <f t="shared" ref="AP1488:AQ1488" si="1481">AR1488+AT1488+AV1488</f>
        <v>0</v>
      </c>
      <c r="AQ1488" s="75">
        <f t="shared" si="1481"/>
        <v>0</v>
      </c>
      <c r="AR1488" s="75"/>
      <c r="AS1488" s="75"/>
      <c r="AT1488" s="75"/>
      <c r="AU1488" s="75"/>
      <c r="AV1488" s="75"/>
      <c r="AW1488" s="75"/>
      <c r="AX1488" s="75"/>
      <c r="AY1488" s="67">
        <f t="shared" ca="1" si="1"/>
        <v>0</v>
      </c>
      <c r="AZ1488" s="75"/>
      <c r="BA1488" s="67">
        <f t="shared" ca="1" si="2"/>
        <v>0</v>
      </c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8"/>
      <c r="BL1488" s="78">
        <f t="shared" ca="1" si="3"/>
        <v>0</v>
      </c>
      <c r="BM1488" s="78"/>
      <c r="BN1488" s="78">
        <f t="shared" ca="1" si="4"/>
        <v>0</v>
      </c>
      <c r="BO1488" s="66"/>
      <c r="BP1488" s="66"/>
    </row>
    <row r="1489" spans="1:68" ht="13.2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>
        <f t="shared" ref="AP1489:AQ1489" si="1482">AR1489+AT1489+AV1489</f>
        <v>0</v>
      </c>
      <c r="AQ1489" s="75">
        <f t="shared" si="1482"/>
        <v>0</v>
      </c>
      <c r="AR1489" s="75"/>
      <c r="AS1489" s="75"/>
      <c r="AT1489" s="75"/>
      <c r="AU1489" s="75"/>
      <c r="AV1489" s="75"/>
      <c r="AW1489" s="75"/>
      <c r="AX1489" s="75"/>
      <c r="AY1489" s="67">
        <f t="shared" ca="1" si="1"/>
        <v>0</v>
      </c>
      <c r="AZ1489" s="75"/>
      <c r="BA1489" s="67">
        <f t="shared" ca="1" si="2"/>
        <v>0</v>
      </c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8"/>
      <c r="BL1489" s="78">
        <f t="shared" ca="1" si="3"/>
        <v>0</v>
      </c>
      <c r="BM1489" s="78"/>
      <c r="BN1489" s="78">
        <f t="shared" ca="1" si="4"/>
        <v>0</v>
      </c>
      <c r="BO1489" s="66"/>
      <c r="BP1489" s="66"/>
    </row>
    <row r="1490" spans="1:68" ht="13.2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>
        <f t="shared" ref="AP1490:AQ1490" si="1483">AR1490+AT1490+AV1490</f>
        <v>0</v>
      </c>
      <c r="AQ1490" s="75">
        <f t="shared" si="1483"/>
        <v>0</v>
      </c>
      <c r="AR1490" s="75"/>
      <c r="AS1490" s="75"/>
      <c r="AT1490" s="75"/>
      <c r="AU1490" s="75"/>
      <c r="AV1490" s="75"/>
      <c r="AW1490" s="75"/>
      <c r="AX1490" s="75"/>
      <c r="AY1490" s="67">
        <f t="shared" ca="1" si="1"/>
        <v>0</v>
      </c>
      <c r="AZ1490" s="75"/>
      <c r="BA1490" s="67">
        <f t="shared" ca="1" si="2"/>
        <v>0</v>
      </c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8"/>
      <c r="BL1490" s="78">
        <f t="shared" ca="1" si="3"/>
        <v>0</v>
      </c>
      <c r="BM1490" s="78"/>
      <c r="BN1490" s="78">
        <f t="shared" ca="1" si="4"/>
        <v>0</v>
      </c>
      <c r="BO1490" s="66"/>
      <c r="BP1490" s="66"/>
    </row>
    <row r="1491" spans="1:68" ht="13.2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>
        <f t="shared" ref="AP1491:AQ1491" si="1484">AR1491+AT1491+AV1491</f>
        <v>0</v>
      </c>
      <c r="AQ1491" s="75">
        <f t="shared" si="1484"/>
        <v>0</v>
      </c>
      <c r="AR1491" s="75"/>
      <c r="AS1491" s="75"/>
      <c r="AT1491" s="75"/>
      <c r="AU1491" s="75"/>
      <c r="AV1491" s="75"/>
      <c r="AW1491" s="75"/>
      <c r="AX1491" s="75"/>
      <c r="AY1491" s="67">
        <f t="shared" ca="1" si="1"/>
        <v>0</v>
      </c>
      <c r="AZ1491" s="75"/>
      <c r="BA1491" s="67">
        <f t="shared" ca="1" si="2"/>
        <v>0</v>
      </c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8"/>
      <c r="BL1491" s="78">
        <f t="shared" ca="1" si="3"/>
        <v>0</v>
      </c>
      <c r="BM1491" s="78"/>
      <c r="BN1491" s="78">
        <f t="shared" ca="1" si="4"/>
        <v>0</v>
      </c>
      <c r="BO1491" s="66"/>
      <c r="BP1491" s="66"/>
    </row>
    <row r="1492" spans="1:68" ht="13.2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>
        <f t="shared" ref="AP1492:AQ1492" si="1485">AR1492+AT1492+AV1492</f>
        <v>0</v>
      </c>
      <c r="AQ1492" s="75">
        <f t="shared" si="1485"/>
        <v>0</v>
      </c>
      <c r="AR1492" s="75"/>
      <c r="AS1492" s="75"/>
      <c r="AT1492" s="75"/>
      <c r="AU1492" s="75"/>
      <c r="AV1492" s="75"/>
      <c r="AW1492" s="75"/>
      <c r="AX1492" s="75"/>
      <c r="AY1492" s="67">
        <f t="shared" ca="1" si="1"/>
        <v>0</v>
      </c>
      <c r="AZ1492" s="75"/>
      <c r="BA1492" s="67">
        <f t="shared" ca="1" si="2"/>
        <v>0</v>
      </c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8"/>
      <c r="BL1492" s="78">
        <f t="shared" ca="1" si="3"/>
        <v>0</v>
      </c>
      <c r="BM1492" s="78"/>
      <c r="BN1492" s="78">
        <f t="shared" ca="1" si="4"/>
        <v>0</v>
      </c>
      <c r="BO1492" s="66"/>
      <c r="BP1492" s="66"/>
    </row>
    <row r="1493" spans="1:68" ht="13.2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>
        <f t="shared" ref="AP1493:AQ1493" si="1486">AR1493+AT1493+AV1493</f>
        <v>0</v>
      </c>
      <c r="AQ1493" s="75">
        <f t="shared" si="1486"/>
        <v>0</v>
      </c>
      <c r="AR1493" s="75"/>
      <c r="AS1493" s="75"/>
      <c r="AT1493" s="75"/>
      <c r="AU1493" s="75"/>
      <c r="AV1493" s="75"/>
      <c r="AW1493" s="75"/>
      <c r="AX1493" s="75"/>
      <c r="AY1493" s="67">
        <f t="shared" ca="1" si="1"/>
        <v>0</v>
      </c>
      <c r="AZ1493" s="75"/>
      <c r="BA1493" s="67">
        <f t="shared" ca="1" si="2"/>
        <v>0</v>
      </c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8"/>
      <c r="BL1493" s="78">
        <f t="shared" ca="1" si="3"/>
        <v>0</v>
      </c>
      <c r="BM1493" s="78"/>
      <c r="BN1493" s="78">
        <f t="shared" ca="1" si="4"/>
        <v>0</v>
      </c>
      <c r="BO1493" s="66"/>
      <c r="BP1493" s="66"/>
    </row>
    <row r="1494" spans="1:68" ht="13.2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>
        <f t="shared" ref="AP1494:AQ1494" si="1487">AR1494+AT1494+AV1494</f>
        <v>0</v>
      </c>
      <c r="AQ1494" s="75">
        <f t="shared" si="1487"/>
        <v>0</v>
      </c>
      <c r="AR1494" s="75"/>
      <c r="AS1494" s="75"/>
      <c r="AT1494" s="75"/>
      <c r="AU1494" s="75"/>
      <c r="AV1494" s="75"/>
      <c r="AW1494" s="75"/>
      <c r="AX1494" s="75"/>
      <c r="AY1494" s="67">
        <f t="shared" ca="1" si="1"/>
        <v>0</v>
      </c>
      <c r="AZ1494" s="75"/>
      <c r="BA1494" s="67">
        <f t="shared" ca="1" si="2"/>
        <v>0</v>
      </c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8"/>
      <c r="BL1494" s="78">
        <f t="shared" ca="1" si="3"/>
        <v>0</v>
      </c>
      <c r="BM1494" s="78"/>
      <c r="BN1494" s="78">
        <f t="shared" ca="1" si="4"/>
        <v>0</v>
      </c>
      <c r="BO1494" s="66"/>
      <c r="BP1494" s="66"/>
    </row>
    <row r="1495" spans="1:68" ht="13.2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>
        <f t="shared" ref="AP1495:AQ1495" si="1488">AR1495+AT1495+AV1495</f>
        <v>0</v>
      </c>
      <c r="AQ1495" s="75">
        <f t="shared" si="1488"/>
        <v>0</v>
      </c>
      <c r="AR1495" s="75"/>
      <c r="AS1495" s="75"/>
      <c r="AT1495" s="75"/>
      <c r="AU1495" s="75"/>
      <c r="AV1495" s="75"/>
      <c r="AW1495" s="75"/>
      <c r="AX1495" s="75"/>
      <c r="AY1495" s="67">
        <f t="shared" ca="1" si="1"/>
        <v>0</v>
      </c>
      <c r="AZ1495" s="75"/>
      <c r="BA1495" s="67">
        <f t="shared" ca="1" si="2"/>
        <v>0</v>
      </c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8"/>
      <c r="BL1495" s="78">
        <f t="shared" ca="1" si="3"/>
        <v>0</v>
      </c>
      <c r="BM1495" s="78"/>
      <c r="BN1495" s="78">
        <f t="shared" ca="1" si="4"/>
        <v>0</v>
      </c>
      <c r="BO1495" s="66"/>
      <c r="BP1495" s="66"/>
    </row>
    <row r="1496" spans="1:68" ht="13.2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>
        <f t="shared" ref="AP1496:AQ1496" si="1489">AR1496+AT1496+AV1496</f>
        <v>0</v>
      </c>
      <c r="AQ1496" s="75">
        <f t="shared" si="1489"/>
        <v>0</v>
      </c>
      <c r="AR1496" s="75"/>
      <c r="AS1496" s="75"/>
      <c r="AT1496" s="75"/>
      <c r="AU1496" s="75"/>
      <c r="AV1496" s="75"/>
      <c r="AW1496" s="75"/>
      <c r="AX1496" s="75"/>
      <c r="AY1496" s="67">
        <f t="shared" ca="1" si="1"/>
        <v>0</v>
      </c>
      <c r="AZ1496" s="75"/>
      <c r="BA1496" s="67">
        <f t="shared" ca="1" si="2"/>
        <v>0</v>
      </c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8"/>
      <c r="BL1496" s="78">
        <f t="shared" ca="1" si="3"/>
        <v>0</v>
      </c>
      <c r="BM1496" s="78"/>
      <c r="BN1496" s="78">
        <f t="shared" ca="1" si="4"/>
        <v>0</v>
      </c>
      <c r="BO1496" s="66"/>
      <c r="BP1496" s="66"/>
    </row>
    <row r="1497" spans="1:68" ht="13.2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>
        <f t="shared" ref="AP1497:AQ1497" si="1490">AR1497+AT1497+AV1497</f>
        <v>0</v>
      </c>
      <c r="AQ1497" s="75">
        <f t="shared" si="1490"/>
        <v>0</v>
      </c>
      <c r="AR1497" s="75"/>
      <c r="AS1497" s="75"/>
      <c r="AT1497" s="75"/>
      <c r="AU1497" s="75"/>
      <c r="AV1497" s="75"/>
      <c r="AW1497" s="75"/>
      <c r="AX1497" s="75"/>
      <c r="AY1497" s="67">
        <f t="shared" ca="1" si="1"/>
        <v>0</v>
      </c>
      <c r="AZ1497" s="75"/>
      <c r="BA1497" s="67">
        <f t="shared" ca="1" si="2"/>
        <v>0</v>
      </c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8"/>
      <c r="BL1497" s="78">
        <f t="shared" ca="1" si="3"/>
        <v>0</v>
      </c>
      <c r="BM1497" s="78"/>
      <c r="BN1497" s="78">
        <f t="shared" ca="1" si="4"/>
        <v>0</v>
      </c>
      <c r="BO1497" s="66"/>
      <c r="BP1497" s="66"/>
    </row>
    <row r="1498" spans="1:68" ht="13.2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>
        <f t="shared" ref="AP1498:AQ1498" si="1491">AR1498+AT1498+AV1498</f>
        <v>0</v>
      </c>
      <c r="AQ1498" s="75">
        <f t="shared" si="1491"/>
        <v>0</v>
      </c>
      <c r="AR1498" s="75"/>
      <c r="AS1498" s="75"/>
      <c r="AT1498" s="75"/>
      <c r="AU1498" s="75"/>
      <c r="AV1498" s="75"/>
      <c r="AW1498" s="75"/>
      <c r="AX1498" s="75"/>
      <c r="AY1498" s="67">
        <f t="shared" ca="1" si="1"/>
        <v>0</v>
      </c>
      <c r="AZ1498" s="75"/>
      <c r="BA1498" s="67">
        <f t="shared" ca="1" si="2"/>
        <v>0</v>
      </c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8"/>
      <c r="BL1498" s="78">
        <f t="shared" ca="1" si="3"/>
        <v>0</v>
      </c>
      <c r="BM1498" s="78"/>
      <c r="BN1498" s="78">
        <f t="shared" ca="1" si="4"/>
        <v>0</v>
      </c>
      <c r="BO1498" s="66"/>
      <c r="BP1498" s="66"/>
    </row>
    <row r="1499" spans="1:68" ht="13.2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>
        <f t="shared" ref="AP1499:AQ1499" si="1492">AR1499+AT1499+AV1499</f>
        <v>0</v>
      </c>
      <c r="AQ1499" s="75">
        <f t="shared" si="1492"/>
        <v>0</v>
      </c>
      <c r="AR1499" s="75"/>
      <c r="AS1499" s="75"/>
      <c r="AT1499" s="75"/>
      <c r="AU1499" s="75"/>
      <c r="AV1499" s="75"/>
      <c r="AW1499" s="75"/>
      <c r="AX1499" s="75"/>
      <c r="AY1499" s="67">
        <f t="shared" ca="1" si="1"/>
        <v>0</v>
      </c>
      <c r="AZ1499" s="75"/>
      <c r="BA1499" s="67">
        <f t="shared" ca="1" si="2"/>
        <v>0</v>
      </c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8"/>
      <c r="BL1499" s="78">
        <f t="shared" ca="1" si="3"/>
        <v>0</v>
      </c>
      <c r="BM1499" s="78"/>
      <c r="BN1499" s="78">
        <f t="shared" ca="1" si="4"/>
        <v>0</v>
      </c>
      <c r="BO1499" s="66"/>
      <c r="BP1499" s="66"/>
    </row>
    <row r="1500" spans="1:68" ht="13.2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>
        <f t="shared" ref="AP1500:AQ1500" si="1493">AR1500+AT1500+AV1500</f>
        <v>0</v>
      </c>
      <c r="AQ1500" s="75">
        <f t="shared" si="1493"/>
        <v>0</v>
      </c>
      <c r="AR1500" s="75"/>
      <c r="AS1500" s="75"/>
      <c r="AT1500" s="75"/>
      <c r="AU1500" s="75"/>
      <c r="AV1500" s="75"/>
      <c r="AW1500" s="75"/>
      <c r="AX1500" s="75"/>
      <c r="AY1500" s="67">
        <f t="shared" ca="1" si="1"/>
        <v>0</v>
      </c>
      <c r="AZ1500" s="75"/>
      <c r="BA1500" s="67">
        <f t="shared" ca="1" si="2"/>
        <v>0</v>
      </c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8"/>
      <c r="BL1500" s="78">
        <f t="shared" ca="1" si="3"/>
        <v>0</v>
      </c>
      <c r="BM1500" s="78"/>
      <c r="BN1500" s="78">
        <f t="shared" ca="1" si="4"/>
        <v>0</v>
      </c>
      <c r="BO1500" s="66"/>
      <c r="BP1500" s="66"/>
    </row>
    <row r="1501" spans="1:68" ht="13.2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>
        <f t="shared" ref="AP1501:AQ1501" si="1494">AR1501+AT1501+AV1501</f>
        <v>0</v>
      </c>
      <c r="AQ1501" s="75">
        <f t="shared" si="1494"/>
        <v>0</v>
      </c>
      <c r="AR1501" s="75"/>
      <c r="AS1501" s="75"/>
      <c r="AT1501" s="75"/>
      <c r="AU1501" s="75"/>
      <c r="AV1501" s="75"/>
      <c r="AW1501" s="75"/>
      <c r="AX1501" s="75"/>
      <c r="AY1501" s="67">
        <f t="shared" ca="1" si="1"/>
        <v>0</v>
      </c>
      <c r="AZ1501" s="75"/>
      <c r="BA1501" s="67">
        <f t="shared" ca="1" si="2"/>
        <v>0</v>
      </c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8"/>
      <c r="BL1501" s="78">
        <f t="shared" ca="1" si="3"/>
        <v>0</v>
      </c>
      <c r="BM1501" s="78"/>
      <c r="BN1501" s="78">
        <f t="shared" ca="1" si="4"/>
        <v>0</v>
      </c>
      <c r="BO1501" s="66"/>
      <c r="BP1501" s="66"/>
    </row>
    <row r="1502" spans="1:68" ht="13.2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>
        <f t="shared" ref="AP1502:AQ1502" si="1495">AR1502+AT1502+AV1502</f>
        <v>0</v>
      </c>
      <c r="AQ1502" s="75">
        <f t="shared" si="1495"/>
        <v>0</v>
      </c>
      <c r="AR1502" s="75"/>
      <c r="AS1502" s="75"/>
      <c r="AT1502" s="75"/>
      <c r="AU1502" s="75"/>
      <c r="AV1502" s="75"/>
      <c r="AW1502" s="75"/>
      <c r="AX1502" s="75"/>
      <c r="AY1502" s="67">
        <f t="shared" ca="1" si="1"/>
        <v>0</v>
      </c>
      <c r="AZ1502" s="75"/>
      <c r="BA1502" s="67">
        <f t="shared" ca="1" si="2"/>
        <v>0</v>
      </c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8"/>
      <c r="BL1502" s="78">
        <f t="shared" ca="1" si="3"/>
        <v>0</v>
      </c>
      <c r="BM1502" s="78"/>
      <c r="BN1502" s="78">
        <f t="shared" ca="1" si="4"/>
        <v>0</v>
      </c>
      <c r="BO1502" s="66"/>
      <c r="BP1502" s="66"/>
    </row>
    <row r="1503" spans="1:68" ht="13.2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>
        <f t="shared" ref="AP1503:AQ1503" si="1496">AR1503+AT1503+AV1503</f>
        <v>0</v>
      </c>
      <c r="AQ1503" s="75">
        <f t="shared" si="1496"/>
        <v>0</v>
      </c>
      <c r="AR1503" s="75"/>
      <c r="AS1503" s="75"/>
      <c r="AT1503" s="75"/>
      <c r="AU1503" s="75"/>
      <c r="AV1503" s="75"/>
      <c r="AW1503" s="75"/>
      <c r="AX1503" s="75"/>
      <c r="AY1503" s="67">
        <f t="shared" ca="1" si="1"/>
        <v>0</v>
      </c>
      <c r="AZ1503" s="75"/>
      <c r="BA1503" s="67">
        <f t="shared" ca="1" si="2"/>
        <v>0</v>
      </c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8"/>
      <c r="BL1503" s="78">
        <f t="shared" ca="1" si="3"/>
        <v>0</v>
      </c>
      <c r="BM1503" s="78"/>
      <c r="BN1503" s="78">
        <f t="shared" ca="1" si="4"/>
        <v>0</v>
      </c>
      <c r="BO1503" s="66"/>
      <c r="BP1503" s="66"/>
    </row>
    <row r="1504" spans="1:68" ht="13.2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>
        <f t="shared" ref="AP1504:AQ1504" si="1497">AR1504+AT1504+AV1504</f>
        <v>0</v>
      </c>
      <c r="AQ1504" s="75">
        <f t="shared" si="1497"/>
        <v>0</v>
      </c>
      <c r="AR1504" s="75"/>
      <c r="AS1504" s="75"/>
      <c r="AT1504" s="75"/>
      <c r="AU1504" s="75"/>
      <c r="AV1504" s="75"/>
      <c r="AW1504" s="75"/>
      <c r="AX1504" s="75"/>
      <c r="AY1504" s="67">
        <f t="shared" ca="1" si="1"/>
        <v>0</v>
      </c>
      <c r="AZ1504" s="75"/>
      <c r="BA1504" s="67">
        <f t="shared" ca="1" si="2"/>
        <v>0</v>
      </c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8"/>
      <c r="BL1504" s="78">
        <f t="shared" ca="1" si="3"/>
        <v>0</v>
      </c>
      <c r="BM1504" s="78"/>
      <c r="BN1504" s="78">
        <f t="shared" ca="1" si="4"/>
        <v>0</v>
      </c>
      <c r="BO1504" s="66"/>
      <c r="BP1504" s="66"/>
    </row>
    <row r="1505" spans="1:68" ht="13.2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>
        <f t="shared" ref="AP1505:AQ1505" si="1498">AR1505+AT1505+AV1505</f>
        <v>0</v>
      </c>
      <c r="AQ1505" s="75">
        <f t="shared" si="1498"/>
        <v>0</v>
      </c>
      <c r="AR1505" s="75"/>
      <c r="AS1505" s="75"/>
      <c r="AT1505" s="75"/>
      <c r="AU1505" s="75"/>
      <c r="AV1505" s="75"/>
      <c r="AW1505" s="75"/>
      <c r="AX1505" s="75"/>
      <c r="AY1505" s="67">
        <f t="shared" ca="1" si="1"/>
        <v>0</v>
      </c>
      <c r="AZ1505" s="75"/>
      <c r="BA1505" s="67">
        <f t="shared" ca="1" si="2"/>
        <v>0</v>
      </c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8"/>
      <c r="BL1505" s="78">
        <f t="shared" ca="1" si="3"/>
        <v>0</v>
      </c>
      <c r="BM1505" s="78"/>
      <c r="BN1505" s="78">
        <f t="shared" ca="1" si="4"/>
        <v>0</v>
      </c>
      <c r="BO1505" s="66"/>
      <c r="BP1505" s="66"/>
    </row>
    <row r="1506" spans="1:68" ht="13.2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>
        <f t="shared" ref="AP1506:AQ1506" si="1499">AR1506+AT1506+AV1506</f>
        <v>0</v>
      </c>
      <c r="AQ1506" s="75">
        <f t="shared" si="1499"/>
        <v>0</v>
      </c>
      <c r="AR1506" s="75"/>
      <c r="AS1506" s="75"/>
      <c r="AT1506" s="75"/>
      <c r="AU1506" s="75"/>
      <c r="AV1506" s="75"/>
      <c r="AW1506" s="75"/>
      <c r="AX1506" s="75"/>
      <c r="AY1506" s="67">
        <f t="shared" ca="1" si="1"/>
        <v>0</v>
      </c>
      <c r="AZ1506" s="75"/>
      <c r="BA1506" s="67">
        <f t="shared" ca="1" si="2"/>
        <v>0</v>
      </c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8"/>
      <c r="BL1506" s="78">
        <f t="shared" ca="1" si="3"/>
        <v>0</v>
      </c>
      <c r="BM1506" s="78"/>
      <c r="BN1506" s="78">
        <f t="shared" ca="1" si="4"/>
        <v>0</v>
      </c>
      <c r="BO1506" s="66"/>
      <c r="BP1506" s="66"/>
    </row>
    <row r="1507" spans="1:68" ht="13.2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>
        <f t="shared" ref="AP1507:AQ1507" si="1500">AR1507+AT1507+AV1507</f>
        <v>0</v>
      </c>
      <c r="AQ1507" s="75">
        <f t="shared" si="1500"/>
        <v>0</v>
      </c>
      <c r="AR1507" s="75"/>
      <c r="AS1507" s="75"/>
      <c r="AT1507" s="75"/>
      <c r="AU1507" s="75"/>
      <c r="AV1507" s="75"/>
      <c r="AW1507" s="75"/>
      <c r="AX1507" s="75"/>
      <c r="AY1507" s="67">
        <f t="shared" ca="1" si="1"/>
        <v>0</v>
      </c>
      <c r="AZ1507" s="75"/>
      <c r="BA1507" s="67">
        <f t="shared" ca="1" si="2"/>
        <v>0</v>
      </c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8"/>
      <c r="BL1507" s="78">
        <f t="shared" ca="1" si="3"/>
        <v>0</v>
      </c>
      <c r="BM1507" s="78"/>
      <c r="BN1507" s="78">
        <f t="shared" ca="1" si="4"/>
        <v>0</v>
      </c>
      <c r="BO1507" s="66"/>
      <c r="BP1507" s="66"/>
    </row>
    <row r="1508" spans="1:68" ht="13.2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>
        <f t="shared" ref="AP1508:AQ1508" si="1501">AR1508+AT1508+AV1508</f>
        <v>0</v>
      </c>
      <c r="AQ1508" s="75">
        <f t="shared" si="1501"/>
        <v>0</v>
      </c>
      <c r="AR1508" s="75"/>
      <c r="AS1508" s="75"/>
      <c r="AT1508" s="75"/>
      <c r="AU1508" s="75"/>
      <c r="AV1508" s="75"/>
      <c r="AW1508" s="75"/>
      <c r="AX1508" s="75"/>
      <c r="AY1508" s="67">
        <f t="shared" ca="1" si="1"/>
        <v>0</v>
      </c>
      <c r="AZ1508" s="75"/>
      <c r="BA1508" s="67">
        <f t="shared" ca="1" si="2"/>
        <v>0</v>
      </c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8"/>
      <c r="BL1508" s="78">
        <f t="shared" ca="1" si="3"/>
        <v>0</v>
      </c>
      <c r="BM1508" s="78"/>
      <c r="BN1508" s="78">
        <f t="shared" ca="1" si="4"/>
        <v>0</v>
      </c>
      <c r="BO1508" s="66"/>
      <c r="BP1508" s="66"/>
    </row>
    <row r="1509" spans="1:68" ht="13.2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>
        <f t="shared" ref="AP1509:AQ1509" si="1502">AR1509+AT1509+AV1509</f>
        <v>0</v>
      </c>
      <c r="AQ1509" s="75">
        <f t="shared" si="1502"/>
        <v>0</v>
      </c>
      <c r="AR1509" s="75"/>
      <c r="AS1509" s="75"/>
      <c r="AT1509" s="75"/>
      <c r="AU1509" s="75"/>
      <c r="AV1509" s="75"/>
      <c r="AW1509" s="75"/>
      <c r="AX1509" s="75"/>
      <c r="AY1509" s="67">
        <f t="shared" ca="1" si="1"/>
        <v>0</v>
      </c>
      <c r="AZ1509" s="75"/>
      <c r="BA1509" s="67">
        <f t="shared" ca="1" si="2"/>
        <v>0</v>
      </c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8"/>
      <c r="BL1509" s="78">
        <f t="shared" ca="1" si="3"/>
        <v>0</v>
      </c>
      <c r="BM1509" s="78"/>
      <c r="BN1509" s="78">
        <f t="shared" ca="1" si="4"/>
        <v>0</v>
      </c>
      <c r="BO1509" s="66"/>
      <c r="BP1509" s="66"/>
    </row>
    <row r="1510" spans="1:68" ht="13.2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>
        <f t="shared" ref="AP1510:AQ1510" si="1503">AR1510+AT1510+AV1510</f>
        <v>0</v>
      </c>
      <c r="AQ1510" s="75">
        <f t="shared" si="1503"/>
        <v>0</v>
      </c>
      <c r="AR1510" s="75"/>
      <c r="AS1510" s="75"/>
      <c r="AT1510" s="75"/>
      <c r="AU1510" s="75"/>
      <c r="AV1510" s="75"/>
      <c r="AW1510" s="75"/>
      <c r="AX1510" s="75"/>
      <c r="AY1510" s="67">
        <f t="shared" ca="1" si="1"/>
        <v>0</v>
      </c>
      <c r="AZ1510" s="75"/>
      <c r="BA1510" s="67">
        <f t="shared" ca="1" si="2"/>
        <v>0</v>
      </c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8"/>
      <c r="BL1510" s="78">
        <f t="shared" ca="1" si="3"/>
        <v>0</v>
      </c>
      <c r="BM1510" s="78"/>
      <c r="BN1510" s="78">
        <f t="shared" ca="1" si="4"/>
        <v>0</v>
      </c>
      <c r="BO1510" s="66"/>
      <c r="BP1510" s="66"/>
    </row>
    <row r="1511" spans="1:68" ht="13.2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>
        <f t="shared" ref="AP1511:AQ1511" si="1504">AR1511+AT1511+AV1511</f>
        <v>0</v>
      </c>
      <c r="AQ1511" s="75">
        <f t="shared" si="1504"/>
        <v>0</v>
      </c>
      <c r="AR1511" s="75"/>
      <c r="AS1511" s="75"/>
      <c r="AT1511" s="75"/>
      <c r="AU1511" s="75"/>
      <c r="AV1511" s="75"/>
      <c r="AW1511" s="75"/>
      <c r="AX1511" s="75"/>
      <c r="AY1511" s="67">
        <f t="shared" ca="1" si="1"/>
        <v>0</v>
      </c>
      <c r="AZ1511" s="75"/>
      <c r="BA1511" s="67">
        <f t="shared" ca="1" si="2"/>
        <v>0</v>
      </c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8"/>
      <c r="BL1511" s="78">
        <f t="shared" ca="1" si="3"/>
        <v>0</v>
      </c>
      <c r="BM1511" s="78"/>
      <c r="BN1511" s="78">
        <f t="shared" ca="1" si="4"/>
        <v>0</v>
      </c>
      <c r="BO1511" s="66"/>
      <c r="BP1511" s="66"/>
    </row>
    <row r="1512" spans="1:68" ht="13.2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>
        <f t="shared" ref="AP1512:AQ1512" si="1505">AR1512+AT1512+AV1512</f>
        <v>0</v>
      </c>
      <c r="AQ1512" s="75">
        <f t="shared" si="1505"/>
        <v>0</v>
      </c>
      <c r="AR1512" s="75"/>
      <c r="AS1512" s="75"/>
      <c r="AT1512" s="75"/>
      <c r="AU1512" s="75"/>
      <c r="AV1512" s="75"/>
      <c r="AW1512" s="75"/>
      <c r="AX1512" s="75"/>
      <c r="AY1512" s="67">
        <f t="shared" ca="1" si="1"/>
        <v>0</v>
      </c>
      <c r="AZ1512" s="75"/>
      <c r="BA1512" s="67">
        <f t="shared" ca="1" si="2"/>
        <v>0</v>
      </c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8"/>
      <c r="BL1512" s="78">
        <f t="shared" ca="1" si="3"/>
        <v>0</v>
      </c>
      <c r="BM1512" s="78"/>
      <c r="BN1512" s="78">
        <f t="shared" ca="1" si="4"/>
        <v>0</v>
      </c>
      <c r="BO1512" s="66"/>
      <c r="BP1512" s="66"/>
    </row>
    <row r="1513" spans="1:68" ht="13.2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>
        <f t="shared" ref="AP1513:AQ1513" si="1506">AR1513+AT1513+AV1513</f>
        <v>0</v>
      </c>
      <c r="AQ1513" s="75">
        <f t="shared" si="1506"/>
        <v>0</v>
      </c>
      <c r="AR1513" s="75"/>
      <c r="AS1513" s="75"/>
      <c r="AT1513" s="75"/>
      <c r="AU1513" s="75"/>
      <c r="AV1513" s="75"/>
      <c r="AW1513" s="75"/>
      <c r="AX1513" s="75"/>
      <c r="AY1513" s="67">
        <f t="shared" ca="1" si="1"/>
        <v>0</v>
      </c>
      <c r="AZ1513" s="75"/>
      <c r="BA1513" s="67">
        <f t="shared" ca="1" si="2"/>
        <v>0</v>
      </c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8"/>
      <c r="BL1513" s="78">
        <f t="shared" ca="1" si="3"/>
        <v>0</v>
      </c>
      <c r="BM1513" s="78"/>
      <c r="BN1513" s="78">
        <f t="shared" ca="1" si="4"/>
        <v>0</v>
      </c>
      <c r="BO1513" s="66"/>
      <c r="BP1513" s="66"/>
    </row>
    <row r="1514" spans="1:68" ht="13.2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>
        <f t="shared" ref="AP1514:AQ1514" si="1507">AR1514+AT1514+AV1514</f>
        <v>0</v>
      </c>
      <c r="AQ1514" s="75">
        <f t="shared" si="1507"/>
        <v>0</v>
      </c>
      <c r="AR1514" s="75"/>
      <c r="AS1514" s="75"/>
      <c r="AT1514" s="75"/>
      <c r="AU1514" s="75"/>
      <c r="AV1514" s="75"/>
      <c r="AW1514" s="75"/>
      <c r="AX1514" s="75"/>
      <c r="AY1514" s="67">
        <f t="shared" ca="1" si="1"/>
        <v>0</v>
      </c>
      <c r="AZ1514" s="75"/>
      <c r="BA1514" s="67">
        <f t="shared" ca="1" si="2"/>
        <v>0</v>
      </c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8"/>
      <c r="BL1514" s="78">
        <f t="shared" ca="1" si="3"/>
        <v>0</v>
      </c>
      <c r="BM1514" s="78"/>
      <c r="BN1514" s="78">
        <f t="shared" ca="1" si="4"/>
        <v>0</v>
      </c>
      <c r="BO1514" s="66"/>
      <c r="BP1514" s="66"/>
    </row>
    <row r="1515" spans="1:68" ht="13.2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>
        <f t="shared" ref="AP1515:AQ1515" si="1508">AR1515+AT1515+AV1515</f>
        <v>0</v>
      </c>
      <c r="AQ1515" s="75">
        <f t="shared" si="1508"/>
        <v>0</v>
      </c>
      <c r="AR1515" s="75"/>
      <c r="AS1515" s="75"/>
      <c r="AT1515" s="75"/>
      <c r="AU1515" s="75"/>
      <c r="AV1515" s="75"/>
      <c r="AW1515" s="75"/>
      <c r="AX1515" s="75"/>
      <c r="AY1515" s="67">
        <f t="shared" ca="1" si="1"/>
        <v>0</v>
      </c>
      <c r="AZ1515" s="75"/>
      <c r="BA1515" s="67">
        <f t="shared" ca="1" si="2"/>
        <v>0</v>
      </c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8"/>
      <c r="BL1515" s="78">
        <f t="shared" ca="1" si="3"/>
        <v>0</v>
      </c>
      <c r="BM1515" s="78"/>
      <c r="BN1515" s="78">
        <f t="shared" ca="1" si="4"/>
        <v>0</v>
      </c>
      <c r="BO1515" s="66"/>
      <c r="BP1515" s="66"/>
    </row>
    <row r="1516" spans="1:68" ht="13.2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>
        <f t="shared" ref="AP1516:AQ1516" si="1509">AR1516+AT1516+AV1516</f>
        <v>0</v>
      </c>
      <c r="AQ1516" s="75">
        <f t="shared" si="1509"/>
        <v>0</v>
      </c>
      <c r="AR1516" s="75"/>
      <c r="AS1516" s="75"/>
      <c r="AT1516" s="75"/>
      <c r="AU1516" s="75"/>
      <c r="AV1516" s="75"/>
      <c r="AW1516" s="75"/>
      <c r="AX1516" s="75"/>
      <c r="AY1516" s="67">
        <f t="shared" ca="1" si="1"/>
        <v>0</v>
      </c>
      <c r="AZ1516" s="75"/>
      <c r="BA1516" s="67">
        <f t="shared" ca="1" si="2"/>
        <v>0</v>
      </c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8"/>
      <c r="BL1516" s="78">
        <f t="shared" ca="1" si="3"/>
        <v>0</v>
      </c>
      <c r="BM1516" s="78"/>
      <c r="BN1516" s="78">
        <f t="shared" ca="1" si="4"/>
        <v>0</v>
      </c>
      <c r="BO1516" s="66"/>
      <c r="BP1516" s="66"/>
    </row>
    <row r="1517" spans="1:68" ht="13.2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>
        <f t="shared" ref="AP1517:AQ1517" si="1510">AR1517+AT1517+AV1517</f>
        <v>0</v>
      </c>
      <c r="AQ1517" s="75">
        <f t="shared" si="1510"/>
        <v>0</v>
      </c>
      <c r="AR1517" s="75"/>
      <c r="AS1517" s="75"/>
      <c r="AT1517" s="75"/>
      <c r="AU1517" s="75"/>
      <c r="AV1517" s="75"/>
      <c r="AW1517" s="75"/>
      <c r="AX1517" s="75"/>
      <c r="AY1517" s="67">
        <f t="shared" ca="1" si="1"/>
        <v>0</v>
      </c>
      <c r="AZ1517" s="75"/>
      <c r="BA1517" s="67">
        <f t="shared" ca="1" si="2"/>
        <v>0</v>
      </c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8"/>
      <c r="BL1517" s="78">
        <f t="shared" ca="1" si="3"/>
        <v>0</v>
      </c>
      <c r="BM1517" s="78"/>
      <c r="BN1517" s="78">
        <f t="shared" ca="1" si="4"/>
        <v>0</v>
      </c>
      <c r="BO1517" s="66"/>
      <c r="BP1517" s="66"/>
    </row>
    <row r="1518" spans="1:68" ht="13.2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>
        <f t="shared" ref="AP1518:AQ1518" si="1511">AR1518+AT1518+AV1518</f>
        <v>0</v>
      </c>
      <c r="AQ1518" s="75">
        <f t="shared" si="1511"/>
        <v>0</v>
      </c>
      <c r="AR1518" s="75"/>
      <c r="AS1518" s="75"/>
      <c r="AT1518" s="75"/>
      <c r="AU1518" s="75"/>
      <c r="AV1518" s="75"/>
      <c r="AW1518" s="75"/>
      <c r="AX1518" s="75"/>
      <c r="AY1518" s="67">
        <f t="shared" ca="1" si="1"/>
        <v>0</v>
      </c>
      <c r="AZ1518" s="75"/>
      <c r="BA1518" s="67">
        <f t="shared" ca="1" si="2"/>
        <v>0</v>
      </c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8"/>
      <c r="BL1518" s="78">
        <f t="shared" ca="1" si="3"/>
        <v>0</v>
      </c>
      <c r="BM1518" s="78"/>
      <c r="BN1518" s="78">
        <f t="shared" ca="1" si="4"/>
        <v>0</v>
      </c>
      <c r="BO1518" s="66"/>
      <c r="BP1518" s="66"/>
    </row>
    <row r="1519" spans="1:68" ht="13.2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>
        <f t="shared" ref="AP1519:AQ1519" si="1512">AR1519+AT1519+AV1519</f>
        <v>0</v>
      </c>
      <c r="AQ1519" s="75">
        <f t="shared" si="1512"/>
        <v>0</v>
      </c>
      <c r="AR1519" s="75"/>
      <c r="AS1519" s="75"/>
      <c r="AT1519" s="75"/>
      <c r="AU1519" s="75"/>
      <c r="AV1519" s="75"/>
      <c r="AW1519" s="75"/>
      <c r="AX1519" s="75"/>
      <c r="AY1519" s="67">
        <f t="shared" ca="1" si="1"/>
        <v>0</v>
      </c>
      <c r="AZ1519" s="75"/>
      <c r="BA1519" s="67">
        <f t="shared" ca="1" si="2"/>
        <v>0</v>
      </c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8"/>
      <c r="BL1519" s="78">
        <f t="shared" ca="1" si="3"/>
        <v>0</v>
      </c>
      <c r="BM1519" s="78"/>
      <c r="BN1519" s="78">
        <f t="shared" ca="1" si="4"/>
        <v>0</v>
      </c>
      <c r="BO1519" s="66"/>
      <c r="BP1519" s="66"/>
    </row>
    <row r="1520" spans="1:68" ht="13.2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>
        <f t="shared" ref="AP1520:AQ1520" si="1513">AR1520+AT1520+AV1520</f>
        <v>0</v>
      </c>
      <c r="AQ1520" s="75">
        <f t="shared" si="1513"/>
        <v>0</v>
      </c>
      <c r="AR1520" s="75"/>
      <c r="AS1520" s="75"/>
      <c r="AT1520" s="75"/>
      <c r="AU1520" s="75"/>
      <c r="AV1520" s="75"/>
      <c r="AW1520" s="75"/>
      <c r="AX1520" s="75"/>
      <c r="AY1520" s="67">
        <f t="shared" ca="1" si="1"/>
        <v>0</v>
      </c>
      <c r="AZ1520" s="75"/>
      <c r="BA1520" s="67">
        <f t="shared" ca="1" si="2"/>
        <v>0</v>
      </c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8"/>
      <c r="BL1520" s="78">
        <f t="shared" ca="1" si="3"/>
        <v>0</v>
      </c>
      <c r="BM1520" s="78"/>
      <c r="BN1520" s="78">
        <f t="shared" ca="1" si="4"/>
        <v>0</v>
      </c>
      <c r="BO1520" s="66"/>
      <c r="BP1520" s="66"/>
    </row>
    <row r="1521" spans="1:68" ht="13.2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>
        <f t="shared" ref="AP1521:AQ1521" si="1514">AR1521+AT1521+AV1521</f>
        <v>0</v>
      </c>
      <c r="AQ1521" s="75">
        <f t="shared" si="1514"/>
        <v>0</v>
      </c>
      <c r="AR1521" s="75"/>
      <c r="AS1521" s="75"/>
      <c r="AT1521" s="75"/>
      <c r="AU1521" s="75"/>
      <c r="AV1521" s="75"/>
      <c r="AW1521" s="75"/>
      <c r="AX1521" s="75"/>
      <c r="AY1521" s="67">
        <f t="shared" ca="1" si="1"/>
        <v>0</v>
      </c>
      <c r="AZ1521" s="75"/>
      <c r="BA1521" s="67">
        <f t="shared" ca="1" si="2"/>
        <v>0</v>
      </c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8"/>
      <c r="BL1521" s="78">
        <f t="shared" ca="1" si="3"/>
        <v>0</v>
      </c>
      <c r="BM1521" s="78"/>
      <c r="BN1521" s="78">
        <f t="shared" ca="1" si="4"/>
        <v>0</v>
      </c>
      <c r="BO1521" s="66"/>
      <c r="BP1521" s="66"/>
    </row>
    <row r="1522" spans="1:68" ht="13.2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>
        <f t="shared" ref="AP1522:AQ1522" si="1515">AR1522+AT1522+AV1522</f>
        <v>0</v>
      </c>
      <c r="AQ1522" s="75">
        <f t="shared" si="1515"/>
        <v>0</v>
      </c>
      <c r="AR1522" s="75"/>
      <c r="AS1522" s="75"/>
      <c r="AT1522" s="75"/>
      <c r="AU1522" s="75"/>
      <c r="AV1522" s="75"/>
      <c r="AW1522" s="75"/>
      <c r="AX1522" s="75"/>
      <c r="AY1522" s="67">
        <f t="shared" ca="1" si="1"/>
        <v>0</v>
      </c>
      <c r="AZ1522" s="75"/>
      <c r="BA1522" s="67">
        <f t="shared" ca="1" si="2"/>
        <v>0</v>
      </c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8"/>
      <c r="BL1522" s="78">
        <f t="shared" ca="1" si="3"/>
        <v>0</v>
      </c>
      <c r="BM1522" s="78"/>
      <c r="BN1522" s="78">
        <f t="shared" ca="1" si="4"/>
        <v>0</v>
      </c>
      <c r="BO1522" s="66"/>
      <c r="BP1522" s="66"/>
    </row>
    <row r="1523" spans="1:68" ht="13.2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>
        <f t="shared" ref="AP1523:AQ1523" si="1516">AR1523+AT1523+AV1523</f>
        <v>0</v>
      </c>
      <c r="AQ1523" s="75">
        <f t="shared" si="1516"/>
        <v>0</v>
      </c>
      <c r="AR1523" s="75"/>
      <c r="AS1523" s="75"/>
      <c r="AT1523" s="75"/>
      <c r="AU1523" s="75"/>
      <c r="AV1523" s="75"/>
      <c r="AW1523" s="75"/>
      <c r="AX1523" s="75"/>
      <c r="AY1523" s="67">
        <f t="shared" ca="1" si="1"/>
        <v>0</v>
      </c>
      <c r="AZ1523" s="75"/>
      <c r="BA1523" s="67">
        <f t="shared" ca="1" si="2"/>
        <v>0</v>
      </c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8"/>
      <c r="BL1523" s="78">
        <f t="shared" ca="1" si="3"/>
        <v>0</v>
      </c>
      <c r="BM1523" s="78"/>
      <c r="BN1523" s="78">
        <f t="shared" ca="1" si="4"/>
        <v>0</v>
      </c>
      <c r="BO1523" s="66"/>
      <c r="BP1523" s="66"/>
    </row>
    <row r="1524" spans="1:68" ht="13.2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>
        <f t="shared" ref="AP1524:AQ1524" si="1517">AR1524+AT1524+AV1524</f>
        <v>0</v>
      </c>
      <c r="AQ1524" s="75">
        <f t="shared" si="1517"/>
        <v>0</v>
      </c>
      <c r="AR1524" s="75"/>
      <c r="AS1524" s="75"/>
      <c r="AT1524" s="75"/>
      <c r="AU1524" s="75"/>
      <c r="AV1524" s="75"/>
      <c r="AW1524" s="75"/>
      <c r="AX1524" s="75"/>
      <c r="AY1524" s="67">
        <f t="shared" ca="1" si="1"/>
        <v>0</v>
      </c>
      <c r="AZ1524" s="75"/>
      <c r="BA1524" s="67">
        <f t="shared" ca="1" si="2"/>
        <v>0</v>
      </c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8"/>
      <c r="BL1524" s="78">
        <f t="shared" ca="1" si="3"/>
        <v>0</v>
      </c>
      <c r="BM1524" s="78"/>
      <c r="BN1524" s="78">
        <f t="shared" ca="1" si="4"/>
        <v>0</v>
      </c>
      <c r="BO1524" s="66"/>
      <c r="BP1524" s="66"/>
    </row>
    <row r="1525" spans="1:68" ht="13.2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>
        <f t="shared" ref="AP1525:AQ1525" si="1518">AR1525+AT1525+AV1525</f>
        <v>0</v>
      </c>
      <c r="AQ1525" s="75">
        <f t="shared" si="1518"/>
        <v>0</v>
      </c>
      <c r="AR1525" s="75"/>
      <c r="AS1525" s="75"/>
      <c r="AT1525" s="75"/>
      <c r="AU1525" s="75"/>
      <c r="AV1525" s="75"/>
      <c r="AW1525" s="75"/>
      <c r="AX1525" s="75"/>
      <c r="AY1525" s="67">
        <f t="shared" ca="1" si="1"/>
        <v>0</v>
      </c>
      <c r="AZ1525" s="75"/>
      <c r="BA1525" s="67">
        <f t="shared" ca="1" si="2"/>
        <v>0</v>
      </c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8"/>
      <c r="BL1525" s="78">
        <f t="shared" ca="1" si="3"/>
        <v>0</v>
      </c>
      <c r="BM1525" s="78"/>
      <c r="BN1525" s="78">
        <f t="shared" ca="1" si="4"/>
        <v>0</v>
      </c>
      <c r="BO1525" s="66"/>
      <c r="BP1525" s="66"/>
    </row>
    <row r="1526" spans="1:68" ht="13.2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>
        <f t="shared" ref="AP1526:AQ1526" si="1519">AR1526+AT1526+AV1526</f>
        <v>0</v>
      </c>
      <c r="AQ1526" s="75">
        <f t="shared" si="1519"/>
        <v>0</v>
      </c>
      <c r="AR1526" s="75"/>
      <c r="AS1526" s="75"/>
      <c r="AT1526" s="75"/>
      <c r="AU1526" s="75"/>
      <c r="AV1526" s="75"/>
      <c r="AW1526" s="75"/>
      <c r="AX1526" s="75"/>
      <c r="AY1526" s="67">
        <f t="shared" ca="1" si="1"/>
        <v>0</v>
      </c>
      <c r="AZ1526" s="75"/>
      <c r="BA1526" s="67">
        <f t="shared" ca="1" si="2"/>
        <v>0</v>
      </c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8"/>
      <c r="BL1526" s="78">
        <f t="shared" ca="1" si="3"/>
        <v>0</v>
      </c>
      <c r="BM1526" s="78"/>
      <c r="BN1526" s="78">
        <f t="shared" ca="1" si="4"/>
        <v>0</v>
      </c>
      <c r="BO1526" s="66"/>
      <c r="BP1526" s="66"/>
    </row>
    <row r="1527" spans="1:68" ht="13.2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>
        <f t="shared" ref="AP1527:AQ1527" si="1520">AR1527+AT1527+AV1527</f>
        <v>0</v>
      </c>
      <c r="AQ1527" s="75">
        <f t="shared" si="1520"/>
        <v>0</v>
      </c>
      <c r="AR1527" s="75"/>
      <c r="AS1527" s="75"/>
      <c r="AT1527" s="75"/>
      <c r="AU1527" s="75"/>
      <c r="AV1527" s="75"/>
      <c r="AW1527" s="75"/>
      <c r="AX1527" s="75"/>
      <c r="AY1527" s="67">
        <f t="shared" ca="1" si="1"/>
        <v>0</v>
      </c>
      <c r="AZ1527" s="75"/>
      <c r="BA1527" s="67">
        <f t="shared" ca="1" si="2"/>
        <v>0</v>
      </c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8"/>
      <c r="BL1527" s="78">
        <f t="shared" ca="1" si="3"/>
        <v>0</v>
      </c>
      <c r="BM1527" s="78"/>
      <c r="BN1527" s="78">
        <f t="shared" ca="1" si="4"/>
        <v>0</v>
      </c>
      <c r="BO1527" s="66"/>
      <c r="BP1527" s="66"/>
    </row>
    <row r="1528" spans="1:68" ht="13.2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>
        <f t="shared" ref="AP1528:AQ1528" si="1521">AR1528+AT1528+AV1528</f>
        <v>0</v>
      </c>
      <c r="AQ1528" s="75">
        <f t="shared" si="1521"/>
        <v>0</v>
      </c>
      <c r="AR1528" s="75"/>
      <c r="AS1528" s="75"/>
      <c r="AT1528" s="75"/>
      <c r="AU1528" s="75"/>
      <c r="AV1528" s="75"/>
      <c r="AW1528" s="75"/>
      <c r="AX1528" s="75"/>
      <c r="AY1528" s="67">
        <f t="shared" ca="1" si="1"/>
        <v>0</v>
      </c>
      <c r="AZ1528" s="75"/>
      <c r="BA1528" s="67">
        <f t="shared" ca="1" si="2"/>
        <v>0</v>
      </c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8"/>
      <c r="BL1528" s="78">
        <f t="shared" ca="1" si="3"/>
        <v>0</v>
      </c>
      <c r="BM1528" s="78"/>
      <c r="BN1528" s="78">
        <f t="shared" ca="1" si="4"/>
        <v>0</v>
      </c>
      <c r="BO1528" s="66"/>
      <c r="BP1528" s="66"/>
    </row>
    <row r="1529" spans="1:68" ht="13.2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>
        <f t="shared" ref="AP1529:AQ1529" si="1522">AR1529+AT1529+AV1529</f>
        <v>0</v>
      </c>
      <c r="AQ1529" s="75">
        <f t="shared" si="1522"/>
        <v>0</v>
      </c>
      <c r="AR1529" s="75"/>
      <c r="AS1529" s="75"/>
      <c r="AT1529" s="75"/>
      <c r="AU1529" s="75"/>
      <c r="AV1529" s="75"/>
      <c r="AW1529" s="75"/>
      <c r="AX1529" s="75"/>
      <c r="AY1529" s="67">
        <f t="shared" ca="1" si="1"/>
        <v>0</v>
      </c>
      <c r="AZ1529" s="75"/>
      <c r="BA1529" s="67">
        <f t="shared" ca="1" si="2"/>
        <v>0</v>
      </c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8"/>
      <c r="BL1529" s="78">
        <f t="shared" ca="1" si="3"/>
        <v>0</v>
      </c>
      <c r="BM1529" s="78"/>
      <c r="BN1529" s="78">
        <f t="shared" ca="1" si="4"/>
        <v>0</v>
      </c>
      <c r="BO1529" s="66"/>
      <c r="BP1529" s="66"/>
    </row>
    <row r="1530" spans="1:68" ht="13.2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>
        <f t="shared" ref="AP1530:AQ1530" si="1523">AR1530+AT1530+AV1530</f>
        <v>0</v>
      </c>
      <c r="AQ1530" s="75">
        <f t="shared" si="1523"/>
        <v>0</v>
      </c>
      <c r="AR1530" s="75"/>
      <c r="AS1530" s="75"/>
      <c r="AT1530" s="75"/>
      <c r="AU1530" s="75"/>
      <c r="AV1530" s="75"/>
      <c r="AW1530" s="75"/>
      <c r="AX1530" s="75"/>
      <c r="AY1530" s="67">
        <f t="shared" ca="1" si="1"/>
        <v>0</v>
      </c>
      <c r="AZ1530" s="75"/>
      <c r="BA1530" s="67">
        <f t="shared" ca="1" si="2"/>
        <v>0</v>
      </c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8"/>
      <c r="BL1530" s="78">
        <f t="shared" ca="1" si="3"/>
        <v>0</v>
      </c>
      <c r="BM1530" s="78"/>
      <c r="BN1530" s="78">
        <f t="shared" ca="1" si="4"/>
        <v>0</v>
      </c>
      <c r="BO1530" s="66"/>
      <c r="BP1530" s="66"/>
    </row>
    <row r="1531" spans="1:68" ht="13.2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>
        <f t="shared" ref="AP1531:AQ1531" si="1524">AR1531+AT1531+AV1531</f>
        <v>0</v>
      </c>
      <c r="AQ1531" s="75">
        <f t="shared" si="1524"/>
        <v>0</v>
      </c>
      <c r="AR1531" s="75"/>
      <c r="AS1531" s="75"/>
      <c r="AT1531" s="75"/>
      <c r="AU1531" s="75"/>
      <c r="AV1531" s="75"/>
      <c r="AW1531" s="75"/>
      <c r="AX1531" s="75"/>
      <c r="AY1531" s="67">
        <f t="shared" ca="1" si="1"/>
        <v>0</v>
      </c>
      <c r="AZ1531" s="75"/>
      <c r="BA1531" s="67">
        <f t="shared" ca="1" si="2"/>
        <v>0</v>
      </c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8"/>
      <c r="BL1531" s="78">
        <f t="shared" ca="1" si="3"/>
        <v>0</v>
      </c>
      <c r="BM1531" s="78"/>
      <c r="BN1531" s="78">
        <f t="shared" ca="1" si="4"/>
        <v>0</v>
      </c>
      <c r="BO1531" s="66"/>
      <c r="BP1531" s="66"/>
    </row>
    <row r="1532" spans="1:68" ht="13.2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>
        <f t="shared" ref="AP1532:AQ1532" si="1525">AR1532+AT1532+AV1532</f>
        <v>0</v>
      </c>
      <c r="AQ1532" s="75">
        <f t="shared" si="1525"/>
        <v>0</v>
      </c>
      <c r="AR1532" s="75"/>
      <c r="AS1532" s="75"/>
      <c r="AT1532" s="75"/>
      <c r="AU1532" s="75"/>
      <c r="AV1532" s="75"/>
      <c r="AW1532" s="75"/>
      <c r="AX1532" s="75"/>
      <c r="AY1532" s="67">
        <f t="shared" ca="1" si="1"/>
        <v>0</v>
      </c>
      <c r="AZ1532" s="75"/>
      <c r="BA1532" s="67">
        <f t="shared" ca="1" si="2"/>
        <v>0</v>
      </c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8"/>
      <c r="BL1532" s="78">
        <f t="shared" ca="1" si="3"/>
        <v>0</v>
      </c>
      <c r="BM1532" s="78"/>
      <c r="BN1532" s="78">
        <f t="shared" ca="1" si="4"/>
        <v>0</v>
      </c>
      <c r="BO1532" s="66"/>
      <c r="BP1532" s="66"/>
    </row>
    <row r="1533" spans="1:68" ht="13.2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>
        <f t="shared" ref="AP1533:AQ1533" si="1526">AR1533+AT1533+AV1533</f>
        <v>0</v>
      </c>
      <c r="AQ1533" s="75">
        <f t="shared" si="1526"/>
        <v>0</v>
      </c>
      <c r="AR1533" s="75"/>
      <c r="AS1533" s="75"/>
      <c r="AT1533" s="75"/>
      <c r="AU1533" s="75"/>
      <c r="AV1533" s="75"/>
      <c r="AW1533" s="75"/>
      <c r="AX1533" s="75"/>
      <c r="AY1533" s="67">
        <f t="shared" ca="1" si="1"/>
        <v>0</v>
      </c>
      <c r="AZ1533" s="75"/>
      <c r="BA1533" s="67">
        <f t="shared" ca="1" si="2"/>
        <v>0</v>
      </c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8"/>
      <c r="BL1533" s="78">
        <f t="shared" ca="1" si="3"/>
        <v>0</v>
      </c>
      <c r="BM1533" s="78"/>
      <c r="BN1533" s="78">
        <f t="shared" ca="1" si="4"/>
        <v>0</v>
      </c>
      <c r="BO1533" s="66"/>
      <c r="BP1533" s="66"/>
    </row>
    <row r="1534" spans="1:68" ht="13.2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>
        <f t="shared" ref="AP1534:AQ1534" si="1527">AR1534+AT1534+AV1534</f>
        <v>0</v>
      </c>
      <c r="AQ1534" s="75">
        <f t="shared" si="1527"/>
        <v>0</v>
      </c>
      <c r="AR1534" s="75"/>
      <c r="AS1534" s="75"/>
      <c r="AT1534" s="75"/>
      <c r="AU1534" s="75"/>
      <c r="AV1534" s="75"/>
      <c r="AW1534" s="75"/>
      <c r="AX1534" s="75"/>
      <c r="AY1534" s="67">
        <f t="shared" ca="1" si="1"/>
        <v>0</v>
      </c>
      <c r="AZ1534" s="75"/>
      <c r="BA1534" s="67">
        <f t="shared" ca="1" si="2"/>
        <v>0</v>
      </c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8"/>
      <c r="BL1534" s="78">
        <f t="shared" ca="1" si="3"/>
        <v>0</v>
      </c>
      <c r="BM1534" s="78"/>
      <c r="BN1534" s="78">
        <f t="shared" ca="1" si="4"/>
        <v>0</v>
      </c>
      <c r="BO1534" s="66"/>
      <c r="BP1534" s="66"/>
    </row>
    <row r="1535" spans="1:68" ht="13.2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>
        <f t="shared" ref="AP1535:AQ1535" si="1528">AR1535+AT1535+AV1535</f>
        <v>0</v>
      </c>
      <c r="AQ1535" s="75">
        <f t="shared" si="1528"/>
        <v>0</v>
      </c>
      <c r="AR1535" s="75"/>
      <c r="AS1535" s="75"/>
      <c r="AT1535" s="75"/>
      <c r="AU1535" s="75"/>
      <c r="AV1535" s="75"/>
      <c r="AW1535" s="75"/>
      <c r="AX1535" s="75"/>
      <c r="AY1535" s="67">
        <f t="shared" ca="1" si="1"/>
        <v>0</v>
      </c>
      <c r="AZ1535" s="75"/>
      <c r="BA1535" s="67">
        <f t="shared" ca="1" si="2"/>
        <v>0</v>
      </c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8"/>
      <c r="BL1535" s="78">
        <f t="shared" ca="1" si="3"/>
        <v>0</v>
      </c>
      <c r="BM1535" s="78"/>
      <c r="BN1535" s="78">
        <f t="shared" ca="1" si="4"/>
        <v>0</v>
      </c>
      <c r="BO1535" s="66"/>
      <c r="BP1535" s="66"/>
    </row>
    <row r="1536" spans="1:68" ht="13.2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>
        <f t="shared" ref="AP1536:AQ1536" si="1529">AR1536+AT1536+AV1536</f>
        <v>0</v>
      </c>
      <c r="AQ1536" s="75">
        <f t="shared" si="1529"/>
        <v>0</v>
      </c>
      <c r="AR1536" s="75"/>
      <c r="AS1536" s="75"/>
      <c r="AT1536" s="75"/>
      <c r="AU1536" s="75"/>
      <c r="AV1536" s="75"/>
      <c r="AW1536" s="75"/>
      <c r="AX1536" s="75"/>
      <c r="AY1536" s="67">
        <f t="shared" ca="1" si="1"/>
        <v>0</v>
      </c>
      <c r="AZ1536" s="75"/>
      <c r="BA1536" s="67">
        <f t="shared" ca="1" si="2"/>
        <v>0</v>
      </c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8"/>
      <c r="BL1536" s="78">
        <f t="shared" ca="1" si="3"/>
        <v>0</v>
      </c>
      <c r="BM1536" s="78"/>
      <c r="BN1536" s="78">
        <f t="shared" ca="1" si="4"/>
        <v>0</v>
      </c>
      <c r="BO1536" s="66"/>
      <c r="BP1536" s="66"/>
    </row>
    <row r="1537" spans="1:68" ht="13.2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>
        <f t="shared" ref="AP1537:AQ1537" si="1530">AR1537+AT1537+AV1537</f>
        <v>0</v>
      </c>
      <c r="AQ1537" s="75">
        <f t="shared" si="1530"/>
        <v>0</v>
      </c>
      <c r="AR1537" s="75"/>
      <c r="AS1537" s="75"/>
      <c r="AT1537" s="75"/>
      <c r="AU1537" s="75"/>
      <c r="AV1537" s="75"/>
      <c r="AW1537" s="75"/>
      <c r="AX1537" s="75"/>
      <c r="AY1537" s="67">
        <f t="shared" ca="1" si="1"/>
        <v>0</v>
      </c>
      <c r="AZ1537" s="75"/>
      <c r="BA1537" s="67">
        <f t="shared" ca="1" si="2"/>
        <v>0</v>
      </c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8"/>
      <c r="BL1537" s="78">
        <f t="shared" ca="1" si="3"/>
        <v>0</v>
      </c>
      <c r="BM1537" s="78"/>
      <c r="BN1537" s="78">
        <f t="shared" ca="1" si="4"/>
        <v>0</v>
      </c>
      <c r="BO1537" s="66"/>
      <c r="BP1537" s="66"/>
    </row>
    <row r="1538" spans="1:68" ht="13.2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>
        <f t="shared" ref="AP1538:AQ1538" si="1531">AR1538+AT1538+AV1538</f>
        <v>0</v>
      </c>
      <c r="AQ1538" s="75">
        <f t="shared" si="1531"/>
        <v>0</v>
      </c>
      <c r="AR1538" s="75"/>
      <c r="AS1538" s="75"/>
      <c r="AT1538" s="75"/>
      <c r="AU1538" s="75"/>
      <c r="AV1538" s="75"/>
      <c r="AW1538" s="75"/>
      <c r="AX1538" s="75"/>
      <c r="AY1538" s="67">
        <f t="shared" ca="1" si="1"/>
        <v>0</v>
      </c>
      <c r="AZ1538" s="75"/>
      <c r="BA1538" s="67">
        <f t="shared" ca="1" si="2"/>
        <v>0</v>
      </c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8"/>
      <c r="BL1538" s="78">
        <f t="shared" ca="1" si="3"/>
        <v>0</v>
      </c>
      <c r="BM1538" s="78"/>
      <c r="BN1538" s="78">
        <f t="shared" ca="1" si="4"/>
        <v>0</v>
      </c>
      <c r="BO1538" s="66"/>
      <c r="BP1538" s="66"/>
    </row>
    <row r="1539" spans="1:68" ht="13.2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>
        <f t="shared" ref="AP1539:AQ1539" si="1532">AR1539+AT1539+AV1539</f>
        <v>0</v>
      </c>
      <c r="AQ1539" s="75">
        <f t="shared" si="1532"/>
        <v>0</v>
      </c>
      <c r="AR1539" s="75"/>
      <c r="AS1539" s="75"/>
      <c r="AT1539" s="75"/>
      <c r="AU1539" s="75"/>
      <c r="AV1539" s="75"/>
      <c r="AW1539" s="75"/>
      <c r="AX1539" s="75"/>
      <c r="AY1539" s="67">
        <f t="shared" ca="1" si="1"/>
        <v>0</v>
      </c>
      <c r="AZ1539" s="75"/>
      <c r="BA1539" s="67">
        <f t="shared" ca="1" si="2"/>
        <v>0</v>
      </c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8"/>
      <c r="BL1539" s="78">
        <f t="shared" ca="1" si="3"/>
        <v>0</v>
      </c>
      <c r="BM1539" s="78"/>
      <c r="BN1539" s="78">
        <f t="shared" ca="1" si="4"/>
        <v>0</v>
      </c>
      <c r="BO1539" s="66"/>
      <c r="BP1539" s="66"/>
    </row>
    <row r="1540" spans="1:68" ht="13.2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>
        <f t="shared" ref="AP1540:AQ1540" si="1533">AR1540+AT1540+AV1540</f>
        <v>0</v>
      </c>
      <c r="AQ1540" s="75">
        <f t="shared" si="1533"/>
        <v>0</v>
      </c>
      <c r="AR1540" s="75"/>
      <c r="AS1540" s="75"/>
      <c r="AT1540" s="75"/>
      <c r="AU1540" s="75"/>
      <c r="AV1540" s="75"/>
      <c r="AW1540" s="75"/>
      <c r="AX1540" s="75"/>
      <c r="AY1540" s="67">
        <f t="shared" ca="1" si="1"/>
        <v>0</v>
      </c>
      <c r="AZ1540" s="75"/>
      <c r="BA1540" s="67">
        <f t="shared" ca="1" si="2"/>
        <v>0</v>
      </c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8"/>
      <c r="BL1540" s="78">
        <f t="shared" ca="1" si="3"/>
        <v>0</v>
      </c>
      <c r="BM1540" s="78"/>
      <c r="BN1540" s="78">
        <f t="shared" ca="1" si="4"/>
        <v>0</v>
      </c>
      <c r="BO1540" s="66"/>
      <c r="BP1540" s="66"/>
    </row>
    <row r="1541" spans="1:68" ht="13.2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>
        <f t="shared" ref="AP1541:AQ1541" si="1534">AR1541+AT1541+AV1541</f>
        <v>0</v>
      </c>
      <c r="AQ1541" s="75">
        <f t="shared" si="1534"/>
        <v>0</v>
      </c>
      <c r="AR1541" s="75"/>
      <c r="AS1541" s="75"/>
      <c r="AT1541" s="75"/>
      <c r="AU1541" s="75"/>
      <c r="AV1541" s="75"/>
      <c r="AW1541" s="75"/>
      <c r="AX1541" s="75"/>
      <c r="AY1541" s="67">
        <f t="shared" ca="1" si="1"/>
        <v>0</v>
      </c>
      <c r="AZ1541" s="75"/>
      <c r="BA1541" s="67">
        <f t="shared" ca="1" si="2"/>
        <v>0</v>
      </c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8"/>
      <c r="BL1541" s="78">
        <f t="shared" ca="1" si="3"/>
        <v>0</v>
      </c>
      <c r="BM1541" s="78"/>
      <c r="BN1541" s="78">
        <f t="shared" ca="1" si="4"/>
        <v>0</v>
      </c>
      <c r="BO1541" s="66"/>
      <c r="BP1541" s="66"/>
    </row>
    <row r="1542" spans="1:68" ht="13.2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>
        <f t="shared" ref="AP1542:AQ1542" si="1535">AR1542+AT1542+AV1542</f>
        <v>0</v>
      </c>
      <c r="AQ1542" s="75">
        <f t="shared" si="1535"/>
        <v>0</v>
      </c>
      <c r="AR1542" s="75"/>
      <c r="AS1542" s="75"/>
      <c r="AT1542" s="75"/>
      <c r="AU1542" s="75"/>
      <c r="AV1542" s="75"/>
      <c r="AW1542" s="75"/>
      <c r="AX1542" s="75"/>
      <c r="AY1542" s="67">
        <f t="shared" ca="1" si="1"/>
        <v>0</v>
      </c>
      <c r="AZ1542" s="75"/>
      <c r="BA1542" s="67">
        <f t="shared" ca="1" si="2"/>
        <v>0</v>
      </c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8"/>
      <c r="BL1542" s="78">
        <f t="shared" ca="1" si="3"/>
        <v>0</v>
      </c>
      <c r="BM1542" s="78"/>
      <c r="BN1542" s="78">
        <f t="shared" ca="1" si="4"/>
        <v>0</v>
      </c>
      <c r="BO1542" s="66"/>
      <c r="BP1542" s="66"/>
    </row>
    <row r="1543" spans="1:68" ht="13.2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>
        <f t="shared" ref="AP1543:AQ1543" si="1536">AR1543+AT1543+AV1543</f>
        <v>0</v>
      </c>
      <c r="AQ1543" s="75">
        <f t="shared" si="1536"/>
        <v>0</v>
      </c>
      <c r="AR1543" s="75"/>
      <c r="AS1543" s="75"/>
      <c r="AT1543" s="75"/>
      <c r="AU1543" s="75"/>
      <c r="AV1543" s="75"/>
      <c r="AW1543" s="75"/>
      <c r="AX1543" s="75"/>
      <c r="AY1543" s="67">
        <f t="shared" ca="1" si="1"/>
        <v>0</v>
      </c>
      <c r="AZ1543" s="75"/>
      <c r="BA1543" s="67">
        <f t="shared" ca="1" si="2"/>
        <v>0</v>
      </c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8"/>
      <c r="BL1543" s="78">
        <f t="shared" ca="1" si="3"/>
        <v>0</v>
      </c>
      <c r="BM1543" s="78"/>
      <c r="BN1543" s="78">
        <f t="shared" ca="1" si="4"/>
        <v>0</v>
      </c>
      <c r="BO1543" s="66"/>
      <c r="BP1543" s="66"/>
    </row>
    <row r="1544" spans="1:68" ht="13.2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>
        <f t="shared" ref="AP1544:AQ1544" si="1537">AR1544+AT1544+AV1544</f>
        <v>0</v>
      </c>
      <c r="AQ1544" s="75">
        <f t="shared" si="1537"/>
        <v>0</v>
      </c>
      <c r="AR1544" s="75"/>
      <c r="AS1544" s="75"/>
      <c r="AT1544" s="75"/>
      <c r="AU1544" s="75"/>
      <c r="AV1544" s="75"/>
      <c r="AW1544" s="75"/>
      <c r="AX1544" s="75"/>
      <c r="AY1544" s="67">
        <f t="shared" ca="1" si="1"/>
        <v>0</v>
      </c>
      <c r="AZ1544" s="75"/>
      <c r="BA1544" s="67">
        <f t="shared" ca="1" si="2"/>
        <v>0</v>
      </c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8"/>
      <c r="BL1544" s="78">
        <f t="shared" ca="1" si="3"/>
        <v>0</v>
      </c>
      <c r="BM1544" s="78"/>
      <c r="BN1544" s="78">
        <f t="shared" ca="1" si="4"/>
        <v>0</v>
      </c>
      <c r="BO1544" s="66"/>
      <c r="BP1544" s="66"/>
    </row>
    <row r="1545" spans="1:68" ht="13.2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>
        <f t="shared" ref="AP1545:AQ1545" si="1538">AR1545+AT1545+AV1545</f>
        <v>0</v>
      </c>
      <c r="AQ1545" s="75">
        <f t="shared" si="1538"/>
        <v>0</v>
      </c>
      <c r="AR1545" s="75"/>
      <c r="AS1545" s="75"/>
      <c r="AT1545" s="75"/>
      <c r="AU1545" s="75"/>
      <c r="AV1545" s="75"/>
      <c r="AW1545" s="75"/>
      <c r="AX1545" s="75"/>
      <c r="AY1545" s="67">
        <f t="shared" ca="1" si="1"/>
        <v>0</v>
      </c>
      <c r="AZ1545" s="75"/>
      <c r="BA1545" s="67">
        <f t="shared" ca="1" si="2"/>
        <v>0</v>
      </c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8"/>
      <c r="BL1545" s="78">
        <f t="shared" ca="1" si="3"/>
        <v>0</v>
      </c>
      <c r="BM1545" s="78"/>
      <c r="BN1545" s="78">
        <f t="shared" ca="1" si="4"/>
        <v>0</v>
      </c>
      <c r="BO1545" s="66"/>
      <c r="BP1545" s="66"/>
    </row>
    <row r="1546" spans="1:68" ht="13.2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>
        <f t="shared" ref="AP1546:AQ1546" si="1539">AR1546+AT1546+AV1546</f>
        <v>0</v>
      </c>
      <c r="AQ1546" s="75">
        <f t="shared" si="1539"/>
        <v>0</v>
      </c>
      <c r="AR1546" s="75"/>
      <c r="AS1546" s="75"/>
      <c r="AT1546" s="75"/>
      <c r="AU1546" s="75"/>
      <c r="AV1546" s="75"/>
      <c r="AW1546" s="75"/>
      <c r="AX1546" s="75"/>
      <c r="AY1546" s="67">
        <f t="shared" ca="1" si="1"/>
        <v>0</v>
      </c>
      <c r="AZ1546" s="75"/>
      <c r="BA1546" s="67">
        <f t="shared" ca="1" si="2"/>
        <v>0</v>
      </c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8"/>
      <c r="BL1546" s="78">
        <f t="shared" ca="1" si="3"/>
        <v>0</v>
      </c>
      <c r="BM1546" s="78"/>
      <c r="BN1546" s="78">
        <f t="shared" ca="1" si="4"/>
        <v>0</v>
      </c>
      <c r="BO1546" s="66"/>
      <c r="BP1546" s="66"/>
    </row>
    <row r="1547" spans="1:68" ht="13.2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>
        <f t="shared" ref="AP1547:AQ1547" si="1540">AR1547+AT1547+AV1547</f>
        <v>0</v>
      </c>
      <c r="AQ1547" s="75">
        <f t="shared" si="1540"/>
        <v>0</v>
      </c>
      <c r="AR1547" s="75"/>
      <c r="AS1547" s="75"/>
      <c r="AT1547" s="75"/>
      <c r="AU1547" s="75"/>
      <c r="AV1547" s="75"/>
      <c r="AW1547" s="75"/>
      <c r="AX1547" s="75"/>
      <c r="AY1547" s="67">
        <f t="shared" ca="1" si="1"/>
        <v>0</v>
      </c>
      <c r="AZ1547" s="75"/>
      <c r="BA1547" s="67">
        <f t="shared" ca="1" si="2"/>
        <v>0</v>
      </c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8"/>
      <c r="BL1547" s="78">
        <f t="shared" ca="1" si="3"/>
        <v>0</v>
      </c>
      <c r="BM1547" s="78"/>
      <c r="BN1547" s="78">
        <f t="shared" ca="1" si="4"/>
        <v>0</v>
      </c>
      <c r="BO1547" s="66"/>
      <c r="BP1547" s="66"/>
    </row>
    <row r="1548" spans="1:68" ht="13.2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>
        <f t="shared" ref="AP1548:AQ1548" si="1541">AR1548+AT1548+AV1548</f>
        <v>0</v>
      </c>
      <c r="AQ1548" s="75">
        <f t="shared" si="1541"/>
        <v>0</v>
      </c>
      <c r="AR1548" s="75"/>
      <c r="AS1548" s="75"/>
      <c r="AT1548" s="75"/>
      <c r="AU1548" s="75"/>
      <c r="AV1548" s="75"/>
      <c r="AW1548" s="75"/>
      <c r="AX1548" s="75"/>
      <c r="AY1548" s="67">
        <f t="shared" ca="1" si="1"/>
        <v>0</v>
      </c>
      <c r="AZ1548" s="75"/>
      <c r="BA1548" s="67">
        <f t="shared" ca="1" si="2"/>
        <v>0</v>
      </c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8"/>
      <c r="BL1548" s="78">
        <f t="shared" ca="1" si="3"/>
        <v>0</v>
      </c>
      <c r="BM1548" s="78"/>
      <c r="BN1548" s="78">
        <f t="shared" ca="1" si="4"/>
        <v>0</v>
      </c>
      <c r="BO1548" s="66"/>
      <c r="BP1548" s="66"/>
    </row>
    <row r="1549" spans="1:68" ht="13.2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>
        <f t="shared" ref="AP1549:AQ1549" si="1542">AR1549+AT1549+AV1549</f>
        <v>0</v>
      </c>
      <c r="AQ1549" s="75">
        <f t="shared" si="1542"/>
        <v>0</v>
      </c>
      <c r="AR1549" s="75"/>
      <c r="AS1549" s="75"/>
      <c r="AT1549" s="75"/>
      <c r="AU1549" s="75"/>
      <c r="AV1549" s="75"/>
      <c r="AW1549" s="75"/>
      <c r="AX1549" s="75"/>
      <c r="AY1549" s="67">
        <f t="shared" ca="1" si="1"/>
        <v>0</v>
      </c>
      <c r="AZ1549" s="75"/>
      <c r="BA1549" s="67">
        <f t="shared" ca="1" si="2"/>
        <v>0</v>
      </c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8"/>
      <c r="BL1549" s="78">
        <f t="shared" ca="1" si="3"/>
        <v>0</v>
      </c>
      <c r="BM1549" s="78"/>
      <c r="BN1549" s="78">
        <f t="shared" ca="1" si="4"/>
        <v>0</v>
      </c>
      <c r="BO1549" s="66"/>
      <c r="BP1549" s="66"/>
    </row>
    <row r="1550" spans="1:68" ht="13.2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>
        <f t="shared" ref="AP1550:AQ1550" si="1543">AR1550+AT1550+AV1550</f>
        <v>0</v>
      </c>
      <c r="AQ1550" s="75">
        <f t="shared" si="1543"/>
        <v>0</v>
      </c>
      <c r="AR1550" s="75"/>
      <c r="AS1550" s="75"/>
      <c r="AT1550" s="75"/>
      <c r="AU1550" s="75"/>
      <c r="AV1550" s="75"/>
      <c r="AW1550" s="75"/>
      <c r="AX1550" s="75"/>
      <c r="AY1550" s="67">
        <f t="shared" ca="1" si="1"/>
        <v>0</v>
      </c>
      <c r="AZ1550" s="75"/>
      <c r="BA1550" s="67">
        <f t="shared" ca="1" si="2"/>
        <v>0</v>
      </c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8"/>
      <c r="BL1550" s="78">
        <f t="shared" ca="1" si="3"/>
        <v>0</v>
      </c>
      <c r="BM1550" s="78"/>
      <c r="BN1550" s="78">
        <f t="shared" ca="1" si="4"/>
        <v>0</v>
      </c>
      <c r="BO1550" s="66"/>
      <c r="BP1550" s="66"/>
    </row>
    <row r="1551" spans="1:68" ht="13.2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>
        <f t="shared" ref="AP1551:AQ1551" si="1544">AR1551+AT1551+AV1551</f>
        <v>0</v>
      </c>
      <c r="AQ1551" s="75">
        <f t="shared" si="1544"/>
        <v>0</v>
      </c>
      <c r="AR1551" s="75"/>
      <c r="AS1551" s="75"/>
      <c r="AT1551" s="75"/>
      <c r="AU1551" s="75"/>
      <c r="AV1551" s="75"/>
      <c r="AW1551" s="75"/>
      <c r="AX1551" s="75"/>
      <c r="AY1551" s="67">
        <f t="shared" ca="1" si="1"/>
        <v>0</v>
      </c>
      <c r="AZ1551" s="75"/>
      <c r="BA1551" s="67">
        <f t="shared" ca="1" si="2"/>
        <v>0</v>
      </c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8"/>
      <c r="BL1551" s="78">
        <f t="shared" ca="1" si="3"/>
        <v>0</v>
      </c>
      <c r="BM1551" s="78"/>
      <c r="BN1551" s="78">
        <f t="shared" ca="1" si="4"/>
        <v>0</v>
      </c>
      <c r="BO1551" s="66"/>
      <c r="BP1551" s="66"/>
    </row>
    <row r="1552" spans="1:68" ht="13.2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>
        <f t="shared" ref="AP1552:AQ1552" si="1545">AR1552+AT1552+AV1552</f>
        <v>0</v>
      </c>
      <c r="AQ1552" s="75">
        <f t="shared" si="1545"/>
        <v>0</v>
      </c>
      <c r="AR1552" s="75"/>
      <c r="AS1552" s="75"/>
      <c r="AT1552" s="75"/>
      <c r="AU1552" s="75"/>
      <c r="AV1552" s="75"/>
      <c r="AW1552" s="75"/>
      <c r="AX1552" s="75"/>
      <c r="AY1552" s="67">
        <f t="shared" ca="1" si="1"/>
        <v>0</v>
      </c>
      <c r="AZ1552" s="75"/>
      <c r="BA1552" s="67">
        <f t="shared" ca="1" si="2"/>
        <v>0</v>
      </c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8"/>
      <c r="BL1552" s="78">
        <f t="shared" ca="1" si="3"/>
        <v>0</v>
      </c>
      <c r="BM1552" s="78"/>
      <c r="BN1552" s="78">
        <f t="shared" ca="1" si="4"/>
        <v>0</v>
      </c>
      <c r="BO1552" s="66"/>
      <c r="BP1552" s="66"/>
    </row>
    <row r="1553" spans="1:68" ht="13.2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>
        <f t="shared" ref="AP1553:AQ1553" si="1546">AR1553+AT1553+AV1553</f>
        <v>0</v>
      </c>
      <c r="AQ1553" s="75">
        <f t="shared" si="1546"/>
        <v>0</v>
      </c>
      <c r="AR1553" s="75"/>
      <c r="AS1553" s="75"/>
      <c r="AT1553" s="75"/>
      <c r="AU1553" s="75"/>
      <c r="AV1553" s="75"/>
      <c r="AW1553" s="75"/>
      <c r="AX1553" s="75"/>
      <c r="AY1553" s="67">
        <f t="shared" ca="1" si="1"/>
        <v>0</v>
      </c>
      <c r="AZ1553" s="75"/>
      <c r="BA1553" s="67">
        <f t="shared" ca="1" si="2"/>
        <v>0</v>
      </c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8"/>
      <c r="BL1553" s="78">
        <f t="shared" ca="1" si="3"/>
        <v>0</v>
      </c>
      <c r="BM1553" s="78"/>
      <c r="BN1553" s="78">
        <f t="shared" ca="1" si="4"/>
        <v>0</v>
      </c>
      <c r="BO1553" s="66"/>
      <c r="BP1553" s="66"/>
    </row>
    <row r="1554" spans="1:68" ht="13.2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>
        <f t="shared" ref="AP1554:AQ1554" si="1547">AR1554+AT1554+AV1554</f>
        <v>0</v>
      </c>
      <c r="AQ1554" s="75">
        <f t="shared" si="1547"/>
        <v>0</v>
      </c>
      <c r="AR1554" s="75"/>
      <c r="AS1554" s="75"/>
      <c r="AT1554" s="75"/>
      <c r="AU1554" s="75"/>
      <c r="AV1554" s="75"/>
      <c r="AW1554" s="75"/>
      <c r="AX1554" s="75"/>
      <c r="AY1554" s="67">
        <f t="shared" ca="1" si="1"/>
        <v>0</v>
      </c>
      <c r="AZ1554" s="75"/>
      <c r="BA1554" s="67">
        <f t="shared" ca="1" si="2"/>
        <v>0</v>
      </c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8"/>
      <c r="BL1554" s="78">
        <f t="shared" ca="1" si="3"/>
        <v>0</v>
      </c>
      <c r="BM1554" s="78"/>
      <c r="BN1554" s="78">
        <f t="shared" ca="1" si="4"/>
        <v>0</v>
      </c>
      <c r="BO1554" s="66"/>
      <c r="BP1554" s="66"/>
    </row>
    <row r="1555" spans="1:68" ht="13.2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>
        <f t="shared" ref="AP1555:AQ1555" si="1548">AR1555+AT1555+AV1555</f>
        <v>0</v>
      </c>
      <c r="AQ1555" s="75">
        <f t="shared" si="1548"/>
        <v>0</v>
      </c>
      <c r="AR1555" s="75"/>
      <c r="AS1555" s="75"/>
      <c r="AT1555" s="75"/>
      <c r="AU1555" s="75"/>
      <c r="AV1555" s="75"/>
      <c r="AW1555" s="75"/>
      <c r="AX1555" s="75"/>
      <c r="AY1555" s="67">
        <f t="shared" ca="1" si="1"/>
        <v>0</v>
      </c>
      <c r="AZ1555" s="75"/>
      <c r="BA1555" s="67">
        <f t="shared" ca="1" si="2"/>
        <v>0</v>
      </c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8"/>
      <c r="BL1555" s="78">
        <f t="shared" ca="1" si="3"/>
        <v>0</v>
      </c>
      <c r="BM1555" s="78"/>
      <c r="BN1555" s="78">
        <f t="shared" ca="1" si="4"/>
        <v>0</v>
      </c>
      <c r="BO1555" s="66"/>
      <c r="BP1555" s="66"/>
    </row>
    <row r="1556" spans="1:68" ht="13.2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>
        <f t="shared" ref="AP1556:AQ1556" si="1549">AR1556+AT1556+AV1556</f>
        <v>0</v>
      </c>
      <c r="AQ1556" s="75">
        <f t="shared" si="1549"/>
        <v>0</v>
      </c>
      <c r="AR1556" s="75"/>
      <c r="AS1556" s="75"/>
      <c r="AT1556" s="75"/>
      <c r="AU1556" s="75"/>
      <c r="AV1556" s="75"/>
      <c r="AW1556" s="75"/>
      <c r="AX1556" s="75"/>
      <c r="AY1556" s="67">
        <f t="shared" ca="1" si="1"/>
        <v>0</v>
      </c>
      <c r="AZ1556" s="75"/>
      <c r="BA1556" s="67">
        <f t="shared" ca="1" si="2"/>
        <v>0</v>
      </c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8"/>
      <c r="BL1556" s="78">
        <f t="shared" ca="1" si="3"/>
        <v>0</v>
      </c>
      <c r="BM1556" s="78"/>
      <c r="BN1556" s="78">
        <f t="shared" ca="1" si="4"/>
        <v>0</v>
      </c>
      <c r="BO1556" s="66"/>
      <c r="BP1556" s="66"/>
    </row>
    <row r="1557" spans="1:68" ht="13.2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>
        <f t="shared" ref="AP1557:AQ1557" si="1550">AR1557+AT1557+AV1557</f>
        <v>0</v>
      </c>
      <c r="AQ1557" s="75">
        <f t="shared" si="1550"/>
        <v>0</v>
      </c>
      <c r="AR1557" s="75"/>
      <c r="AS1557" s="75"/>
      <c r="AT1557" s="75"/>
      <c r="AU1557" s="75"/>
      <c r="AV1557" s="75"/>
      <c r="AW1557" s="75"/>
      <c r="AX1557" s="75"/>
      <c r="AY1557" s="67">
        <f t="shared" ca="1" si="1"/>
        <v>0</v>
      </c>
      <c r="AZ1557" s="75"/>
      <c r="BA1557" s="67">
        <f t="shared" ca="1" si="2"/>
        <v>0</v>
      </c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8"/>
      <c r="BL1557" s="78">
        <f t="shared" ca="1" si="3"/>
        <v>0</v>
      </c>
      <c r="BM1557" s="78"/>
      <c r="BN1557" s="78">
        <f t="shared" ca="1" si="4"/>
        <v>0</v>
      </c>
      <c r="BO1557" s="66"/>
      <c r="BP1557" s="66"/>
    </row>
    <row r="1558" spans="1:68" ht="13.2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>
        <f t="shared" ref="AP1558:AQ1558" si="1551">AR1558+AT1558+AV1558</f>
        <v>0</v>
      </c>
      <c r="AQ1558" s="75">
        <f t="shared" si="1551"/>
        <v>0</v>
      </c>
      <c r="AR1558" s="75"/>
      <c r="AS1558" s="75"/>
      <c r="AT1558" s="75"/>
      <c r="AU1558" s="75"/>
      <c r="AV1558" s="75"/>
      <c r="AW1558" s="75"/>
      <c r="AX1558" s="75"/>
      <c r="AY1558" s="67">
        <f t="shared" ca="1" si="1"/>
        <v>0</v>
      </c>
      <c r="AZ1558" s="75"/>
      <c r="BA1558" s="67">
        <f t="shared" ca="1" si="2"/>
        <v>0</v>
      </c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8"/>
      <c r="BL1558" s="78">
        <f t="shared" ca="1" si="3"/>
        <v>0</v>
      </c>
      <c r="BM1558" s="78"/>
      <c r="BN1558" s="78">
        <f t="shared" ca="1" si="4"/>
        <v>0</v>
      </c>
      <c r="BO1558" s="66"/>
      <c r="BP1558" s="66"/>
    </row>
    <row r="1559" spans="1:68" ht="13.2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>
        <f t="shared" ref="AP1559:AQ1559" si="1552">AR1559+AT1559+AV1559</f>
        <v>0</v>
      </c>
      <c r="AQ1559" s="75">
        <f t="shared" si="1552"/>
        <v>0</v>
      </c>
      <c r="AR1559" s="75"/>
      <c r="AS1559" s="75"/>
      <c r="AT1559" s="75"/>
      <c r="AU1559" s="75"/>
      <c r="AV1559" s="75"/>
      <c r="AW1559" s="75"/>
      <c r="AX1559" s="75"/>
      <c r="AY1559" s="67">
        <f t="shared" ca="1" si="1"/>
        <v>0</v>
      </c>
      <c r="AZ1559" s="75"/>
      <c r="BA1559" s="67">
        <f t="shared" ca="1" si="2"/>
        <v>0</v>
      </c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8"/>
      <c r="BL1559" s="78">
        <f t="shared" ca="1" si="3"/>
        <v>0</v>
      </c>
      <c r="BM1559" s="78"/>
      <c r="BN1559" s="78">
        <f t="shared" ca="1" si="4"/>
        <v>0</v>
      </c>
      <c r="BO1559" s="66"/>
      <c r="BP1559" s="66"/>
    </row>
    <row r="1560" spans="1:68" ht="13.2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>
        <f t="shared" ref="AP1560:AQ1560" si="1553">AR1560+AT1560+AV1560</f>
        <v>0</v>
      </c>
      <c r="AQ1560" s="75">
        <f t="shared" si="1553"/>
        <v>0</v>
      </c>
      <c r="AR1560" s="75"/>
      <c r="AS1560" s="75"/>
      <c r="AT1560" s="75"/>
      <c r="AU1560" s="75"/>
      <c r="AV1560" s="75"/>
      <c r="AW1560" s="75"/>
      <c r="AX1560" s="75"/>
      <c r="AY1560" s="67">
        <f t="shared" ca="1" si="1"/>
        <v>0</v>
      </c>
      <c r="AZ1560" s="75"/>
      <c r="BA1560" s="67">
        <f t="shared" ca="1" si="2"/>
        <v>0</v>
      </c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8"/>
      <c r="BL1560" s="78">
        <f t="shared" ca="1" si="3"/>
        <v>0</v>
      </c>
      <c r="BM1560" s="78"/>
      <c r="BN1560" s="78">
        <f t="shared" ca="1" si="4"/>
        <v>0</v>
      </c>
      <c r="BO1560" s="66"/>
      <c r="BP1560" s="66"/>
    </row>
    <row r="1561" spans="1:68" ht="13.2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>
        <f t="shared" ref="AP1561:AQ1561" si="1554">AR1561+AT1561+AV1561</f>
        <v>0</v>
      </c>
      <c r="AQ1561" s="75">
        <f t="shared" si="1554"/>
        <v>0</v>
      </c>
      <c r="AR1561" s="75"/>
      <c r="AS1561" s="75"/>
      <c r="AT1561" s="75"/>
      <c r="AU1561" s="75"/>
      <c r="AV1561" s="75"/>
      <c r="AW1561" s="75"/>
      <c r="AX1561" s="75"/>
      <c r="AY1561" s="67">
        <f t="shared" ca="1" si="1"/>
        <v>0</v>
      </c>
      <c r="AZ1561" s="75"/>
      <c r="BA1561" s="67">
        <f t="shared" ca="1" si="2"/>
        <v>0</v>
      </c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8"/>
      <c r="BL1561" s="78">
        <f t="shared" ca="1" si="3"/>
        <v>0</v>
      </c>
      <c r="BM1561" s="78"/>
      <c r="BN1561" s="78">
        <f t="shared" ca="1" si="4"/>
        <v>0</v>
      </c>
      <c r="BO1561" s="66"/>
      <c r="BP1561" s="66"/>
    </row>
    <row r="1562" spans="1:68" ht="13.2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>
        <f t="shared" ref="AP1562:AQ1562" si="1555">AR1562+AT1562+AV1562</f>
        <v>0</v>
      </c>
      <c r="AQ1562" s="75">
        <f t="shared" si="1555"/>
        <v>0</v>
      </c>
      <c r="AR1562" s="75"/>
      <c r="AS1562" s="75"/>
      <c r="AT1562" s="75"/>
      <c r="AU1562" s="75"/>
      <c r="AV1562" s="75"/>
      <c r="AW1562" s="75"/>
      <c r="AX1562" s="75"/>
      <c r="AY1562" s="67">
        <f t="shared" ca="1" si="1"/>
        <v>0</v>
      </c>
      <c r="AZ1562" s="75"/>
      <c r="BA1562" s="67">
        <f t="shared" ca="1" si="2"/>
        <v>0</v>
      </c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8"/>
      <c r="BL1562" s="78">
        <f t="shared" ca="1" si="3"/>
        <v>0</v>
      </c>
      <c r="BM1562" s="78"/>
      <c r="BN1562" s="78">
        <f t="shared" ca="1" si="4"/>
        <v>0</v>
      </c>
      <c r="BO1562" s="66"/>
      <c r="BP1562" s="66"/>
    </row>
    <row r="1563" spans="1:68" ht="13.2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>
        <f t="shared" ref="AP1563:AQ1563" si="1556">AR1563+AT1563+AV1563</f>
        <v>0</v>
      </c>
      <c r="AQ1563" s="75">
        <f t="shared" si="1556"/>
        <v>0</v>
      </c>
      <c r="AR1563" s="75"/>
      <c r="AS1563" s="75"/>
      <c r="AT1563" s="75"/>
      <c r="AU1563" s="75"/>
      <c r="AV1563" s="75"/>
      <c r="AW1563" s="75"/>
      <c r="AX1563" s="75"/>
      <c r="AY1563" s="67">
        <f t="shared" ca="1" si="1"/>
        <v>0</v>
      </c>
      <c r="AZ1563" s="75"/>
      <c r="BA1563" s="67">
        <f t="shared" ca="1" si="2"/>
        <v>0</v>
      </c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8"/>
      <c r="BL1563" s="78">
        <f t="shared" ca="1" si="3"/>
        <v>0</v>
      </c>
      <c r="BM1563" s="78"/>
      <c r="BN1563" s="78">
        <f t="shared" ca="1" si="4"/>
        <v>0</v>
      </c>
      <c r="BO1563" s="66"/>
      <c r="BP1563" s="66"/>
    </row>
    <row r="1564" spans="1:68" ht="13.2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>
        <f t="shared" ref="AP1564:AQ1564" si="1557">AR1564+AT1564+AV1564</f>
        <v>0</v>
      </c>
      <c r="AQ1564" s="75">
        <f t="shared" si="1557"/>
        <v>0</v>
      </c>
      <c r="AR1564" s="75"/>
      <c r="AS1564" s="75"/>
      <c r="AT1564" s="75"/>
      <c r="AU1564" s="75"/>
      <c r="AV1564" s="75"/>
      <c r="AW1564" s="75"/>
      <c r="AX1564" s="75"/>
      <c r="AY1564" s="67">
        <f t="shared" ca="1" si="1"/>
        <v>0</v>
      </c>
      <c r="AZ1564" s="75"/>
      <c r="BA1564" s="67">
        <f t="shared" ca="1" si="2"/>
        <v>0</v>
      </c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8"/>
      <c r="BL1564" s="78">
        <f t="shared" ca="1" si="3"/>
        <v>0</v>
      </c>
      <c r="BM1564" s="78"/>
      <c r="BN1564" s="78">
        <f t="shared" ca="1" si="4"/>
        <v>0</v>
      </c>
      <c r="BO1564" s="66"/>
      <c r="BP1564" s="66"/>
    </row>
    <row r="1565" spans="1:68" ht="13.2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>
        <f t="shared" ref="AP1565:AQ1565" si="1558">AR1565+AT1565+AV1565</f>
        <v>0</v>
      </c>
      <c r="AQ1565" s="75">
        <f t="shared" si="1558"/>
        <v>0</v>
      </c>
      <c r="AR1565" s="75"/>
      <c r="AS1565" s="75"/>
      <c r="AT1565" s="75"/>
      <c r="AU1565" s="75"/>
      <c r="AV1565" s="75"/>
      <c r="AW1565" s="75"/>
      <c r="AX1565" s="75"/>
      <c r="AY1565" s="67">
        <f t="shared" ca="1" si="1"/>
        <v>0</v>
      </c>
      <c r="AZ1565" s="75"/>
      <c r="BA1565" s="67">
        <f t="shared" ca="1" si="2"/>
        <v>0</v>
      </c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8"/>
      <c r="BL1565" s="78">
        <f t="shared" ca="1" si="3"/>
        <v>0</v>
      </c>
      <c r="BM1565" s="78"/>
      <c r="BN1565" s="78">
        <f t="shared" ca="1" si="4"/>
        <v>0</v>
      </c>
      <c r="BO1565" s="66"/>
      <c r="BP1565" s="66"/>
    </row>
    <row r="1566" spans="1:68" ht="13.2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>
        <f t="shared" ref="AP1566:AQ1566" si="1559">AR1566+AT1566+AV1566</f>
        <v>0</v>
      </c>
      <c r="AQ1566" s="75">
        <f t="shared" si="1559"/>
        <v>0</v>
      </c>
      <c r="AR1566" s="75"/>
      <c r="AS1566" s="75"/>
      <c r="AT1566" s="75"/>
      <c r="AU1566" s="75"/>
      <c r="AV1566" s="75"/>
      <c r="AW1566" s="75"/>
      <c r="AX1566" s="75"/>
      <c r="AY1566" s="67">
        <f t="shared" ca="1" si="1"/>
        <v>0</v>
      </c>
      <c r="AZ1566" s="75"/>
      <c r="BA1566" s="67">
        <f t="shared" ca="1" si="2"/>
        <v>0</v>
      </c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8"/>
      <c r="BL1566" s="78">
        <f t="shared" ca="1" si="3"/>
        <v>0</v>
      </c>
      <c r="BM1566" s="78"/>
      <c r="BN1566" s="78">
        <f t="shared" ca="1" si="4"/>
        <v>0</v>
      </c>
      <c r="BO1566" s="66"/>
      <c r="BP1566" s="66"/>
    </row>
    <row r="1567" spans="1:68" ht="13.2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>
        <f t="shared" ref="AP1567:AQ1567" si="1560">AR1567+AT1567+AV1567</f>
        <v>0</v>
      </c>
      <c r="AQ1567" s="75">
        <f t="shared" si="1560"/>
        <v>0</v>
      </c>
      <c r="AR1567" s="75"/>
      <c r="AS1567" s="75"/>
      <c r="AT1567" s="75"/>
      <c r="AU1567" s="75"/>
      <c r="AV1567" s="75"/>
      <c r="AW1567" s="75"/>
      <c r="AX1567" s="75"/>
      <c r="AY1567" s="67">
        <f t="shared" ca="1" si="1"/>
        <v>0</v>
      </c>
      <c r="AZ1567" s="75"/>
      <c r="BA1567" s="67">
        <f t="shared" ca="1" si="2"/>
        <v>0</v>
      </c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8"/>
      <c r="BL1567" s="78">
        <f t="shared" ca="1" si="3"/>
        <v>0</v>
      </c>
      <c r="BM1567" s="78"/>
      <c r="BN1567" s="78">
        <f t="shared" ca="1" si="4"/>
        <v>0</v>
      </c>
      <c r="BO1567" s="66"/>
      <c r="BP1567" s="66"/>
    </row>
    <row r="1568" spans="1:68" ht="13.2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>
        <f t="shared" ref="AP1568:AQ1568" si="1561">AR1568+AT1568+AV1568</f>
        <v>0</v>
      </c>
      <c r="AQ1568" s="75">
        <f t="shared" si="1561"/>
        <v>0</v>
      </c>
      <c r="AR1568" s="75"/>
      <c r="AS1568" s="75"/>
      <c r="AT1568" s="75"/>
      <c r="AU1568" s="75"/>
      <c r="AV1568" s="75"/>
      <c r="AW1568" s="75"/>
      <c r="AX1568" s="75"/>
      <c r="AY1568" s="67">
        <f t="shared" ca="1" si="1"/>
        <v>0</v>
      </c>
      <c r="AZ1568" s="75"/>
      <c r="BA1568" s="67">
        <f t="shared" ca="1" si="2"/>
        <v>0</v>
      </c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8"/>
      <c r="BL1568" s="78">
        <f t="shared" ca="1" si="3"/>
        <v>0</v>
      </c>
      <c r="BM1568" s="78"/>
      <c r="BN1568" s="78">
        <f t="shared" ca="1" si="4"/>
        <v>0</v>
      </c>
      <c r="BO1568" s="66"/>
      <c r="BP1568" s="66"/>
    </row>
    <row r="1569" spans="1:68" ht="13.2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>
        <f t="shared" ref="AP1569:AQ1569" si="1562">AR1569+AT1569+AV1569</f>
        <v>0</v>
      </c>
      <c r="AQ1569" s="75">
        <f t="shared" si="1562"/>
        <v>0</v>
      </c>
      <c r="AR1569" s="75"/>
      <c r="AS1569" s="75"/>
      <c r="AT1569" s="75"/>
      <c r="AU1569" s="75"/>
      <c r="AV1569" s="75"/>
      <c r="AW1569" s="75"/>
      <c r="AX1569" s="75"/>
      <c r="AY1569" s="67">
        <f t="shared" ca="1" si="1"/>
        <v>0</v>
      </c>
      <c r="AZ1569" s="75"/>
      <c r="BA1569" s="67">
        <f t="shared" ca="1" si="2"/>
        <v>0</v>
      </c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8"/>
      <c r="BL1569" s="78">
        <f t="shared" ca="1" si="3"/>
        <v>0</v>
      </c>
      <c r="BM1569" s="78"/>
      <c r="BN1569" s="78">
        <f t="shared" ca="1" si="4"/>
        <v>0</v>
      </c>
      <c r="BO1569" s="66"/>
      <c r="BP1569" s="66"/>
    </row>
    <row r="1570" spans="1:68" ht="13.2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>
        <f t="shared" ref="AP1570:AQ1570" si="1563">AR1570+AT1570+AV1570</f>
        <v>0</v>
      </c>
      <c r="AQ1570" s="75">
        <f t="shared" si="1563"/>
        <v>0</v>
      </c>
      <c r="AR1570" s="75"/>
      <c r="AS1570" s="75"/>
      <c r="AT1570" s="75"/>
      <c r="AU1570" s="75"/>
      <c r="AV1570" s="75"/>
      <c r="AW1570" s="75"/>
      <c r="AX1570" s="75"/>
      <c r="AY1570" s="67">
        <f t="shared" ca="1" si="1"/>
        <v>0</v>
      </c>
      <c r="AZ1570" s="75"/>
      <c r="BA1570" s="67">
        <f t="shared" ca="1" si="2"/>
        <v>0</v>
      </c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8"/>
      <c r="BL1570" s="78">
        <f t="shared" ca="1" si="3"/>
        <v>0</v>
      </c>
      <c r="BM1570" s="78"/>
      <c r="BN1570" s="78">
        <f t="shared" ca="1" si="4"/>
        <v>0</v>
      </c>
      <c r="BO1570" s="66"/>
      <c r="BP1570" s="66"/>
    </row>
    <row r="1571" spans="1:68" ht="13.2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>
        <f t="shared" ref="AP1571:AQ1571" si="1564">AR1571+AT1571+AV1571</f>
        <v>0</v>
      </c>
      <c r="AQ1571" s="75">
        <f t="shared" si="1564"/>
        <v>0</v>
      </c>
      <c r="AR1571" s="75"/>
      <c r="AS1571" s="75"/>
      <c r="AT1571" s="75"/>
      <c r="AU1571" s="75"/>
      <c r="AV1571" s="75"/>
      <c r="AW1571" s="75"/>
      <c r="AX1571" s="75"/>
      <c r="AY1571" s="67">
        <f t="shared" ca="1" si="1"/>
        <v>0</v>
      </c>
      <c r="AZ1571" s="75"/>
      <c r="BA1571" s="67">
        <f t="shared" ca="1" si="2"/>
        <v>0</v>
      </c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8"/>
      <c r="BL1571" s="78">
        <f t="shared" ca="1" si="3"/>
        <v>0</v>
      </c>
      <c r="BM1571" s="78"/>
      <c r="BN1571" s="78">
        <f t="shared" ca="1" si="4"/>
        <v>0</v>
      </c>
      <c r="BO1571" s="66"/>
      <c r="BP1571" s="66"/>
    </row>
    <row r="1572" spans="1:68" ht="13.2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>
        <f t="shared" ref="AP1572:AQ1572" si="1565">AR1572+AT1572+AV1572</f>
        <v>0</v>
      </c>
      <c r="AQ1572" s="75">
        <f t="shared" si="1565"/>
        <v>0</v>
      </c>
      <c r="AR1572" s="75"/>
      <c r="AS1572" s="75"/>
      <c r="AT1572" s="75"/>
      <c r="AU1572" s="75"/>
      <c r="AV1572" s="75"/>
      <c r="AW1572" s="75"/>
      <c r="AX1572" s="75"/>
      <c r="AY1572" s="67">
        <f t="shared" ca="1" si="1"/>
        <v>0</v>
      </c>
      <c r="AZ1572" s="75"/>
      <c r="BA1572" s="67">
        <f t="shared" ca="1" si="2"/>
        <v>0</v>
      </c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8"/>
      <c r="BL1572" s="78">
        <f t="shared" ca="1" si="3"/>
        <v>0</v>
      </c>
      <c r="BM1572" s="78"/>
      <c r="BN1572" s="78">
        <f t="shared" ca="1" si="4"/>
        <v>0</v>
      </c>
      <c r="BO1572" s="66"/>
      <c r="BP1572" s="66"/>
    </row>
    <row r="1573" spans="1:68" ht="13.2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>
        <f t="shared" ref="AP1573:AQ1573" si="1566">AR1573+AT1573+AV1573</f>
        <v>0</v>
      </c>
      <c r="AQ1573" s="75">
        <f t="shared" si="1566"/>
        <v>0</v>
      </c>
      <c r="AR1573" s="75"/>
      <c r="AS1573" s="75"/>
      <c r="AT1573" s="75"/>
      <c r="AU1573" s="75"/>
      <c r="AV1573" s="75"/>
      <c r="AW1573" s="75"/>
      <c r="AX1573" s="75"/>
      <c r="AY1573" s="67">
        <f t="shared" ca="1" si="1"/>
        <v>0</v>
      </c>
      <c r="AZ1573" s="75"/>
      <c r="BA1573" s="67">
        <f t="shared" ca="1" si="2"/>
        <v>0</v>
      </c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8"/>
      <c r="BL1573" s="78">
        <f t="shared" ca="1" si="3"/>
        <v>0</v>
      </c>
      <c r="BM1573" s="78"/>
      <c r="BN1573" s="78">
        <f t="shared" ca="1" si="4"/>
        <v>0</v>
      </c>
      <c r="BO1573" s="66"/>
      <c r="BP1573" s="66"/>
    </row>
    <row r="1574" spans="1:68" ht="13.2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>
        <f t="shared" ref="AP1574:AQ1574" si="1567">AR1574+AT1574+AV1574</f>
        <v>0</v>
      </c>
      <c r="AQ1574" s="75">
        <f t="shared" si="1567"/>
        <v>0</v>
      </c>
      <c r="AR1574" s="75"/>
      <c r="AS1574" s="75"/>
      <c r="AT1574" s="75"/>
      <c r="AU1574" s="75"/>
      <c r="AV1574" s="75"/>
      <c r="AW1574" s="75"/>
      <c r="AX1574" s="75"/>
      <c r="AY1574" s="67">
        <f t="shared" ca="1" si="1"/>
        <v>0</v>
      </c>
      <c r="AZ1574" s="75"/>
      <c r="BA1574" s="67">
        <f t="shared" ca="1" si="2"/>
        <v>0</v>
      </c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8"/>
      <c r="BL1574" s="78">
        <f t="shared" ca="1" si="3"/>
        <v>0</v>
      </c>
      <c r="BM1574" s="78"/>
      <c r="BN1574" s="78">
        <f t="shared" ca="1" si="4"/>
        <v>0</v>
      </c>
      <c r="BO1574" s="66"/>
      <c r="BP1574" s="66"/>
    </row>
    <row r="1575" spans="1:68" ht="13.2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>
        <f t="shared" ref="AP1575:AQ1575" si="1568">AR1575+AT1575+AV1575</f>
        <v>0</v>
      </c>
      <c r="AQ1575" s="75">
        <f t="shared" si="1568"/>
        <v>0</v>
      </c>
      <c r="AR1575" s="75"/>
      <c r="AS1575" s="75"/>
      <c r="AT1575" s="75"/>
      <c r="AU1575" s="75"/>
      <c r="AV1575" s="75"/>
      <c r="AW1575" s="75"/>
      <c r="AX1575" s="75"/>
      <c r="AY1575" s="67">
        <f t="shared" ca="1" si="1"/>
        <v>0</v>
      </c>
      <c r="AZ1575" s="75"/>
      <c r="BA1575" s="67">
        <f t="shared" ca="1" si="2"/>
        <v>0</v>
      </c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8"/>
      <c r="BL1575" s="78">
        <f t="shared" ca="1" si="3"/>
        <v>0</v>
      </c>
      <c r="BM1575" s="78"/>
      <c r="BN1575" s="78">
        <f t="shared" ca="1" si="4"/>
        <v>0</v>
      </c>
      <c r="BO1575" s="66"/>
      <c r="BP1575" s="66"/>
    </row>
    <row r="1576" spans="1:68" ht="13.2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>
        <f t="shared" ref="AP1576:AQ1576" si="1569">AR1576+AT1576+AV1576</f>
        <v>0</v>
      </c>
      <c r="AQ1576" s="75">
        <f t="shared" si="1569"/>
        <v>0</v>
      </c>
      <c r="AR1576" s="75"/>
      <c r="AS1576" s="75"/>
      <c r="AT1576" s="75"/>
      <c r="AU1576" s="75"/>
      <c r="AV1576" s="75"/>
      <c r="AW1576" s="75"/>
      <c r="AX1576" s="75"/>
      <c r="AY1576" s="67">
        <f t="shared" ca="1" si="1"/>
        <v>0</v>
      </c>
      <c r="AZ1576" s="75"/>
      <c r="BA1576" s="67">
        <f t="shared" ca="1" si="2"/>
        <v>0</v>
      </c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8"/>
      <c r="BL1576" s="78">
        <f t="shared" ca="1" si="3"/>
        <v>0</v>
      </c>
      <c r="BM1576" s="78"/>
      <c r="BN1576" s="78">
        <f t="shared" ca="1" si="4"/>
        <v>0</v>
      </c>
      <c r="BO1576" s="66"/>
      <c r="BP1576" s="66"/>
    </row>
    <row r="1577" spans="1:68" ht="13.2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>
        <f t="shared" ref="AP1577:AQ1577" si="1570">AR1577+AT1577+AV1577</f>
        <v>0</v>
      </c>
      <c r="AQ1577" s="75">
        <f t="shared" si="1570"/>
        <v>0</v>
      </c>
      <c r="AR1577" s="75"/>
      <c r="AS1577" s="75"/>
      <c r="AT1577" s="75"/>
      <c r="AU1577" s="75"/>
      <c r="AV1577" s="75"/>
      <c r="AW1577" s="75"/>
      <c r="AX1577" s="75"/>
      <c r="AY1577" s="67">
        <f t="shared" ca="1" si="1"/>
        <v>0</v>
      </c>
      <c r="AZ1577" s="75"/>
      <c r="BA1577" s="67">
        <f t="shared" ca="1" si="2"/>
        <v>0</v>
      </c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8"/>
      <c r="BL1577" s="78">
        <f t="shared" ca="1" si="3"/>
        <v>0</v>
      </c>
      <c r="BM1577" s="78"/>
      <c r="BN1577" s="78">
        <f t="shared" ca="1" si="4"/>
        <v>0</v>
      </c>
      <c r="BO1577" s="66"/>
      <c r="BP1577" s="66"/>
    </row>
    <row r="1578" spans="1:68" ht="13.2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>
        <f t="shared" ref="AP1578:AQ1578" si="1571">AR1578+AT1578+AV1578</f>
        <v>0</v>
      </c>
      <c r="AQ1578" s="75">
        <f t="shared" si="1571"/>
        <v>0</v>
      </c>
      <c r="AR1578" s="75"/>
      <c r="AS1578" s="75"/>
      <c r="AT1578" s="75"/>
      <c r="AU1578" s="75"/>
      <c r="AV1578" s="75"/>
      <c r="AW1578" s="75"/>
      <c r="AX1578" s="75"/>
      <c r="AY1578" s="67">
        <f t="shared" ca="1" si="1"/>
        <v>0</v>
      </c>
      <c r="AZ1578" s="75"/>
      <c r="BA1578" s="67">
        <f t="shared" ca="1" si="2"/>
        <v>0</v>
      </c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8"/>
      <c r="BL1578" s="78">
        <f t="shared" ca="1" si="3"/>
        <v>0</v>
      </c>
      <c r="BM1578" s="78"/>
      <c r="BN1578" s="78">
        <f t="shared" ca="1" si="4"/>
        <v>0</v>
      </c>
      <c r="BO1578" s="66"/>
      <c r="BP1578" s="66"/>
    </row>
    <row r="1579" spans="1:68" ht="13.2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>
        <f t="shared" ref="AP1579:AQ1579" si="1572">AR1579+AT1579+AV1579</f>
        <v>0</v>
      </c>
      <c r="AQ1579" s="75">
        <f t="shared" si="1572"/>
        <v>0</v>
      </c>
      <c r="AR1579" s="75"/>
      <c r="AS1579" s="75"/>
      <c r="AT1579" s="75"/>
      <c r="AU1579" s="75"/>
      <c r="AV1579" s="75"/>
      <c r="AW1579" s="75"/>
      <c r="AX1579" s="75"/>
      <c r="AY1579" s="67">
        <f t="shared" ca="1" si="1"/>
        <v>0</v>
      </c>
      <c r="AZ1579" s="75"/>
      <c r="BA1579" s="67">
        <f t="shared" ca="1" si="2"/>
        <v>0</v>
      </c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8"/>
      <c r="BL1579" s="78">
        <f t="shared" ca="1" si="3"/>
        <v>0</v>
      </c>
      <c r="BM1579" s="78"/>
      <c r="BN1579" s="78">
        <f t="shared" ca="1" si="4"/>
        <v>0</v>
      </c>
      <c r="BO1579" s="66"/>
      <c r="BP1579" s="66"/>
    </row>
    <row r="1580" spans="1:68" ht="13.2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>
        <f t="shared" ref="AP1580:AQ1580" si="1573">AR1580+AT1580+AV1580</f>
        <v>0</v>
      </c>
      <c r="AQ1580" s="75">
        <f t="shared" si="1573"/>
        <v>0</v>
      </c>
      <c r="AR1580" s="75"/>
      <c r="AS1580" s="75"/>
      <c r="AT1580" s="75"/>
      <c r="AU1580" s="75"/>
      <c r="AV1580" s="75"/>
      <c r="AW1580" s="75"/>
      <c r="AX1580" s="75"/>
      <c r="AY1580" s="67">
        <f t="shared" ca="1" si="1"/>
        <v>0</v>
      </c>
      <c r="AZ1580" s="75"/>
      <c r="BA1580" s="67">
        <f t="shared" ca="1" si="2"/>
        <v>0</v>
      </c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8"/>
      <c r="BL1580" s="78">
        <f t="shared" ca="1" si="3"/>
        <v>0</v>
      </c>
      <c r="BM1580" s="78"/>
      <c r="BN1580" s="78">
        <f t="shared" ca="1" si="4"/>
        <v>0</v>
      </c>
      <c r="BO1580" s="66"/>
      <c r="BP1580" s="66"/>
    </row>
    <row r="1581" spans="1:68" ht="13.2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>
        <f t="shared" ref="AP1581:AQ1581" si="1574">AR1581+AT1581+AV1581</f>
        <v>0</v>
      </c>
      <c r="AQ1581" s="75">
        <f t="shared" si="1574"/>
        <v>0</v>
      </c>
      <c r="AR1581" s="75"/>
      <c r="AS1581" s="75"/>
      <c r="AT1581" s="75"/>
      <c r="AU1581" s="75"/>
      <c r="AV1581" s="75"/>
      <c r="AW1581" s="75"/>
      <c r="AX1581" s="75"/>
      <c r="AY1581" s="67">
        <f t="shared" ca="1" si="1"/>
        <v>0</v>
      </c>
      <c r="AZ1581" s="75"/>
      <c r="BA1581" s="67">
        <f t="shared" ca="1" si="2"/>
        <v>0</v>
      </c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8"/>
      <c r="BL1581" s="78">
        <f t="shared" ca="1" si="3"/>
        <v>0</v>
      </c>
      <c r="BM1581" s="78"/>
      <c r="BN1581" s="78">
        <f t="shared" ca="1" si="4"/>
        <v>0</v>
      </c>
      <c r="BO1581" s="66"/>
      <c r="BP1581" s="66"/>
    </row>
    <row r="1582" spans="1:68" ht="13.2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>
        <f t="shared" ref="AP1582:AQ1582" si="1575">AR1582+AT1582+AV1582</f>
        <v>0</v>
      </c>
      <c r="AQ1582" s="75">
        <f t="shared" si="1575"/>
        <v>0</v>
      </c>
      <c r="AR1582" s="75"/>
      <c r="AS1582" s="75"/>
      <c r="AT1582" s="75"/>
      <c r="AU1582" s="75"/>
      <c r="AV1582" s="75"/>
      <c r="AW1582" s="75"/>
      <c r="AX1582" s="75"/>
      <c r="AY1582" s="67">
        <f t="shared" ca="1" si="1"/>
        <v>0</v>
      </c>
      <c r="AZ1582" s="75"/>
      <c r="BA1582" s="67">
        <f t="shared" ca="1" si="2"/>
        <v>0</v>
      </c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8"/>
      <c r="BL1582" s="78">
        <f t="shared" ca="1" si="3"/>
        <v>0</v>
      </c>
      <c r="BM1582" s="78"/>
      <c r="BN1582" s="78">
        <f t="shared" ca="1" si="4"/>
        <v>0</v>
      </c>
      <c r="BO1582" s="66"/>
      <c r="BP1582" s="66"/>
    </row>
    <row r="1583" spans="1:68" ht="13.2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>
        <f t="shared" ref="AP1583:AQ1583" si="1576">AR1583+AT1583+AV1583</f>
        <v>0</v>
      </c>
      <c r="AQ1583" s="75">
        <f t="shared" si="1576"/>
        <v>0</v>
      </c>
      <c r="AR1583" s="75"/>
      <c r="AS1583" s="75"/>
      <c r="AT1583" s="75"/>
      <c r="AU1583" s="75"/>
      <c r="AV1583" s="75"/>
      <c r="AW1583" s="75"/>
      <c r="AX1583" s="75"/>
      <c r="AY1583" s="67">
        <f t="shared" ca="1" si="1"/>
        <v>0</v>
      </c>
      <c r="AZ1583" s="75"/>
      <c r="BA1583" s="67">
        <f t="shared" ca="1" si="2"/>
        <v>0</v>
      </c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8"/>
      <c r="BL1583" s="78">
        <f t="shared" ca="1" si="3"/>
        <v>0</v>
      </c>
      <c r="BM1583" s="78"/>
      <c r="BN1583" s="78">
        <f t="shared" ca="1" si="4"/>
        <v>0</v>
      </c>
      <c r="BO1583" s="66"/>
      <c r="BP1583" s="66"/>
    </row>
    <row r="1584" spans="1:68" ht="13.2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>
        <f t="shared" ref="AP1584:AQ1584" si="1577">AR1584+AT1584+AV1584</f>
        <v>0</v>
      </c>
      <c r="AQ1584" s="75">
        <f t="shared" si="1577"/>
        <v>0</v>
      </c>
      <c r="AR1584" s="75"/>
      <c r="AS1584" s="75"/>
      <c r="AT1584" s="75"/>
      <c r="AU1584" s="75"/>
      <c r="AV1584" s="75"/>
      <c r="AW1584" s="75"/>
      <c r="AX1584" s="75"/>
      <c r="AY1584" s="67">
        <f t="shared" ca="1" si="1"/>
        <v>0</v>
      </c>
      <c r="AZ1584" s="75"/>
      <c r="BA1584" s="67">
        <f t="shared" ca="1" si="2"/>
        <v>0</v>
      </c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8"/>
      <c r="BL1584" s="78">
        <f t="shared" ca="1" si="3"/>
        <v>0</v>
      </c>
      <c r="BM1584" s="78"/>
      <c r="BN1584" s="78">
        <f t="shared" ca="1" si="4"/>
        <v>0</v>
      </c>
      <c r="BO1584" s="66"/>
      <c r="BP1584" s="66"/>
    </row>
    <row r="1585" spans="1:68" ht="13.2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>
        <f t="shared" ref="AP1585:AQ1585" si="1578">AR1585+AT1585+AV1585</f>
        <v>0</v>
      </c>
      <c r="AQ1585" s="75">
        <f t="shared" si="1578"/>
        <v>0</v>
      </c>
      <c r="AR1585" s="75"/>
      <c r="AS1585" s="75"/>
      <c r="AT1585" s="75"/>
      <c r="AU1585" s="75"/>
      <c r="AV1585" s="75"/>
      <c r="AW1585" s="75"/>
      <c r="AX1585" s="75"/>
      <c r="AY1585" s="67">
        <f t="shared" ca="1" si="1"/>
        <v>0</v>
      </c>
      <c r="AZ1585" s="75"/>
      <c r="BA1585" s="67">
        <f t="shared" ca="1" si="2"/>
        <v>0</v>
      </c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8"/>
      <c r="BL1585" s="78">
        <f t="shared" ca="1" si="3"/>
        <v>0</v>
      </c>
      <c r="BM1585" s="78"/>
      <c r="BN1585" s="78">
        <f t="shared" ca="1" si="4"/>
        <v>0</v>
      </c>
      <c r="BO1585" s="66"/>
      <c r="BP1585" s="66"/>
    </row>
    <row r="1586" spans="1:68" ht="13.2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>
        <f t="shared" ref="AP1586:AQ1586" si="1579">AR1586+AT1586+AV1586</f>
        <v>0</v>
      </c>
      <c r="AQ1586" s="75">
        <f t="shared" si="1579"/>
        <v>0</v>
      </c>
      <c r="AR1586" s="75"/>
      <c r="AS1586" s="75"/>
      <c r="AT1586" s="75"/>
      <c r="AU1586" s="75"/>
      <c r="AV1586" s="75"/>
      <c r="AW1586" s="75"/>
      <c r="AX1586" s="75"/>
      <c r="AY1586" s="67">
        <f t="shared" ca="1" si="1"/>
        <v>0</v>
      </c>
      <c r="AZ1586" s="75"/>
      <c r="BA1586" s="67">
        <f t="shared" ca="1" si="2"/>
        <v>0</v>
      </c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8"/>
      <c r="BL1586" s="78">
        <f t="shared" ca="1" si="3"/>
        <v>0</v>
      </c>
      <c r="BM1586" s="78"/>
      <c r="BN1586" s="78">
        <f t="shared" ca="1" si="4"/>
        <v>0</v>
      </c>
      <c r="BO1586" s="66"/>
      <c r="BP1586" s="66"/>
    </row>
    <row r="1587" spans="1:68" ht="13.2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>
        <f t="shared" ref="AP1587:AQ1587" si="1580">AR1587+AT1587+AV1587</f>
        <v>0</v>
      </c>
      <c r="AQ1587" s="75">
        <f t="shared" si="1580"/>
        <v>0</v>
      </c>
      <c r="AR1587" s="75"/>
      <c r="AS1587" s="75"/>
      <c r="AT1587" s="75"/>
      <c r="AU1587" s="75"/>
      <c r="AV1587" s="75"/>
      <c r="AW1587" s="75"/>
      <c r="AX1587" s="75"/>
      <c r="AY1587" s="67">
        <f t="shared" ca="1" si="1"/>
        <v>0</v>
      </c>
      <c r="AZ1587" s="75"/>
      <c r="BA1587" s="67">
        <f t="shared" ca="1" si="2"/>
        <v>0</v>
      </c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8"/>
      <c r="BL1587" s="78">
        <f t="shared" ca="1" si="3"/>
        <v>0</v>
      </c>
      <c r="BM1587" s="78"/>
      <c r="BN1587" s="78">
        <f t="shared" ca="1" si="4"/>
        <v>0</v>
      </c>
      <c r="BO1587" s="66"/>
      <c r="BP1587" s="66"/>
    </row>
    <row r="1588" spans="1:68" ht="13.2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>
        <f t="shared" ref="AP1588:AQ1588" si="1581">AR1588+AT1588+AV1588</f>
        <v>0</v>
      </c>
      <c r="AQ1588" s="75">
        <f t="shared" si="1581"/>
        <v>0</v>
      </c>
      <c r="AR1588" s="75"/>
      <c r="AS1588" s="75"/>
      <c r="AT1588" s="75"/>
      <c r="AU1588" s="75"/>
      <c r="AV1588" s="75"/>
      <c r="AW1588" s="75"/>
      <c r="AX1588" s="75"/>
      <c r="AY1588" s="67">
        <f t="shared" ca="1" si="1"/>
        <v>0</v>
      </c>
      <c r="AZ1588" s="75"/>
      <c r="BA1588" s="67">
        <f t="shared" ca="1" si="2"/>
        <v>0</v>
      </c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8"/>
      <c r="BL1588" s="78">
        <f t="shared" ca="1" si="3"/>
        <v>0</v>
      </c>
      <c r="BM1588" s="78"/>
      <c r="BN1588" s="78">
        <f t="shared" ca="1" si="4"/>
        <v>0</v>
      </c>
      <c r="BO1588" s="66"/>
      <c r="BP1588" s="66"/>
    </row>
    <row r="1589" spans="1:68" ht="13.2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>
        <f t="shared" ref="AP1589:AQ1589" si="1582">AR1589+AT1589+AV1589</f>
        <v>0</v>
      </c>
      <c r="AQ1589" s="75">
        <f t="shared" si="1582"/>
        <v>0</v>
      </c>
      <c r="AR1589" s="75"/>
      <c r="AS1589" s="75"/>
      <c r="AT1589" s="75"/>
      <c r="AU1589" s="75"/>
      <c r="AV1589" s="75"/>
      <c r="AW1589" s="75"/>
      <c r="AX1589" s="75"/>
      <c r="AY1589" s="67">
        <f t="shared" ca="1" si="1"/>
        <v>0</v>
      </c>
      <c r="AZ1589" s="75"/>
      <c r="BA1589" s="67">
        <f t="shared" ca="1" si="2"/>
        <v>0</v>
      </c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8"/>
      <c r="BL1589" s="78">
        <f t="shared" ca="1" si="3"/>
        <v>0</v>
      </c>
      <c r="BM1589" s="78"/>
      <c r="BN1589" s="78">
        <f t="shared" ca="1" si="4"/>
        <v>0</v>
      </c>
      <c r="BO1589" s="66"/>
      <c r="BP1589" s="66"/>
    </row>
    <row r="1590" spans="1:68" ht="13.2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>
        <f t="shared" ref="AP1590:AQ1590" si="1583">AR1590+AT1590+AV1590</f>
        <v>0</v>
      </c>
      <c r="AQ1590" s="75">
        <f t="shared" si="1583"/>
        <v>0</v>
      </c>
      <c r="AR1590" s="75"/>
      <c r="AS1590" s="75"/>
      <c r="AT1590" s="75"/>
      <c r="AU1590" s="75"/>
      <c r="AV1590" s="75"/>
      <c r="AW1590" s="75"/>
      <c r="AX1590" s="75"/>
      <c r="AY1590" s="67">
        <f t="shared" ca="1" si="1"/>
        <v>0</v>
      </c>
      <c r="AZ1590" s="75"/>
      <c r="BA1590" s="67">
        <f t="shared" ca="1" si="2"/>
        <v>0</v>
      </c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8"/>
      <c r="BL1590" s="78">
        <f t="shared" ca="1" si="3"/>
        <v>0</v>
      </c>
      <c r="BM1590" s="78"/>
      <c r="BN1590" s="78">
        <f t="shared" ca="1" si="4"/>
        <v>0</v>
      </c>
      <c r="BO1590" s="66"/>
      <c r="BP1590" s="66"/>
    </row>
    <row r="1591" spans="1:68" ht="13.2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>
        <f t="shared" ref="AP1591:AQ1591" si="1584">AR1591+AT1591+AV1591</f>
        <v>0</v>
      </c>
      <c r="AQ1591" s="75">
        <f t="shared" si="1584"/>
        <v>0</v>
      </c>
      <c r="AR1591" s="75"/>
      <c r="AS1591" s="75"/>
      <c r="AT1591" s="75"/>
      <c r="AU1591" s="75"/>
      <c r="AV1591" s="75"/>
      <c r="AW1591" s="75"/>
      <c r="AX1591" s="75"/>
      <c r="AY1591" s="67">
        <f t="shared" ca="1" si="1"/>
        <v>0</v>
      </c>
      <c r="AZ1591" s="75"/>
      <c r="BA1591" s="67">
        <f t="shared" ca="1" si="2"/>
        <v>0</v>
      </c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8"/>
      <c r="BL1591" s="78">
        <f t="shared" ca="1" si="3"/>
        <v>0</v>
      </c>
      <c r="BM1591" s="78"/>
      <c r="BN1591" s="78">
        <f t="shared" ca="1" si="4"/>
        <v>0</v>
      </c>
      <c r="BO1591" s="66"/>
      <c r="BP1591" s="66"/>
    </row>
    <row r="1592" spans="1:68" ht="13.2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>
        <f t="shared" ref="AP1592:AQ1592" si="1585">AR1592+AT1592+AV1592</f>
        <v>0</v>
      </c>
      <c r="AQ1592" s="75">
        <f t="shared" si="1585"/>
        <v>0</v>
      </c>
      <c r="AR1592" s="75"/>
      <c r="AS1592" s="75"/>
      <c r="AT1592" s="75"/>
      <c r="AU1592" s="75"/>
      <c r="AV1592" s="75"/>
      <c r="AW1592" s="75"/>
      <c r="AX1592" s="75"/>
      <c r="AY1592" s="67">
        <f t="shared" ca="1" si="1"/>
        <v>0</v>
      </c>
      <c r="AZ1592" s="75"/>
      <c r="BA1592" s="67">
        <f t="shared" ca="1" si="2"/>
        <v>0</v>
      </c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8"/>
      <c r="BL1592" s="78">
        <f t="shared" ca="1" si="3"/>
        <v>0</v>
      </c>
      <c r="BM1592" s="78"/>
      <c r="BN1592" s="78">
        <f t="shared" ca="1" si="4"/>
        <v>0</v>
      </c>
      <c r="BO1592" s="66"/>
      <c r="BP1592" s="66"/>
    </row>
    <row r="1593" spans="1:68" ht="13.2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>
        <f t="shared" ref="AP1593:AQ1593" si="1586">AR1593+AT1593+AV1593</f>
        <v>0</v>
      </c>
      <c r="AQ1593" s="75">
        <f t="shared" si="1586"/>
        <v>0</v>
      </c>
      <c r="AR1593" s="75"/>
      <c r="AS1593" s="75"/>
      <c r="AT1593" s="75"/>
      <c r="AU1593" s="75"/>
      <c r="AV1593" s="75"/>
      <c r="AW1593" s="75"/>
      <c r="AX1593" s="75"/>
      <c r="AY1593" s="67">
        <f t="shared" ca="1" si="1"/>
        <v>0</v>
      </c>
      <c r="AZ1593" s="75"/>
      <c r="BA1593" s="67">
        <f t="shared" ca="1" si="2"/>
        <v>0</v>
      </c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8"/>
      <c r="BL1593" s="78">
        <f t="shared" ca="1" si="3"/>
        <v>0</v>
      </c>
      <c r="BM1593" s="78"/>
      <c r="BN1593" s="78">
        <f t="shared" ca="1" si="4"/>
        <v>0</v>
      </c>
      <c r="BO1593" s="66"/>
      <c r="BP1593" s="66"/>
    </row>
    <row r="1594" spans="1:68" ht="13.2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>
        <f t="shared" ref="AP1594:AQ1594" si="1587">AR1594+AT1594+AV1594</f>
        <v>0</v>
      </c>
      <c r="AQ1594" s="75">
        <f t="shared" si="1587"/>
        <v>0</v>
      </c>
      <c r="AR1594" s="75"/>
      <c r="AS1594" s="75"/>
      <c r="AT1594" s="75"/>
      <c r="AU1594" s="75"/>
      <c r="AV1594" s="75"/>
      <c r="AW1594" s="75"/>
      <c r="AX1594" s="75"/>
      <c r="AY1594" s="67">
        <f t="shared" ca="1" si="1"/>
        <v>0</v>
      </c>
      <c r="AZ1594" s="75"/>
      <c r="BA1594" s="67">
        <f t="shared" ca="1" si="2"/>
        <v>0</v>
      </c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8"/>
      <c r="BL1594" s="78">
        <f t="shared" ca="1" si="3"/>
        <v>0</v>
      </c>
      <c r="BM1594" s="78"/>
      <c r="BN1594" s="78">
        <f t="shared" ca="1" si="4"/>
        <v>0</v>
      </c>
      <c r="BO1594" s="66"/>
      <c r="BP1594" s="66"/>
    </row>
    <row r="1595" spans="1:68" ht="13.2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>
        <f t="shared" ref="AP1595:AQ1595" si="1588">AR1595+AT1595+AV1595</f>
        <v>0</v>
      </c>
      <c r="AQ1595" s="75">
        <f t="shared" si="1588"/>
        <v>0</v>
      </c>
      <c r="AR1595" s="75"/>
      <c r="AS1595" s="75"/>
      <c r="AT1595" s="75"/>
      <c r="AU1595" s="75"/>
      <c r="AV1595" s="75"/>
      <c r="AW1595" s="75"/>
      <c r="AX1595" s="75"/>
      <c r="AY1595" s="67">
        <f t="shared" ca="1" si="1"/>
        <v>0</v>
      </c>
      <c r="AZ1595" s="75"/>
      <c r="BA1595" s="67">
        <f t="shared" ca="1" si="2"/>
        <v>0</v>
      </c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8"/>
      <c r="BL1595" s="78">
        <f t="shared" ca="1" si="3"/>
        <v>0</v>
      </c>
      <c r="BM1595" s="78"/>
      <c r="BN1595" s="78">
        <f t="shared" ca="1" si="4"/>
        <v>0</v>
      </c>
      <c r="BO1595" s="66"/>
      <c r="BP1595" s="66"/>
    </row>
    <row r="1596" spans="1:68" ht="13.2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>
        <f t="shared" ref="AP1596:AQ1596" si="1589">AR1596+AT1596+AV1596</f>
        <v>0</v>
      </c>
      <c r="AQ1596" s="75">
        <f t="shared" si="1589"/>
        <v>0</v>
      </c>
      <c r="AR1596" s="75"/>
      <c r="AS1596" s="75"/>
      <c r="AT1596" s="75"/>
      <c r="AU1596" s="75"/>
      <c r="AV1596" s="75"/>
      <c r="AW1596" s="75"/>
      <c r="AX1596" s="75"/>
      <c r="AY1596" s="67">
        <f t="shared" ca="1" si="1"/>
        <v>0</v>
      </c>
      <c r="AZ1596" s="75"/>
      <c r="BA1596" s="67">
        <f t="shared" ca="1" si="2"/>
        <v>0</v>
      </c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8"/>
      <c r="BL1596" s="78">
        <f t="shared" ca="1" si="3"/>
        <v>0</v>
      </c>
      <c r="BM1596" s="78"/>
      <c r="BN1596" s="78">
        <f t="shared" ca="1" si="4"/>
        <v>0</v>
      </c>
      <c r="BO1596" s="66"/>
      <c r="BP1596" s="66"/>
    </row>
    <row r="1597" spans="1:68" ht="13.2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>
        <f t="shared" ref="AP1597:AQ1597" si="1590">AR1597+AT1597+AV1597</f>
        <v>0</v>
      </c>
      <c r="AQ1597" s="75">
        <f t="shared" si="1590"/>
        <v>0</v>
      </c>
      <c r="AR1597" s="75"/>
      <c r="AS1597" s="75"/>
      <c r="AT1597" s="75"/>
      <c r="AU1597" s="75"/>
      <c r="AV1597" s="75"/>
      <c r="AW1597" s="75"/>
      <c r="AX1597" s="75"/>
      <c r="AY1597" s="67">
        <f t="shared" ca="1" si="1"/>
        <v>0</v>
      </c>
      <c r="AZ1597" s="75"/>
      <c r="BA1597" s="67">
        <f t="shared" ca="1" si="2"/>
        <v>0</v>
      </c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8"/>
      <c r="BL1597" s="78">
        <f t="shared" ca="1" si="3"/>
        <v>0</v>
      </c>
      <c r="BM1597" s="78"/>
      <c r="BN1597" s="78">
        <f t="shared" ca="1" si="4"/>
        <v>0</v>
      </c>
      <c r="BO1597" s="66"/>
      <c r="BP1597" s="66"/>
    </row>
    <row r="1598" spans="1:68" ht="13.2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>
        <f t="shared" ref="AP1598:AQ1598" si="1591">AR1598+AT1598+AV1598</f>
        <v>0</v>
      </c>
      <c r="AQ1598" s="75">
        <f t="shared" si="1591"/>
        <v>0</v>
      </c>
      <c r="AR1598" s="75"/>
      <c r="AS1598" s="75"/>
      <c r="AT1598" s="75"/>
      <c r="AU1598" s="75"/>
      <c r="AV1598" s="75"/>
      <c r="AW1598" s="75"/>
      <c r="AX1598" s="75"/>
      <c r="AY1598" s="67">
        <f t="shared" ca="1" si="1"/>
        <v>0</v>
      </c>
      <c r="AZ1598" s="75"/>
      <c r="BA1598" s="67">
        <f t="shared" ca="1" si="2"/>
        <v>0</v>
      </c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8"/>
      <c r="BL1598" s="78">
        <f t="shared" ca="1" si="3"/>
        <v>0</v>
      </c>
      <c r="BM1598" s="78"/>
      <c r="BN1598" s="78">
        <f t="shared" ca="1" si="4"/>
        <v>0</v>
      </c>
      <c r="BO1598" s="66"/>
      <c r="BP1598" s="66"/>
    </row>
    <row r="1599" spans="1:68" ht="13.2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>
        <f t="shared" ref="AP1599:AQ1599" si="1592">AR1599+AT1599+AV1599</f>
        <v>0</v>
      </c>
      <c r="AQ1599" s="75">
        <f t="shared" si="1592"/>
        <v>0</v>
      </c>
      <c r="AR1599" s="75"/>
      <c r="AS1599" s="75"/>
      <c r="AT1599" s="75"/>
      <c r="AU1599" s="75"/>
      <c r="AV1599" s="75"/>
      <c r="AW1599" s="75"/>
      <c r="AX1599" s="75"/>
      <c r="AY1599" s="67">
        <f t="shared" ca="1" si="1"/>
        <v>0</v>
      </c>
      <c r="AZ1599" s="75"/>
      <c r="BA1599" s="67">
        <f t="shared" ca="1" si="2"/>
        <v>0</v>
      </c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8"/>
      <c r="BL1599" s="78">
        <f t="shared" ca="1" si="3"/>
        <v>0</v>
      </c>
      <c r="BM1599" s="78"/>
      <c r="BN1599" s="78">
        <f t="shared" ca="1" si="4"/>
        <v>0</v>
      </c>
      <c r="BO1599" s="66"/>
      <c r="BP1599" s="66"/>
    </row>
    <row r="1600" spans="1:68" ht="13.2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>
        <f t="shared" ref="AP1600:AQ1600" si="1593">AR1600+AT1600+AV1600</f>
        <v>0</v>
      </c>
      <c r="AQ1600" s="75">
        <f t="shared" si="1593"/>
        <v>0</v>
      </c>
      <c r="AR1600" s="75"/>
      <c r="AS1600" s="75"/>
      <c r="AT1600" s="75"/>
      <c r="AU1600" s="75"/>
      <c r="AV1600" s="75"/>
      <c r="AW1600" s="75"/>
      <c r="AX1600" s="75"/>
      <c r="AY1600" s="67">
        <f t="shared" ca="1" si="1"/>
        <v>0</v>
      </c>
      <c r="AZ1600" s="75"/>
      <c r="BA1600" s="67">
        <f t="shared" ca="1" si="2"/>
        <v>0</v>
      </c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8"/>
      <c r="BL1600" s="78">
        <f t="shared" ca="1" si="3"/>
        <v>0</v>
      </c>
      <c r="BM1600" s="78"/>
      <c r="BN1600" s="78">
        <f t="shared" ca="1" si="4"/>
        <v>0</v>
      </c>
      <c r="BO1600" s="66"/>
      <c r="BP1600" s="66"/>
    </row>
    <row r="1601" spans="1:68" ht="13.2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>
        <f t="shared" ref="AP1601:AQ1601" si="1594">AR1601+AT1601+AV1601</f>
        <v>0</v>
      </c>
      <c r="AQ1601" s="75">
        <f t="shared" si="1594"/>
        <v>0</v>
      </c>
      <c r="AR1601" s="75"/>
      <c r="AS1601" s="75"/>
      <c r="AT1601" s="75"/>
      <c r="AU1601" s="75"/>
      <c r="AV1601" s="75"/>
      <c r="AW1601" s="75"/>
      <c r="AX1601" s="75"/>
      <c r="AY1601" s="67">
        <f t="shared" ca="1" si="1"/>
        <v>0</v>
      </c>
      <c r="AZ1601" s="75"/>
      <c r="BA1601" s="67">
        <f t="shared" ca="1" si="2"/>
        <v>0</v>
      </c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8"/>
      <c r="BL1601" s="78">
        <f t="shared" ca="1" si="3"/>
        <v>0</v>
      </c>
      <c r="BM1601" s="78"/>
      <c r="BN1601" s="78">
        <f t="shared" ca="1" si="4"/>
        <v>0</v>
      </c>
      <c r="BO1601" s="66"/>
      <c r="BP1601" s="66"/>
    </row>
    <row r="1602" spans="1:68" ht="13.2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>
        <f t="shared" ref="AP1602:AQ1602" si="1595">AR1602+AT1602+AV1602</f>
        <v>0</v>
      </c>
      <c r="AQ1602" s="75">
        <f t="shared" si="1595"/>
        <v>0</v>
      </c>
      <c r="AR1602" s="75"/>
      <c r="AS1602" s="75"/>
      <c r="AT1602" s="75"/>
      <c r="AU1602" s="75"/>
      <c r="AV1602" s="75"/>
      <c r="AW1602" s="75"/>
      <c r="AX1602" s="75"/>
      <c r="AY1602" s="67">
        <f t="shared" ca="1" si="1"/>
        <v>0</v>
      </c>
      <c r="AZ1602" s="75"/>
      <c r="BA1602" s="67">
        <f t="shared" ca="1" si="2"/>
        <v>0</v>
      </c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8"/>
      <c r="BL1602" s="78">
        <f t="shared" ca="1" si="3"/>
        <v>0</v>
      </c>
      <c r="BM1602" s="78"/>
      <c r="BN1602" s="78">
        <f t="shared" ca="1" si="4"/>
        <v>0</v>
      </c>
      <c r="BO1602" s="66"/>
      <c r="BP1602" s="66"/>
    </row>
    <row r="1603" spans="1:68" ht="13.2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>
        <f t="shared" ref="AP1603:AQ1603" si="1596">AR1603+AT1603+AV1603</f>
        <v>0</v>
      </c>
      <c r="AQ1603" s="75">
        <f t="shared" si="1596"/>
        <v>0</v>
      </c>
      <c r="AR1603" s="75"/>
      <c r="AS1603" s="75"/>
      <c r="AT1603" s="75"/>
      <c r="AU1603" s="75"/>
      <c r="AV1603" s="75"/>
      <c r="AW1603" s="75"/>
      <c r="AX1603" s="75"/>
      <c r="AY1603" s="67">
        <f t="shared" ca="1" si="1"/>
        <v>0</v>
      </c>
      <c r="AZ1603" s="75"/>
      <c r="BA1603" s="67">
        <f t="shared" ca="1" si="2"/>
        <v>0</v>
      </c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8"/>
      <c r="BL1603" s="78">
        <f t="shared" ca="1" si="3"/>
        <v>0</v>
      </c>
      <c r="BM1603" s="78"/>
      <c r="BN1603" s="78">
        <f t="shared" ca="1" si="4"/>
        <v>0</v>
      </c>
      <c r="BO1603" s="66"/>
      <c r="BP1603" s="66"/>
    </row>
    <row r="1604" spans="1:68" ht="13.2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>
        <f t="shared" ref="AP1604:AQ1604" si="1597">AR1604+AT1604+AV1604</f>
        <v>0</v>
      </c>
      <c r="AQ1604" s="75">
        <f t="shared" si="1597"/>
        <v>0</v>
      </c>
      <c r="AR1604" s="75"/>
      <c r="AS1604" s="75"/>
      <c r="AT1604" s="75"/>
      <c r="AU1604" s="75"/>
      <c r="AV1604" s="75"/>
      <c r="AW1604" s="75"/>
      <c r="AX1604" s="75"/>
      <c r="AY1604" s="67">
        <f t="shared" ca="1" si="1"/>
        <v>0</v>
      </c>
      <c r="AZ1604" s="75"/>
      <c r="BA1604" s="67">
        <f t="shared" ca="1" si="2"/>
        <v>0</v>
      </c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8"/>
      <c r="BL1604" s="78">
        <f t="shared" ca="1" si="3"/>
        <v>0</v>
      </c>
      <c r="BM1604" s="78"/>
      <c r="BN1604" s="78">
        <f t="shared" ca="1" si="4"/>
        <v>0</v>
      </c>
      <c r="BO1604" s="66"/>
      <c r="BP1604" s="66"/>
    </row>
    <row r="1605" spans="1:68" ht="13.2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>
        <f t="shared" ref="AP1605:AQ1605" si="1598">AR1605+AT1605+AV1605</f>
        <v>0</v>
      </c>
      <c r="AQ1605" s="75">
        <f t="shared" si="1598"/>
        <v>0</v>
      </c>
      <c r="AR1605" s="75"/>
      <c r="AS1605" s="75"/>
      <c r="AT1605" s="75"/>
      <c r="AU1605" s="75"/>
      <c r="AV1605" s="75"/>
      <c r="AW1605" s="75"/>
      <c r="AX1605" s="75"/>
      <c r="AY1605" s="67">
        <f t="shared" ca="1" si="1"/>
        <v>0</v>
      </c>
      <c r="AZ1605" s="75"/>
      <c r="BA1605" s="67">
        <f t="shared" ca="1" si="2"/>
        <v>0</v>
      </c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8"/>
      <c r="BL1605" s="78">
        <f t="shared" ca="1" si="3"/>
        <v>0</v>
      </c>
      <c r="BM1605" s="78"/>
      <c r="BN1605" s="78">
        <f t="shared" ca="1" si="4"/>
        <v>0</v>
      </c>
      <c r="BO1605" s="66"/>
      <c r="BP1605" s="66"/>
    </row>
    <row r="1606" spans="1:68" ht="13.2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>
        <f t="shared" ref="AP1606:AQ1606" si="1599">AR1606+AT1606+AV1606</f>
        <v>0</v>
      </c>
      <c r="AQ1606" s="75">
        <f t="shared" si="1599"/>
        <v>0</v>
      </c>
      <c r="AR1606" s="75"/>
      <c r="AS1606" s="75"/>
      <c r="AT1606" s="75"/>
      <c r="AU1606" s="75"/>
      <c r="AV1606" s="75"/>
      <c r="AW1606" s="75"/>
      <c r="AX1606" s="75"/>
      <c r="AY1606" s="67">
        <f t="shared" ca="1" si="1"/>
        <v>0</v>
      </c>
      <c r="AZ1606" s="75"/>
      <c r="BA1606" s="67">
        <f t="shared" ca="1" si="2"/>
        <v>0</v>
      </c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8"/>
      <c r="BL1606" s="78">
        <f t="shared" ca="1" si="3"/>
        <v>0</v>
      </c>
      <c r="BM1606" s="78"/>
      <c r="BN1606" s="78">
        <f t="shared" ca="1" si="4"/>
        <v>0</v>
      </c>
      <c r="BO1606" s="66"/>
      <c r="BP1606" s="66"/>
    </row>
    <row r="1607" spans="1:68" ht="13.2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>
        <f t="shared" ref="AP1607:AQ1607" si="1600">AR1607+AT1607+AV1607</f>
        <v>0</v>
      </c>
      <c r="AQ1607" s="75">
        <f t="shared" si="1600"/>
        <v>0</v>
      </c>
      <c r="AR1607" s="75"/>
      <c r="AS1607" s="75"/>
      <c r="AT1607" s="75"/>
      <c r="AU1607" s="75"/>
      <c r="AV1607" s="75"/>
      <c r="AW1607" s="75"/>
      <c r="AX1607" s="75"/>
      <c r="AY1607" s="67">
        <f t="shared" ca="1" si="1"/>
        <v>0</v>
      </c>
      <c r="AZ1607" s="75"/>
      <c r="BA1607" s="67">
        <f t="shared" ca="1" si="2"/>
        <v>0</v>
      </c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8"/>
      <c r="BL1607" s="78">
        <f t="shared" ca="1" si="3"/>
        <v>0</v>
      </c>
      <c r="BM1607" s="78"/>
      <c r="BN1607" s="78">
        <f t="shared" ca="1" si="4"/>
        <v>0</v>
      </c>
      <c r="BO1607" s="66"/>
      <c r="BP1607" s="66"/>
    </row>
    <row r="1608" spans="1:68" ht="13.2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>
        <f t="shared" ref="AP1608:AQ1608" si="1601">AR1608+AT1608+AV1608</f>
        <v>0</v>
      </c>
      <c r="AQ1608" s="75">
        <f t="shared" si="1601"/>
        <v>0</v>
      </c>
      <c r="AR1608" s="75"/>
      <c r="AS1608" s="75"/>
      <c r="AT1608" s="75"/>
      <c r="AU1608" s="75"/>
      <c r="AV1608" s="75"/>
      <c r="AW1608" s="75"/>
      <c r="AX1608" s="75"/>
      <c r="AY1608" s="67">
        <f t="shared" ca="1" si="1"/>
        <v>0</v>
      </c>
      <c r="AZ1608" s="75"/>
      <c r="BA1608" s="67">
        <f t="shared" ca="1" si="2"/>
        <v>0</v>
      </c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8"/>
      <c r="BL1608" s="78">
        <f t="shared" ca="1" si="3"/>
        <v>0</v>
      </c>
      <c r="BM1608" s="78"/>
      <c r="BN1608" s="78">
        <f t="shared" ca="1" si="4"/>
        <v>0</v>
      </c>
      <c r="BO1608" s="66"/>
      <c r="BP1608" s="66"/>
    </row>
    <row r="1609" spans="1:68" ht="13.2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>
        <f t="shared" ref="AP1609:AQ1609" si="1602">AR1609+AT1609+AV1609</f>
        <v>0</v>
      </c>
      <c r="AQ1609" s="75">
        <f t="shared" si="1602"/>
        <v>0</v>
      </c>
      <c r="AR1609" s="75"/>
      <c r="AS1609" s="75"/>
      <c r="AT1609" s="75"/>
      <c r="AU1609" s="75"/>
      <c r="AV1609" s="75"/>
      <c r="AW1609" s="75"/>
      <c r="AX1609" s="75"/>
      <c r="AY1609" s="67">
        <f t="shared" ca="1" si="1"/>
        <v>0</v>
      </c>
      <c r="AZ1609" s="75"/>
      <c r="BA1609" s="67">
        <f t="shared" ca="1" si="2"/>
        <v>0</v>
      </c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8"/>
      <c r="BL1609" s="78">
        <f t="shared" ca="1" si="3"/>
        <v>0</v>
      </c>
      <c r="BM1609" s="78"/>
      <c r="BN1609" s="78">
        <f t="shared" ca="1" si="4"/>
        <v>0</v>
      </c>
      <c r="BO1609" s="66"/>
      <c r="BP1609" s="66"/>
    </row>
    <row r="1610" spans="1:68" ht="13.2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>
        <f t="shared" ref="AP1610:AQ1610" si="1603">AR1610+AT1610+AV1610</f>
        <v>0</v>
      </c>
      <c r="AQ1610" s="75">
        <f t="shared" si="1603"/>
        <v>0</v>
      </c>
      <c r="AR1610" s="75"/>
      <c r="AS1610" s="75"/>
      <c r="AT1610" s="75"/>
      <c r="AU1610" s="75"/>
      <c r="AV1610" s="75"/>
      <c r="AW1610" s="75"/>
      <c r="AX1610" s="75"/>
      <c r="AY1610" s="67">
        <f t="shared" ca="1" si="1"/>
        <v>0</v>
      </c>
      <c r="AZ1610" s="75"/>
      <c r="BA1610" s="67">
        <f t="shared" ca="1" si="2"/>
        <v>0</v>
      </c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8"/>
      <c r="BL1610" s="78">
        <f t="shared" ca="1" si="3"/>
        <v>0</v>
      </c>
      <c r="BM1610" s="78"/>
      <c r="BN1610" s="78">
        <f t="shared" ca="1" si="4"/>
        <v>0</v>
      </c>
      <c r="BO1610" s="66"/>
      <c r="BP1610" s="66"/>
    </row>
    <row r="1611" spans="1:68" ht="13.2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>
        <f t="shared" ref="AP1611:AQ1611" si="1604">AR1611+AT1611+AV1611</f>
        <v>0</v>
      </c>
      <c r="AQ1611" s="75">
        <f t="shared" si="1604"/>
        <v>0</v>
      </c>
      <c r="AR1611" s="75"/>
      <c r="AS1611" s="75"/>
      <c r="AT1611" s="75"/>
      <c r="AU1611" s="75"/>
      <c r="AV1611" s="75"/>
      <c r="AW1611" s="75"/>
      <c r="AX1611" s="75"/>
      <c r="AY1611" s="67">
        <f t="shared" ca="1" si="1"/>
        <v>0</v>
      </c>
      <c r="AZ1611" s="75"/>
      <c r="BA1611" s="67">
        <f t="shared" ca="1" si="2"/>
        <v>0</v>
      </c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8"/>
      <c r="BL1611" s="78">
        <f t="shared" ca="1" si="3"/>
        <v>0</v>
      </c>
      <c r="BM1611" s="78"/>
      <c r="BN1611" s="78">
        <f t="shared" ca="1" si="4"/>
        <v>0</v>
      </c>
      <c r="BO1611" s="66"/>
      <c r="BP1611" s="66"/>
    </row>
    <row r="1612" spans="1:68" ht="13.2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>
        <f t="shared" ref="AP1612:AQ1612" si="1605">AR1612+AT1612+AV1612</f>
        <v>0</v>
      </c>
      <c r="AQ1612" s="75">
        <f t="shared" si="1605"/>
        <v>0</v>
      </c>
      <c r="AR1612" s="75"/>
      <c r="AS1612" s="75"/>
      <c r="AT1612" s="75"/>
      <c r="AU1612" s="75"/>
      <c r="AV1612" s="75"/>
      <c r="AW1612" s="75"/>
      <c r="AX1612" s="75"/>
      <c r="AY1612" s="67">
        <f t="shared" ca="1" si="1"/>
        <v>0</v>
      </c>
      <c r="AZ1612" s="75"/>
      <c r="BA1612" s="67">
        <f t="shared" ca="1" si="2"/>
        <v>0</v>
      </c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8"/>
      <c r="BL1612" s="78">
        <f t="shared" ca="1" si="3"/>
        <v>0</v>
      </c>
      <c r="BM1612" s="78"/>
      <c r="BN1612" s="78">
        <f t="shared" ca="1" si="4"/>
        <v>0</v>
      </c>
      <c r="BO1612" s="66"/>
      <c r="BP1612" s="66"/>
    </row>
    <row r="1613" spans="1:68" ht="13.2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>
        <f t="shared" ref="AP1613:AQ1613" si="1606">AR1613+AT1613+AV1613</f>
        <v>0</v>
      </c>
      <c r="AQ1613" s="75">
        <f t="shared" si="1606"/>
        <v>0</v>
      </c>
      <c r="AR1613" s="75"/>
      <c r="AS1613" s="75"/>
      <c r="AT1613" s="75"/>
      <c r="AU1613" s="75"/>
      <c r="AV1613" s="75"/>
      <c r="AW1613" s="75"/>
      <c r="AX1613" s="75"/>
      <c r="AY1613" s="67">
        <f t="shared" ca="1" si="1"/>
        <v>0</v>
      </c>
      <c r="AZ1613" s="75"/>
      <c r="BA1613" s="67">
        <f t="shared" ca="1" si="2"/>
        <v>0</v>
      </c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8"/>
      <c r="BL1613" s="78">
        <f t="shared" ca="1" si="3"/>
        <v>0</v>
      </c>
      <c r="BM1613" s="78"/>
      <c r="BN1613" s="78">
        <f t="shared" ca="1" si="4"/>
        <v>0</v>
      </c>
      <c r="BO1613" s="66"/>
      <c r="BP1613" s="66"/>
    </row>
    <row r="1614" spans="1:68" ht="13.2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>
        <f t="shared" ref="AP1614:AQ1614" si="1607">AR1614+AT1614+AV1614</f>
        <v>0</v>
      </c>
      <c r="AQ1614" s="75">
        <f t="shared" si="1607"/>
        <v>0</v>
      </c>
      <c r="AR1614" s="75"/>
      <c r="AS1614" s="75"/>
      <c r="AT1614" s="75"/>
      <c r="AU1614" s="75"/>
      <c r="AV1614" s="75"/>
      <c r="AW1614" s="75"/>
      <c r="AX1614" s="75"/>
      <c r="AY1614" s="67">
        <f t="shared" ca="1" si="1"/>
        <v>0</v>
      </c>
      <c r="AZ1614" s="75"/>
      <c r="BA1614" s="67">
        <f t="shared" ca="1" si="2"/>
        <v>0</v>
      </c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8"/>
      <c r="BL1614" s="78">
        <f t="shared" ca="1" si="3"/>
        <v>0</v>
      </c>
      <c r="BM1614" s="78"/>
      <c r="BN1614" s="78">
        <f t="shared" ca="1" si="4"/>
        <v>0</v>
      </c>
      <c r="BO1614" s="66"/>
      <c r="BP1614" s="66"/>
    </row>
    <row r="1615" spans="1:68" ht="13.2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>
        <f t="shared" ref="AP1615:AQ1615" si="1608">AR1615+AT1615+AV1615</f>
        <v>0</v>
      </c>
      <c r="AQ1615" s="75">
        <f t="shared" si="1608"/>
        <v>0</v>
      </c>
      <c r="AR1615" s="75"/>
      <c r="AS1615" s="75"/>
      <c r="AT1615" s="75"/>
      <c r="AU1615" s="75"/>
      <c r="AV1615" s="75"/>
      <c r="AW1615" s="75"/>
      <c r="AX1615" s="75"/>
      <c r="AY1615" s="67">
        <f t="shared" ca="1" si="1"/>
        <v>0</v>
      </c>
      <c r="AZ1615" s="75"/>
      <c r="BA1615" s="67">
        <f t="shared" ca="1" si="2"/>
        <v>0</v>
      </c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8"/>
      <c r="BL1615" s="78">
        <f t="shared" ca="1" si="3"/>
        <v>0</v>
      </c>
      <c r="BM1615" s="78"/>
      <c r="BN1615" s="78">
        <f t="shared" ca="1" si="4"/>
        <v>0</v>
      </c>
      <c r="BO1615" s="66"/>
      <c r="BP1615" s="66"/>
    </row>
    <row r="1616" spans="1:68" ht="13.2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>
        <f t="shared" ref="AP1616:AQ1616" si="1609">AR1616+AT1616+AV1616</f>
        <v>0</v>
      </c>
      <c r="AQ1616" s="75">
        <f t="shared" si="1609"/>
        <v>0</v>
      </c>
      <c r="AR1616" s="75"/>
      <c r="AS1616" s="75"/>
      <c r="AT1616" s="75"/>
      <c r="AU1616" s="75"/>
      <c r="AV1616" s="75"/>
      <c r="AW1616" s="75"/>
      <c r="AX1616" s="75"/>
      <c r="AY1616" s="67">
        <f t="shared" ca="1" si="1"/>
        <v>0</v>
      </c>
      <c r="AZ1616" s="75"/>
      <c r="BA1616" s="67">
        <f t="shared" ca="1" si="2"/>
        <v>0</v>
      </c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8"/>
      <c r="BL1616" s="78">
        <f t="shared" ca="1" si="3"/>
        <v>0</v>
      </c>
      <c r="BM1616" s="78"/>
      <c r="BN1616" s="78">
        <f t="shared" ca="1" si="4"/>
        <v>0</v>
      </c>
      <c r="BO1616" s="66"/>
      <c r="BP1616" s="66"/>
    </row>
    <row r="1617" spans="1:68" ht="13.2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>
        <f t="shared" ref="AP1617:AQ1617" si="1610">AR1617+AT1617+AV1617</f>
        <v>0</v>
      </c>
      <c r="AQ1617" s="75">
        <f t="shared" si="1610"/>
        <v>0</v>
      </c>
      <c r="AR1617" s="75"/>
      <c r="AS1617" s="75"/>
      <c r="AT1617" s="75"/>
      <c r="AU1617" s="75"/>
      <c r="AV1617" s="75"/>
      <c r="AW1617" s="75"/>
      <c r="AX1617" s="75"/>
      <c r="AY1617" s="67">
        <f t="shared" ca="1" si="1"/>
        <v>0</v>
      </c>
      <c r="AZ1617" s="75"/>
      <c r="BA1617" s="67">
        <f t="shared" ca="1" si="2"/>
        <v>0</v>
      </c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8"/>
      <c r="BL1617" s="78">
        <f t="shared" ca="1" si="3"/>
        <v>0</v>
      </c>
      <c r="BM1617" s="78"/>
      <c r="BN1617" s="78">
        <f t="shared" ca="1" si="4"/>
        <v>0</v>
      </c>
      <c r="BO1617" s="66"/>
      <c r="BP1617" s="66"/>
    </row>
    <row r="1618" spans="1:68" ht="13.2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>
        <f t="shared" ref="AP1618:AQ1618" si="1611">AR1618+AT1618+AV1618</f>
        <v>0</v>
      </c>
      <c r="AQ1618" s="75">
        <f t="shared" si="1611"/>
        <v>0</v>
      </c>
      <c r="AR1618" s="75"/>
      <c r="AS1618" s="75"/>
      <c r="AT1618" s="75"/>
      <c r="AU1618" s="75"/>
      <c r="AV1618" s="75"/>
      <c r="AW1618" s="75"/>
      <c r="AX1618" s="75"/>
      <c r="AY1618" s="67">
        <f t="shared" ca="1" si="1"/>
        <v>0</v>
      </c>
      <c r="AZ1618" s="75"/>
      <c r="BA1618" s="67">
        <f t="shared" ca="1" si="2"/>
        <v>0</v>
      </c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8"/>
      <c r="BL1618" s="78">
        <f t="shared" ca="1" si="3"/>
        <v>0</v>
      </c>
      <c r="BM1618" s="78"/>
      <c r="BN1618" s="78">
        <f t="shared" ca="1" si="4"/>
        <v>0</v>
      </c>
      <c r="BO1618" s="66"/>
      <c r="BP1618" s="66"/>
    </row>
    <row r="1619" spans="1:68" ht="13.2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>
        <f t="shared" ref="AP1619:AQ1619" si="1612">AR1619+AT1619+AV1619</f>
        <v>0</v>
      </c>
      <c r="AQ1619" s="75">
        <f t="shared" si="1612"/>
        <v>0</v>
      </c>
      <c r="AR1619" s="75"/>
      <c r="AS1619" s="75"/>
      <c r="AT1619" s="75"/>
      <c r="AU1619" s="75"/>
      <c r="AV1619" s="75"/>
      <c r="AW1619" s="75"/>
      <c r="AX1619" s="75"/>
      <c r="AY1619" s="67">
        <f t="shared" ca="1" si="1"/>
        <v>0</v>
      </c>
      <c r="AZ1619" s="75"/>
      <c r="BA1619" s="67">
        <f t="shared" ca="1" si="2"/>
        <v>0</v>
      </c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8"/>
      <c r="BL1619" s="78">
        <f t="shared" ca="1" si="3"/>
        <v>0</v>
      </c>
      <c r="BM1619" s="78"/>
      <c r="BN1619" s="78">
        <f t="shared" ca="1" si="4"/>
        <v>0</v>
      </c>
      <c r="BO1619" s="66"/>
      <c r="BP1619" s="66"/>
    </row>
    <row r="1620" spans="1:68" ht="13.2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>
        <f t="shared" ref="AP1620:AQ1620" si="1613">AR1620+AT1620+AV1620</f>
        <v>0</v>
      </c>
      <c r="AQ1620" s="75">
        <f t="shared" si="1613"/>
        <v>0</v>
      </c>
      <c r="AR1620" s="75"/>
      <c r="AS1620" s="75"/>
      <c r="AT1620" s="75"/>
      <c r="AU1620" s="75"/>
      <c r="AV1620" s="75"/>
      <c r="AW1620" s="75"/>
      <c r="AX1620" s="75"/>
      <c r="AY1620" s="67">
        <f t="shared" ca="1" si="1"/>
        <v>0</v>
      </c>
      <c r="AZ1620" s="75"/>
      <c r="BA1620" s="67">
        <f t="shared" ca="1" si="2"/>
        <v>0</v>
      </c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8"/>
      <c r="BL1620" s="78">
        <f t="shared" ca="1" si="3"/>
        <v>0</v>
      </c>
      <c r="BM1620" s="78"/>
      <c r="BN1620" s="78">
        <f t="shared" ca="1" si="4"/>
        <v>0</v>
      </c>
      <c r="BO1620" s="66"/>
      <c r="BP1620" s="66"/>
    </row>
    <row r="1621" spans="1:68" ht="13.2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>
        <f t="shared" ref="AP1621:AQ1621" si="1614">AR1621+AT1621+AV1621</f>
        <v>0</v>
      </c>
      <c r="AQ1621" s="75">
        <f t="shared" si="1614"/>
        <v>0</v>
      </c>
      <c r="AR1621" s="75"/>
      <c r="AS1621" s="75"/>
      <c r="AT1621" s="75"/>
      <c r="AU1621" s="75"/>
      <c r="AV1621" s="75"/>
      <c r="AW1621" s="75"/>
      <c r="AX1621" s="75"/>
      <c r="AY1621" s="67">
        <f t="shared" ca="1" si="1"/>
        <v>0</v>
      </c>
      <c r="AZ1621" s="75"/>
      <c r="BA1621" s="67">
        <f t="shared" ca="1" si="2"/>
        <v>0</v>
      </c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8"/>
      <c r="BL1621" s="78">
        <f t="shared" ca="1" si="3"/>
        <v>0</v>
      </c>
      <c r="BM1621" s="78"/>
      <c r="BN1621" s="78">
        <f t="shared" ca="1" si="4"/>
        <v>0</v>
      </c>
      <c r="BO1621" s="66"/>
      <c r="BP1621" s="66"/>
    </row>
    <row r="1622" spans="1:68" ht="13.2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>
        <f t="shared" ref="AP1622:AQ1622" si="1615">AR1622+AT1622+AV1622</f>
        <v>0</v>
      </c>
      <c r="AQ1622" s="75">
        <f t="shared" si="1615"/>
        <v>0</v>
      </c>
      <c r="AR1622" s="75"/>
      <c r="AS1622" s="75"/>
      <c r="AT1622" s="75"/>
      <c r="AU1622" s="75"/>
      <c r="AV1622" s="75"/>
      <c r="AW1622" s="75"/>
      <c r="AX1622" s="75"/>
      <c r="AY1622" s="67">
        <f t="shared" ca="1" si="1"/>
        <v>0</v>
      </c>
      <c r="AZ1622" s="75"/>
      <c r="BA1622" s="67">
        <f t="shared" ca="1" si="2"/>
        <v>0</v>
      </c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8"/>
      <c r="BL1622" s="78">
        <f t="shared" ca="1" si="3"/>
        <v>0</v>
      </c>
      <c r="BM1622" s="78"/>
      <c r="BN1622" s="78">
        <f t="shared" ca="1" si="4"/>
        <v>0</v>
      </c>
      <c r="BO1622" s="66"/>
      <c r="BP1622" s="66"/>
    </row>
    <row r="1623" spans="1:68" ht="13.2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>
        <f t="shared" ref="AP1623:AQ1623" si="1616">AR1623+AT1623+AV1623</f>
        <v>0</v>
      </c>
      <c r="AQ1623" s="75">
        <f t="shared" si="1616"/>
        <v>0</v>
      </c>
      <c r="AR1623" s="75"/>
      <c r="AS1623" s="75"/>
      <c r="AT1623" s="75"/>
      <c r="AU1623" s="75"/>
      <c r="AV1623" s="75"/>
      <c r="AW1623" s="75"/>
      <c r="AX1623" s="75"/>
      <c r="AY1623" s="67">
        <f t="shared" ca="1" si="1"/>
        <v>0</v>
      </c>
      <c r="AZ1623" s="75"/>
      <c r="BA1623" s="67">
        <f t="shared" ca="1" si="2"/>
        <v>0</v>
      </c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8"/>
      <c r="BL1623" s="78">
        <f t="shared" ca="1" si="3"/>
        <v>0</v>
      </c>
      <c r="BM1623" s="78"/>
      <c r="BN1623" s="78">
        <f t="shared" ca="1" si="4"/>
        <v>0</v>
      </c>
      <c r="BO1623" s="66"/>
      <c r="BP1623" s="66"/>
    </row>
    <row r="1624" spans="1:68" ht="13.2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>
        <f t="shared" ref="AP1624:AQ1624" si="1617">AR1624+AT1624+AV1624</f>
        <v>0</v>
      </c>
      <c r="AQ1624" s="75">
        <f t="shared" si="1617"/>
        <v>0</v>
      </c>
      <c r="AR1624" s="75"/>
      <c r="AS1624" s="75"/>
      <c r="AT1624" s="75"/>
      <c r="AU1624" s="75"/>
      <c r="AV1624" s="75"/>
      <c r="AW1624" s="75"/>
      <c r="AX1624" s="75"/>
      <c r="AY1624" s="67">
        <f t="shared" ca="1" si="1"/>
        <v>0</v>
      </c>
      <c r="AZ1624" s="75"/>
      <c r="BA1624" s="67">
        <f t="shared" ca="1" si="2"/>
        <v>0</v>
      </c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8"/>
      <c r="BL1624" s="78">
        <f t="shared" ca="1" si="3"/>
        <v>0</v>
      </c>
      <c r="BM1624" s="78"/>
      <c r="BN1624" s="78">
        <f t="shared" ca="1" si="4"/>
        <v>0</v>
      </c>
      <c r="BO1624" s="66"/>
      <c r="BP1624" s="66"/>
    </row>
    <row r="1625" spans="1:68" ht="13.2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>
        <f t="shared" ref="AP1625:AQ1625" si="1618">AR1625+AT1625+AV1625</f>
        <v>0</v>
      </c>
      <c r="AQ1625" s="75">
        <f t="shared" si="1618"/>
        <v>0</v>
      </c>
      <c r="AR1625" s="75"/>
      <c r="AS1625" s="75"/>
      <c r="AT1625" s="75"/>
      <c r="AU1625" s="75"/>
      <c r="AV1625" s="75"/>
      <c r="AW1625" s="75"/>
      <c r="AX1625" s="75"/>
      <c r="AY1625" s="67">
        <f t="shared" ca="1" si="1"/>
        <v>0</v>
      </c>
      <c r="AZ1625" s="75"/>
      <c r="BA1625" s="67">
        <f t="shared" ca="1" si="2"/>
        <v>0</v>
      </c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8"/>
      <c r="BL1625" s="78">
        <f t="shared" ca="1" si="3"/>
        <v>0</v>
      </c>
      <c r="BM1625" s="78"/>
      <c r="BN1625" s="78">
        <f t="shared" ca="1" si="4"/>
        <v>0</v>
      </c>
      <c r="BO1625" s="66"/>
      <c r="BP1625" s="66"/>
    </row>
    <row r="1626" spans="1:68" ht="13.2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>
        <f t="shared" ref="AP1626:AQ1626" si="1619">AR1626+AT1626+AV1626</f>
        <v>0</v>
      </c>
      <c r="AQ1626" s="75">
        <f t="shared" si="1619"/>
        <v>0</v>
      </c>
      <c r="AR1626" s="75"/>
      <c r="AS1626" s="75"/>
      <c r="AT1626" s="75"/>
      <c r="AU1626" s="75"/>
      <c r="AV1626" s="75"/>
      <c r="AW1626" s="75"/>
      <c r="AX1626" s="75"/>
      <c r="AY1626" s="67">
        <f t="shared" ca="1" si="1"/>
        <v>0</v>
      </c>
      <c r="AZ1626" s="75"/>
      <c r="BA1626" s="67">
        <f t="shared" ca="1" si="2"/>
        <v>0</v>
      </c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8"/>
      <c r="BL1626" s="78">
        <f t="shared" ca="1" si="3"/>
        <v>0</v>
      </c>
      <c r="BM1626" s="78"/>
      <c r="BN1626" s="78">
        <f t="shared" ca="1" si="4"/>
        <v>0</v>
      </c>
      <c r="BO1626" s="66"/>
      <c r="BP1626" s="66"/>
    </row>
    <row r="1627" spans="1:68" ht="13.2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>
        <f t="shared" ref="AP1627:AQ1627" si="1620">AR1627+AT1627+AV1627</f>
        <v>0</v>
      </c>
      <c r="AQ1627" s="75">
        <f t="shared" si="1620"/>
        <v>0</v>
      </c>
      <c r="AR1627" s="75"/>
      <c r="AS1627" s="75"/>
      <c r="AT1627" s="75"/>
      <c r="AU1627" s="75"/>
      <c r="AV1627" s="75"/>
      <c r="AW1627" s="75"/>
      <c r="AX1627" s="75"/>
      <c r="AY1627" s="67">
        <f t="shared" ca="1" si="1"/>
        <v>0</v>
      </c>
      <c r="AZ1627" s="75"/>
      <c r="BA1627" s="67">
        <f t="shared" ca="1" si="2"/>
        <v>0</v>
      </c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8"/>
      <c r="BL1627" s="78">
        <f t="shared" ca="1" si="3"/>
        <v>0</v>
      </c>
      <c r="BM1627" s="78"/>
      <c r="BN1627" s="78">
        <f t="shared" ca="1" si="4"/>
        <v>0</v>
      </c>
      <c r="BO1627" s="66"/>
      <c r="BP1627" s="66"/>
    </row>
    <row r="1628" spans="1:68" ht="13.2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>
        <f t="shared" ref="AP1628:AQ1628" si="1621">AR1628+AT1628+AV1628</f>
        <v>0</v>
      </c>
      <c r="AQ1628" s="75">
        <f t="shared" si="1621"/>
        <v>0</v>
      </c>
      <c r="AR1628" s="75"/>
      <c r="AS1628" s="75"/>
      <c r="AT1628" s="75"/>
      <c r="AU1628" s="75"/>
      <c r="AV1628" s="75"/>
      <c r="AW1628" s="75"/>
      <c r="AX1628" s="75"/>
      <c r="AY1628" s="67">
        <f t="shared" ca="1" si="1"/>
        <v>0</v>
      </c>
      <c r="AZ1628" s="75"/>
      <c r="BA1628" s="67">
        <f t="shared" ca="1" si="2"/>
        <v>0</v>
      </c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8"/>
      <c r="BL1628" s="78">
        <f t="shared" ca="1" si="3"/>
        <v>0</v>
      </c>
      <c r="BM1628" s="78"/>
      <c r="BN1628" s="78">
        <f t="shared" ca="1" si="4"/>
        <v>0</v>
      </c>
      <c r="BO1628" s="66"/>
      <c r="BP1628" s="66"/>
    </row>
    <row r="1629" spans="1:68" ht="13.2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>
        <f t="shared" ref="AP1629:AQ1629" si="1622">AR1629+AT1629+AV1629</f>
        <v>0</v>
      </c>
      <c r="AQ1629" s="75">
        <f t="shared" si="1622"/>
        <v>0</v>
      </c>
      <c r="AR1629" s="75"/>
      <c r="AS1629" s="75"/>
      <c r="AT1629" s="75"/>
      <c r="AU1629" s="75"/>
      <c r="AV1629" s="75"/>
      <c r="AW1629" s="75"/>
      <c r="AX1629" s="75"/>
      <c r="AY1629" s="67">
        <f t="shared" ca="1" si="1"/>
        <v>0</v>
      </c>
      <c r="AZ1629" s="75"/>
      <c r="BA1629" s="67">
        <f t="shared" ca="1" si="2"/>
        <v>0</v>
      </c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8"/>
      <c r="BL1629" s="78">
        <f t="shared" ca="1" si="3"/>
        <v>0</v>
      </c>
      <c r="BM1629" s="78"/>
      <c r="BN1629" s="78">
        <f t="shared" ca="1" si="4"/>
        <v>0</v>
      </c>
      <c r="BO1629" s="66"/>
      <c r="BP1629" s="66"/>
    </row>
    <row r="1630" spans="1:68" ht="13.2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>
        <f t="shared" ref="AP1630:AQ1630" si="1623">AR1630+AT1630+AV1630</f>
        <v>0</v>
      </c>
      <c r="AQ1630" s="75">
        <f t="shared" si="1623"/>
        <v>0</v>
      </c>
      <c r="AR1630" s="75"/>
      <c r="AS1630" s="75"/>
      <c r="AT1630" s="75"/>
      <c r="AU1630" s="75"/>
      <c r="AV1630" s="75"/>
      <c r="AW1630" s="75"/>
      <c r="AX1630" s="75"/>
      <c r="AY1630" s="67">
        <f t="shared" ca="1" si="1"/>
        <v>0</v>
      </c>
      <c r="AZ1630" s="75"/>
      <c r="BA1630" s="67">
        <f t="shared" ca="1" si="2"/>
        <v>0</v>
      </c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8"/>
      <c r="BL1630" s="78">
        <f t="shared" ca="1" si="3"/>
        <v>0</v>
      </c>
      <c r="BM1630" s="78"/>
      <c r="BN1630" s="78">
        <f t="shared" ca="1" si="4"/>
        <v>0</v>
      </c>
      <c r="BO1630" s="66"/>
      <c r="BP1630" s="66"/>
    </row>
    <row r="1631" spans="1:68" ht="13.2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>
        <f t="shared" ref="AP1631:AQ1631" si="1624">AR1631+AT1631+AV1631</f>
        <v>0</v>
      </c>
      <c r="AQ1631" s="75">
        <f t="shared" si="1624"/>
        <v>0</v>
      </c>
      <c r="AR1631" s="75"/>
      <c r="AS1631" s="75"/>
      <c r="AT1631" s="75"/>
      <c r="AU1631" s="75"/>
      <c r="AV1631" s="75"/>
      <c r="AW1631" s="75"/>
      <c r="AX1631" s="75"/>
      <c r="AY1631" s="67">
        <f t="shared" ca="1" si="1"/>
        <v>0</v>
      </c>
      <c r="AZ1631" s="75"/>
      <c r="BA1631" s="67">
        <f t="shared" ca="1" si="2"/>
        <v>0</v>
      </c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8"/>
      <c r="BL1631" s="78">
        <f t="shared" ca="1" si="3"/>
        <v>0</v>
      </c>
      <c r="BM1631" s="78"/>
      <c r="BN1631" s="78">
        <f t="shared" ca="1" si="4"/>
        <v>0</v>
      </c>
      <c r="BO1631" s="66"/>
      <c r="BP1631" s="66"/>
    </row>
    <row r="1632" spans="1:68" ht="13.2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>
        <f t="shared" ref="AP1632:AQ1632" si="1625">AR1632+AT1632+AV1632</f>
        <v>0</v>
      </c>
      <c r="AQ1632" s="75">
        <f t="shared" si="1625"/>
        <v>0</v>
      </c>
      <c r="AR1632" s="75"/>
      <c r="AS1632" s="75"/>
      <c r="AT1632" s="75"/>
      <c r="AU1632" s="75"/>
      <c r="AV1632" s="75"/>
      <c r="AW1632" s="75"/>
      <c r="AX1632" s="75"/>
      <c r="AY1632" s="67">
        <f t="shared" ca="1" si="1"/>
        <v>0</v>
      </c>
      <c r="AZ1632" s="75"/>
      <c r="BA1632" s="67">
        <f t="shared" ca="1" si="2"/>
        <v>0</v>
      </c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8"/>
      <c r="BL1632" s="78">
        <f t="shared" ca="1" si="3"/>
        <v>0</v>
      </c>
      <c r="BM1632" s="78"/>
      <c r="BN1632" s="78">
        <f t="shared" ca="1" si="4"/>
        <v>0</v>
      </c>
      <c r="BO1632" s="66"/>
      <c r="BP1632" s="66"/>
    </row>
    <row r="1633" spans="1:68" ht="13.2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>
        <f t="shared" ref="AP1633:AQ1633" si="1626">AR1633+AT1633+AV1633</f>
        <v>0</v>
      </c>
      <c r="AQ1633" s="75">
        <f t="shared" si="1626"/>
        <v>0</v>
      </c>
      <c r="AR1633" s="75"/>
      <c r="AS1633" s="75"/>
      <c r="AT1633" s="75"/>
      <c r="AU1633" s="75"/>
      <c r="AV1633" s="75"/>
      <c r="AW1633" s="75"/>
      <c r="AX1633" s="75"/>
      <c r="AY1633" s="67">
        <f t="shared" ca="1" si="1"/>
        <v>0</v>
      </c>
      <c r="AZ1633" s="75"/>
      <c r="BA1633" s="67">
        <f t="shared" ca="1" si="2"/>
        <v>0</v>
      </c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8"/>
      <c r="BL1633" s="78">
        <f t="shared" ca="1" si="3"/>
        <v>0</v>
      </c>
      <c r="BM1633" s="78"/>
      <c r="BN1633" s="78">
        <f t="shared" ca="1" si="4"/>
        <v>0</v>
      </c>
      <c r="BO1633" s="66"/>
      <c r="BP1633" s="66"/>
    </row>
    <row r="1634" spans="1:68" ht="13.2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>
        <f t="shared" ref="AP1634:AQ1634" si="1627">AR1634+AT1634+AV1634</f>
        <v>0</v>
      </c>
      <c r="AQ1634" s="75">
        <f t="shared" si="1627"/>
        <v>0</v>
      </c>
      <c r="AR1634" s="75"/>
      <c r="AS1634" s="75"/>
      <c r="AT1634" s="75"/>
      <c r="AU1634" s="75"/>
      <c r="AV1634" s="75"/>
      <c r="AW1634" s="75"/>
      <c r="AX1634" s="75"/>
      <c r="AY1634" s="67">
        <f t="shared" ca="1" si="1"/>
        <v>0</v>
      </c>
      <c r="AZ1634" s="75"/>
      <c r="BA1634" s="67">
        <f t="shared" ca="1" si="2"/>
        <v>0</v>
      </c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8"/>
      <c r="BL1634" s="78">
        <f t="shared" ca="1" si="3"/>
        <v>0</v>
      </c>
      <c r="BM1634" s="78"/>
      <c r="BN1634" s="78">
        <f t="shared" ca="1" si="4"/>
        <v>0</v>
      </c>
      <c r="BO1634" s="66"/>
      <c r="BP1634" s="66"/>
    </row>
    <row r="1635" spans="1:68" ht="13.2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>
        <f t="shared" ref="AP1635:AQ1635" si="1628">AR1635+AT1635+AV1635</f>
        <v>0</v>
      </c>
      <c r="AQ1635" s="75">
        <f t="shared" si="1628"/>
        <v>0</v>
      </c>
      <c r="AR1635" s="75"/>
      <c r="AS1635" s="75"/>
      <c r="AT1635" s="75"/>
      <c r="AU1635" s="75"/>
      <c r="AV1635" s="75"/>
      <c r="AW1635" s="75"/>
      <c r="AX1635" s="75"/>
      <c r="AY1635" s="67">
        <f t="shared" ca="1" si="1"/>
        <v>0</v>
      </c>
      <c r="AZ1635" s="75"/>
      <c r="BA1635" s="67">
        <f t="shared" ca="1" si="2"/>
        <v>0</v>
      </c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8"/>
      <c r="BL1635" s="78">
        <f t="shared" ca="1" si="3"/>
        <v>0</v>
      </c>
      <c r="BM1635" s="78"/>
      <c r="BN1635" s="78">
        <f t="shared" ca="1" si="4"/>
        <v>0</v>
      </c>
      <c r="BO1635" s="66"/>
      <c r="BP1635" s="66"/>
    </row>
    <row r="1636" spans="1:68" ht="13.2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>
        <f t="shared" ref="AP1636:AQ1636" si="1629">AR1636+AT1636+AV1636</f>
        <v>0</v>
      </c>
      <c r="AQ1636" s="75">
        <f t="shared" si="1629"/>
        <v>0</v>
      </c>
      <c r="AR1636" s="75"/>
      <c r="AS1636" s="75"/>
      <c r="AT1636" s="75"/>
      <c r="AU1636" s="75"/>
      <c r="AV1636" s="75"/>
      <c r="AW1636" s="75"/>
      <c r="AX1636" s="75"/>
      <c r="AY1636" s="67">
        <f t="shared" ca="1" si="1"/>
        <v>0</v>
      </c>
      <c r="AZ1636" s="75"/>
      <c r="BA1636" s="67">
        <f t="shared" ca="1" si="2"/>
        <v>0</v>
      </c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8"/>
      <c r="BL1636" s="78">
        <f t="shared" ca="1" si="3"/>
        <v>0</v>
      </c>
      <c r="BM1636" s="78"/>
      <c r="BN1636" s="78">
        <f t="shared" ca="1" si="4"/>
        <v>0</v>
      </c>
      <c r="BO1636" s="66"/>
      <c r="BP1636" s="66"/>
    </row>
    <row r="1637" spans="1:68" ht="13.2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>
        <f t="shared" ref="AP1637:AQ1637" si="1630">AR1637+AT1637+AV1637</f>
        <v>0</v>
      </c>
      <c r="AQ1637" s="75">
        <f t="shared" si="1630"/>
        <v>0</v>
      </c>
      <c r="AR1637" s="75"/>
      <c r="AS1637" s="75"/>
      <c r="AT1637" s="75"/>
      <c r="AU1637" s="75"/>
      <c r="AV1637" s="75"/>
      <c r="AW1637" s="75"/>
      <c r="AX1637" s="75"/>
      <c r="AY1637" s="67">
        <f t="shared" ca="1" si="1"/>
        <v>0</v>
      </c>
      <c r="AZ1637" s="75"/>
      <c r="BA1637" s="67">
        <f t="shared" ca="1" si="2"/>
        <v>0</v>
      </c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8"/>
      <c r="BL1637" s="78">
        <f t="shared" ca="1" si="3"/>
        <v>0</v>
      </c>
      <c r="BM1637" s="78"/>
      <c r="BN1637" s="78">
        <f t="shared" ca="1" si="4"/>
        <v>0</v>
      </c>
      <c r="BO1637" s="66"/>
      <c r="BP1637" s="66"/>
    </row>
    <row r="1638" spans="1:68" ht="13.2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>
        <f t="shared" ref="AP1638:AQ1638" si="1631">AR1638+AT1638+AV1638</f>
        <v>0</v>
      </c>
      <c r="AQ1638" s="75">
        <f t="shared" si="1631"/>
        <v>0</v>
      </c>
      <c r="AR1638" s="75"/>
      <c r="AS1638" s="75"/>
      <c r="AT1638" s="75"/>
      <c r="AU1638" s="75"/>
      <c r="AV1638" s="75"/>
      <c r="AW1638" s="75"/>
      <c r="AX1638" s="75"/>
      <c r="AY1638" s="67">
        <f t="shared" ca="1" si="1"/>
        <v>0</v>
      </c>
      <c r="AZ1638" s="75"/>
      <c r="BA1638" s="67">
        <f t="shared" ca="1" si="2"/>
        <v>0</v>
      </c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8"/>
      <c r="BL1638" s="78">
        <f t="shared" ca="1" si="3"/>
        <v>0</v>
      </c>
      <c r="BM1638" s="78"/>
      <c r="BN1638" s="78">
        <f t="shared" ca="1" si="4"/>
        <v>0</v>
      </c>
      <c r="BO1638" s="66"/>
      <c r="BP1638" s="66"/>
    </row>
    <row r="1639" spans="1:68" ht="13.2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>
        <f t="shared" ref="AP1639:AQ1639" si="1632">AR1639+AT1639+AV1639</f>
        <v>0</v>
      </c>
      <c r="AQ1639" s="75">
        <f t="shared" si="1632"/>
        <v>0</v>
      </c>
      <c r="AR1639" s="75"/>
      <c r="AS1639" s="75"/>
      <c r="AT1639" s="75"/>
      <c r="AU1639" s="75"/>
      <c r="AV1639" s="75"/>
      <c r="AW1639" s="75"/>
      <c r="AX1639" s="75"/>
      <c r="AY1639" s="67">
        <f t="shared" ca="1" si="1"/>
        <v>0</v>
      </c>
      <c r="AZ1639" s="75"/>
      <c r="BA1639" s="67">
        <f t="shared" ca="1" si="2"/>
        <v>0</v>
      </c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8"/>
      <c r="BL1639" s="78">
        <f t="shared" ca="1" si="3"/>
        <v>0</v>
      </c>
      <c r="BM1639" s="78"/>
      <c r="BN1639" s="78">
        <f t="shared" ca="1" si="4"/>
        <v>0</v>
      </c>
      <c r="BO1639" s="66"/>
      <c r="BP1639" s="66"/>
    </row>
    <row r="1640" spans="1:68" ht="13.2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>
        <f t="shared" ref="AP1640:AQ1640" si="1633">AR1640+AT1640+AV1640</f>
        <v>0</v>
      </c>
      <c r="AQ1640" s="75">
        <f t="shared" si="1633"/>
        <v>0</v>
      </c>
      <c r="AR1640" s="75"/>
      <c r="AS1640" s="75"/>
      <c r="AT1640" s="75"/>
      <c r="AU1640" s="75"/>
      <c r="AV1640" s="75"/>
      <c r="AW1640" s="75"/>
      <c r="AX1640" s="75"/>
      <c r="AY1640" s="67">
        <f t="shared" ca="1" si="1"/>
        <v>0</v>
      </c>
      <c r="AZ1640" s="75"/>
      <c r="BA1640" s="67">
        <f t="shared" ca="1" si="2"/>
        <v>0</v>
      </c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8"/>
      <c r="BL1640" s="78">
        <f t="shared" ca="1" si="3"/>
        <v>0</v>
      </c>
      <c r="BM1640" s="78"/>
      <c r="BN1640" s="78">
        <f t="shared" ca="1" si="4"/>
        <v>0</v>
      </c>
      <c r="BO1640" s="66"/>
      <c r="BP1640" s="66"/>
    </row>
    <row r="1641" spans="1:68" ht="13.2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>
        <f t="shared" ref="AP1641:AQ1641" si="1634">AR1641+AT1641+AV1641</f>
        <v>0</v>
      </c>
      <c r="AQ1641" s="75">
        <f t="shared" si="1634"/>
        <v>0</v>
      </c>
      <c r="AR1641" s="75"/>
      <c r="AS1641" s="75"/>
      <c r="AT1641" s="75"/>
      <c r="AU1641" s="75"/>
      <c r="AV1641" s="75"/>
      <c r="AW1641" s="75"/>
      <c r="AX1641" s="75"/>
      <c r="AY1641" s="67">
        <f t="shared" ca="1" si="1"/>
        <v>0</v>
      </c>
      <c r="AZ1641" s="75"/>
      <c r="BA1641" s="67">
        <f t="shared" ca="1" si="2"/>
        <v>0</v>
      </c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8"/>
      <c r="BL1641" s="78">
        <f t="shared" ca="1" si="3"/>
        <v>0</v>
      </c>
      <c r="BM1641" s="78"/>
      <c r="BN1641" s="78">
        <f t="shared" ca="1" si="4"/>
        <v>0</v>
      </c>
      <c r="BO1641" s="66"/>
      <c r="BP1641" s="66"/>
    </row>
    <row r="1642" spans="1:68" ht="13.2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>
        <f t="shared" ref="AP1642:AQ1642" si="1635">AR1642+AT1642+AV1642</f>
        <v>0</v>
      </c>
      <c r="AQ1642" s="75">
        <f t="shared" si="1635"/>
        <v>0</v>
      </c>
      <c r="AR1642" s="75"/>
      <c r="AS1642" s="75"/>
      <c r="AT1642" s="75"/>
      <c r="AU1642" s="75"/>
      <c r="AV1642" s="75"/>
      <c r="AW1642" s="75"/>
      <c r="AX1642" s="75"/>
      <c r="AY1642" s="67">
        <f t="shared" ca="1" si="1"/>
        <v>0</v>
      </c>
      <c r="AZ1642" s="75"/>
      <c r="BA1642" s="67">
        <f t="shared" ca="1" si="2"/>
        <v>0</v>
      </c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8"/>
      <c r="BL1642" s="78">
        <f t="shared" ca="1" si="3"/>
        <v>0</v>
      </c>
      <c r="BM1642" s="78"/>
      <c r="BN1642" s="78">
        <f t="shared" ca="1" si="4"/>
        <v>0</v>
      </c>
      <c r="BO1642" s="66"/>
      <c r="BP1642" s="66"/>
    </row>
    <row r="1643" spans="1:68" ht="13.2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>
        <f t="shared" ref="AP1643:AQ1643" si="1636">AR1643+AT1643+AV1643</f>
        <v>0</v>
      </c>
      <c r="AQ1643" s="75">
        <f t="shared" si="1636"/>
        <v>0</v>
      </c>
      <c r="AR1643" s="75"/>
      <c r="AS1643" s="75"/>
      <c r="AT1643" s="75"/>
      <c r="AU1643" s="75"/>
      <c r="AV1643" s="75"/>
      <c r="AW1643" s="75"/>
      <c r="AX1643" s="75"/>
      <c r="AY1643" s="67">
        <f t="shared" ca="1" si="1"/>
        <v>0</v>
      </c>
      <c r="AZ1643" s="75"/>
      <c r="BA1643" s="67">
        <f t="shared" ca="1" si="2"/>
        <v>0</v>
      </c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8"/>
      <c r="BL1643" s="78">
        <f t="shared" ca="1" si="3"/>
        <v>0</v>
      </c>
      <c r="BM1643" s="78"/>
      <c r="BN1643" s="78">
        <f t="shared" ca="1" si="4"/>
        <v>0</v>
      </c>
      <c r="BO1643" s="66"/>
      <c r="BP1643" s="66"/>
    </row>
    <row r="1644" spans="1:68" ht="13.2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>
        <f t="shared" ref="AP1644:AQ1644" si="1637">AR1644+AT1644+AV1644</f>
        <v>0</v>
      </c>
      <c r="AQ1644" s="75">
        <f t="shared" si="1637"/>
        <v>0</v>
      </c>
      <c r="AR1644" s="75"/>
      <c r="AS1644" s="75"/>
      <c r="AT1644" s="75"/>
      <c r="AU1644" s="75"/>
      <c r="AV1644" s="75"/>
      <c r="AW1644" s="75"/>
      <c r="AX1644" s="75"/>
      <c r="AY1644" s="67">
        <f t="shared" ca="1" si="1"/>
        <v>0</v>
      </c>
      <c r="AZ1644" s="75"/>
      <c r="BA1644" s="67">
        <f t="shared" ca="1" si="2"/>
        <v>0</v>
      </c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8"/>
      <c r="BL1644" s="78">
        <f t="shared" ca="1" si="3"/>
        <v>0</v>
      </c>
      <c r="BM1644" s="78"/>
      <c r="BN1644" s="78">
        <f t="shared" ca="1" si="4"/>
        <v>0</v>
      </c>
      <c r="BO1644" s="66"/>
      <c r="BP1644" s="66"/>
    </row>
    <row r="1645" spans="1:68" ht="13.2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>
        <f t="shared" ref="AP1645:AQ1645" si="1638">AR1645+AT1645+AV1645</f>
        <v>0</v>
      </c>
      <c r="AQ1645" s="75">
        <f t="shared" si="1638"/>
        <v>0</v>
      </c>
      <c r="AR1645" s="75"/>
      <c r="AS1645" s="75"/>
      <c r="AT1645" s="75"/>
      <c r="AU1645" s="75"/>
      <c r="AV1645" s="75"/>
      <c r="AW1645" s="75"/>
      <c r="AX1645" s="75"/>
      <c r="AY1645" s="67">
        <f t="shared" ca="1" si="1"/>
        <v>0</v>
      </c>
      <c r="AZ1645" s="75"/>
      <c r="BA1645" s="67">
        <f t="shared" ca="1" si="2"/>
        <v>0</v>
      </c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8"/>
      <c r="BL1645" s="78">
        <f t="shared" ca="1" si="3"/>
        <v>0</v>
      </c>
      <c r="BM1645" s="78"/>
      <c r="BN1645" s="78">
        <f t="shared" ca="1" si="4"/>
        <v>0</v>
      </c>
      <c r="BO1645" s="66"/>
      <c r="BP1645" s="66"/>
    </row>
    <row r="1646" spans="1:68" ht="13.2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>
        <f t="shared" ref="AP1646:AQ1646" si="1639">AR1646+AT1646+AV1646</f>
        <v>0</v>
      </c>
      <c r="AQ1646" s="75">
        <f t="shared" si="1639"/>
        <v>0</v>
      </c>
      <c r="AR1646" s="75"/>
      <c r="AS1646" s="75"/>
      <c r="AT1646" s="75"/>
      <c r="AU1646" s="75"/>
      <c r="AV1646" s="75"/>
      <c r="AW1646" s="75"/>
      <c r="AX1646" s="75"/>
      <c r="AY1646" s="67">
        <f t="shared" ca="1" si="1"/>
        <v>0</v>
      </c>
      <c r="AZ1646" s="75"/>
      <c r="BA1646" s="67">
        <f t="shared" ca="1" si="2"/>
        <v>0</v>
      </c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8"/>
      <c r="BL1646" s="78">
        <f t="shared" ca="1" si="3"/>
        <v>0</v>
      </c>
      <c r="BM1646" s="78"/>
      <c r="BN1646" s="78">
        <f t="shared" ca="1" si="4"/>
        <v>0</v>
      </c>
      <c r="BO1646" s="66"/>
      <c r="BP1646" s="66"/>
    </row>
    <row r="1647" spans="1:68" ht="13.2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>
        <f t="shared" ref="AP1647:AQ1647" si="1640">AR1647+AT1647+AV1647</f>
        <v>0</v>
      </c>
      <c r="AQ1647" s="75">
        <f t="shared" si="1640"/>
        <v>0</v>
      </c>
      <c r="AR1647" s="75"/>
      <c r="AS1647" s="75"/>
      <c r="AT1647" s="75"/>
      <c r="AU1647" s="75"/>
      <c r="AV1647" s="75"/>
      <c r="AW1647" s="75"/>
      <c r="AX1647" s="75"/>
      <c r="AY1647" s="67">
        <f t="shared" ca="1" si="1"/>
        <v>0</v>
      </c>
      <c r="AZ1647" s="75"/>
      <c r="BA1647" s="67">
        <f t="shared" ca="1" si="2"/>
        <v>0</v>
      </c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8"/>
      <c r="BL1647" s="78">
        <f t="shared" ca="1" si="3"/>
        <v>0</v>
      </c>
      <c r="BM1647" s="78"/>
      <c r="BN1647" s="78">
        <f t="shared" ca="1" si="4"/>
        <v>0</v>
      </c>
      <c r="BO1647" s="66"/>
      <c r="BP1647" s="66"/>
    </row>
    <row r="1648" spans="1:68" ht="13.2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>
        <f t="shared" ref="AP1648:AQ1648" si="1641">AR1648+AT1648+AV1648</f>
        <v>0</v>
      </c>
      <c r="AQ1648" s="75">
        <f t="shared" si="1641"/>
        <v>0</v>
      </c>
      <c r="AR1648" s="75"/>
      <c r="AS1648" s="75"/>
      <c r="AT1648" s="75"/>
      <c r="AU1648" s="75"/>
      <c r="AV1648" s="75"/>
      <c r="AW1648" s="75"/>
      <c r="AX1648" s="75"/>
      <c r="AY1648" s="67">
        <f t="shared" ca="1" si="1"/>
        <v>0</v>
      </c>
      <c r="AZ1648" s="75"/>
      <c r="BA1648" s="67">
        <f t="shared" ca="1" si="2"/>
        <v>0</v>
      </c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8"/>
      <c r="BL1648" s="78">
        <f t="shared" ca="1" si="3"/>
        <v>0</v>
      </c>
      <c r="BM1648" s="78"/>
      <c r="BN1648" s="78">
        <f t="shared" ca="1" si="4"/>
        <v>0</v>
      </c>
      <c r="BO1648" s="66"/>
      <c r="BP1648" s="66"/>
    </row>
    <row r="1649" spans="1:68" ht="13.2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>
        <f t="shared" ref="AP1649:AQ1649" si="1642">AR1649+AT1649+AV1649</f>
        <v>0</v>
      </c>
      <c r="AQ1649" s="75">
        <f t="shared" si="1642"/>
        <v>0</v>
      </c>
      <c r="AR1649" s="75"/>
      <c r="AS1649" s="75"/>
      <c r="AT1649" s="75"/>
      <c r="AU1649" s="75"/>
      <c r="AV1649" s="75"/>
      <c r="AW1649" s="75"/>
      <c r="AX1649" s="75"/>
      <c r="AY1649" s="67">
        <f t="shared" ca="1" si="1"/>
        <v>0</v>
      </c>
      <c r="AZ1649" s="75"/>
      <c r="BA1649" s="67">
        <f t="shared" ca="1" si="2"/>
        <v>0</v>
      </c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8"/>
      <c r="BL1649" s="78">
        <f t="shared" ca="1" si="3"/>
        <v>0</v>
      </c>
      <c r="BM1649" s="78"/>
      <c r="BN1649" s="78">
        <f t="shared" ca="1" si="4"/>
        <v>0</v>
      </c>
      <c r="BO1649" s="66"/>
      <c r="BP1649" s="66"/>
    </row>
    <row r="1650" spans="1:68" ht="13.2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>
        <f t="shared" ref="AP1650:AQ1650" si="1643">AR1650+AT1650+AV1650</f>
        <v>0</v>
      </c>
      <c r="AQ1650" s="75">
        <f t="shared" si="1643"/>
        <v>0</v>
      </c>
      <c r="AR1650" s="75"/>
      <c r="AS1650" s="75"/>
      <c r="AT1650" s="75"/>
      <c r="AU1650" s="75"/>
      <c r="AV1650" s="75"/>
      <c r="AW1650" s="75"/>
      <c r="AX1650" s="75"/>
      <c r="AY1650" s="67">
        <f t="shared" ca="1" si="1"/>
        <v>0</v>
      </c>
      <c r="AZ1650" s="75"/>
      <c r="BA1650" s="67">
        <f t="shared" ca="1" si="2"/>
        <v>0</v>
      </c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8"/>
      <c r="BL1650" s="78">
        <f t="shared" ca="1" si="3"/>
        <v>0</v>
      </c>
      <c r="BM1650" s="78"/>
      <c r="BN1650" s="78">
        <f t="shared" ca="1" si="4"/>
        <v>0</v>
      </c>
      <c r="BO1650" s="66"/>
      <c r="BP1650" s="66"/>
    </row>
    <row r="1651" spans="1:68" ht="13.2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>
        <f t="shared" ref="AP1651:AQ1651" si="1644">AR1651+AT1651+AV1651</f>
        <v>0</v>
      </c>
      <c r="AQ1651" s="75">
        <f t="shared" si="1644"/>
        <v>0</v>
      </c>
      <c r="AR1651" s="75"/>
      <c r="AS1651" s="75"/>
      <c r="AT1651" s="75"/>
      <c r="AU1651" s="75"/>
      <c r="AV1651" s="75"/>
      <c r="AW1651" s="75"/>
      <c r="AX1651" s="75"/>
      <c r="AY1651" s="67">
        <f t="shared" ca="1" si="1"/>
        <v>0</v>
      </c>
      <c r="AZ1651" s="75"/>
      <c r="BA1651" s="67">
        <f t="shared" ca="1" si="2"/>
        <v>0</v>
      </c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8"/>
      <c r="BL1651" s="78">
        <f t="shared" ca="1" si="3"/>
        <v>0</v>
      </c>
      <c r="BM1651" s="78"/>
      <c r="BN1651" s="78">
        <f t="shared" ca="1" si="4"/>
        <v>0</v>
      </c>
      <c r="BO1651" s="66"/>
      <c r="BP1651" s="66"/>
    </row>
    <row r="1652" spans="1:68" ht="13.2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>
        <f t="shared" ref="AP1652:AQ1652" si="1645">AR1652+AT1652+AV1652</f>
        <v>0</v>
      </c>
      <c r="AQ1652" s="75">
        <f t="shared" si="1645"/>
        <v>0</v>
      </c>
      <c r="AR1652" s="75"/>
      <c r="AS1652" s="75"/>
      <c r="AT1652" s="75"/>
      <c r="AU1652" s="75"/>
      <c r="AV1652" s="75"/>
      <c r="AW1652" s="75"/>
      <c r="AX1652" s="75"/>
      <c r="AY1652" s="67">
        <f t="shared" ca="1" si="1"/>
        <v>0</v>
      </c>
      <c r="AZ1652" s="75"/>
      <c r="BA1652" s="67">
        <f t="shared" ca="1" si="2"/>
        <v>0</v>
      </c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8"/>
      <c r="BL1652" s="78">
        <f t="shared" ca="1" si="3"/>
        <v>0</v>
      </c>
      <c r="BM1652" s="78"/>
      <c r="BN1652" s="78">
        <f t="shared" ca="1" si="4"/>
        <v>0</v>
      </c>
      <c r="BO1652" s="66"/>
      <c r="BP1652" s="66"/>
    </row>
    <row r="1653" spans="1:68" ht="13.2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>
        <f t="shared" ref="AP1653:AQ1653" si="1646">AR1653+AT1653+AV1653</f>
        <v>0</v>
      </c>
      <c r="AQ1653" s="75">
        <f t="shared" si="1646"/>
        <v>0</v>
      </c>
      <c r="AR1653" s="75"/>
      <c r="AS1653" s="75"/>
      <c r="AT1653" s="75"/>
      <c r="AU1653" s="75"/>
      <c r="AV1653" s="75"/>
      <c r="AW1653" s="75"/>
      <c r="AX1653" s="75"/>
      <c r="AY1653" s="67">
        <f t="shared" ca="1" si="1"/>
        <v>0</v>
      </c>
      <c r="AZ1653" s="75"/>
      <c r="BA1653" s="67">
        <f t="shared" ca="1" si="2"/>
        <v>0</v>
      </c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8"/>
      <c r="BL1653" s="78">
        <f t="shared" ca="1" si="3"/>
        <v>0</v>
      </c>
      <c r="BM1653" s="78"/>
      <c r="BN1653" s="78">
        <f t="shared" ca="1" si="4"/>
        <v>0</v>
      </c>
      <c r="BO1653" s="66"/>
      <c r="BP1653" s="66"/>
    </row>
    <row r="1654" spans="1:68" ht="13.2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>
        <f t="shared" ref="AP1654:AQ1654" si="1647">AR1654+AT1654+AV1654</f>
        <v>0</v>
      </c>
      <c r="AQ1654" s="75">
        <f t="shared" si="1647"/>
        <v>0</v>
      </c>
      <c r="AR1654" s="75"/>
      <c r="AS1654" s="75"/>
      <c r="AT1654" s="75"/>
      <c r="AU1654" s="75"/>
      <c r="AV1654" s="75"/>
      <c r="AW1654" s="75"/>
      <c r="AX1654" s="75"/>
      <c r="AY1654" s="67">
        <f t="shared" ca="1" si="1"/>
        <v>0</v>
      </c>
      <c r="AZ1654" s="75"/>
      <c r="BA1654" s="67">
        <f t="shared" ca="1" si="2"/>
        <v>0</v>
      </c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8"/>
      <c r="BL1654" s="78">
        <f t="shared" ca="1" si="3"/>
        <v>0</v>
      </c>
      <c r="BM1654" s="78"/>
      <c r="BN1654" s="78">
        <f t="shared" ca="1" si="4"/>
        <v>0</v>
      </c>
      <c r="BO1654" s="66"/>
      <c r="BP1654" s="66"/>
    </row>
    <row r="1655" spans="1:68" ht="13.2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>
        <f t="shared" ref="AP1655:AQ1655" si="1648">AR1655+AT1655+AV1655</f>
        <v>0</v>
      </c>
      <c r="AQ1655" s="75">
        <f t="shared" si="1648"/>
        <v>0</v>
      </c>
      <c r="AR1655" s="75"/>
      <c r="AS1655" s="75"/>
      <c r="AT1655" s="75"/>
      <c r="AU1655" s="75"/>
      <c r="AV1655" s="75"/>
      <c r="AW1655" s="75"/>
      <c r="AX1655" s="75"/>
      <c r="AY1655" s="67">
        <f t="shared" ca="1" si="1"/>
        <v>0</v>
      </c>
      <c r="AZ1655" s="75"/>
      <c r="BA1655" s="67">
        <f t="shared" ca="1" si="2"/>
        <v>0</v>
      </c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8"/>
      <c r="BL1655" s="78">
        <f t="shared" ca="1" si="3"/>
        <v>0</v>
      </c>
      <c r="BM1655" s="78"/>
      <c r="BN1655" s="78">
        <f t="shared" ca="1" si="4"/>
        <v>0</v>
      </c>
      <c r="BO1655" s="66"/>
      <c r="BP1655" s="66"/>
    </row>
    <row r="1656" spans="1:68" ht="13.2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>
        <f t="shared" ref="AP1656:AQ1656" si="1649">AR1656+AT1656+AV1656</f>
        <v>0</v>
      </c>
      <c r="AQ1656" s="75">
        <f t="shared" si="1649"/>
        <v>0</v>
      </c>
      <c r="AR1656" s="75"/>
      <c r="AS1656" s="75"/>
      <c r="AT1656" s="75"/>
      <c r="AU1656" s="75"/>
      <c r="AV1656" s="75"/>
      <c r="AW1656" s="75"/>
      <c r="AX1656" s="75"/>
      <c r="AY1656" s="67">
        <f t="shared" ca="1" si="1"/>
        <v>0</v>
      </c>
      <c r="AZ1656" s="75"/>
      <c r="BA1656" s="67">
        <f t="shared" ca="1" si="2"/>
        <v>0</v>
      </c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8"/>
      <c r="BL1656" s="78">
        <f t="shared" ca="1" si="3"/>
        <v>0</v>
      </c>
      <c r="BM1656" s="78"/>
      <c r="BN1656" s="78">
        <f t="shared" ca="1" si="4"/>
        <v>0</v>
      </c>
      <c r="BO1656" s="66"/>
      <c r="BP1656" s="66"/>
    </row>
    <row r="1657" spans="1:68" ht="13.2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>
        <f t="shared" ref="AP1657:AQ1657" si="1650">AR1657+AT1657+AV1657</f>
        <v>0</v>
      </c>
      <c r="AQ1657" s="75">
        <f t="shared" si="1650"/>
        <v>0</v>
      </c>
      <c r="AR1657" s="75"/>
      <c r="AS1657" s="75"/>
      <c r="AT1657" s="75"/>
      <c r="AU1657" s="75"/>
      <c r="AV1657" s="75"/>
      <c r="AW1657" s="75"/>
      <c r="AX1657" s="75"/>
      <c r="AY1657" s="67">
        <f t="shared" ca="1" si="1"/>
        <v>0</v>
      </c>
      <c r="AZ1657" s="75"/>
      <c r="BA1657" s="67">
        <f t="shared" ca="1" si="2"/>
        <v>0</v>
      </c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8"/>
      <c r="BL1657" s="78">
        <f t="shared" ca="1" si="3"/>
        <v>0</v>
      </c>
      <c r="BM1657" s="78"/>
      <c r="BN1657" s="78">
        <f t="shared" ca="1" si="4"/>
        <v>0</v>
      </c>
      <c r="BO1657" s="66"/>
      <c r="BP1657" s="66"/>
    </row>
    <row r="1658" spans="1:68" ht="13.2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>
        <f t="shared" ref="AP1658:AQ1658" si="1651">AR1658+AT1658+AV1658</f>
        <v>0</v>
      </c>
      <c r="AQ1658" s="75">
        <f t="shared" si="1651"/>
        <v>0</v>
      </c>
      <c r="AR1658" s="75"/>
      <c r="AS1658" s="75"/>
      <c r="AT1658" s="75"/>
      <c r="AU1658" s="75"/>
      <c r="AV1658" s="75"/>
      <c r="AW1658" s="75"/>
      <c r="AX1658" s="75"/>
      <c r="AY1658" s="67">
        <f t="shared" ca="1" si="1"/>
        <v>0</v>
      </c>
      <c r="AZ1658" s="75"/>
      <c r="BA1658" s="67">
        <f t="shared" ca="1" si="2"/>
        <v>0</v>
      </c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8"/>
      <c r="BL1658" s="78">
        <f t="shared" ca="1" si="3"/>
        <v>0</v>
      </c>
      <c r="BM1658" s="78"/>
      <c r="BN1658" s="78">
        <f t="shared" ca="1" si="4"/>
        <v>0</v>
      </c>
      <c r="BO1658" s="66"/>
      <c r="BP1658" s="66"/>
    </row>
    <row r="1659" spans="1:68" ht="13.2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>
        <f t="shared" ref="AP1659:AQ1659" si="1652">AR1659+AT1659+AV1659</f>
        <v>0</v>
      </c>
      <c r="AQ1659" s="75">
        <f t="shared" si="1652"/>
        <v>0</v>
      </c>
      <c r="AR1659" s="75"/>
      <c r="AS1659" s="75"/>
      <c r="AT1659" s="75"/>
      <c r="AU1659" s="75"/>
      <c r="AV1659" s="75"/>
      <c r="AW1659" s="75"/>
      <c r="AX1659" s="75"/>
      <c r="AY1659" s="67">
        <f t="shared" ca="1" si="1"/>
        <v>0</v>
      </c>
      <c r="AZ1659" s="75"/>
      <c r="BA1659" s="67">
        <f t="shared" ca="1" si="2"/>
        <v>0</v>
      </c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8"/>
      <c r="BL1659" s="78">
        <f t="shared" ca="1" si="3"/>
        <v>0</v>
      </c>
      <c r="BM1659" s="78"/>
      <c r="BN1659" s="78">
        <f t="shared" ca="1" si="4"/>
        <v>0</v>
      </c>
      <c r="BO1659" s="66"/>
      <c r="BP1659" s="66"/>
    </row>
    <row r="1660" spans="1:68" ht="13.2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>
        <f t="shared" ref="AP1660:AQ1660" si="1653">AR1660+AT1660+AV1660</f>
        <v>0</v>
      </c>
      <c r="AQ1660" s="75">
        <f t="shared" si="1653"/>
        <v>0</v>
      </c>
      <c r="AR1660" s="75"/>
      <c r="AS1660" s="75"/>
      <c r="AT1660" s="75"/>
      <c r="AU1660" s="75"/>
      <c r="AV1660" s="75"/>
      <c r="AW1660" s="75"/>
      <c r="AX1660" s="75"/>
      <c r="AY1660" s="67">
        <f t="shared" ca="1" si="1"/>
        <v>0</v>
      </c>
      <c r="AZ1660" s="75"/>
      <c r="BA1660" s="67">
        <f t="shared" ca="1" si="2"/>
        <v>0</v>
      </c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8"/>
      <c r="BL1660" s="78">
        <f t="shared" ca="1" si="3"/>
        <v>0</v>
      </c>
      <c r="BM1660" s="78"/>
      <c r="BN1660" s="78">
        <f t="shared" ca="1" si="4"/>
        <v>0</v>
      </c>
      <c r="BO1660" s="66"/>
      <c r="BP1660" s="66"/>
    </row>
    <row r="1661" spans="1:68" ht="13.2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>
        <f t="shared" ref="AP1661:AQ1661" si="1654">AR1661+AT1661+AV1661</f>
        <v>0</v>
      </c>
      <c r="AQ1661" s="75">
        <f t="shared" si="1654"/>
        <v>0</v>
      </c>
      <c r="AR1661" s="75"/>
      <c r="AS1661" s="75"/>
      <c r="AT1661" s="75"/>
      <c r="AU1661" s="75"/>
      <c r="AV1661" s="75"/>
      <c r="AW1661" s="75"/>
      <c r="AX1661" s="75"/>
      <c r="AY1661" s="67">
        <f t="shared" ca="1" si="1"/>
        <v>0</v>
      </c>
      <c r="AZ1661" s="75"/>
      <c r="BA1661" s="67">
        <f t="shared" ca="1" si="2"/>
        <v>0</v>
      </c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8"/>
      <c r="BL1661" s="78">
        <f t="shared" ca="1" si="3"/>
        <v>0</v>
      </c>
      <c r="BM1661" s="78"/>
      <c r="BN1661" s="78">
        <f t="shared" ca="1" si="4"/>
        <v>0</v>
      </c>
      <c r="BO1661" s="66"/>
      <c r="BP1661" s="66"/>
    </row>
    <row r="1662" spans="1:68" ht="13.2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>
        <f t="shared" ref="AP1662:AQ1662" si="1655">AR1662+AT1662+AV1662</f>
        <v>0</v>
      </c>
      <c r="AQ1662" s="75">
        <f t="shared" si="1655"/>
        <v>0</v>
      </c>
      <c r="AR1662" s="75"/>
      <c r="AS1662" s="75"/>
      <c r="AT1662" s="75"/>
      <c r="AU1662" s="75"/>
      <c r="AV1662" s="75"/>
      <c r="AW1662" s="75"/>
      <c r="AX1662" s="75"/>
      <c r="AY1662" s="67">
        <f t="shared" ca="1" si="1"/>
        <v>0</v>
      </c>
      <c r="AZ1662" s="75"/>
      <c r="BA1662" s="67">
        <f t="shared" ca="1" si="2"/>
        <v>0</v>
      </c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8"/>
      <c r="BL1662" s="78">
        <f t="shared" ca="1" si="3"/>
        <v>0</v>
      </c>
      <c r="BM1662" s="78"/>
      <c r="BN1662" s="78">
        <f t="shared" ca="1" si="4"/>
        <v>0</v>
      </c>
      <c r="BO1662" s="66"/>
      <c r="BP1662" s="66"/>
    </row>
    <row r="1663" spans="1:68" ht="13.2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>
        <f t="shared" ref="AP1663:AQ1663" si="1656">AR1663+AT1663+AV1663</f>
        <v>0</v>
      </c>
      <c r="AQ1663" s="75">
        <f t="shared" si="1656"/>
        <v>0</v>
      </c>
      <c r="AR1663" s="75"/>
      <c r="AS1663" s="75"/>
      <c r="AT1663" s="75"/>
      <c r="AU1663" s="75"/>
      <c r="AV1663" s="75"/>
      <c r="AW1663" s="75"/>
      <c r="AX1663" s="75"/>
      <c r="AY1663" s="67">
        <f t="shared" ca="1" si="1"/>
        <v>0</v>
      </c>
      <c r="AZ1663" s="75"/>
      <c r="BA1663" s="67">
        <f t="shared" ca="1" si="2"/>
        <v>0</v>
      </c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8"/>
      <c r="BL1663" s="78">
        <f t="shared" ca="1" si="3"/>
        <v>0</v>
      </c>
      <c r="BM1663" s="78"/>
      <c r="BN1663" s="78">
        <f t="shared" ca="1" si="4"/>
        <v>0</v>
      </c>
      <c r="BO1663" s="66"/>
      <c r="BP1663" s="66"/>
    </row>
    <row r="1664" spans="1:68" ht="13.2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>
        <f t="shared" ref="AP1664:AQ1664" si="1657">AR1664+AT1664+AV1664</f>
        <v>0</v>
      </c>
      <c r="AQ1664" s="75">
        <f t="shared" si="1657"/>
        <v>0</v>
      </c>
      <c r="AR1664" s="75"/>
      <c r="AS1664" s="75"/>
      <c r="AT1664" s="75"/>
      <c r="AU1664" s="75"/>
      <c r="AV1664" s="75"/>
      <c r="AW1664" s="75"/>
      <c r="AX1664" s="75"/>
      <c r="AY1664" s="67">
        <f t="shared" ca="1" si="1"/>
        <v>0</v>
      </c>
      <c r="AZ1664" s="75"/>
      <c r="BA1664" s="67">
        <f t="shared" ca="1" si="2"/>
        <v>0</v>
      </c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8"/>
      <c r="BL1664" s="78">
        <f t="shared" ca="1" si="3"/>
        <v>0</v>
      </c>
      <c r="BM1664" s="78"/>
      <c r="BN1664" s="78">
        <f t="shared" ca="1" si="4"/>
        <v>0</v>
      </c>
      <c r="BO1664" s="66"/>
      <c r="BP1664" s="66"/>
    </row>
    <row r="1665" spans="1:68" ht="13.2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>
        <f t="shared" ref="AP1665:AQ1665" si="1658">AR1665+AT1665+AV1665</f>
        <v>0</v>
      </c>
      <c r="AQ1665" s="75">
        <f t="shared" si="1658"/>
        <v>0</v>
      </c>
      <c r="AR1665" s="75"/>
      <c r="AS1665" s="75"/>
      <c r="AT1665" s="75"/>
      <c r="AU1665" s="75"/>
      <c r="AV1665" s="75"/>
      <c r="AW1665" s="75"/>
      <c r="AX1665" s="75"/>
      <c r="AY1665" s="67">
        <f t="shared" ca="1" si="1"/>
        <v>0</v>
      </c>
      <c r="AZ1665" s="75"/>
      <c r="BA1665" s="67">
        <f t="shared" ca="1" si="2"/>
        <v>0</v>
      </c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8"/>
      <c r="BL1665" s="78">
        <f t="shared" ca="1" si="3"/>
        <v>0</v>
      </c>
      <c r="BM1665" s="78"/>
      <c r="BN1665" s="78">
        <f t="shared" ca="1" si="4"/>
        <v>0</v>
      </c>
      <c r="BO1665" s="66"/>
      <c r="BP1665" s="66"/>
    </row>
    <row r="1666" spans="1:68" ht="13.2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>
        <f t="shared" ref="AP1666:AQ1666" si="1659">AR1666+AT1666+AV1666</f>
        <v>0</v>
      </c>
      <c r="AQ1666" s="75">
        <f t="shared" si="1659"/>
        <v>0</v>
      </c>
      <c r="AR1666" s="75"/>
      <c r="AS1666" s="75"/>
      <c r="AT1666" s="75"/>
      <c r="AU1666" s="75"/>
      <c r="AV1666" s="75"/>
      <c r="AW1666" s="75"/>
      <c r="AX1666" s="75"/>
      <c r="AY1666" s="67">
        <f t="shared" ca="1" si="1"/>
        <v>0</v>
      </c>
      <c r="AZ1666" s="75"/>
      <c r="BA1666" s="67">
        <f t="shared" ca="1" si="2"/>
        <v>0</v>
      </c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8"/>
      <c r="BL1666" s="78">
        <f t="shared" ca="1" si="3"/>
        <v>0</v>
      </c>
      <c r="BM1666" s="78"/>
      <c r="BN1666" s="78">
        <f t="shared" ca="1" si="4"/>
        <v>0</v>
      </c>
      <c r="BO1666" s="66"/>
      <c r="BP1666" s="66"/>
    </row>
    <row r="1667" spans="1:68" ht="13.2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>
        <f t="shared" ref="AP1667:AQ1667" si="1660">AR1667+AT1667+AV1667</f>
        <v>0</v>
      </c>
      <c r="AQ1667" s="75">
        <f t="shared" si="1660"/>
        <v>0</v>
      </c>
      <c r="AR1667" s="75"/>
      <c r="AS1667" s="75"/>
      <c r="AT1667" s="75"/>
      <c r="AU1667" s="75"/>
      <c r="AV1667" s="75"/>
      <c r="AW1667" s="75"/>
      <c r="AX1667" s="75"/>
      <c r="AY1667" s="67">
        <f t="shared" ca="1" si="1"/>
        <v>0</v>
      </c>
      <c r="AZ1667" s="75"/>
      <c r="BA1667" s="67">
        <f t="shared" ca="1" si="2"/>
        <v>0</v>
      </c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8"/>
      <c r="BL1667" s="78">
        <f t="shared" ca="1" si="3"/>
        <v>0</v>
      </c>
      <c r="BM1667" s="78"/>
      <c r="BN1667" s="78">
        <f t="shared" ca="1" si="4"/>
        <v>0</v>
      </c>
      <c r="BO1667" s="66"/>
      <c r="BP1667" s="66"/>
    </row>
    <row r="1668" spans="1:68" ht="13.2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>
        <f t="shared" ref="AP1668:AQ1668" si="1661">AR1668+AT1668+AV1668</f>
        <v>0</v>
      </c>
      <c r="AQ1668" s="75">
        <f t="shared" si="1661"/>
        <v>0</v>
      </c>
      <c r="AR1668" s="75"/>
      <c r="AS1668" s="75"/>
      <c r="AT1668" s="75"/>
      <c r="AU1668" s="75"/>
      <c r="AV1668" s="75"/>
      <c r="AW1668" s="75"/>
      <c r="AX1668" s="75"/>
      <c r="AY1668" s="67">
        <f t="shared" ca="1" si="1"/>
        <v>0</v>
      </c>
      <c r="AZ1668" s="75"/>
      <c r="BA1668" s="67">
        <f t="shared" ca="1" si="2"/>
        <v>0</v>
      </c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8"/>
      <c r="BL1668" s="78">
        <f t="shared" ca="1" si="3"/>
        <v>0</v>
      </c>
      <c r="BM1668" s="78"/>
      <c r="BN1668" s="78">
        <f t="shared" ca="1" si="4"/>
        <v>0</v>
      </c>
      <c r="BO1668" s="66"/>
      <c r="BP1668" s="66"/>
    </row>
    <row r="1669" spans="1:68" ht="13.2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>
        <f t="shared" ref="AP1669:AQ1669" si="1662">AR1669+AT1669+AV1669</f>
        <v>0</v>
      </c>
      <c r="AQ1669" s="75">
        <f t="shared" si="1662"/>
        <v>0</v>
      </c>
      <c r="AR1669" s="75"/>
      <c r="AS1669" s="75"/>
      <c r="AT1669" s="75"/>
      <c r="AU1669" s="75"/>
      <c r="AV1669" s="75"/>
      <c r="AW1669" s="75"/>
      <c r="AX1669" s="75"/>
      <c r="AY1669" s="67">
        <f t="shared" ca="1" si="1"/>
        <v>0</v>
      </c>
      <c r="AZ1669" s="75"/>
      <c r="BA1669" s="67">
        <f t="shared" ca="1" si="2"/>
        <v>0</v>
      </c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8"/>
      <c r="BL1669" s="78">
        <f t="shared" ca="1" si="3"/>
        <v>0</v>
      </c>
      <c r="BM1669" s="78"/>
      <c r="BN1669" s="78">
        <f t="shared" ca="1" si="4"/>
        <v>0</v>
      </c>
      <c r="BO1669" s="66"/>
      <c r="BP1669" s="66"/>
    </row>
    <row r="1670" spans="1:68" ht="13.2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>
        <f t="shared" ref="AP1670:AQ1670" si="1663">AR1670+AT1670+AV1670</f>
        <v>0</v>
      </c>
      <c r="AQ1670" s="75">
        <f t="shared" si="1663"/>
        <v>0</v>
      </c>
      <c r="AR1670" s="75"/>
      <c r="AS1670" s="75"/>
      <c r="AT1670" s="75"/>
      <c r="AU1670" s="75"/>
      <c r="AV1670" s="75"/>
      <c r="AW1670" s="75"/>
      <c r="AX1670" s="75"/>
      <c r="AY1670" s="67">
        <f t="shared" ca="1" si="1"/>
        <v>0</v>
      </c>
      <c r="AZ1670" s="75"/>
      <c r="BA1670" s="67">
        <f t="shared" ca="1" si="2"/>
        <v>0</v>
      </c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8"/>
      <c r="BL1670" s="78">
        <f t="shared" ca="1" si="3"/>
        <v>0</v>
      </c>
      <c r="BM1670" s="78"/>
      <c r="BN1670" s="78">
        <f t="shared" ca="1" si="4"/>
        <v>0</v>
      </c>
      <c r="BO1670" s="66"/>
      <c r="BP1670" s="66"/>
    </row>
    <row r="1671" spans="1:68" ht="13.2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>
        <f t="shared" ref="AP1671:AQ1671" si="1664">AR1671+AT1671+AV1671</f>
        <v>0</v>
      </c>
      <c r="AQ1671" s="75">
        <f t="shared" si="1664"/>
        <v>0</v>
      </c>
      <c r="AR1671" s="75"/>
      <c r="AS1671" s="75"/>
      <c r="AT1671" s="75"/>
      <c r="AU1671" s="75"/>
      <c r="AV1671" s="75"/>
      <c r="AW1671" s="75"/>
      <c r="AX1671" s="75"/>
      <c r="AY1671" s="67">
        <f t="shared" ca="1" si="1"/>
        <v>0</v>
      </c>
      <c r="AZ1671" s="75"/>
      <c r="BA1671" s="67">
        <f t="shared" ca="1" si="2"/>
        <v>0</v>
      </c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8"/>
      <c r="BL1671" s="78">
        <f t="shared" ca="1" si="3"/>
        <v>0</v>
      </c>
      <c r="BM1671" s="78"/>
      <c r="BN1671" s="78">
        <f t="shared" ca="1" si="4"/>
        <v>0</v>
      </c>
      <c r="BO1671" s="66"/>
      <c r="BP1671" s="66"/>
    </row>
    <row r="1672" spans="1:68" ht="13.2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>
        <f t="shared" ref="AP1672:AQ1672" si="1665">AR1672+AT1672+AV1672</f>
        <v>0</v>
      </c>
      <c r="AQ1672" s="75">
        <f t="shared" si="1665"/>
        <v>0</v>
      </c>
      <c r="AR1672" s="75"/>
      <c r="AS1672" s="75"/>
      <c r="AT1672" s="75"/>
      <c r="AU1672" s="75"/>
      <c r="AV1672" s="75"/>
      <c r="AW1672" s="75"/>
      <c r="AX1672" s="75"/>
      <c r="AY1672" s="67">
        <f t="shared" ca="1" si="1"/>
        <v>0</v>
      </c>
      <c r="AZ1672" s="75"/>
      <c r="BA1672" s="67">
        <f t="shared" ca="1" si="2"/>
        <v>0</v>
      </c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8"/>
      <c r="BL1672" s="78">
        <f t="shared" ca="1" si="3"/>
        <v>0</v>
      </c>
      <c r="BM1672" s="78"/>
      <c r="BN1672" s="78">
        <f t="shared" ca="1" si="4"/>
        <v>0</v>
      </c>
      <c r="BO1672" s="66"/>
      <c r="BP1672" s="66"/>
    </row>
    <row r="1673" spans="1:68" ht="13.2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>
        <f t="shared" ref="AP1673:AQ1673" si="1666">AR1673+AT1673+AV1673</f>
        <v>0</v>
      </c>
      <c r="AQ1673" s="75">
        <f t="shared" si="1666"/>
        <v>0</v>
      </c>
      <c r="AR1673" s="75"/>
      <c r="AS1673" s="75"/>
      <c r="AT1673" s="75"/>
      <c r="AU1673" s="75"/>
      <c r="AV1673" s="75"/>
      <c r="AW1673" s="75"/>
      <c r="AX1673" s="75"/>
      <c r="AY1673" s="67">
        <f t="shared" ca="1" si="1"/>
        <v>0</v>
      </c>
      <c r="AZ1673" s="75"/>
      <c r="BA1673" s="67">
        <f t="shared" ca="1" si="2"/>
        <v>0</v>
      </c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8"/>
      <c r="BL1673" s="78">
        <f t="shared" ca="1" si="3"/>
        <v>0</v>
      </c>
      <c r="BM1673" s="78"/>
      <c r="BN1673" s="78">
        <f t="shared" ca="1" si="4"/>
        <v>0</v>
      </c>
      <c r="BO1673" s="66"/>
      <c r="BP1673" s="66"/>
    </row>
    <row r="1674" spans="1:68" ht="13.2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>
        <f t="shared" ref="AP1674:AQ1674" si="1667">AR1674+AT1674+AV1674</f>
        <v>0</v>
      </c>
      <c r="AQ1674" s="75">
        <f t="shared" si="1667"/>
        <v>0</v>
      </c>
      <c r="AR1674" s="75"/>
      <c r="AS1674" s="75"/>
      <c r="AT1674" s="75"/>
      <c r="AU1674" s="75"/>
      <c r="AV1674" s="75"/>
      <c r="AW1674" s="75"/>
      <c r="AX1674" s="75"/>
      <c r="AY1674" s="67">
        <f t="shared" ca="1" si="1"/>
        <v>0</v>
      </c>
      <c r="AZ1674" s="75"/>
      <c r="BA1674" s="67">
        <f t="shared" ca="1" si="2"/>
        <v>0</v>
      </c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8"/>
      <c r="BL1674" s="78">
        <f t="shared" ca="1" si="3"/>
        <v>0</v>
      </c>
      <c r="BM1674" s="78"/>
      <c r="BN1674" s="78">
        <f t="shared" ca="1" si="4"/>
        <v>0</v>
      </c>
      <c r="BO1674" s="66"/>
      <c r="BP1674" s="66"/>
    </row>
    <row r="1675" spans="1:68" ht="13.2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>
        <f t="shared" ref="AP1675:AQ1675" si="1668">AR1675+AT1675+AV1675</f>
        <v>0</v>
      </c>
      <c r="AQ1675" s="75">
        <f t="shared" si="1668"/>
        <v>0</v>
      </c>
      <c r="AR1675" s="75"/>
      <c r="AS1675" s="75"/>
      <c r="AT1675" s="75"/>
      <c r="AU1675" s="75"/>
      <c r="AV1675" s="75"/>
      <c r="AW1675" s="75"/>
      <c r="AX1675" s="75"/>
      <c r="AY1675" s="67">
        <f t="shared" ca="1" si="1"/>
        <v>0</v>
      </c>
      <c r="AZ1675" s="75"/>
      <c r="BA1675" s="67">
        <f t="shared" ca="1" si="2"/>
        <v>0</v>
      </c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8"/>
      <c r="BL1675" s="78">
        <f t="shared" ca="1" si="3"/>
        <v>0</v>
      </c>
      <c r="BM1675" s="78"/>
      <c r="BN1675" s="78">
        <f t="shared" ca="1" si="4"/>
        <v>0</v>
      </c>
      <c r="BO1675" s="66"/>
      <c r="BP1675" s="66"/>
    </row>
    <row r="1676" spans="1:68" ht="13.2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>
        <f t="shared" ref="AP1676:AQ1676" si="1669">AR1676+AT1676+AV1676</f>
        <v>0</v>
      </c>
      <c r="AQ1676" s="75">
        <f t="shared" si="1669"/>
        <v>0</v>
      </c>
      <c r="AR1676" s="75"/>
      <c r="AS1676" s="75"/>
      <c r="AT1676" s="75"/>
      <c r="AU1676" s="75"/>
      <c r="AV1676" s="75"/>
      <c r="AW1676" s="75"/>
      <c r="AX1676" s="75"/>
      <c r="AY1676" s="67">
        <f t="shared" ca="1" si="1"/>
        <v>0</v>
      </c>
      <c r="AZ1676" s="75"/>
      <c r="BA1676" s="67">
        <f t="shared" ca="1" si="2"/>
        <v>0</v>
      </c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8"/>
      <c r="BL1676" s="78">
        <f t="shared" ca="1" si="3"/>
        <v>0</v>
      </c>
      <c r="BM1676" s="78"/>
      <c r="BN1676" s="78">
        <f t="shared" ca="1" si="4"/>
        <v>0</v>
      </c>
      <c r="BO1676" s="66"/>
      <c r="BP1676" s="66"/>
    </row>
    <row r="1677" spans="1:68" ht="13.2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>
        <f t="shared" ref="AP1677:AQ1677" si="1670">AR1677+AT1677+AV1677</f>
        <v>0</v>
      </c>
      <c r="AQ1677" s="75">
        <f t="shared" si="1670"/>
        <v>0</v>
      </c>
      <c r="AR1677" s="75"/>
      <c r="AS1677" s="75"/>
      <c r="AT1677" s="75"/>
      <c r="AU1677" s="75"/>
      <c r="AV1677" s="75"/>
      <c r="AW1677" s="75"/>
      <c r="AX1677" s="75"/>
      <c r="AY1677" s="67">
        <f t="shared" ca="1" si="1"/>
        <v>0</v>
      </c>
      <c r="AZ1677" s="75"/>
      <c r="BA1677" s="67">
        <f t="shared" ca="1" si="2"/>
        <v>0</v>
      </c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8"/>
      <c r="BL1677" s="78">
        <f t="shared" ca="1" si="3"/>
        <v>0</v>
      </c>
      <c r="BM1677" s="78"/>
      <c r="BN1677" s="78">
        <f t="shared" ca="1" si="4"/>
        <v>0</v>
      </c>
      <c r="BO1677" s="66"/>
      <c r="BP1677" s="66"/>
    </row>
    <row r="1678" spans="1:68" ht="13.2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>
        <f t="shared" ref="AP1678:AQ1678" si="1671">AR1678+AT1678+AV1678</f>
        <v>0</v>
      </c>
      <c r="AQ1678" s="75">
        <f t="shared" si="1671"/>
        <v>0</v>
      </c>
      <c r="AR1678" s="75"/>
      <c r="AS1678" s="75"/>
      <c r="AT1678" s="75"/>
      <c r="AU1678" s="75"/>
      <c r="AV1678" s="75"/>
      <c r="AW1678" s="75"/>
      <c r="AX1678" s="75"/>
      <c r="AY1678" s="67">
        <f t="shared" ca="1" si="1"/>
        <v>0</v>
      </c>
      <c r="AZ1678" s="75"/>
      <c r="BA1678" s="67">
        <f t="shared" ca="1" si="2"/>
        <v>0</v>
      </c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8"/>
      <c r="BL1678" s="78">
        <f t="shared" ca="1" si="3"/>
        <v>0</v>
      </c>
      <c r="BM1678" s="78"/>
      <c r="BN1678" s="78">
        <f t="shared" ca="1" si="4"/>
        <v>0</v>
      </c>
      <c r="BO1678" s="66"/>
      <c r="BP1678" s="66"/>
    </row>
    <row r="1679" spans="1:68" ht="13.2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>
        <f t="shared" ref="AP1679:AQ1679" si="1672">AR1679+AT1679+AV1679</f>
        <v>0</v>
      </c>
      <c r="AQ1679" s="75">
        <f t="shared" si="1672"/>
        <v>0</v>
      </c>
      <c r="AR1679" s="75"/>
      <c r="AS1679" s="75"/>
      <c r="AT1679" s="75"/>
      <c r="AU1679" s="75"/>
      <c r="AV1679" s="75"/>
      <c r="AW1679" s="75"/>
      <c r="AX1679" s="75"/>
      <c r="AY1679" s="67">
        <f t="shared" ca="1" si="1"/>
        <v>0</v>
      </c>
      <c r="AZ1679" s="75"/>
      <c r="BA1679" s="67">
        <f t="shared" ca="1" si="2"/>
        <v>0</v>
      </c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8"/>
      <c r="BL1679" s="78">
        <f t="shared" ca="1" si="3"/>
        <v>0</v>
      </c>
      <c r="BM1679" s="78"/>
      <c r="BN1679" s="78">
        <f t="shared" ca="1" si="4"/>
        <v>0</v>
      </c>
      <c r="BO1679" s="66"/>
      <c r="BP1679" s="66"/>
    </row>
    <row r="1680" spans="1:68" ht="13.2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>
        <f t="shared" ref="AP1680:AQ1680" si="1673">AR1680+AT1680+AV1680</f>
        <v>0</v>
      </c>
      <c r="AQ1680" s="75">
        <f t="shared" si="1673"/>
        <v>0</v>
      </c>
      <c r="AR1680" s="75"/>
      <c r="AS1680" s="75"/>
      <c r="AT1680" s="75"/>
      <c r="AU1680" s="75"/>
      <c r="AV1680" s="75"/>
      <c r="AW1680" s="75"/>
      <c r="AX1680" s="75"/>
      <c r="AY1680" s="67">
        <f t="shared" ca="1" si="1"/>
        <v>0</v>
      </c>
      <c r="AZ1680" s="75"/>
      <c r="BA1680" s="67">
        <f t="shared" ca="1" si="2"/>
        <v>0</v>
      </c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8"/>
      <c r="BL1680" s="78">
        <f t="shared" ca="1" si="3"/>
        <v>0</v>
      </c>
      <c r="BM1680" s="78"/>
      <c r="BN1680" s="78">
        <f t="shared" ca="1" si="4"/>
        <v>0</v>
      </c>
      <c r="BO1680" s="66"/>
      <c r="BP1680" s="66"/>
    </row>
    <row r="1681" spans="1:68" ht="13.2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>
        <f t="shared" ref="AP1681:AQ1681" si="1674">AR1681+AT1681+AV1681</f>
        <v>0</v>
      </c>
      <c r="AQ1681" s="75">
        <f t="shared" si="1674"/>
        <v>0</v>
      </c>
      <c r="AR1681" s="75"/>
      <c r="AS1681" s="75"/>
      <c r="AT1681" s="75"/>
      <c r="AU1681" s="75"/>
      <c r="AV1681" s="75"/>
      <c r="AW1681" s="75"/>
      <c r="AX1681" s="75"/>
      <c r="AY1681" s="67">
        <f t="shared" ca="1" si="1"/>
        <v>0</v>
      </c>
      <c r="AZ1681" s="75"/>
      <c r="BA1681" s="67">
        <f t="shared" ca="1" si="2"/>
        <v>0</v>
      </c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8"/>
      <c r="BL1681" s="78">
        <f t="shared" ca="1" si="3"/>
        <v>0</v>
      </c>
      <c r="BM1681" s="78"/>
      <c r="BN1681" s="78">
        <f t="shared" ca="1" si="4"/>
        <v>0</v>
      </c>
      <c r="BO1681" s="66"/>
      <c r="BP1681" s="66"/>
    </row>
    <row r="1682" spans="1:68" ht="13.2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>
        <f t="shared" ref="AP1682:AQ1682" si="1675">AR1682+AT1682+AV1682</f>
        <v>0</v>
      </c>
      <c r="AQ1682" s="75">
        <f t="shared" si="1675"/>
        <v>0</v>
      </c>
      <c r="AR1682" s="75"/>
      <c r="AS1682" s="75"/>
      <c r="AT1682" s="75"/>
      <c r="AU1682" s="75"/>
      <c r="AV1682" s="75"/>
      <c r="AW1682" s="75"/>
      <c r="AX1682" s="75"/>
      <c r="AY1682" s="67">
        <f t="shared" ca="1" si="1"/>
        <v>0</v>
      </c>
      <c r="AZ1682" s="75"/>
      <c r="BA1682" s="67">
        <f t="shared" ca="1" si="2"/>
        <v>0</v>
      </c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8"/>
      <c r="BL1682" s="78">
        <f t="shared" ca="1" si="3"/>
        <v>0</v>
      </c>
      <c r="BM1682" s="78"/>
      <c r="BN1682" s="78">
        <f t="shared" ca="1" si="4"/>
        <v>0</v>
      </c>
      <c r="BO1682" s="66"/>
      <c r="BP1682" s="66"/>
    </row>
    <row r="1683" spans="1:68" ht="13.2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>
        <f t="shared" ref="AP1683:AQ1683" si="1676">AR1683+AT1683+AV1683</f>
        <v>0</v>
      </c>
      <c r="AQ1683" s="75">
        <f t="shared" si="1676"/>
        <v>0</v>
      </c>
      <c r="AR1683" s="75"/>
      <c r="AS1683" s="75"/>
      <c r="AT1683" s="75"/>
      <c r="AU1683" s="75"/>
      <c r="AV1683" s="75"/>
      <c r="AW1683" s="75"/>
      <c r="AX1683" s="75"/>
      <c r="AY1683" s="67">
        <f t="shared" ca="1" si="1"/>
        <v>0</v>
      </c>
      <c r="AZ1683" s="75"/>
      <c r="BA1683" s="67">
        <f t="shared" ca="1" si="2"/>
        <v>0</v>
      </c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8"/>
      <c r="BL1683" s="78">
        <f t="shared" ca="1" si="3"/>
        <v>0</v>
      </c>
      <c r="BM1683" s="78"/>
      <c r="BN1683" s="78">
        <f t="shared" ca="1" si="4"/>
        <v>0</v>
      </c>
      <c r="BO1683" s="66"/>
      <c r="BP1683" s="66"/>
    </row>
    <row r="1684" spans="1:68" ht="13.2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>
        <f t="shared" ref="AP1684:AQ1684" si="1677">AR1684+AT1684+AV1684</f>
        <v>0</v>
      </c>
      <c r="AQ1684" s="75">
        <f t="shared" si="1677"/>
        <v>0</v>
      </c>
      <c r="AR1684" s="75"/>
      <c r="AS1684" s="75"/>
      <c r="AT1684" s="75"/>
      <c r="AU1684" s="75"/>
      <c r="AV1684" s="75"/>
      <c r="AW1684" s="75"/>
      <c r="AX1684" s="75"/>
      <c r="AY1684" s="67">
        <f t="shared" ca="1" si="1"/>
        <v>0</v>
      </c>
      <c r="AZ1684" s="75"/>
      <c r="BA1684" s="67">
        <f t="shared" ca="1" si="2"/>
        <v>0</v>
      </c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8"/>
      <c r="BL1684" s="78">
        <f t="shared" ca="1" si="3"/>
        <v>0</v>
      </c>
      <c r="BM1684" s="78"/>
      <c r="BN1684" s="78">
        <f t="shared" ca="1" si="4"/>
        <v>0</v>
      </c>
      <c r="BO1684" s="66"/>
      <c r="BP1684" s="66"/>
    </row>
    <row r="1685" spans="1:68" ht="13.2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>
        <f t="shared" ref="AP1685:AQ1685" si="1678">AR1685+AT1685+AV1685</f>
        <v>0</v>
      </c>
      <c r="AQ1685" s="75">
        <f t="shared" si="1678"/>
        <v>0</v>
      </c>
      <c r="AR1685" s="75"/>
      <c r="AS1685" s="75"/>
      <c r="AT1685" s="75"/>
      <c r="AU1685" s="75"/>
      <c r="AV1685" s="75"/>
      <c r="AW1685" s="75"/>
      <c r="AX1685" s="75"/>
      <c r="AY1685" s="67">
        <f t="shared" ca="1" si="1"/>
        <v>0</v>
      </c>
      <c r="AZ1685" s="75"/>
      <c r="BA1685" s="67">
        <f t="shared" ca="1" si="2"/>
        <v>0</v>
      </c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8"/>
      <c r="BL1685" s="78">
        <f t="shared" ca="1" si="3"/>
        <v>0</v>
      </c>
      <c r="BM1685" s="78"/>
      <c r="BN1685" s="78">
        <f t="shared" ca="1" si="4"/>
        <v>0</v>
      </c>
      <c r="BO1685" s="66"/>
      <c r="BP1685" s="66"/>
    </row>
    <row r="1686" spans="1:68" ht="13.2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>
        <f t="shared" ref="AP1686:AQ1686" si="1679">AR1686+AT1686+AV1686</f>
        <v>0</v>
      </c>
      <c r="AQ1686" s="75">
        <f t="shared" si="1679"/>
        <v>0</v>
      </c>
      <c r="AR1686" s="75"/>
      <c r="AS1686" s="75"/>
      <c r="AT1686" s="75"/>
      <c r="AU1686" s="75"/>
      <c r="AV1686" s="75"/>
      <c r="AW1686" s="75"/>
      <c r="AX1686" s="75"/>
      <c r="AY1686" s="67">
        <f t="shared" ca="1" si="1"/>
        <v>0</v>
      </c>
      <c r="AZ1686" s="75"/>
      <c r="BA1686" s="67">
        <f t="shared" ca="1" si="2"/>
        <v>0</v>
      </c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8"/>
      <c r="BL1686" s="78">
        <f t="shared" ca="1" si="3"/>
        <v>0</v>
      </c>
      <c r="BM1686" s="78"/>
      <c r="BN1686" s="78">
        <f t="shared" ca="1" si="4"/>
        <v>0</v>
      </c>
      <c r="BO1686" s="66"/>
      <c r="BP1686" s="66"/>
    </row>
    <row r="1687" spans="1:68" ht="13.2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>
        <f t="shared" ref="AP1687:AQ1687" si="1680">AR1687+AT1687+AV1687</f>
        <v>0</v>
      </c>
      <c r="AQ1687" s="75">
        <f t="shared" si="1680"/>
        <v>0</v>
      </c>
      <c r="AR1687" s="75"/>
      <c r="AS1687" s="75"/>
      <c r="AT1687" s="75"/>
      <c r="AU1687" s="75"/>
      <c r="AV1687" s="75"/>
      <c r="AW1687" s="75"/>
      <c r="AX1687" s="75"/>
      <c r="AY1687" s="67">
        <f t="shared" ca="1" si="1"/>
        <v>0</v>
      </c>
      <c r="AZ1687" s="75"/>
      <c r="BA1687" s="67">
        <f t="shared" ca="1" si="2"/>
        <v>0</v>
      </c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8"/>
      <c r="BL1687" s="78">
        <f t="shared" ca="1" si="3"/>
        <v>0</v>
      </c>
      <c r="BM1687" s="78"/>
      <c r="BN1687" s="78">
        <f t="shared" ca="1" si="4"/>
        <v>0</v>
      </c>
      <c r="BO1687" s="66"/>
      <c r="BP1687" s="66"/>
    </row>
    <row r="1688" spans="1:68" ht="13.2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>
        <f t="shared" ref="AP1688:AQ1688" si="1681">AR1688+AT1688+AV1688</f>
        <v>0</v>
      </c>
      <c r="AQ1688" s="75">
        <f t="shared" si="1681"/>
        <v>0</v>
      </c>
      <c r="AR1688" s="75"/>
      <c r="AS1688" s="75"/>
      <c r="AT1688" s="75"/>
      <c r="AU1688" s="75"/>
      <c r="AV1688" s="75"/>
      <c r="AW1688" s="75"/>
      <c r="AX1688" s="75"/>
      <c r="AY1688" s="67">
        <f t="shared" ca="1" si="1"/>
        <v>0</v>
      </c>
      <c r="AZ1688" s="75"/>
      <c r="BA1688" s="67">
        <f t="shared" ca="1" si="2"/>
        <v>0</v>
      </c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8"/>
      <c r="BL1688" s="78">
        <f t="shared" ca="1" si="3"/>
        <v>0</v>
      </c>
      <c r="BM1688" s="78"/>
      <c r="BN1688" s="78">
        <f t="shared" ca="1" si="4"/>
        <v>0</v>
      </c>
      <c r="BO1688" s="66"/>
      <c r="BP1688" s="66"/>
    </row>
    <row r="1689" spans="1:68" ht="13.2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>
        <f t="shared" ref="AP1689:AQ1689" si="1682">AR1689+AT1689+AV1689</f>
        <v>0</v>
      </c>
      <c r="AQ1689" s="75">
        <f t="shared" si="1682"/>
        <v>0</v>
      </c>
      <c r="AR1689" s="75"/>
      <c r="AS1689" s="75"/>
      <c r="AT1689" s="75"/>
      <c r="AU1689" s="75"/>
      <c r="AV1689" s="75"/>
      <c r="AW1689" s="75"/>
      <c r="AX1689" s="75"/>
      <c r="AY1689" s="67">
        <f t="shared" ca="1" si="1"/>
        <v>0</v>
      </c>
      <c r="AZ1689" s="75"/>
      <c r="BA1689" s="67">
        <f t="shared" ca="1" si="2"/>
        <v>0</v>
      </c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8"/>
      <c r="BL1689" s="78">
        <f t="shared" ca="1" si="3"/>
        <v>0</v>
      </c>
      <c r="BM1689" s="78"/>
      <c r="BN1689" s="78">
        <f t="shared" ca="1" si="4"/>
        <v>0</v>
      </c>
      <c r="BO1689" s="66"/>
      <c r="BP1689" s="66"/>
    </row>
    <row r="1690" spans="1:68" ht="13.2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>
        <f t="shared" ref="AP1690:AQ1690" si="1683">AR1690+AT1690+AV1690</f>
        <v>0</v>
      </c>
      <c r="AQ1690" s="75">
        <f t="shared" si="1683"/>
        <v>0</v>
      </c>
      <c r="AR1690" s="75"/>
      <c r="AS1690" s="75"/>
      <c r="AT1690" s="75"/>
      <c r="AU1690" s="75"/>
      <c r="AV1690" s="75"/>
      <c r="AW1690" s="75"/>
      <c r="AX1690" s="75"/>
      <c r="AY1690" s="67">
        <f t="shared" ca="1" si="1"/>
        <v>0</v>
      </c>
      <c r="AZ1690" s="75"/>
      <c r="BA1690" s="67">
        <f t="shared" ca="1" si="2"/>
        <v>0</v>
      </c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8"/>
      <c r="BL1690" s="78">
        <f t="shared" ca="1" si="3"/>
        <v>0</v>
      </c>
      <c r="BM1690" s="78"/>
      <c r="BN1690" s="78">
        <f t="shared" ca="1" si="4"/>
        <v>0</v>
      </c>
      <c r="BO1690" s="66"/>
      <c r="BP1690" s="66"/>
    </row>
    <row r="1691" spans="1:68" ht="13.2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>
        <f t="shared" ref="AP1691:AQ1691" si="1684">AR1691+AT1691+AV1691</f>
        <v>0</v>
      </c>
      <c r="AQ1691" s="75">
        <f t="shared" si="1684"/>
        <v>0</v>
      </c>
      <c r="AR1691" s="75"/>
      <c r="AS1691" s="75"/>
      <c r="AT1691" s="75"/>
      <c r="AU1691" s="75"/>
      <c r="AV1691" s="75"/>
      <c r="AW1691" s="75"/>
      <c r="AX1691" s="75"/>
      <c r="AY1691" s="67">
        <f t="shared" ca="1" si="1"/>
        <v>0</v>
      </c>
      <c r="AZ1691" s="75"/>
      <c r="BA1691" s="67">
        <f t="shared" ca="1" si="2"/>
        <v>0</v>
      </c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8"/>
      <c r="BL1691" s="78">
        <f t="shared" ca="1" si="3"/>
        <v>0</v>
      </c>
      <c r="BM1691" s="78"/>
      <c r="BN1691" s="78">
        <f t="shared" ca="1" si="4"/>
        <v>0</v>
      </c>
      <c r="BO1691" s="66"/>
      <c r="BP1691" s="66"/>
    </row>
    <row r="1692" spans="1:68" ht="13.2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>
        <f t="shared" ref="AP1692:AQ1692" si="1685">AR1692+AT1692+AV1692</f>
        <v>0</v>
      </c>
      <c r="AQ1692" s="75">
        <f t="shared" si="1685"/>
        <v>0</v>
      </c>
      <c r="AR1692" s="75"/>
      <c r="AS1692" s="75"/>
      <c r="AT1692" s="75"/>
      <c r="AU1692" s="75"/>
      <c r="AV1692" s="75"/>
      <c r="AW1692" s="75"/>
      <c r="AX1692" s="75"/>
      <c r="AY1692" s="67">
        <f t="shared" ca="1" si="1"/>
        <v>0</v>
      </c>
      <c r="AZ1692" s="75"/>
      <c r="BA1692" s="67">
        <f t="shared" ca="1" si="2"/>
        <v>0</v>
      </c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8"/>
      <c r="BL1692" s="78">
        <f t="shared" ca="1" si="3"/>
        <v>0</v>
      </c>
      <c r="BM1692" s="78"/>
      <c r="BN1692" s="78">
        <f t="shared" ca="1" si="4"/>
        <v>0</v>
      </c>
      <c r="BO1692" s="66"/>
      <c r="BP1692" s="66"/>
    </row>
    <row r="1693" spans="1:68" ht="13.2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>
        <f t="shared" ref="AP1693:AQ1693" si="1686">AR1693+AT1693+AV1693</f>
        <v>0</v>
      </c>
      <c r="AQ1693" s="75">
        <f t="shared" si="1686"/>
        <v>0</v>
      </c>
      <c r="AR1693" s="75"/>
      <c r="AS1693" s="75"/>
      <c r="AT1693" s="75"/>
      <c r="AU1693" s="75"/>
      <c r="AV1693" s="75"/>
      <c r="AW1693" s="75"/>
      <c r="AX1693" s="75"/>
      <c r="AY1693" s="67">
        <f t="shared" ca="1" si="1"/>
        <v>0</v>
      </c>
      <c r="AZ1693" s="75"/>
      <c r="BA1693" s="67">
        <f t="shared" ca="1" si="2"/>
        <v>0</v>
      </c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8"/>
      <c r="BL1693" s="78">
        <f t="shared" ca="1" si="3"/>
        <v>0</v>
      </c>
      <c r="BM1693" s="78"/>
      <c r="BN1693" s="78">
        <f t="shared" ca="1" si="4"/>
        <v>0</v>
      </c>
      <c r="BO1693" s="66"/>
      <c r="BP1693" s="66"/>
    </row>
    <row r="1694" spans="1:68" ht="13.2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>
        <f t="shared" ref="AP1694:AQ1694" si="1687">AR1694+AT1694+AV1694</f>
        <v>0</v>
      </c>
      <c r="AQ1694" s="75">
        <f t="shared" si="1687"/>
        <v>0</v>
      </c>
      <c r="AR1694" s="75"/>
      <c r="AS1694" s="75"/>
      <c r="AT1694" s="75"/>
      <c r="AU1694" s="75"/>
      <c r="AV1694" s="75"/>
      <c r="AW1694" s="75"/>
      <c r="AX1694" s="75"/>
      <c r="AY1694" s="67">
        <f t="shared" ca="1" si="1"/>
        <v>0</v>
      </c>
      <c r="AZ1694" s="75"/>
      <c r="BA1694" s="67">
        <f t="shared" ca="1" si="2"/>
        <v>0</v>
      </c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8"/>
      <c r="BL1694" s="78">
        <f t="shared" ca="1" si="3"/>
        <v>0</v>
      </c>
      <c r="BM1694" s="78"/>
      <c r="BN1694" s="78">
        <f t="shared" ca="1" si="4"/>
        <v>0</v>
      </c>
      <c r="BO1694" s="66"/>
      <c r="BP1694" s="66"/>
    </row>
    <row r="1695" spans="1:68" ht="13.2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>
        <f t="shared" ref="AP1695:AQ1695" si="1688">AR1695+AT1695+AV1695</f>
        <v>0</v>
      </c>
      <c r="AQ1695" s="75">
        <f t="shared" si="1688"/>
        <v>0</v>
      </c>
      <c r="AR1695" s="75"/>
      <c r="AS1695" s="75"/>
      <c r="AT1695" s="75"/>
      <c r="AU1695" s="75"/>
      <c r="AV1695" s="75"/>
      <c r="AW1695" s="75"/>
      <c r="AX1695" s="75"/>
      <c r="AY1695" s="67">
        <f t="shared" ca="1" si="1"/>
        <v>0</v>
      </c>
      <c r="AZ1695" s="75"/>
      <c r="BA1695" s="67">
        <f t="shared" ca="1" si="2"/>
        <v>0</v>
      </c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8"/>
      <c r="BL1695" s="78">
        <f t="shared" ca="1" si="3"/>
        <v>0</v>
      </c>
      <c r="BM1695" s="78"/>
      <c r="BN1695" s="78">
        <f t="shared" ca="1" si="4"/>
        <v>0</v>
      </c>
      <c r="BO1695" s="66"/>
      <c r="BP1695" s="66"/>
    </row>
    <row r="1696" spans="1:68" ht="13.2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>
        <f t="shared" ref="AP1696:AQ1696" si="1689">AR1696+AT1696+AV1696</f>
        <v>0</v>
      </c>
      <c r="AQ1696" s="75">
        <f t="shared" si="1689"/>
        <v>0</v>
      </c>
      <c r="AR1696" s="75"/>
      <c r="AS1696" s="75"/>
      <c r="AT1696" s="75"/>
      <c r="AU1696" s="75"/>
      <c r="AV1696" s="75"/>
      <c r="AW1696" s="75"/>
      <c r="AX1696" s="75"/>
      <c r="AY1696" s="67">
        <f t="shared" ca="1" si="1"/>
        <v>0</v>
      </c>
      <c r="AZ1696" s="75"/>
      <c r="BA1696" s="67">
        <f t="shared" ca="1" si="2"/>
        <v>0</v>
      </c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8"/>
      <c r="BL1696" s="78">
        <f t="shared" ca="1" si="3"/>
        <v>0</v>
      </c>
      <c r="BM1696" s="78"/>
      <c r="BN1696" s="78">
        <f t="shared" ca="1" si="4"/>
        <v>0</v>
      </c>
      <c r="BO1696" s="66"/>
      <c r="BP1696" s="66"/>
    </row>
    <row r="1697" spans="1:68" ht="13.2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>
        <f t="shared" ref="AP1697:AQ1697" si="1690">AR1697+AT1697+AV1697</f>
        <v>0</v>
      </c>
      <c r="AQ1697" s="75">
        <f t="shared" si="1690"/>
        <v>0</v>
      </c>
      <c r="AR1697" s="75"/>
      <c r="AS1697" s="75"/>
      <c r="AT1697" s="75"/>
      <c r="AU1697" s="75"/>
      <c r="AV1697" s="75"/>
      <c r="AW1697" s="75"/>
      <c r="AX1697" s="75"/>
      <c r="AY1697" s="67">
        <f t="shared" ca="1" si="1"/>
        <v>0</v>
      </c>
      <c r="AZ1697" s="75"/>
      <c r="BA1697" s="67">
        <f t="shared" ca="1" si="2"/>
        <v>0</v>
      </c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8"/>
      <c r="BL1697" s="78">
        <f t="shared" ca="1" si="3"/>
        <v>0</v>
      </c>
      <c r="BM1697" s="78"/>
      <c r="BN1697" s="78">
        <f t="shared" ca="1" si="4"/>
        <v>0</v>
      </c>
      <c r="BO1697" s="66"/>
      <c r="BP1697" s="66"/>
    </row>
    <row r="1698" spans="1:68" ht="13.2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>
        <f t="shared" ref="AP1698:AQ1698" si="1691">AR1698+AT1698+AV1698</f>
        <v>0</v>
      </c>
      <c r="AQ1698" s="75">
        <f t="shared" si="1691"/>
        <v>0</v>
      </c>
      <c r="AR1698" s="75"/>
      <c r="AS1698" s="75"/>
      <c r="AT1698" s="75"/>
      <c r="AU1698" s="75"/>
      <c r="AV1698" s="75"/>
      <c r="AW1698" s="75"/>
      <c r="AX1698" s="75"/>
      <c r="AY1698" s="67">
        <f t="shared" ca="1" si="1"/>
        <v>0</v>
      </c>
      <c r="AZ1698" s="75"/>
      <c r="BA1698" s="67">
        <f t="shared" ca="1" si="2"/>
        <v>0</v>
      </c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8"/>
      <c r="BL1698" s="78">
        <f t="shared" ca="1" si="3"/>
        <v>0</v>
      </c>
      <c r="BM1698" s="78"/>
      <c r="BN1698" s="78">
        <f t="shared" ca="1" si="4"/>
        <v>0</v>
      </c>
      <c r="BO1698" s="66"/>
      <c r="BP1698" s="66"/>
    </row>
    <row r="1699" spans="1:68" ht="13.2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>
        <f t="shared" ref="AP1699:AQ1699" si="1692">AR1699+AT1699+AV1699</f>
        <v>0</v>
      </c>
      <c r="AQ1699" s="75">
        <f t="shared" si="1692"/>
        <v>0</v>
      </c>
      <c r="AR1699" s="75"/>
      <c r="AS1699" s="75"/>
      <c r="AT1699" s="75"/>
      <c r="AU1699" s="75"/>
      <c r="AV1699" s="75"/>
      <c r="AW1699" s="75"/>
      <c r="AX1699" s="75"/>
      <c r="AY1699" s="67">
        <f t="shared" ca="1" si="1"/>
        <v>0</v>
      </c>
      <c r="AZ1699" s="75"/>
      <c r="BA1699" s="67">
        <f t="shared" ca="1" si="2"/>
        <v>0</v>
      </c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8"/>
      <c r="BL1699" s="78">
        <f t="shared" ca="1" si="3"/>
        <v>0</v>
      </c>
      <c r="BM1699" s="78"/>
      <c r="BN1699" s="78">
        <f t="shared" ca="1" si="4"/>
        <v>0</v>
      </c>
      <c r="BO1699" s="66"/>
      <c r="BP1699" s="66"/>
    </row>
    <row r="1700" spans="1:68" ht="13.2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>
        <f t="shared" ref="AP1700:AQ1700" si="1693">AR1700+AT1700+AV1700</f>
        <v>0</v>
      </c>
      <c r="AQ1700" s="75">
        <f t="shared" si="1693"/>
        <v>0</v>
      </c>
      <c r="AR1700" s="75"/>
      <c r="AS1700" s="75"/>
      <c r="AT1700" s="75"/>
      <c r="AU1700" s="75"/>
      <c r="AV1700" s="75"/>
      <c r="AW1700" s="75"/>
      <c r="AX1700" s="75"/>
      <c r="AY1700" s="67">
        <f t="shared" ca="1" si="1"/>
        <v>0</v>
      </c>
      <c r="AZ1700" s="75"/>
      <c r="BA1700" s="67">
        <f t="shared" ca="1" si="2"/>
        <v>0</v>
      </c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8"/>
      <c r="BL1700" s="78">
        <f t="shared" ca="1" si="3"/>
        <v>0</v>
      </c>
      <c r="BM1700" s="78"/>
      <c r="BN1700" s="78">
        <f t="shared" ca="1" si="4"/>
        <v>0</v>
      </c>
      <c r="BO1700" s="66"/>
      <c r="BP1700" s="66"/>
    </row>
    <row r="1701" spans="1:68" ht="13.2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>
        <f t="shared" ref="AP1701:AQ1701" si="1694">AR1701+AT1701+AV1701</f>
        <v>0</v>
      </c>
      <c r="AQ1701" s="75">
        <f t="shared" si="1694"/>
        <v>0</v>
      </c>
      <c r="AR1701" s="75"/>
      <c r="AS1701" s="75"/>
      <c r="AT1701" s="75"/>
      <c r="AU1701" s="75"/>
      <c r="AV1701" s="75"/>
      <c r="AW1701" s="75"/>
      <c r="AX1701" s="75"/>
      <c r="AY1701" s="67">
        <f t="shared" ca="1" si="1"/>
        <v>0</v>
      </c>
      <c r="AZ1701" s="75"/>
      <c r="BA1701" s="67">
        <f t="shared" ca="1" si="2"/>
        <v>0</v>
      </c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8"/>
      <c r="BL1701" s="78">
        <f t="shared" ca="1" si="3"/>
        <v>0</v>
      </c>
      <c r="BM1701" s="78"/>
      <c r="BN1701" s="78">
        <f t="shared" ca="1" si="4"/>
        <v>0</v>
      </c>
      <c r="BO1701" s="66"/>
      <c r="BP1701" s="66"/>
    </row>
    <row r="1702" spans="1:68" ht="13.2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>
        <f t="shared" ref="AP1702:AQ1702" si="1695">AR1702+AT1702+AV1702</f>
        <v>0</v>
      </c>
      <c r="AQ1702" s="75">
        <f t="shared" si="1695"/>
        <v>0</v>
      </c>
      <c r="AR1702" s="75"/>
      <c r="AS1702" s="75"/>
      <c r="AT1702" s="75"/>
      <c r="AU1702" s="75"/>
      <c r="AV1702" s="75"/>
      <c r="AW1702" s="75"/>
      <c r="AX1702" s="75"/>
      <c r="AY1702" s="67">
        <f t="shared" ca="1" si="1"/>
        <v>0</v>
      </c>
      <c r="AZ1702" s="75"/>
      <c r="BA1702" s="67">
        <f t="shared" ca="1" si="2"/>
        <v>0</v>
      </c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8"/>
      <c r="BL1702" s="78">
        <f t="shared" ca="1" si="3"/>
        <v>0</v>
      </c>
      <c r="BM1702" s="78"/>
      <c r="BN1702" s="78">
        <f t="shared" ca="1" si="4"/>
        <v>0</v>
      </c>
      <c r="BO1702" s="66"/>
      <c r="BP1702" s="66"/>
    </row>
    <row r="1703" spans="1:68" ht="13.2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>
        <f t="shared" ref="AP1703:AQ1703" si="1696">AR1703+AT1703+AV1703</f>
        <v>0</v>
      </c>
      <c r="AQ1703" s="75">
        <f t="shared" si="1696"/>
        <v>0</v>
      </c>
      <c r="AR1703" s="75"/>
      <c r="AS1703" s="75"/>
      <c r="AT1703" s="75"/>
      <c r="AU1703" s="75"/>
      <c r="AV1703" s="75"/>
      <c r="AW1703" s="75"/>
      <c r="AX1703" s="75"/>
      <c r="AY1703" s="67">
        <f t="shared" ca="1" si="1"/>
        <v>0</v>
      </c>
      <c r="AZ1703" s="75"/>
      <c r="BA1703" s="67">
        <f t="shared" ca="1" si="2"/>
        <v>0</v>
      </c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8"/>
      <c r="BL1703" s="78">
        <f t="shared" ca="1" si="3"/>
        <v>0</v>
      </c>
      <c r="BM1703" s="78"/>
      <c r="BN1703" s="78">
        <f t="shared" ca="1" si="4"/>
        <v>0</v>
      </c>
      <c r="BO1703" s="66"/>
      <c r="BP1703" s="66"/>
    </row>
    <row r="1704" spans="1:68" ht="13.2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>
        <f t="shared" ref="AP1704:AQ1704" si="1697">AR1704+AT1704+AV1704</f>
        <v>0</v>
      </c>
      <c r="AQ1704" s="75">
        <f t="shared" si="1697"/>
        <v>0</v>
      </c>
      <c r="AR1704" s="75"/>
      <c r="AS1704" s="75"/>
      <c r="AT1704" s="75"/>
      <c r="AU1704" s="75"/>
      <c r="AV1704" s="75"/>
      <c r="AW1704" s="75"/>
      <c r="AX1704" s="75"/>
      <c r="AY1704" s="67">
        <f t="shared" ca="1" si="1"/>
        <v>0</v>
      </c>
      <c r="AZ1704" s="75"/>
      <c r="BA1704" s="67">
        <f t="shared" ca="1" si="2"/>
        <v>0</v>
      </c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8"/>
      <c r="BL1704" s="78">
        <f t="shared" ca="1" si="3"/>
        <v>0</v>
      </c>
      <c r="BM1704" s="78"/>
      <c r="BN1704" s="78">
        <f t="shared" ca="1" si="4"/>
        <v>0</v>
      </c>
      <c r="BO1704" s="66"/>
      <c r="BP1704" s="66"/>
    </row>
    <row r="1705" spans="1:68" ht="13.2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>
        <f t="shared" ref="AP1705:AQ1705" si="1698">AR1705+AT1705+AV1705</f>
        <v>0</v>
      </c>
      <c r="AQ1705" s="75">
        <f t="shared" si="1698"/>
        <v>0</v>
      </c>
      <c r="AR1705" s="75"/>
      <c r="AS1705" s="75"/>
      <c r="AT1705" s="75"/>
      <c r="AU1705" s="75"/>
      <c r="AV1705" s="75"/>
      <c r="AW1705" s="75"/>
      <c r="AX1705" s="75"/>
      <c r="AY1705" s="67">
        <f t="shared" ca="1" si="1"/>
        <v>0</v>
      </c>
      <c r="AZ1705" s="75"/>
      <c r="BA1705" s="67">
        <f t="shared" ca="1" si="2"/>
        <v>0</v>
      </c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8"/>
      <c r="BL1705" s="78">
        <f t="shared" ca="1" si="3"/>
        <v>0</v>
      </c>
      <c r="BM1705" s="78"/>
      <c r="BN1705" s="78">
        <f t="shared" ca="1" si="4"/>
        <v>0</v>
      </c>
      <c r="BO1705" s="66"/>
      <c r="BP1705" s="66"/>
    </row>
    <row r="1706" spans="1:68" ht="13.2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>
        <f t="shared" ref="AP1706:AQ1706" si="1699">AR1706+AT1706+AV1706</f>
        <v>0</v>
      </c>
      <c r="AQ1706" s="75">
        <f t="shared" si="1699"/>
        <v>0</v>
      </c>
      <c r="AR1706" s="75"/>
      <c r="AS1706" s="75"/>
      <c r="AT1706" s="75"/>
      <c r="AU1706" s="75"/>
      <c r="AV1706" s="75"/>
      <c r="AW1706" s="75"/>
      <c r="AX1706" s="75"/>
      <c r="AY1706" s="67">
        <f t="shared" ca="1" si="1"/>
        <v>0</v>
      </c>
      <c r="AZ1706" s="75"/>
      <c r="BA1706" s="67">
        <f t="shared" ca="1" si="2"/>
        <v>0</v>
      </c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8"/>
      <c r="BL1706" s="78">
        <f t="shared" ca="1" si="3"/>
        <v>0</v>
      </c>
      <c r="BM1706" s="78"/>
      <c r="BN1706" s="78">
        <f t="shared" ca="1" si="4"/>
        <v>0</v>
      </c>
      <c r="BO1706" s="66"/>
      <c r="BP1706" s="66"/>
    </row>
    <row r="1707" spans="1:68" ht="13.2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>
        <f t="shared" ref="AP1707:AQ1707" si="1700">AR1707+AT1707+AV1707</f>
        <v>0</v>
      </c>
      <c r="AQ1707" s="75">
        <f t="shared" si="1700"/>
        <v>0</v>
      </c>
      <c r="AR1707" s="75"/>
      <c r="AS1707" s="75"/>
      <c r="AT1707" s="75"/>
      <c r="AU1707" s="75"/>
      <c r="AV1707" s="75"/>
      <c r="AW1707" s="75"/>
      <c r="AX1707" s="75"/>
      <c r="AY1707" s="67">
        <f t="shared" ca="1" si="1"/>
        <v>0</v>
      </c>
      <c r="AZ1707" s="75"/>
      <c r="BA1707" s="67">
        <f t="shared" ca="1" si="2"/>
        <v>0</v>
      </c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8"/>
      <c r="BL1707" s="78">
        <f t="shared" ca="1" si="3"/>
        <v>0</v>
      </c>
      <c r="BM1707" s="78"/>
      <c r="BN1707" s="78">
        <f t="shared" ca="1" si="4"/>
        <v>0</v>
      </c>
      <c r="BO1707" s="66"/>
      <c r="BP1707" s="66"/>
    </row>
    <row r="1708" spans="1:68" ht="13.2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>
        <f t="shared" ref="AP1708:AQ1708" si="1701">AR1708+AT1708+AV1708</f>
        <v>0</v>
      </c>
      <c r="AQ1708" s="75">
        <f t="shared" si="1701"/>
        <v>0</v>
      </c>
      <c r="AR1708" s="75"/>
      <c r="AS1708" s="75"/>
      <c r="AT1708" s="75"/>
      <c r="AU1708" s="75"/>
      <c r="AV1708" s="75"/>
      <c r="AW1708" s="75"/>
      <c r="AX1708" s="75"/>
      <c r="AY1708" s="67">
        <f t="shared" ca="1" si="1"/>
        <v>0</v>
      </c>
      <c r="AZ1708" s="75"/>
      <c r="BA1708" s="67">
        <f t="shared" ca="1" si="2"/>
        <v>0</v>
      </c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8"/>
      <c r="BL1708" s="78">
        <f t="shared" ca="1" si="3"/>
        <v>0</v>
      </c>
      <c r="BM1708" s="78"/>
      <c r="BN1708" s="78">
        <f t="shared" ca="1" si="4"/>
        <v>0</v>
      </c>
      <c r="BO1708" s="66"/>
      <c r="BP1708" s="66"/>
    </row>
    <row r="1709" spans="1:68" ht="13.2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>
        <f t="shared" ref="AP1709:AQ1709" si="1702">AR1709+AT1709+AV1709</f>
        <v>0</v>
      </c>
      <c r="AQ1709" s="75">
        <f t="shared" si="1702"/>
        <v>0</v>
      </c>
      <c r="AR1709" s="75"/>
      <c r="AS1709" s="75"/>
      <c r="AT1709" s="75"/>
      <c r="AU1709" s="75"/>
      <c r="AV1709" s="75"/>
      <c r="AW1709" s="75"/>
      <c r="AX1709" s="75"/>
      <c r="AY1709" s="67">
        <f t="shared" ca="1" si="1"/>
        <v>0</v>
      </c>
      <c r="AZ1709" s="75"/>
      <c r="BA1709" s="67">
        <f t="shared" ca="1" si="2"/>
        <v>0</v>
      </c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8"/>
      <c r="BL1709" s="78">
        <f t="shared" ca="1" si="3"/>
        <v>0</v>
      </c>
      <c r="BM1709" s="78"/>
      <c r="BN1709" s="78">
        <f t="shared" ca="1" si="4"/>
        <v>0</v>
      </c>
      <c r="BO1709" s="66"/>
      <c r="BP1709" s="66"/>
    </row>
    <row r="1710" spans="1:68" ht="13.2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>
        <f t="shared" ref="AP1710:AQ1710" si="1703">AR1710+AT1710+AV1710</f>
        <v>0</v>
      </c>
      <c r="AQ1710" s="75">
        <f t="shared" si="1703"/>
        <v>0</v>
      </c>
      <c r="AR1710" s="75"/>
      <c r="AS1710" s="75"/>
      <c r="AT1710" s="75"/>
      <c r="AU1710" s="75"/>
      <c r="AV1710" s="75"/>
      <c r="AW1710" s="75"/>
      <c r="AX1710" s="75"/>
      <c r="AY1710" s="67">
        <f t="shared" ca="1" si="1"/>
        <v>0</v>
      </c>
      <c r="AZ1710" s="75"/>
      <c r="BA1710" s="67">
        <f t="shared" ca="1" si="2"/>
        <v>0</v>
      </c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8"/>
      <c r="BL1710" s="78">
        <f t="shared" ca="1" si="3"/>
        <v>0</v>
      </c>
      <c r="BM1710" s="78"/>
      <c r="BN1710" s="78">
        <f t="shared" ca="1" si="4"/>
        <v>0</v>
      </c>
      <c r="BO1710" s="66"/>
      <c r="BP1710" s="66"/>
    </row>
    <row r="1711" spans="1:68" ht="13.2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>
        <f t="shared" ref="AP1711:AQ1711" si="1704">AR1711+AT1711+AV1711</f>
        <v>0</v>
      </c>
      <c r="AQ1711" s="75">
        <f t="shared" si="1704"/>
        <v>0</v>
      </c>
      <c r="AR1711" s="75"/>
      <c r="AS1711" s="75"/>
      <c r="AT1711" s="75"/>
      <c r="AU1711" s="75"/>
      <c r="AV1711" s="75"/>
      <c r="AW1711" s="75"/>
      <c r="AX1711" s="75"/>
      <c r="AY1711" s="67">
        <f t="shared" ca="1" si="1"/>
        <v>0</v>
      </c>
      <c r="AZ1711" s="75"/>
      <c r="BA1711" s="67">
        <f t="shared" ca="1" si="2"/>
        <v>0</v>
      </c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8"/>
      <c r="BL1711" s="78">
        <f t="shared" ca="1" si="3"/>
        <v>0</v>
      </c>
      <c r="BM1711" s="78"/>
      <c r="BN1711" s="78">
        <f t="shared" ca="1" si="4"/>
        <v>0</v>
      </c>
      <c r="BO1711" s="66"/>
      <c r="BP1711" s="66"/>
    </row>
    <row r="1712" spans="1:68" ht="13.2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>
        <f t="shared" ref="AP1712:AQ1712" si="1705">AR1712+AT1712+AV1712</f>
        <v>0</v>
      </c>
      <c r="AQ1712" s="75">
        <f t="shared" si="1705"/>
        <v>0</v>
      </c>
      <c r="AR1712" s="75"/>
      <c r="AS1712" s="75"/>
      <c r="AT1712" s="75"/>
      <c r="AU1712" s="75"/>
      <c r="AV1712" s="75"/>
      <c r="AW1712" s="75"/>
      <c r="AX1712" s="75"/>
      <c r="AY1712" s="67">
        <f t="shared" ca="1" si="1"/>
        <v>0</v>
      </c>
      <c r="AZ1712" s="75"/>
      <c r="BA1712" s="67">
        <f t="shared" ca="1" si="2"/>
        <v>0</v>
      </c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8"/>
      <c r="BL1712" s="78">
        <f t="shared" ca="1" si="3"/>
        <v>0</v>
      </c>
      <c r="BM1712" s="78"/>
      <c r="BN1712" s="78">
        <f t="shared" ca="1" si="4"/>
        <v>0</v>
      </c>
      <c r="BO1712" s="66"/>
      <c r="BP1712" s="66"/>
    </row>
    <row r="1713" spans="1:68" ht="13.2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>
        <f t="shared" ref="AP1713:AQ1713" si="1706">AR1713+AT1713+AV1713</f>
        <v>0</v>
      </c>
      <c r="AQ1713" s="75">
        <f t="shared" si="1706"/>
        <v>0</v>
      </c>
      <c r="AR1713" s="75"/>
      <c r="AS1713" s="75"/>
      <c r="AT1713" s="75"/>
      <c r="AU1713" s="75"/>
      <c r="AV1713" s="75"/>
      <c r="AW1713" s="75"/>
      <c r="AX1713" s="75"/>
      <c r="AY1713" s="67">
        <f t="shared" ca="1" si="1"/>
        <v>0</v>
      </c>
      <c r="AZ1713" s="75"/>
      <c r="BA1713" s="67">
        <f t="shared" ca="1" si="2"/>
        <v>0</v>
      </c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8"/>
      <c r="BL1713" s="78">
        <f t="shared" ca="1" si="3"/>
        <v>0</v>
      </c>
      <c r="BM1713" s="78"/>
      <c r="BN1713" s="78">
        <f t="shared" ca="1" si="4"/>
        <v>0</v>
      </c>
      <c r="BO1713" s="66"/>
      <c r="BP1713" s="66"/>
    </row>
    <row r="1714" spans="1:68" ht="13.2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>
        <f t="shared" ref="AP1714:AQ1714" si="1707">AR1714+AT1714+AV1714</f>
        <v>0</v>
      </c>
      <c r="AQ1714" s="75">
        <f t="shared" si="1707"/>
        <v>0</v>
      </c>
      <c r="AR1714" s="75"/>
      <c r="AS1714" s="75"/>
      <c r="AT1714" s="75"/>
      <c r="AU1714" s="75"/>
      <c r="AV1714" s="75"/>
      <c r="AW1714" s="75"/>
      <c r="AX1714" s="75"/>
      <c r="AY1714" s="67">
        <f t="shared" ca="1" si="1"/>
        <v>0</v>
      </c>
      <c r="AZ1714" s="75"/>
      <c r="BA1714" s="67">
        <f t="shared" ca="1" si="2"/>
        <v>0</v>
      </c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8"/>
      <c r="BL1714" s="78">
        <f t="shared" ca="1" si="3"/>
        <v>0</v>
      </c>
      <c r="BM1714" s="78"/>
      <c r="BN1714" s="78">
        <f t="shared" ca="1" si="4"/>
        <v>0</v>
      </c>
      <c r="BO1714" s="66"/>
      <c r="BP1714" s="66"/>
    </row>
    <row r="1715" spans="1:68" ht="13.2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>
        <f t="shared" ref="AP1715:AQ1715" si="1708">AR1715+AT1715+AV1715</f>
        <v>0</v>
      </c>
      <c r="AQ1715" s="75">
        <f t="shared" si="1708"/>
        <v>0</v>
      </c>
      <c r="AR1715" s="75"/>
      <c r="AS1715" s="75"/>
      <c r="AT1715" s="75"/>
      <c r="AU1715" s="75"/>
      <c r="AV1715" s="75"/>
      <c r="AW1715" s="75"/>
      <c r="AX1715" s="75"/>
      <c r="AY1715" s="67">
        <f t="shared" ca="1" si="1"/>
        <v>0</v>
      </c>
      <c r="AZ1715" s="75"/>
      <c r="BA1715" s="67">
        <f t="shared" ca="1" si="2"/>
        <v>0</v>
      </c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8"/>
      <c r="BL1715" s="78">
        <f t="shared" ca="1" si="3"/>
        <v>0</v>
      </c>
      <c r="BM1715" s="78"/>
      <c r="BN1715" s="78">
        <f t="shared" ca="1" si="4"/>
        <v>0</v>
      </c>
      <c r="BO1715" s="66"/>
      <c r="BP1715" s="66"/>
    </row>
    <row r="1716" spans="1:68" ht="13.2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>
        <f t="shared" ref="AP1716:AQ1716" si="1709">AR1716+AT1716+AV1716</f>
        <v>0</v>
      </c>
      <c r="AQ1716" s="75">
        <f t="shared" si="1709"/>
        <v>0</v>
      </c>
      <c r="AR1716" s="75"/>
      <c r="AS1716" s="75"/>
      <c r="AT1716" s="75"/>
      <c r="AU1716" s="75"/>
      <c r="AV1716" s="75"/>
      <c r="AW1716" s="75"/>
      <c r="AX1716" s="75"/>
      <c r="AY1716" s="67">
        <f t="shared" ca="1" si="1"/>
        <v>0</v>
      </c>
      <c r="AZ1716" s="75"/>
      <c r="BA1716" s="67">
        <f t="shared" ca="1" si="2"/>
        <v>0</v>
      </c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8"/>
      <c r="BL1716" s="78">
        <f t="shared" ca="1" si="3"/>
        <v>0</v>
      </c>
      <c r="BM1716" s="78"/>
      <c r="BN1716" s="78">
        <f t="shared" ca="1" si="4"/>
        <v>0</v>
      </c>
      <c r="BO1716" s="66"/>
      <c r="BP1716" s="66"/>
    </row>
    <row r="1717" spans="1:68" ht="13.2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>
        <f t="shared" ref="AP1717:AQ1717" si="1710">AR1717+AT1717+AV1717</f>
        <v>0</v>
      </c>
      <c r="AQ1717" s="75">
        <f t="shared" si="1710"/>
        <v>0</v>
      </c>
      <c r="AR1717" s="75"/>
      <c r="AS1717" s="75"/>
      <c r="AT1717" s="75"/>
      <c r="AU1717" s="75"/>
      <c r="AV1717" s="75"/>
      <c r="AW1717" s="75"/>
      <c r="AX1717" s="75"/>
      <c r="AY1717" s="67">
        <f t="shared" ca="1" si="1"/>
        <v>0</v>
      </c>
      <c r="AZ1717" s="75"/>
      <c r="BA1717" s="67">
        <f t="shared" ca="1" si="2"/>
        <v>0</v>
      </c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8"/>
      <c r="BL1717" s="78">
        <f t="shared" ca="1" si="3"/>
        <v>0</v>
      </c>
      <c r="BM1717" s="78"/>
      <c r="BN1717" s="78">
        <f t="shared" ca="1" si="4"/>
        <v>0</v>
      </c>
      <c r="BO1717" s="66"/>
      <c r="BP1717" s="66"/>
    </row>
    <row r="1718" spans="1:68" ht="13.2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>
        <f t="shared" ref="AP1718:AQ1718" si="1711">AR1718+AT1718+AV1718</f>
        <v>0</v>
      </c>
      <c r="AQ1718" s="75">
        <f t="shared" si="1711"/>
        <v>0</v>
      </c>
      <c r="AR1718" s="75"/>
      <c r="AS1718" s="75"/>
      <c r="AT1718" s="75"/>
      <c r="AU1718" s="75"/>
      <c r="AV1718" s="75"/>
      <c r="AW1718" s="75"/>
      <c r="AX1718" s="75"/>
      <c r="AY1718" s="67">
        <f t="shared" ca="1" si="1"/>
        <v>0</v>
      </c>
      <c r="AZ1718" s="75"/>
      <c r="BA1718" s="67">
        <f t="shared" ca="1" si="2"/>
        <v>0</v>
      </c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8"/>
      <c r="BL1718" s="78">
        <f t="shared" ca="1" si="3"/>
        <v>0</v>
      </c>
      <c r="BM1718" s="78"/>
      <c r="BN1718" s="78">
        <f t="shared" ca="1" si="4"/>
        <v>0</v>
      </c>
      <c r="BO1718" s="66"/>
      <c r="BP1718" s="66"/>
    </row>
    <row r="1719" spans="1:68" ht="13.2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>
        <f t="shared" ref="AP1719:AQ1719" si="1712">AR1719+AT1719+AV1719</f>
        <v>0</v>
      </c>
      <c r="AQ1719" s="75">
        <f t="shared" si="1712"/>
        <v>0</v>
      </c>
      <c r="AR1719" s="75"/>
      <c r="AS1719" s="75"/>
      <c r="AT1719" s="75"/>
      <c r="AU1719" s="75"/>
      <c r="AV1719" s="75"/>
      <c r="AW1719" s="75"/>
      <c r="AX1719" s="75"/>
      <c r="AY1719" s="67">
        <f t="shared" ca="1" si="1"/>
        <v>0</v>
      </c>
      <c r="AZ1719" s="75"/>
      <c r="BA1719" s="67">
        <f t="shared" ca="1" si="2"/>
        <v>0</v>
      </c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8"/>
      <c r="BL1719" s="78">
        <f t="shared" ca="1" si="3"/>
        <v>0</v>
      </c>
      <c r="BM1719" s="78"/>
      <c r="BN1719" s="78">
        <f t="shared" ca="1" si="4"/>
        <v>0</v>
      </c>
      <c r="BO1719" s="66"/>
      <c r="BP1719" s="66"/>
    </row>
    <row r="1720" spans="1:68" ht="13.2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>
        <f t="shared" ref="AP1720:AQ1720" si="1713">AR1720+AT1720+AV1720</f>
        <v>0</v>
      </c>
      <c r="AQ1720" s="75">
        <f t="shared" si="1713"/>
        <v>0</v>
      </c>
      <c r="AR1720" s="75"/>
      <c r="AS1720" s="75"/>
      <c r="AT1720" s="75"/>
      <c r="AU1720" s="75"/>
      <c r="AV1720" s="75"/>
      <c r="AW1720" s="75"/>
      <c r="AX1720" s="75"/>
      <c r="AY1720" s="67">
        <f t="shared" ca="1" si="1"/>
        <v>0</v>
      </c>
      <c r="AZ1720" s="75"/>
      <c r="BA1720" s="67">
        <f t="shared" ca="1" si="2"/>
        <v>0</v>
      </c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8"/>
      <c r="BL1720" s="78">
        <f t="shared" ca="1" si="3"/>
        <v>0</v>
      </c>
      <c r="BM1720" s="78"/>
      <c r="BN1720" s="78">
        <f t="shared" ca="1" si="4"/>
        <v>0</v>
      </c>
      <c r="BO1720" s="66"/>
      <c r="BP1720" s="66"/>
    </row>
    <row r="1721" spans="1:68" ht="13.2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>
        <f t="shared" ref="AP1721:AQ1721" si="1714">AR1721+AT1721+AV1721</f>
        <v>0</v>
      </c>
      <c r="AQ1721" s="75">
        <f t="shared" si="1714"/>
        <v>0</v>
      </c>
      <c r="AR1721" s="75"/>
      <c r="AS1721" s="75"/>
      <c r="AT1721" s="75"/>
      <c r="AU1721" s="75"/>
      <c r="AV1721" s="75"/>
      <c r="AW1721" s="75"/>
      <c r="AX1721" s="75"/>
      <c r="AY1721" s="67">
        <f t="shared" ca="1" si="1"/>
        <v>0</v>
      </c>
      <c r="AZ1721" s="75"/>
      <c r="BA1721" s="67">
        <f t="shared" ca="1" si="2"/>
        <v>0</v>
      </c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8"/>
      <c r="BL1721" s="78">
        <f t="shared" ca="1" si="3"/>
        <v>0</v>
      </c>
      <c r="BM1721" s="78"/>
      <c r="BN1721" s="78">
        <f t="shared" ca="1" si="4"/>
        <v>0</v>
      </c>
      <c r="BO1721" s="66"/>
      <c r="BP1721" s="66"/>
    </row>
    <row r="1722" spans="1:68" ht="13.2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>
        <f t="shared" ref="AP1722:AQ1722" si="1715">AR1722+AT1722+AV1722</f>
        <v>0</v>
      </c>
      <c r="AQ1722" s="75">
        <f t="shared" si="1715"/>
        <v>0</v>
      </c>
      <c r="AR1722" s="75"/>
      <c r="AS1722" s="75"/>
      <c r="AT1722" s="75"/>
      <c r="AU1722" s="75"/>
      <c r="AV1722" s="75"/>
      <c r="AW1722" s="75"/>
      <c r="AX1722" s="75"/>
      <c r="AY1722" s="67">
        <f t="shared" ca="1" si="1"/>
        <v>0</v>
      </c>
      <c r="AZ1722" s="75"/>
      <c r="BA1722" s="67">
        <f t="shared" ca="1" si="2"/>
        <v>0</v>
      </c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8"/>
      <c r="BL1722" s="78">
        <f t="shared" ca="1" si="3"/>
        <v>0</v>
      </c>
      <c r="BM1722" s="78"/>
      <c r="BN1722" s="78">
        <f t="shared" ca="1" si="4"/>
        <v>0</v>
      </c>
      <c r="BO1722" s="66"/>
      <c r="BP1722" s="66"/>
    </row>
    <row r="1723" spans="1:68" ht="13.2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>
        <f t="shared" ref="AP1723:AQ1723" si="1716">AR1723+AT1723+AV1723</f>
        <v>0</v>
      </c>
      <c r="AQ1723" s="75">
        <f t="shared" si="1716"/>
        <v>0</v>
      </c>
      <c r="AR1723" s="75"/>
      <c r="AS1723" s="75"/>
      <c r="AT1723" s="75"/>
      <c r="AU1723" s="75"/>
      <c r="AV1723" s="75"/>
      <c r="AW1723" s="75"/>
      <c r="AX1723" s="75"/>
      <c r="AY1723" s="67">
        <f t="shared" ca="1" si="1"/>
        <v>0</v>
      </c>
      <c r="AZ1723" s="75"/>
      <c r="BA1723" s="67">
        <f t="shared" ca="1" si="2"/>
        <v>0</v>
      </c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8"/>
      <c r="BL1723" s="78">
        <f t="shared" ca="1" si="3"/>
        <v>0</v>
      </c>
      <c r="BM1723" s="78"/>
      <c r="BN1723" s="78">
        <f t="shared" ca="1" si="4"/>
        <v>0</v>
      </c>
      <c r="BO1723" s="66"/>
      <c r="BP1723" s="66"/>
    </row>
    <row r="1724" spans="1:68" ht="13.2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>
        <f t="shared" ref="AP1724:AQ1724" si="1717">AR1724+AT1724+AV1724</f>
        <v>0</v>
      </c>
      <c r="AQ1724" s="75">
        <f t="shared" si="1717"/>
        <v>0</v>
      </c>
      <c r="AR1724" s="75"/>
      <c r="AS1724" s="75"/>
      <c r="AT1724" s="75"/>
      <c r="AU1724" s="75"/>
      <c r="AV1724" s="75"/>
      <c r="AW1724" s="75"/>
      <c r="AX1724" s="75"/>
      <c r="AY1724" s="67">
        <f t="shared" ca="1" si="1"/>
        <v>0</v>
      </c>
      <c r="AZ1724" s="75"/>
      <c r="BA1724" s="67">
        <f t="shared" ca="1" si="2"/>
        <v>0</v>
      </c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8"/>
      <c r="BL1724" s="78">
        <f t="shared" ca="1" si="3"/>
        <v>0</v>
      </c>
      <c r="BM1724" s="78"/>
      <c r="BN1724" s="78">
        <f t="shared" ca="1" si="4"/>
        <v>0</v>
      </c>
      <c r="BO1724" s="66"/>
      <c r="BP1724" s="66"/>
    </row>
    <row r="1725" spans="1:68" ht="13.2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>
        <f t="shared" ref="AP1725:AQ1725" si="1718">AR1725+AT1725+AV1725</f>
        <v>0</v>
      </c>
      <c r="AQ1725" s="75">
        <f t="shared" si="1718"/>
        <v>0</v>
      </c>
      <c r="AR1725" s="75"/>
      <c r="AS1725" s="75"/>
      <c r="AT1725" s="75"/>
      <c r="AU1725" s="75"/>
      <c r="AV1725" s="75"/>
      <c r="AW1725" s="75"/>
      <c r="AX1725" s="75"/>
      <c r="AY1725" s="67">
        <f t="shared" ca="1" si="1"/>
        <v>0</v>
      </c>
      <c r="AZ1725" s="75"/>
      <c r="BA1725" s="67">
        <f t="shared" ca="1" si="2"/>
        <v>0</v>
      </c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8"/>
      <c r="BL1725" s="78">
        <f t="shared" ca="1" si="3"/>
        <v>0</v>
      </c>
      <c r="BM1725" s="78"/>
      <c r="BN1725" s="78">
        <f t="shared" ca="1" si="4"/>
        <v>0</v>
      </c>
      <c r="BO1725" s="66"/>
      <c r="BP1725" s="66"/>
    </row>
    <row r="1726" spans="1:68" ht="13.2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>
        <f t="shared" ref="AP1726:AQ1726" si="1719">AR1726+AT1726+AV1726</f>
        <v>0</v>
      </c>
      <c r="AQ1726" s="75">
        <f t="shared" si="1719"/>
        <v>0</v>
      </c>
      <c r="AR1726" s="75"/>
      <c r="AS1726" s="75"/>
      <c r="AT1726" s="75"/>
      <c r="AU1726" s="75"/>
      <c r="AV1726" s="75"/>
      <c r="AW1726" s="75"/>
      <c r="AX1726" s="75"/>
      <c r="AY1726" s="67">
        <f t="shared" ca="1" si="1"/>
        <v>0</v>
      </c>
      <c r="AZ1726" s="75"/>
      <c r="BA1726" s="67">
        <f t="shared" ca="1" si="2"/>
        <v>0</v>
      </c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8"/>
      <c r="BL1726" s="78">
        <f t="shared" ca="1" si="3"/>
        <v>0</v>
      </c>
      <c r="BM1726" s="78"/>
      <c r="BN1726" s="78">
        <f t="shared" ca="1" si="4"/>
        <v>0</v>
      </c>
      <c r="BO1726" s="66"/>
      <c r="BP1726" s="66"/>
    </row>
    <row r="1727" spans="1:68" ht="13.2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>
        <f t="shared" ref="AP1727:AQ1727" si="1720">AR1727+AT1727+AV1727</f>
        <v>0</v>
      </c>
      <c r="AQ1727" s="75">
        <f t="shared" si="1720"/>
        <v>0</v>
      </c>
      <c r="AR1727" s="75"/>
      <c r="AS1727" s="75"/>
      <c r="AT1727" s="75"/>
      <c r="AU1727" s="75"/>
      <c r="AV1727" s="75"/>
      <c r="AW1727" s="75"/>
      <c r="AX1727" s="75"/>
      <c r="AY1727" s="67">
        <f t="shared" ca="1" si="1"/>
        <v>0</v>
      </c>
      <c r="AZ1727" s="75"/>
      <c r="BA1727" s="67">
        <f t="shared" ca="1" si="2"/>
        <v>0</v>
      </c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8"/>
      <c r="BL1727" s="78">
        <f t="shared" ca="1" si="3"/>
        <v>0</v>
      </c>
      <c r="BM1727" s="78"/>
      <c r="BN1727" s="78">
        <f t="shared" ca="1" si="4"/>
        <v>0</v>
      </c>
      <c r="BO1727" s="66"/>
      <c r="BP1727" s="66"/>
    </row>
    <row r="1728" spans="1:68" ht="13.2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>
        <f t="shared" ref="AP1728:AQ1728" si="1721">AR1728+AT1728+AV1728</f>
        <v>0</v>
      </c>
      <c r="AQ1728" s="75">
        <f t="shared" si="1721"/>
        <v>0</v>
      </c>
      <c r="AR1728" s="75"/>
      <c r="AS1728" s="75"/>
      <c r="AT1728" s="75"/>
      <c r="AU1728" s="75"/>
      <c r="AV1728" s="75"/>
      <c r="AW1728" s="75"/>
      <c r="AX1728" s="75"/>
      <c r="AY1728" s="67">
        <f t="shared" ca="1" si="1"/>
        <v>0</v>
      </c>
      <c r="AZ1728" s="75"/>
      <c r="BA1728" s="67">
        <f t="shared" ca="1" si="2"/>
        <v>0</v>
      </c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8"/>
      <c r="BL1728" s="78">
        <f t="shared" ca="1" si="3"/>
        <v>0</v>
      </c>
      <c r="BM1728" s="78"/>
      <c r="BN1728" s="78">
        <f t="shared" ca="1" si="4"/>
        <v>0</v>
      </c>
      <c r="BO1728" s="66"/>
      <c r="BP1728" s="66"/>
    </row>
    <row r="1729" spans="1:68" ht="13.2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>
        <f t="shared" ref="AP1729:AQ1729" si="1722">AR1729+AT1729+AV1729</f>
        <v>0</v>
      </c>
      <c r="AQ1729" s="75">
        <f t="shared" si="1722"/>
        <v>0</v>
      </c>
      <c r="AR1729" s="75"/>
      <c r="AS1729" s="75"/>
      <c r="AT1729" s="75"/>
      <c r="AU1729" s="75"/>
      <c r="AV1729" s="75"/>
      <c r="AW1729" s="75"/>
      <c r="AX1729" s="75"/>
      <c r="AY1729" s="67">
        <f t="shared" ca="1" si="1"/>
        <v>0</v>
      </c>
      <c r="AZ1729" s="75"/>
      <c r="BA1729" s="67">
        <f t="shared" ca="1" si="2"/>
        <v>0</v>
      </c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8"/>
      <c r="BL1729" s="78">
        <f t="shared" ca="1" si="3"/>
        <v>0</v>
      </c>
      <c r="BM1729" s="78"/>
      <c r="BN1729" s="78">
        <f t="shared" ca="1" si="4"/>
        <v>0</v>
      </c>
      <c r="BO1729" s="66"/>
      <c r="BP1729" s="66"/>
    </row>
    <row r="1730" spans="1:68" ht="13.2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>
        <f t="shared" ref="AP1730:AQ1730" si="1723">AR1730+AT1730+AV1730</f>
        <v>0</v>
      </c>
      <c r="AQ1730" s="75">
        <f t="shared" si="1723"/>
        <v>0</v>
      </c>
      <c r="AR1730" s="75"/>
      <c r="AS1730" s="75"/>
      <c r="AT1730" s="75"/>
      <c r="AU1730" s="75"/>
      <c r="AV1730" s="75"/>
      <c r="AW1730" s="75"/>
      <c r="AX1730" s="75"/>
      <c r="AY1730" s="67">
        <f t="shared" ca="1" si="1"/>
        <v>0</v>
      </c>
      <c r="AZ1730" s="75"/>
      <c r="BA1730" s="67">
        <f t="shared" ca="1" si="2"/>
        <v>0</v>
      </c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8"/>
      <c r="BL1730" s="78">
        <f t="shared" ca="1" si="3"/>
        <v>0</v>
      </c>
      <c r="BM1730" s="78"/>
      <c r="BN1730" s="78">
        <f t="shared" ca="1" si="4"/>
        <v>0</v>
      </c>
      <c r="BO1730" s="66"/>
      <c r="BP1730" s="66"/>
    </row>
    <row r="1731" spans="1:68" ht="13.2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>
        <f t="shared" ref="AP1731:AQ1731" si="1724">AR1731+AT1731+AV1731</f>
        <v>0</v>
      </c>
      <c r="AQ1731" s="75">
        <f t="shared" si="1724"/>
        <v>0</v>
      </c>
      <c r="AR1731" s="75"/>
      <c r="AS1731" s="75"/>
      <c r="AT1731" s="75"/>
      <c r="AU1731" s="75"/>
      <c r="AV1731" s="75"/>
      <c r="AW1731" s="75"/>
      <c r="AX1731" s="75"/>
      <c r="AY1731" s="67">
        <f t="shared" ca="1" si="1"/>
        <v>0</v>
      </c>
      <c r="AZ1731" s="75"/>
      <c r="BA1731" s="67">
        <f t="shared" ca="1" si="2"/>
        <v>0</v>
      </c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8"/>
      <c r="BL1731" s="78">
        <f t="shared" ca="1" si="3"/>
        <v>0</v>
      </c>
      <c r="BM1731" s="78"/>
      <c r="BN1731" s="78">
        <f t="shared" ca="1" si="4"/>
        <v>0</v>
      </c>
      <c r="BO1731" s="66"/>
      <c r="BP1731" s="66"/>
    </row>
    <row r="1732" spans="1:68" ht="13.2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>
        <f t="shared" ref="AP1732:AQ1732" si="1725">AR1732+AT1732+AV1732</f>
        <v>0</v>
      </c>
      <c r="AQ1732" s="75">
        <f t="shared" si="1725"/>
        <v>0</v>
      </c>
      <c r="AR1732" s="75"/>
      <c r="AS1732" s="75"/>
      <c r="AT1732" s="75"/>
      <c r="AU1732" s="75"/>
      <c r="AV1732" s="75"/>
      <c r="AW1732" s="75"/>
      <c r="AX1732" s="75"/>
      <c r="AY1732" s="67">
        <f t="shared" ca="1" si="1"/>
        <v>0</v>
      </c>
      <c r="AZ1732" s="75"/>
      <c r="BA1732" s="67">
        <f t="shared" ca="1" si="2"/>
        <v>0</v>
      </c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8"/>
      <c r="BL1732" s="78">
        <f t="shared" ca="1" si="3"/>
        <v>0</v>
      </c>
      <c r="BM1732" s="78"/>
      <c r="BN1732" s="78">
        <f t="shared" ca="1" si="4"/>
        <v>0</v>
      </c>
      <c r="BO1732" s="66"/>
      <c r="BP1732" s="66"/>
    </row>
    <row r="1733" spans="1:68" ht="13.2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>
        <f t="shared" ref="AP1733:AQ1733" si="1726">AR1733+AT1733+AV1733</f>
        <v>0</v>
      </c>
      <c r="AQ1733" s="75">
        <f t="shared" si="1726"/>
        <v>0</v>
      </c>
      <c r="AR1733" s="75"/>
      <c r="AS1733" s="75"/>
      <c r="AT1733" s="75"/>
      <c r="AU1733" s="75"/>
      <c r="AV1733" s="75"/>
      <c r="AW1733" s="75"/>
      <c r="AX1733" s="75"/>
      <c r="AY1733" s="67">
        <f t="shared" ca="1" si="1"/>
        <v>0</v>
      </c>
      <c r="AZ1733" s="75"/>
      <c r="BA1733" s="67">
        <f t="shared" ca="1" si="2"/>
        <v>0</v>
      </c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8"/>
      <c r="BL1733" s="78">
        <f t="shared" ca="1" si="3"/>
        <v>0</v>
      </c>
      <c r="BM1733" s="78"/>
      <c r="BN1733" s="78">
        <f t="shared" ca="1" si="4"/>
        <v>0</v>
      </c>
      <c r="BO1733" s="66"/>
      <c r="BP1733" s="66"/>
    </row>
    <row r="1734" spans="1:68" ht="13.2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>
        <f t="shared" ref="AP1734:AQ1734" si="1727">AR1734+AT1734+AV1734</f>
        <v>0</v>
      </c>
      <c r="AQ1734" s="75">
        <f t="shared" si="1727"/>
        <v>0</v>
      </c>
      <c r="AR1734" s="75"/>
      <c r="AS1734" s="75"/>
      <c r="AT1734" s="75"/>
      <c r="AU1734" s="75"/>
      <c r="AV1734" s="75"/>
      <c r="AW1734" s="75"/>
      <c r="AX1734" s="75"/>
      <c r="AY1734" s="67">
        <f t="shared" ca="1" si="1"/>
        <v>0</v>
      </c>
      <c r="AZ1734" s="75"/>
      <c r="BA1734" s="67">
        <f t="shared" ca="1" si="2"/>
        <v>0</v>
      </c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8"/>
      <c r="BL1734" s="78">
        <f t="shared" ca="1" si="3"/>
        <v>0</v>
      </c>
      <c r="BM1734" s="78"/>
      <c r="BN1734" s="78">
        <f t="shared" ca="1" si="4"/>
        <v>0</v>
      </c>
      <c r="BO1734" s="66"/>
      <c r="BP1734" s="66"/>
    </row>
    <row r="1735" spans="1:68" ht="13.2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>
        <f t="shared" ref="AP1735:AQ1735" si="1728">AR1735+AT1735+AV1735</f>
        <v>0</v>
      </c>
      <c r="AQ1735" s="75">
        <f t="shared" si="1728"/>
        <v>0</v>
      </c>
      <c r="AR1735" s="75"/>
      <c r="AS1735" s="75"/>
      <c r="AT1735" s="75"/>
      <c r="AU1735" s="75"/>
      <c r="AV1735" s="75"/>
      <c r="AW1735" s="75"/>
      <c r="AX1735" s="75"/>
      <c r="AY1735" s="67">
        <f t="shared" ca="1" si="1"/>
        <v>0</v>
      </c>
      <c r="AZ1735" s="75"/>
      <c r="BA1735" s="67">
        <f t="shared" ca="1" si="2"/>
        <v>0</v>
      </c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8"/>
      <c r="BL1735" s="78">
        <f t="shared" ca="1" si="3"/>
        <v>0</v>
      </c>
      <c r="BM1735" s="78"/>
      <c r="BN1735" s="78">
        <f t="shared" ca="1" si="4"/>
        <v>0</v>
      </c>
      <c r="BO1735" s="66"/>
      <c r="BP1735" s="66"/>
    </row>
    <row r="1736" spans="1:68" ht="13.2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>
        <f t="shared" ref="AP1736:AQ1736" si="1729">AR1736+AT1736+AV1736</f>
        <v>0</v>
      </c>
      <c r="AQ1736" s="75">
        <f t="shared" si="1729"/>
        <v>0</v>
      </c>
      <c r="AR1736" s="75"/>
      <c r="AS1736" s="75"/>
      <c r="AT1736" s="75"/>
      <c r="AU1736" s="75"/>
      <c r="AV1736" s="75"/>
      <c r="AW1736" s="75"/>
      <c r="AX1736" s="75"/>
      <c r="AY1736" s="67">
        <f t="shared" ca="1" si="1"/>
        <v>0</v>
      </c>
      <c r="AZ1736" s="75"/>
      <c r="BA1736" s="67">
        <f t="shared" ca="1" si="2"/>
        <v>0</v>
      </c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8"/>
      <c r="BL1736" s="78">
        <f t="shared" ca="1" si="3"/>
        <v>0</v>
      </c>
      <c r="BM1736" s="78"/>
      <c r="BN1736" s="78">
        <f t="shared" ca="1" si="4"/>
        <v>0</v>
      </c>
      <c r="BO1736" s="66"/>
      <c r="BP1736" s="66"/>
    </row>
    <row r="1737" spans="1:68" ht="13.2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>
        <f t="shared" ref="AP1737:AQ1737" si="1730">AR1737+AT1737+AV1737</f>
        <v>0</v>
      </c>
      <c r="AQ1737" s="75">
        <f t="shared" si="1730"/>
        <v>0</v>
      </c>
      <c r="AR1737" s="75"/>
      <c r="AS1737" s="75"/>
      <c r="AT1737" s="75"/>
      <c r="AU1737" s="75"/>
      <c r="AV1737" s="75"/>
      <c r="AW1737" s="75"/>
      <c r="AX1737" s="75"/>
      <c r="AY1737" s="67">
        <f t="shared" ca="1" si="1"/>
        <v>0</v>
      </c>
      <c r="AZ1737" s="75"/>
      <c r="BA1737" s="67">
        <f t="shared" ca="1" si="2"/>
        <v>0</v>
      </c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8"/>
      <c r="BL1737" s="78">
        <f t="shared" ca="1" si="3"/>
        <v>0</v>
      </c>
      <c r="BM1737" s="78"/>
      <c r="BN1737" s="78">
        <f t="shared" ca="1" si="4"/>
        <v>0</v>
      </c>
      <c r="BO1737" s="66"/>
      <c r="BP1737" s="66"/>
    </row>
    <row r="1738" spans="1:68" ht="13.2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>
        <f t="shared" ref="AP1738:AQ1738" si="1731">AR1738+AT1738+AV1738</f>
        <v>0</v>
      </c>
      <c r="AQ1738" s="75">
        <f t="shared" si="1731"/>
        <v>0</v>
      </c>
      <c r="AR1738" s="75"/>
      <c r="AS1738" s="75"/>
      <c r="AT1738" s="75"/>
      <c r="AU1738" s="75"/>
      <c r="AV1738" s="75"/>
      <c r="AW1738" s="75"/>
      <c r="AX1738" s="75"/>
      <c r="AY1738" s="67">
        <f t="shared" ca="1" si="1"/>
        <v>0</v>
      </c>
      <c r="AZ1738" s="75"/>
      <c r="BA1738" s="67">
        <f t="shared" ca="1" si="2"/>
        <v>0</v>
      </c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8"/>
      <c r="BL1738" s="78">
        <f t="shared" ca="1" si="3"/>
        <v>0</v>
      </c>
      <c r="BM1738" s="78"/>
      <c r="BN1738" s="78">
        <f t="shared" ca="1" si="4"/>
        <v>0</v>
      </c>
      <c r="BO1738" s="66"/>
      <c r="BP1738" s="66"/>
    </row>
    <row r="1739" spans="1:68" ht="13.2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>
        <f t="shared" ref="AP1739:AQ1739" si="1732">AR1739+AT1739+AV1739</f>
        <v>0</v>
      </c>
      <c r="AQ1739" s="75">
        <f t="shared" si="1732"/>
        <v>0</v>
      </c>
      <c r="AR1739" s="75"/>
      <c r="AS1739" s="75"/>
      <c r="AT1739" s="75"/>
      <c r="AU1739" s="75"/>
      <c r="AV1739" s="75"/>
      <c r="AW1739" s="75"/>
      <c r="AX1739" s="75"/>
      <c r="AY1739" s="67">
        <f t="shared" ca="1" si="1"/>
        <v>0</v>
      </c>
      <c r="AZ1739" s="75"/>
      <c r="BA1739" s="67">
        <f t="shared" ca="1" si="2"/>
        <v>0</v>
      </c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8"/>
      <c r="BL1739" s="78">
        <f t="shared" ca="1" si="3"/>
        <v>0</v>
      </c>
      <c r="BM1739" s="78"/>
      <c r="BN1739" s="78">
        <f t="shared" ca="1" si="4"/>
        <v>0</v>
      </c>
      <c r="BO1739" s="66"/>
      <c r="BP1739" s="66"/>
    </row>
    <row r="1740" spans="1:68" ht="13.2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>
        <f t="shared" ref="AP1740:AQ1740" si="1733">AR1740+AT1740+AV1740</f>
        <v>0</v>
      </c>
      <c r="AQ1740" s="75">
        <f t="shared" si="1733"/>
        <v>0</v>
      </c>
      <c r="AR1740" s="75"/>
      <c r="AS1740" s="75"/>
      <c r="AT1740" s="75"/>
      <c r="AU1740" s="75"/>
      <c r="AV1740" s="75"/>
      <c r="AW1740" s="75"/>
      <c r="AX1740" s="75"/>
      <c r="AY1740" s="67">
        <f t="shared" ca="1" si="1"/>
        <v>0</v>
      </c>
      <c r="AZ1740" s="75"/>
      <c r="BA1740" s="67">
        <f t="shared" ca="1" si="2"/>
        <v>0</v>
      </c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8"/>
      <c r="BL1740" s="78">
        <f t="shared" ca="1" si="3"/>
        <v>0</v>
      </c>
      <c r="BM1740" s="78"/>
      <c r="BN1740" s="78">
        <f t="shared" ca="1" si="4"/>
        <v>0</v>
      </c>
      <c r="BO1740" s="66"/>
      <c r="BP1740" s="66"/>
    </row>
    <row r="1741" spans="1:68" ht="13.2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>
        <f t="shared" ref="AP1741:AQ1741" si="1734">AR1741+AT1741+AV1741</f>
        <v>0</v>
      </c>
      <c r="AQ1741" s="75">
        <f t="shared" si="1734"/>
        <v>0</v>
      </c>
      <c r="AR1741" s="75"/>
      <c r="AS1741" s="75"/>
      <c r="AT1741" s="75"/>
      <c r="AU1741" s="75"/>
      <c r="AV1741" s="75"/>
      <c r="AW1741" s="75"/>
      <c r="AX1741" s="75"/>
      <c r="AY1741" s="67">
        <f t="shared" ca="1" si="1"/>
        <v>0</v>
      </c>
      <c r="AZ1741" s="75"/>
      <c r="BA1741" s="67">
        <f t="shared" ca="1" si="2"/>
        <v>0</v>
      </c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8"/>
      <c r="BL1741" s="78">
        <f t="shared" ca="1" si="3"/>
        <v>0</v>
      </c>
      <c r="BM1741" s="78"/>
      <c r="BN1741" s="78">
        <f t="shared" ca="1" si="4"/>
        <v>0</v>
      </c>
      <c r="BO1741" s="66"/>
      <c r="BP1741" s="66"/>
    </row>
    <row r="1742" spans="1:68" ht="13.2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>
        <f t="shared" ref="AP1742:AQ1742" si="1735">AR1742+AT1742+AV1742</f>
        <v>0</v>
      </c>
      <c r="AQ1742" s="75">
        <f t="shared" si="1735"/>
        <v>0</v>
      </c>
      <c r="AR1742" s="75"/>
      <c r="AS1742" s="75"/>
      <c r="AT1742" s="75"/>
      <c r="AU1742" s="75"/>
      <c r="AV1742" s="75"/>
      <c r="AW1742" s="75"/>
      <c r="AX1742" s="75"/>
      <c r="AY1742" s="67">
        <f t="shared" ca="1" si="1"/>
        <v>0</v>
      </c>
      <c r="AZ1742" s="75"/>
      <c r="BA1742" s="67">
        <f t="shared" ca="1" si="2"/>
        <v>0</v>
      </c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8"/>
      <c r="BL1742" s="78">
        <f t="shared" ca="1" si="3"/>
        <v>0</v>
      </c>
      <c r="BM1742" s="78"/>
      <c r="BN1742" s="78">
        <f t="shared" ca="1" si="4"/>
        <v>0</v>
      </c>
      <c r="BO1742" s="66"/>
      <c r="BP1742" s="66"/>
    </row>
    <row r="1743" spans="1:68" ht="13.2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>
        <f t="shared" ref="AP1743:AQ1743" si="1736">AR1743+AT1743+AV1743</f>
        <v>0</v>
      </c>
      <c r="AQ1743" s="75">
        <f t="shared" si="1736"/>
        <v>0</v>
      </c>
      <c r="AR1743" s="75"/>
      <c r="AS1743" s="75"/>
      <c r="AT1743" s="75"/>
      <c r="AU1743" s="75"/>
      <c r="AV1743" s="75"/>
      <c r="AW1743" s="75"/>
      <c r="AX1743" s="75"/>
      <c r="AY1743" s="67">
        <f t="shared" ca="1" si="1"/>
        <v>0</v>
      </c>
      <c r="AZ1743" s="75"/>
      <c r="BA1743" s="67">
        <f t="shared" ca="1" si="2"/>
        <v>0</v>
      </c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8"/>
      <c r="BL1743" s="78">
        <f t="shared" ca="1" si="3"/>
        <v>0</v>
      </c>
      <c r="BM1743" s="78"/>
      <c r="BN1743" s="78">
        <f t="shared" ca="1" si="4"/>
        <v>0</v>
      </c>
      <c r="BO1743" s="66"/>
      <c r="BP1743" s="66"/>
    </row>
    <row r="1744" spans="1:68" ht="13.2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>
        <f t="shared" ref="AP1744:AQ1744" si="1737">AR1744+AT1744+AV1744</f>
        <v>0</v>
      </c>
      <c r="AQ1744" s="75">
        <f t="shared" si="1737"/>
        <v>0</v>
      </c>
      <c r="AR1744" s="75"/>
      <c r="AS1744" s="75"/>
      <c r="AT1744" s="75"/>
      <c r="AU1744" s="75"/>
      <c r="AV1744" s="75"/>
      <c r="AW1744" s="75"/>
      <c r="AX1744" s="75"/>
      <c r="AY1744" s="67">
        <f t="shared" ca="1" si="1"/>
        <v>0</v>
      </c>
      <c r="AZ1744" s="75"/>
      <c r="BA1744" s="67">
        <f t="shared" ca="1" si="2"/>
        <v>0</v>
      </c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8"/>
      <c r="BL1744" s="78">
        <f t="shared" ca="1" si="3"/>
        <v>0</v>
      </c>
      <c r="BM1744" s="78"/>
      <c r="BN1744" s="78">
        <f t="shared" ca="1" si="4"/>
        <v>0</v>
      </c>
      <c r="BO1744" s="66"/>
      <c r="BP1744" s="66"/>
    </row>
    <row r="1745" spans="1:68" ht="13.2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>
        <f t="shared" ref="AP1745:AQ1745" si="1738">AR1745+AT1745+AV1745</f>
        <v>0</v>
      </c>
      <c r="AQ1745" s="75">
        <f t="shared" si="1738"/>
        <v>0</v>
      </c>
      <c r="AR1745" s="75"/>
      <c r="AS1745" s="75"/>
      <c r="AT1745" s="75"/>
      <c r="AU1745" s="75"/>
      <c r="AV1745" s="75"/>
      <c r="AW1745" s="75"/>
      <c r="AX1745" s="75"/>
      <c r="AY1745" s="67">
        <f t="shared" ca="1" si="1"/>
        <v>0</v>
      </c>
      <c r="AZ1745" s="75"/>
      <c r="BA1745" s="67">
        <f t="shared" ca="1" si="2"/>
        <v>0</v>
      </c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8"/>
      <c r="BL1745" s="78">
        <f t="shared" ca="1" si="3"/>
        <v>0</v>
      </c>
      <c r="BM1745" s="78"/>
      <c r="BN1745" s="78">
        <f t="shared" ca="1" si="4"/>
        <v>0</v>
      </c>
      <c r="BO1745" s="66"/>
      <c r="BP1745" s="66"/>
    </row>
    <row r="1746" spans="1:68" ht="13.2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>
        <f t="shared" ref="AP1746:AQ1746" si="1739">AR1746+AT1746+AV1746</f>
        <v>0</v>
      </c>
      <c r="AQ1746" s="75">
        <f t="shared" si="1739"/>
        <v>0</v>
      </c>
      <c r="AR1746" s="75"/>
      <c r="AS1746" s="75"/>
      <c r="AT1746" s="75"/>
      <c r="AU1746" s="75"/>
      <c r="AV1746" s="75"/>
      <c r="AW1746" s="75"/>
      <c r="AX1746" s="75"/>
      <c r="AY1746" s="67">
        <f t="shared" ca="1" si="1"/>
        <v>0</v>
      </c>
      <c r="AZ1746" s="75"/>
      <c r="BA1746" s="67">
        <f t="shared" ca="1" si="2"/>
        <v>0</v>
      </c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8"/>
      <c r="BL1746" s="78">
        <f t="shared" ca="1" si="3"/>
        <v>0</v>
      </c>
      <c r="BM1746" s="78"/>
      <c r="BN1746" s="78">
        <f t="shared" ca="1" si="4"/>
        <v>0</v>
      </c>
      <c r="BO1746" s="66"/>
      <c r="BP1746" s="66"/>
    </row>
    <row r="1747" spans="1:68" ht="13.2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>
        <f t="shared" ref="AP1747:AQ1747" si="1740">AR1747+AT1747+AV1747</f>
        <v>0</v>
      </c>
      <c r="AQ1747" s="75">
        <f t="shared" si="1740"/>
        <v>0</v>
      </c>
      <c r="AR1747" s="75"/>
      <c r="AS1747" s="75"/>
      <c r="AT1747" s="75"/>
      <c r="AU1747" s="75"/>
      <c r="AV1747" s="75"/>
      <c r="AW1747" s="75"/>
      <c r="AX1747" s="75"/>
      <c r="AY1747" s="67">
        <f t="shared" ca="1" si="1"/>
        <v>0</v>
      </c>
      <c r="AZ1747" s="75"/>
      <c r="BA1747" s="67">
        <f t="shared" ca="1" si="2"/>
        <v>0</v>
      </c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8"/>
      <c r="BL1747" s="78">
        <f t="shared" ca="1" si="3"/>
        <v>0</v>
      </c>
      <c r="BM1747" s="78"/>
      <c r="BN1747" s="78">
        <f t="shared" ca="1" si="4"/>
        <v>0</v>
      </c>
      <c r="BO1747" s="66"/>
      <c r="BP1747" s="66"/>
    </row>
    <row r="1748" spans="1:68" ht="13.2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>
        <f t="shared" ref="AP1748:AQ1748" si="1741">AR1748+AT1748+AV1748</f>
        <v>0</v>
      </c>
      <c r="AQ1748" s="75">
        <f t="shared" si="1741"/>
        <v>0</v>
      </c>
      <c r="AR1748" s="75"/>
      <c r="AS1748" s="75"/>
      <c r="AT1748" s="75"/>
      <c r="AU1748" s="75"/>
      <c r="AV1748" s="75"/>
      <c r="AW1748" s="75"/>
      <c r="AX1748" s="75"/>
      <c r="AY1748" s="67">
        <f t="shared" ca="1" si="1"/>
        <v>0</v>
      </c>
      <c r="AZ1748" s="75"/>
      <c r="BA1748" s="67">
        <f t="shared" ca="1" si="2"/>
        <v>0</v>
      </c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8"/>
      <c r="BL1748" s="78">
        <f t="shared" ca="1" si="3"/>
        <v>0</v>
      </c>
      <c r="BM1748" s="78"/>
      <c r="BN1748" s="78">
        <f t="shared" ca="1" si="4"/>
        <v>0</v>
      </c>
      <c r="BO1748" s="66"/>
      <c r="BP1748" s="66"/>
    </row>
    <row r="1749" spans="1:68" ht="13.2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>
        <f t="shared" ref="AP1749:AQ1749" si="1742">AR1749+AT1749+AV1749</f>
        <v>0</v>
      </c>
      <c r="AQ1749" s="75">
        <f t="shared" si="1742"/>
        <v>0</v>
      </c>
      <c r="AR1749" s="75"/>
      <c r="AS1749" s="75"/>
      <c r="AT1749" s="75"/>
      <c r="AU1749" s="75"/>
      <c r="AV1749" s="75"/>
      <c r="AW1749" s="75"/>
      <c r="AX1749" s="75"/>
      <c r="AY1749" s="67">
        <f t="shared" ca="1" si="1"/>
        <v>0</v>
      </c>
      <c r="AZ1749" s="75"/>
      <c r="BA1749" s="67">
        <f t="shared" ca="1" si="2"/>
        <v>0</v>
      </c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8"/>
      <c r="BL1749" s="78">
        <f t="shared" ca="1" si="3"/>
        <v>0</v>
      </c>
      <c r="BM1749" s="78"/>
      <c r="BN1749" s="78">
        <f t="shared" ca="1" si="4"/>
        <v>0</v>
      </c>
      <c r="BO1749" s="66"/>
      <c r="BP1749" s="66"/>
    </row>
    <row r="1750" spans="1:68" ht="13.2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>
        <f t="shared" ref="AP1750:AQ1750" si="1743">AR1750+AT1750+AV1750</f>
        <v>0</v>
      </c>
      <c r="AQ1750" s="75">
        <f t="shared" si="1743"/>
        <v>0</v>
      </c>
      <c r="AR1750" s="75"/>
      <c r="AS1750" s="75"/>
      <c r="AT1750" s="75"/>
      <c r="AU1750" s="75"/>
      <c r="AV1750" s="75"/>
      <c r="AW1750" s="75"/>
      <c r="AX1750" s="75"/>
      <c r="AY1750" s="67">
        <f t="shared" ca="1" si="1"/>
        <v>0</v>
      </c>
      <c r="AZ1750" s="75"/>
      <c r="BA1750" s="67">
        <f t="shared" ca="1" si="2"/>
        <v>0</v>
      </c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8"/>
      <c r="BL1750" s="78">
        <f t="shared" ca="1" si="3"/>
        <v>0</v>
      </c>
      <c r="BM1750" s="78"/>
      <c r="BN1750" s="78">
        <f t="shared" ca="1" si="4"/>
        <v>0</v>
      </c>
      <c r="BO1750" s="66"/>
      <c r="BP1750" s="66"/>
    </row>
    <row r="1751" spans="1:68" ht="13.2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>
        <f t="shared" ref="AP1751:AQ1751" si="1744">AR1751+AT1751+AV1751</f>
        <v>0</v>
      </c>
      <c r="AQ1751" s="75">
        <f t="shared" si="1744"/>
        <v>0</v>
      </c>
      <c r="AR1751" s="75"/>
      <c r="AS1751" s="75"/>
      <c r="AT1751" s="75"/>
      <c r="AU1751" s="75"/>
      <c r="AV1751" s="75"/>
      <c r="AW1751" s="75"/>
      <c r="AX1751" s="75"/>
      <c r="AY1751" s="67">
        <f t="shared" ca="1" si="1"/>
        <v>0</v>
      </c>
      <c r="AZ1751" s="75"/>
      <c r="BA1751" s="67">
        <f t="shared" ca="1" si="2"/>
        <v>0</v>
      </c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8"/>
      <c r="BL1751" s="78">
        <f t="shared" ca="1" si="3"/>
        <v>0</v>
      </c>
      <c r="BM1751" s="78"/>
      <c r="BN1751" s="78">
        <f t="shared" ca="1" si="4"/>
        <v>0</v>
      </c>
      <c r="BO1751" s="66"/>
      <c r="BP1751" s="66"/>
    </row>
    <row r="1752" spans="1:68" ht="13.2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>
        <f t="shared" ref="AP1752:AQ1752" si="1745">AR1752+AT1752+AV1752</f>
        <v>0</v>
      </c>
      <c r="AQ1752" s="75">
        <f t="shared" si="1745"/>
        <v>0</v>
      </c>
      <c r="AR1752" s="75"/>
      <c r="AS1752" s="75"/>
      <c r="AT1752" s="75"/>
      <c r="AU1752" s="75"/>
      <c r="AV1752" s="75"/>
      <c r="AW1752" s="75"/>
      <c r="AX1752" s="75"/>
      <c r="AY1752" s="67">
        <f t="shared" ca="1" si="1"/>
        <v>0</v>
      </c>
      <c r="AZ1752" s="75"/>
      <c r="BA1752" s="67">
        <f t="shared" ca="1" si="2"/>
        <v>0</v>
      </c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8"/>
      <c r="BL1752" s="78">
        <f t="shared" ca="1" si="3"/>
        <v>0</v>
      </c>
      <c r="BM1752" s="78"/>
      <c r="BN1752" s="78">
        <f t="shared" ca="1" si="4"/>
        <v>0</v>
      </c>
      <c r="BO1752" s="66"/>
      <c r="BP1752" s="66"/>
    </row>
    <row r="1753" spans="1:68" ht="13.2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>
        <f t="shared" ref="AP1753:AQ1753" si="1746">AR1753+AT1753+AV1753</f>
        <v>0</v>
      </c>
      <c r="AQ1753" s="75">
        <f t="shared" si="1746"/>
        <v>0</v>
      </c>
      <c r="AR1753" s="75"/>
      <c r="AS1753" s="75"/>
      <c r="AT1753" s="75"/>
      <c r="AU1753" s="75"/>
      <c r="AV1753" s="75"/>
      <c r="AW1753" s="75"/>
      <c r="AX1753" s="75"/>
      <c r="AY1753" s="67">
        <f t="shared" ca="1" si="1"/>
        <v>0</v>
      </c>
      <c r="AZ1753" s="75"/>
      <c r="BA1753" s="67">
        <f t="shared" ca="1" si="2"/>
        <v>0</v>
      </c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8"/>
      <c r="BL1753" s="78">
        <f t="shared" ca="1" si="3"/>
        <v>0</v>
      </c>
      <c r="BM1753" s="78"/>
      <c r="BN1753" s="78">
        <f t="shared" ca="1" si="4"/>
        <v>0</v>
      </c>
      <c r="BO1753" s="66"/>
      <c r="BP1753" s="66"/>
    </row>
    <row r="1754" spans="1:68" ht="13.2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>
        <f t="shared" ref="AP1754:AQ1754" si="1747">AR1754+AT1754+AV1754</f>
        <v>0</v>
      </c>
      <c r="AQ1754" s="75">
        <f t="shared" si="1747"/>
        <v>0</v>
      </c>
      <c r="AR1754" s="75"/>
      <c r="AS1754" s="75"/>
      <c r="AT1754" s="75"/>
      <c r="AU1754" s="75"/>
      <c r="AV1754" s="75"/>
      <c r="AW1754" s="75"/>
      <c r="AX1754" s="75"/>
      <c r="AY1754" s="67">
        <f t="shared" ca="1" si="1"/>
        <v>0</v>
      </c>
      <c r="AZ1754" s="75"/>
      <c r="BA1754" s="67">
        <f t="shared" ca="1" si="2"/>
        <v>0</v>
      </c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8"/>
      <c r="BL1754" s="78">
        <f t="shared" ca="1" si="3"/>
        <v>0</v>
      </c>
      <c r="BM1754" s="78"/>
      <c r="BN1754" s="78">
        <f t="shared" ca="1" si="4"/>
        <v>0</v>
      </c>
      <c r="BO1754" s="66"/>
      <c r="BP1754" s="66"/>
    </row>
    <row r="1755" spans="1:68" ht="13.2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>
        <f t="shared" ref="AP1755:AQ1755" si="1748">AR1755+AT1755+AV1755</f>
        <v>0</v>
      </c>
      <c r="AQ1755" s="75">
        <f t="shared" si="1748"/>
        <v>0</v>
      </c>
      <c r="AR1755" s="75"/>
      <c r="AS1755" s="75"/>
      <c r="AT1755" s="75"/>
      <c r="AU1755" s="75"/>
      <c r="AV1755" s="75"/>
      <c r="AW1755" s="75"/>
      <c r="AX1755" s="75"/>
      <c r="AY1755" s="67">
        <f t="shared" ca="1" si="1"/>
        <v>0</v>
      </c>
      <c r="AZ1755" s="75"/>
      <c r="BA1755" s="67">
        <f t="shared" ca="1" si="2"/>
        <v>0</v>
      </c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8"/>
      <c r="BL1755" s="78">
        <f t="shared" ca="1" si="3"/>
        <v>0</v>
      </c>
      <c r="BM1755" s="78"/>
      <c r="BN1755" s="78">
        <f t="shared" ca="1" si="4"/>
        <v>0</v>
      </c>
      <c r="BO1755" s="66"/>
      <c r="BP1755" s="66"/>
    </row>
    <row r="1756" spans="1:68" ht="13.2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>
        <f t="shared" ref="AP1756:AQ1756" si="1749">AR1756+AT1756+AV1756</f>
        <v>0</v>
      </c>
      <c r="AQ1756" s="75">
        <f t="shared" si="1749"/>
        <v>0</v>
      </c>
      <c r="AR1756" s="75"/>
      <c r="AS1756" s="75"/>
      <c r="AT1756" s="75"/>
      <c r="AU1756" s="75"/>
      <c r="AV1756" s="75"/>
      <c r="AW1756" s="75"/>
      <c r="AX1756" s="75"/>
      <c r="AY1756" s="67">
        <f t="shared" ca="1" si="1"/>
        <v>0</v>
      </c>
      <c r="AZ1756" s="75"/>
      <c r="BA1756" s="67">
        <f t="shared" ca="1" si="2"/>
        <v>0</v>
      </c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8"/>
      <c r="BL1756" s="78">
        <f t="shared" ca="1" si="3"/>
        <v>0</v>
      </c>
      <c r="BM1756" s="78"/>
      <c r="BN1756" s="78">
        <f t="shared" ca="1" si="4"/>
        <v>0</v>
      </c>
      <c r="BO1756" s="66"/>
      <c r="BP1756" s="66"/>
    </row>
    <row r="1757" spans="1:68" ht="13.2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>
        <f t="shared" ref="AP1757:AQ1757" si="1750">AR1757+AT1757+AV1757</f>
        <v>0</v>
      </c>
      <c r="AQ1757" s="75">
        <f t="shared" si="1750"/>
        <v>0</v>
      </c>
      <c r="AR1757" s="75"/>
      <c r="AS1757" s="75"/>
      <c r="AT1757" s="75"/>
      <c r="AU1757" s="75"/>
      <c r="AV1757" s="75"/>
      <c r="AW1757" s="75"/>
      <c r="AX1757" s="75"/>
      <c r="AY1757" s="67">
        <f t="shared" ca="1" si="1"/>
        <v>0</v>
      </c>
      <c r="AZ1757" s="75"/>
      <c r="BA1757" s="67">
        <f t="shared" ca="1" si="2"/>
        <v>0</v>
      </c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8"/>
      <c r="BL1757" s="78">
        <f t="shared" ca="1" si="3"/>
        <v>0</v>
      </c>
      <c r="BM1757" s="78"/>
      <c r="BN1757" s="78">
        <f t="shared" ca="1" si="4"/>
        <v>0</v>
      </c>
      <c r="BO1757" s="66"/>
      <c r="BP1757" s="66"/>
    </row>
    <row r="1758" spans="1:68" ht="13.2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>
        <f t="shared" ref="AP1758:AQ1758" si="1751">AR1758+AT1758+AV1758</f>
        <v>0</v>
      </c>
      <c r="AQ1758" s="75">
        <f t="shared" si="1751"/>
        <v>0</v>
      </c>
      <c r="AR1758" s="75"/>
      <c r="AS1758" s="75"/>
      <c r="AT1758" s="75"/>
      <c r="AU1758" s="75"/>
      <c r="AV1758" s="75"/>
      <c r="AW1758" s="75"/>
      <c r="AX1758" s="75"/>
      <c r="AY1758" s="67">
        <f t="shared" ca="1" si="1"/>
        <v>0</v>
      </c>
      <c r="AZ1758" s="75"/>
      <c r="BA1758" s="67">
        <f t="shared" ca="1" si="2"/>
        <v>0</v>
      </c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8"/>
      <c r="BL1758" s="78">
        <f t="shared" ca="1" si="3"/>
        <v>0</v>
      </c>
      <c r="BM1758" s="78"/>
      <c r="BN1758" s="78">
        <f t="shared" ca="1" si="4"/>
        <v>0</v>
      </c>
      <c r="BO1758" s="66"/>
      <c r="BP1758" s="66"/>
    </row>
    <row r="1759" spans="1:68" ht="13.2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>
        <f t="shared" ref="AP1759:AQ1759" si="1752">AR1759+AT1759+AV1759</f>
        <v>0</v>
      </c>
      <c r="AQ1759" s="75">
        <f t="shared" si="1752"/>
        <v>0</v>
      </c>
      <c r="AR1759" s="75"/>
      <c r="AS1759" s="75"/>
      <c r="AT1759" s="75"/>
      <c r="AU1759" s="75"/>
      <c r="AV1759" s="75"/>
      <c r="AW1759" s="75"/>
      <c r="AX1759" s="75"/>
      <c r="AY1759" s="67">
        <f t="shared" ca="1" si="1"/>
        <v>0</v>
      </c>
      <c r="AZ1759" s="75"/>
      <c r="BA1759" s="67">
        <f t="shared" ca="1" si="2"/>
        <v>0</v>
      </c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8"/>
      <c r="BL1759" s="78">
        <f t="shared" ca="1" si="3"/>
        <v>0</v>
      </c>
      <c r="BM1759" s="78"/>
      <c r="BN1759" s="78">
        <f t="shared" ca="1" si="4"/>
        <v>0</v>
      </c>
      <c r="BO1759" s="66"/>
      <c r="BP1759" s="66"/>
    </row>
    <row r="1760" spans="1:68" ht="13.2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>
        <f t="shared" ref="AP1760:AQ1760" si="1753">AR1760+AT1760+AV1760</f>
        <v>0</v>
      </c>
      <c r="AQ1760" s="75">
        <f t="shared" si="1753"/>
        <v>0</v>
      </c>
      <c r="AR1760" s="75"/>
      <c r="AS1760" s="75"/>
      <c r="AT1760" s="75"/>
      <c r="AU1760" s="75"/>
      <c r="AV1760" s="75"/>
      <c r="AW1760" s="75"/>
      <c r="AX1760" s="75"/>
      <c r="AY1760" s="67">
        <f t="shared" ca="1" si="1"/>
        <v>0</v>
      </c>
      <c r="AZ1760" s="75"/>
      <c r="BA1760" s="67">
        <f t="shared" ca="1" si="2"/>
        <v>0</v>
      </c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8"/>
      <c r="BL1760" s="78">
        <f t="shared" ca="1" si="3"/>
        <v>0</v>
      </c>
      <c r="BM1760" s="78"/>
      <c r="BN1760" s="78">
        <f t="shared" ca="1" si="4"/>
        <v>0</v>
      </c>
      <c r="BO1760" s="66"/>
      <c r="BP1760" s="66"/>
    </row>
    <row r="1761" spans="1:68" ht="13.2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>
        <f t="shared" ref="AP1761:AQ1761" si="1754">AR1761+AT1761+AV1761</f>
        <v>0</v>
      </c>
      <c r="AQ1761" s="75">
        <f t="shared" si="1754"/>
        <v>0</v>
      </c>
      <c r="AR1761" s="75"/>
      <c r="AS1761" s="75"/>
      <c r="AT1761" s="75"/>
      <c r="AU1761" s="75"/>
      <c r="AV1761" s="75"/>
      <c r="AW1761" s="75"/>
      <c r="AX1761" s="75"/>
      <c r="AY1761" s="67">
        <f t="shared" ca="1" si="1"/>
        <v>0</v>
      </c>
      <c r="AZ1761" s="75"/>
      <c r="BA1761" s="67">
        <f t="shared" ca="1" si="2"/>
        <v>0</v>
      </c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8"/>
      <c r="BL1761" s="78">
        <f t="shared" ca="1" si="3"/>
        <v>0</v>
      </c>
      <c r="BM1761" s="78"/>
      <c r="BN1761" s="78">
        <f t="shared" ca="1" si="4"/>
        <v>0</v>
      </c>
      <c r="BO1761" s="66"/>
      <c r="BP1761" s="66"/>
    </row>
    <row r="1762" spans="1:68" ht="13.2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>
        <f t="shared" ref="AP1762:AQ1762" si="1755">AR1762+AT1762+AV1762</f>
        <v>0</v>
      </c>
      <c r="AQ1762" s="75">
        <f t="shared" si="1755"/>
        <v>0</v>
      </c>
      <c r="AR1762" s="75"/>
      <c r="AS1762" s="75"/>
      <c r="AT1762" s="75"/>
      <c r="AU1762" s="75"/>
      <c r="AV1762" s="75"/>
      <c r="AW1762" s="75"/>
      <c r="AX1762" s="75"/>
      <c r="AY1762" s="67">
        <f t="shared" ca="1" si="1"/>
        <v>0</v>
      </c>
      <c r="AZ1762" s="75"/>
      <c r="BA1762" s="67">
        <f t="shared" ca="1" si="2"/>
        <v>0</v>
      </c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8"/>
      <c r="BL1762" s="78">
        <f t="shared" ca="1" si="3"/>
        <v>0</v>
      </c>
      <c r="BM1762" s="78"/>
      <c r="BN1762" s="78">
        <f t="shared" ca="1" si="4"/>
        <v>0</v>
      </c>
      <c r="BO1762" s="66"/>
      <c r="BP1762" s="66"/>
    </row>
    <row r="1763" spans="1:68" ht="13.2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>
        <f t="shared" ref="AP1763:AQ1763" si="1756">AR1763+AT1763+AV1763</f>
        <v>0</v>
      </c>
      <c r="AQ1763" s="75">
        <f t="shared" si="1756"/>
        <v>0</v>
      </c>
      <c r="AR1763" s="75"/>
      <c r="AS1763" s="75"/>
      <c r="AT1763" s="75"/>
      <c r="AU1763" s="75"/>
      <c r="AV1763" s="75"/>
      <c r="AW1763" s="75"/>
      <c r="AX1763" s="75"/>
      <c r="AY1763" s="67">
        <f t="shared" ca="1" si="1"/>
        <v>0</v>
      </c>
      <c r="AZ1763" s="75"/>
      <c r="BA1763" s="67">
        <f t="shared" ca="1" si="2"/>
        <v>0</v>
      </c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8"/>
      <c r="BL1763" s="78">
        <f t="shared" ca="1" si="3"/>
        <v>0</v>
      </c>
      <c r="BM1763" s="78"/>
      <c r="BN1763" s="78">
        <f t="shared" ca="1" si="4"/>
        <v>0</v>
      </c>
      <c r="BO1763" s="66"/>
      <c r="BP1763" s="66"/>
    </row>
    <row r="1764" spans="1:68" ht="13.2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>
        <f t="shared" ref="AP1764:AQ1764" si="1757">AR1764+AT1764+AV1764</f>
        <v>0</v>
      </c>
      <c r="AQ1764" s="75">
        <f t="shared" si="1757"/>
        <v>0</v>
      </c>
      <c r="AR1764" s="75"/>
      <c r="AS1764" s="75"/>
      <c r="AT1764" s="75"/>
      <c r="AU1764" s="75"/>
      <c r="AV1764" s="75"/>
      <c r="AW1764" s="75"/>
      <c r="AX1764" s="75"/>
      <c r="AY1764" s="67">
        <f t="shared" ca="1" si="1"/>
        <v>0</v>
      </c>
      <c r="AZ1764" s="75"/>
      <c r="BA1764" s="67">
        <f t="shared" ca="1" si="2"/>
        <v>0</v>
      </c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8"/>
      <c r="BL1764" s="78">
        <f t="shared" ca="1" si="3"/>
        <v>0</v>
      </c>
      <c r="BM1764" s="78"/>
      <c r="BN1764" s="78">
        <f t="shared" ca="1" si="4"/>
        <v>0</v>
      </c>
      <c r="BO1764" s="66"/>
      <c r="BP1764" s="66"/>
    </row>
    <row r="1765" spans="1:68" ht="13.2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>
        <f t="shared" ref="AP1765:AQ1765" si="1758">AR1765+AT1765+AV1765</f>
        <v>0</v>
      </c>
      <c r="AQ1765" s="75">
        <f t="shared" si="1758"/>
        <v>0</v>
      </c>
      <c r="AR1765" s="75"/>
      <c r="AS1765" s="75"/>
      <c r="AT1765" s="75"/>
      <c r="AU1765" s="75"/>
      <c r="AV1765" s="75"/>
      <c r="AW1765" s="75"/>
      <c r="AX1765" s="75"/>
      <c r="AY1765" s="67">
        <f t="shared" ca="1" si="1"/>
        <v>0</v>
      </c>
      <c r="AZ1765" s="75"/>
      <c r="BA1765" s="67">
        <f t="shared" ca="1" si="2"/>
        <v>0</v>
      </c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8"/>
      <c r="BL1765" s="78">
        <f t="shared" ca="1" si="3"/>
        <v>0</v>
      </c>
      <c r="BM1765" s="78"/>
      <c r="BN1765" s="78">
        <f t="shared" ca="1" si="4"/>
        <v>0</v>
      </c>
      <c r="BO1765" s="66"/>
      <c r="BP1765" s="66"/>
    </row>
    <row r="1766" spans="1:68" ht="13.2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>
        <f t="shared" ref="AP1766:AQ1766" si="1759">AR1766+AT1766+AV1766</f>
        <v>0</v>
      </c>
      <c r="AQ1766" s="75">
        <f t="shared" si="1759"/>
        <v>0</v>
      </c>
      <c r="AR1766" s="75"/>
      <c r="AS1766" s="75"/>
      <c r="AT1766" s="75"/>
      <c r="AU1766" s="75"/>
      <c r="AV1766" s="75"/>
      <c r="AW1766" s="75"/>
      <c r="AX1766" s="75"/>
      <c r="AY1766" s="67">
        <f t="shared" ca="1" si="1"/>
        <v>0</v>
      </c>
      <c r="AZ1766" s="75"/>
      <c r="BA1766" s="67">
        <f t="shared" ca="1" si="2"/>
        <v>0</v>
      </c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8"/>
      <c r="BL1766" s="78">
        <f t="shared" ca="1" si="3"/>
        <v>0</v>
      </c>
      <c r="BM1766" s="78"/>
      <c r="BN1766" s="78">
        <f t="shared" ca="1" si="4"/>
        <v>0</v>
      </c>
      <c r="BO1766" s="66"/>
      <c r="BP1766" s="66"/>
    </row>
    <row r="1767" spans="1:68" ht="13.2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>
        <f t="shared" ref="AP1767:AQ1767" si="1760">AR1767+AT1767+AV1767</f>
        <v>0</v>
      </c>
      <c r="AQ1767" s="75">
        <f t="shared" si="1760"/>
        <v>0</v>
      </c>
      <c r="AR1767" s="75"/>
      <c r="AS1767" s="75"/>
      <c r="AT1767" s="75"/>
      <c r="AU1767" s="75"/>
      <c r="AV1767" s="75"/>
      <c r="AW1767" s="75"/>
      <c r="AX1767" s="75"/>
      <c r="AY1767" s="67">
        <f t="shared" ca="1" si="1"/>
        <v>0</v>
      </c>
      <c r="AZ1767" s="75"/>
      <c r="BA1767" s="67">
        <f t="shared" ca="1" si="2"/>
        <v>0</v>
      </c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8"/>
      <c r="BL1767" s="78">
        <f t="shared" ca="1" si="3"/>
        <v>0</v>
      </c>
      <c r="BM1767" s="78"/>
      <c r="BN1767" s="78">
        <f t="shared" ca="1" si="4"/>
        <v>0</v>
      </c>
      <c r="BO1767" s="66"/>
      <c r="BP1767" s="66"/>
    </row>
    <row r="1768" spans="1:68" ht="13.2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>
        <f t="shared" ref="AP1768:AQ1768" si="1761">AR1768+AT1768+AV1768</f>
        <v>0</v>
      </c>
      <c r="AQ1768" s="75">
        <f t="shared" si="1761"/>
        <v>0</v>
      </c>
      <c r="AR1768" s="75"/>
      <c r="AS1768" s="75"/>
      <c r="AT1768" s="75"/>
      <c r="AU1768" s="75"/>
      <c r="AV1768" s="75"/>
      <c r="AW1768" s="75"/>
      <c r="AX1768" s="75"/>
      <c r="AY1768" s="67">
        <f t="shared" ca="1" si="1"/>
        <v>0</v>
      </c>
      <c r="AZ1768" s="75"/>
      <c r="BA1768" s="67">
        <f t="shared" ca="1" si="2"/>
        <v>0</v>
      </c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8"/>
      <c r="BL1768" s="78">
        <f t="shared" ca="1" si="3"/>
        <v>0</v>
      </c>
      <c r="BM1768" s="78"/>
      <c r="BN1768" s="78">
        <f t="shared" ca="1" si="4"/>
        <v>0</v>
      </c>
      <c r="BO1768" s="66"/>
      <c r="BP1768" s="66"/>
    </row>
    <row r="1769" spans="1:68" ht="13.2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>
        <f t="shared" ref="AP1769:AQ1769" si="1762">AR1769+AT1769+AV1769</f>
        <v>0</v>
      </c>
      <c r="AQ1769" s="75">
        <f t="shared" si="1762"/>
        <v>0</v>
      </c>
      <c r="AR1769" s="75"/>
      <c r="AS1769" s="75"/>
      <c r="AT1769" s="75"/>
      <c r="AU1769" s="75"/>
      <c r="AV1769" s="75"/>
      <c r="AW1769" s="75"/>
      <c r="AX1769" s="75"/>
      <c r="AY1769" s="67">
        <f t="shared" ca="1" si="1"/>
        <v>0</v>
      </c>
      <c r="AZ1769" s="75"/>
      <c r="BA1769" s="67">
        <f t="shared" ca="1" si="2"/>
        <v>0</v>
      </c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8"/>
      <c r="BL1769" s="78">
        <f t="shared" ca="1" si="3"/>
        <v>0</v>
      </c>
      <c r="BM1769" s="78"/>
      <c r="BN1769" s="78">
        <f t="shared" ca="1" si="4"/>
        <v>0</v>
      </c>
      <c r="BO1769" s="66"/>
      <c r="BP1769" s="66"/>
    </row>
    <row r="1770" spans="1:68" ht="13.2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>
        <f t="shared" ref="AP1770:AQ1770" si="1763">AR1770+AT1770+AV1770</f>
        <v>0</v>
      </c>
      <c r="AQ1770" s="75">
        <f t="shared" si="1763"/>
        <v>0</v>
      </c>
      <c r="AR1770" s="75"/>
      <c r="AS1770" s="75"/>
      <c r="AT1770" s="75"/>
      <c r="AU1770" s="75"/>
      <c r="AV1770" s="75"/>
      <c r="AW1770" s="75"/>
      <c r="AX1770" s="75"/>
      <c r="AY1770" s="67">
        <f t="shared" ca="1" si="1"/>
        <v>0</v>
      </c>
      <c r="AZ1770" s="75"/>
      <c r="BA1770" s="67">
        <f t="shared" ca="1" si="2"/>
        <v>0</v>
      </c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8"/>
      <c r="BL1770" s="78">
        <f t="shared" ca="1" si="3"/>
        <v>0</v>
      </c>
      <c r="BM1770" s="78"/>
      <c r="BN1770" s="78">
        <f t="shared" ca="1" si="4"/>
        <v>0</v>
      </c>
      <c r="BO1770" s="66"/>
      <c r="BP1770" s="66"/>
    </row>
    <row r="1771" spans="1:68" ht="13.2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>
        <f t="shared" ref="AP1771:AQ1771" si="1764">AR1771+AT1771+AV1771</f>
        <v>0</v>
      </c>
      <c r="AQ1771" s="75">
        <f t="shared" si="1764"/>
        <v>0</v>
      </c>
      <c r="AR1771" s="75"/>
      <c r="AS1771" s="75"/>
      <c r="AT1771" s="75"/>
      <c r="AU1771" s="75"/>
      <c r="AV1771" s="75"/>
      <c r="AW1771" s="75"/>
      <c r="AX1771" s="75"/>
      <c r="AY1771" s="67">
        <f t="shared" ca="1" si="1"/>
        <v>0</v>
      </c>
      <c r="AZ1771" s="75"/>
      <c r="BA1771" s="67">
        <f t="shared" ca="1" si="2"/>
        <v>0</v>
      </c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8"/>
      <c r="BL1771" s="78">
        <f t="shared" ca="1" si="3"/>
        <v>0</v>
      </c>
      <c r="BM1771" s="78"/>
      <c r="BN1771" s="78">
        <f t="shared" ca="1" si="4"/>
        <v>0</v>
      </c>
      <c r="BO1771" s="66"/>
      <c r="BP1771" s="66"/>
    </row>
    <row r="1772" spans="1:68" ht="13.2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>
        <f t="shared" ref="AP1772:AQ1772" si="1765">AR1772+AT1772+AV1772</f>
        <v>0</v>
      </c>
      <c r="AQ1772" s="75">
        <f t="shared" si="1765"/>
        <v>0</v>
      </c>
      <c r="AR1772" s="75"/>
      <c r="AS1772" s="75"/>
      <c r="AT1772" s="75"/>
      <c r="AU1772" s="75"/>
      <c r="AV1772" s="75"/>
      <c r="AW1772" s="75"/>
      <c r="AX1772" s="75"/>
      <c r="AY1772" s="67">
        <f t="shared" ca="1" si="1"/>
        <v>0</v>
      </c>
      <c r="AZ1772" s="75"/>
      <c r="BA1772" s="67">
        <f t="shared" ca="1" si="2"/>
        <v>0</v>
      </c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8"/>
      <c r="BL1772" s="78">
        <f t="shared" ca="1" si="3"/>
        <v>0</v>
      </c>
      <c r="BM1772" s="78"/>
      <c r="BN1772" s="78">
        <f t="shared" ca="1" si="4"/>
        <v>0</v>
      </c>
      <c r="BO1772" s="66"/>
      <c r="BP1772" s="66"/>
    </row>
    <row r="1773" spans="1:68" ht="13.2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>
        <f t="shared" ref="AP1773:AQ1773" si="1766">AR1773+AT1773+AV1773</f>
        <v>0</v>
      </c>
      <c r="AQ1773" s="75">
        <f t="shared" si="1766"/>
        <v>0</v>
      </c>
      <c r="AR1773" s="75"/>
      <c r="AS1773" s="75"/>
      <c r="AT1773" s="75"/>
      <c r="AU1773" s="75"/>
      <c r="AV1773" s="75"/>
      <c r="AW1773" s="75"/>
      <c r="AX1773" s="75"/>
      <c r="AY1773" s="67">
        <f t="shared" ca="1" si="1"/>
        <v>0</v>
      </c>
      <c r="AZ1773" s="75"/>
      <c r="BA1773" s="67">
        <f t="shared" ca="1" si="2"/>
        <v>0</v>
      </c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8"/>
      <c r="BL1773" s="78">
        <f t="shared" ca="1" si="3"/>
        <v>0</v>
      </c>
      <c r="BM1773" s="78"/>
      <c r="BN1773" s="78">
        <f t="shared" ca="1" si="4"/>
        <v>0</v>
      </c>
      <c r="BO1773" s="66"/>
      <c r="BP1773" s="66"/>
    </row>
    <row r="1774" spans="1:68" ht="13.2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>
        <f t="shared" ref="AP1774:AQ1774" si="1767">AR1774+AT1774+AV1774</f>
        <v>0</v>
      </c>
      <c r="AQ1774" s="75">
        <f t="shared" si="1767"/>
        <v>0</v>
      </c>
      <c r="AR1774" s="75"/>
      <c r="AS1774" s="75"/>
      <c r="AT1774" s="75"/>
      <c r="AU1774" s="75"/>
      <c r="AV1774" s="75"/>
      <c r="AW1774" s="75"/>
      <c r="AX1774" s="75"/>
      <c r="AY1774" s="67">
        <f t="shared" ca="1" si="1"/>
        <v>0</v>
      </c>
      <c r="AZ1774" s="75"/>
      <c r="BA1774" s="67">
        <f t="shared" ca="1" si="2"/>
        <v>0</v>
      </c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8"/>
      <c r="BL1774" s="78">
        <f t="shared" ca="1" si="3"/>
        <v>0</v>
      </c>
      <c r="BM1774" s="78"/>
      <c r="BN1774" s="78">
        <f t="shared" ca="1" si="4"/>
        <v>0</v>
      </c>
      <c r="BO1774" s="66"/>
      <c r="BP1774" s="66"/>
    </row>
    <row r="1775" spans="1:68" ht="13.2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>
        <f t="shared" ref="AP1775:AQ1775" si="1768">AR1775+AT1775+AV1775</f>
        <v>0</v>
      </c>
      <c r="AQ1775" s="75">
        <f t="shared" si="1768"/>
        <v>0</v>
      </c>
      <c r="AR1775" s="75"/>
      <c r="AS1775" s="75"/>
      <c r="AT1775" s="75"/>
      <c r="AU1775" s="75"/>
      <c r="AV1775" s="75"/>
      <c r="AW1775" s="75"/>
      <c r="AX1775" s="75"/>
      <c r="AY1775" s="67">
        <f t="shared" ca="1" si="1"/>
        <v>0</v>
      </c>
      <c r="AZ1775" s="75"/>
      <c r="BA1775" s="67">
        <f t="shared" ca="1" si="2"/>
        <v>0</v>
      </c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8"/>
      <c r="BL1775" s="78">
        <f t="shared" ca="1" si="3"/>
        <v>0</v>
      </c>
      <c r="BM1775" s="78"/>
      <c r="BN1775" s="78">
        <f t="shared" ca="1" si="4"/>
        <v>0</v>
      </c>
      <c r="BO1775" s="66"/>
      <c r="BP1775" s="66"/>
    </row>
    <row r="1776" spans="1:68" ht="13.2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>
        <f t="shared" ref="AP1776:AQ1776" si="1769">AR1776+AT1776+AV1776</f>
        <v>0</v>
      </c>
      <c r="AQ1776" s="75">
        <f t="shared" si="1769"/>
        <v>0</v>
      </c>
      <c r="AR1776" s="75"/>
      <c r="AS1776" s="75"/>
      <c r="AT1776" s="75"/>
      <c r="AU1776" s="75"/>
      <c r="AV1776" s="75"/>
      <c r="AW1776" s="75"/>
      <c r="AX1776" s="75"/>
      <c r="AY1776" s="67">
        <f t="shared" ca="1" si="1"/>
        <v>0</v>
      </c>
      <c r="AZ1776" s="75"/>
      <c r="BA1776" s="67">
        <f t="shared" ca="1" si="2"/>
        <v>0</v>
      </c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8"/>
      <c r="BL1776" s="78">
        <f t="shared" ca="1" si="3"/>
        <v>0</v>
      </c>
      <c r="BM1776" s="78"/>
      <c r="BN1776" s="78">
        <f t="shared" ca="1" si="4"/>
        <v>0</v>
      </c>
      <c r="BO1776" s="66"/>
      <c r="BP1776" s="66"/>
    </row>
    <row r="1777" spans="1:68" ht="13.2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>
        <f t="shared" ref="AP1777:AQ1777" si="1770">AR1777+AT1777+AV1777</f>
        <v>0</v>
      </c>
      <c r="AQ1777" s="75">
        <f t="shared" si="1770"/>
        <v>0</v>
      </c>
      <c r="AR1777" s="75"/>
      <c r="AS1777" s="75"/>
      <c r="AT1777" s="75"/>
      <c r="AU1777" s="75"/>
      <c r="AV1777" s="75"/>
      <c r="AW1777" s="75"/>
      <c r="AX1777" s="75"/>
      <c r="AY1777" s="67">
        <f t="shared" ca="1" si="1"/>
        <v>0</v>
      </c>
      <c r="AZ1777" s="75"/>
      <c r="BA1777" s="67">
        <f t="shared" ca="1" si="2"/>
        <v>0</v>
      </c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8"/>
      <c r="BL1777" s="78">
        <f t="shared" ca="1" si="3"/>
        <v>0</v>
      </c>
      <c r="BM1777" s="78"/>
      <c r="BN1777" s="78">
        <f t="shared" ca="1" si="4"/>
        <v>0</v>
      </c>
      <c r="BO1777" s="66"/>
      <c r="BP1777" s="66"/>
    </row>
    <row r="1778" spans="1:68" ht="13.2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>
        <f t="shared" ref="AP1778:AQ1778" si="1771">AR1778+AT1778+AV1778</f>
        <v>0</v>
      </c>
      <c r="AQ1778" s="75">
        <f t="shared" si="1771"/>
        <v>0</v>
      </c>
      <c r="AR1778" s="75"/>
      <c r="AS1778" s="75"/>
      <c r="AT1778" s="75"/>
      <c r="AU1778" s="75"/>
      <c r="AV1778" s="75"/>
      <c r="AW1778" s="75"/>
      <c r="AX1778" s="75"/>
      <c r="AY1778" s="67">
        <f t="shared" ca="1" si="1"/>
        <v>0</v>
      </c>
      <c r="AZ1778" s="75"/>
      <c r="BA1778" s="67">
        <f t="shared" ca="1" si="2"/>
        <v>0</v>
      </c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8"/>
      <c r="BL1778" s="78">
        <f t="shared" ca="1" si="3"/>
        <v>0</v>
      </c>
      <c r="BM1778" s="78"/>
      <c r="BN1778" s="78">
        <f t="shared" ca="1" si="4"/>
        <v>0</v>
      </c>
      <c r="BO1778" s="66"/>
      <c r="BP1778" s="66"/>
    </row>
    <row r="1779" spans="1:68" ht="13.2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>
        <f t="shared" ref="AP1779:AQ1779" si="1772">AR1779+AT1779+AV1779</f>
        <v>0</v>
      </c>
      <c r="AQ1779" s="75">
        <f t="shared" si="1772"/>
        <v>0</v>
      </c>
      <c r="AR1779" s="75"/>
      <c r="AS1779" s="75"/>
      <c r="AT1779" s="75"/>
      <c r="AU1779" s="75"/>
      <c r="AV1779" s="75"/>
      <c r="AW1779" s="75"/>
      <c r="AX1779" s="75"/>
      <c r="AY1779" s="67">
        <f t="shared" ca="1" si="1"/>
        <v>0</v>
      </c>
      <c r="AZ1779" s="75"/>
      <c r="BA1779" s="67">
        <f t="shared" ca="1" si="2"/>
        <v>0</v>
      </c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8"/>
      <c r="BL1779" s="78">
        <f t="shared" ca="1" si="3"/>
        <v>0</v>
      </c>
      <c r="BM1779" s="78"/>
      <c r="BN1779" s="78">
        <f t="shared" ca="1" si="4"/>
        <v>0</v>
      </c>
      <c r="BO1779" s="66"/>
      <c r="BP1779" s="66"/>
    </row>
    <row r="1780" spans="1:68" ht="13.2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>
        <f t="shared" ref="AP1780:AQ1780" si="1773">AR1780+AT1780+AV1780</f>
        <v>0</v>
      </c>
      <c r="AQ1780" s="75">
        <f t="shared" si="1773"/>
        <v>0</v>
      </c>
      <c r="AR1780" s="75"/>
      <c r="AS1780" s="75"/>
      <c r="AT1780" s="75"/>
      <c r="AU1780" s="75"/>
      <c r="AV1780" s="75"/>
      <c r="AW1780" s="75"/>
      <c r="AX1780" s="75"/>
      <c r="AY1780" s="67">
        <f t="shared" ca="1" si="1"/>
        <v>0</v>
      </c>
      <c r="AZ1780" s="75"/>
      <c r="BA1780" s="67">
        <f t="shared" ca="1" si="2"/>
        <v>0</v>
      </c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8"/>
      <c r="BL1780" s="78">
        <f t="shared" ca="1" si="3"/>
        <v>0</v>
      </c>
      <c r="BM1780" s="78"/>
      <c r="BN1780" s="78">
        <f t="shared" ca="1" si="4"/>
        <v>0</v>
      </c>
      <c r="BO1780" s="66"/>
      <c r="BP1780" s="66"/>
    </row>
    <row r="1781" spans="1:68" ht="13.2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>
        <f t="shared" ref="AP1781:AQ1781" si="1774">AR1781+AT1781+AV1781</f>
        <v>0</v>
      </c>
      <c r="AQ1781" s="75">
        <f t="shared" si="1774"/>
        <v>0</v>
      </c>
      <c r="AR1781" s="75"/>
      <c r="AS1781" s="75"/>
      <c r="AT1781" s="75"/>
      <c r="AU1781" s="75"/>
      <c r="AV1781" s="75"/>
      <c r="AW1781" s="75"/>
      <c r="AX1781" s="75"/>
      <c r="AY1781" s="67">
        <f t="shared" ca="1" si="1"/>
        <v>0</v>
      </c>
      <c r="AZ1781" s="75"/>
      <c r="BA1781" s="67">
        <f t="shared" ca="1" si="2"/>
        <v>0</v>
      </c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8"/>
      <c r="BL1781" s="78">
        <f t="shared" ca="1" si="3"/>
        <v>0</v>
      </c>
      <c r="BM1781" s="78"/>
      <c r="BN1781" s="78">
        <f t="shared" ca="1" si="4"/>
        <v>0</v>
      </c>
      <c r="BO1781" s="66"/>
      <c r="BP1781" s="66"/>
    </row>
    <row r="1782" spans="1:68" ht="13.2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>
        <f t="shared" ref="AP1782:AQ1782" si="1775">AR1782+AT1782+AV1782</f>
        <v>0</v>
      </c>
      <c r="AQ1782" s="75">
        <f t="shared" si="1775"/>
        <v>0</v>
      </c>
      <c r="AR1782" s="75"/>
      <c r="AS1782" s="75"/>
      <c r="AT1782" s="75"/>
      <c r="AU1782" s="75"/>
      <c r="AV1782" s="75"/>
      <c r="AW1782" s="75"/>
      <c r="AX1782" s="75"/>
      <c r="AY1782" s="67">
        <f t="shared" ca="1" si="1"/>
        <v>0</v>
      </c>
      <c r="AZ1782" s="75"/>
      <c r="BA1782" s="67">
        <f t="shared" ca="1" si="2"/>
        <v>0</v>
      </c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8"/>
      <c r="BL1782" s="78">
        <f t="shared" ca="1" si="3"/>
        <v>0</v>
      </c>
      <c r="BM1782" s="78"/>
      <c r="BN1782" s="78">
        <f t="shared" ca="1" si="4"/>
        <v>0</v>
      </c>
      <c r="BO1782" s="66"/>
      <c r="BP1782" s="66"/>
    </row>
    <row r="1783" spans="1:68" ht="13.2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>
        <f t="shared" ref="AP1783:AQ1783" si="1776">AR1783+AT1783+AV1783</f>
        <v>0</v>
      </c>
      <c r="AQ1783" s="75">
        <f t="shared" si="1776"/>
        <v>0</v>
      </c>
      <c r="AR1783" s="75"/>
      <c r="AS1783" s="75"/>
      <c r="AT1783" s="75"/>
      <c r="AU1783" s="75"/>
      <c r="AV1783" s="75"/>
      <c r="AW1783" s="75"/>
      <c r="AX1783" s="75"/>
      <c r="AY1783" s="67">
        <f t="shared" ca="1" si="1"/>
        <v>0</v>
      </c>
      <c r="AZ1783" s="75"/>
      <c r="BA1783" s="67">
        <f t="shared" ca="1" si="2"/>
        <v>0</v>
      </c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8"/>
      <c r="BL1783" s="78">
        <f t="shared" ca="1" si="3"/>
        <v>0</v>
      </c>
      <c r="BM1783" s="78"/>
      <c r="BN1783" s="78">
        <f t="shared" ca="1" si="4"/>
        <v>0</v>
      </c>
      <c r="BO1783" s="66"/>
      <c r="BP1783" s="66"/>
    </row>
    <row r="1784" spans="1:68" ht="13.2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>
        <f t="shared" ref="AP1784:AQ1784" si="1777">AR1784+AT1784+AV1784</f>
        <v>0</v>
      </c>
      <c r="AQ1784" s="75">
        <f t="shared" si="1777"/>
        <v>0</v>
      </c>
      <c r="AR1784" s="75"/>
      <c r="AS1784" s="75"/>
      <c r="AT1784" s="75"/>
      <c r="AU1784" s="75"/>
      <c r="AV1784" s="75"/>
      <c r="AW1784" s="75"/>
      <c r="AX1784" s="75"/>
      <c r="AY1784" s="67">
        <f t="shared" ca="1" si="1"/>
        <v>0</v>
      </c>
      <c r="AZ1784" s="75"/>
      <c r="BA1784" s="67">
        <f t="shared" ca="1" si="2"/>
        <v>0</v>
      </c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8"/>
      <c r="BL1784" s="78">
        <f t="shared" ca="1" si="3"/>
        <v>0</v>
      </c>
      <c r="BM1784" s="78"/>
      <c r="BN1784" s="78">
        <f t="shared" ca="1" si="4"/>
        <v>0</v>
      </c>
      <c r="BO1784" s="66"/>
      <c r="BP1784" s="66"/>
    </row>
    <row r="1785" spans="1:68" ht="13.2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>
        <f t="shared" ref="AP1785:AQ1785" si="1778">AR1785+AT1785+AV1785</f>
        <v>0</v>
      </c>
      <c r="AQ1785" s="75">
        <f t="shared" si="1778"/>
        <v>0</v>
      </c>
      <c r="AR1785" s="75"/>
      <c r="AS1785" s="75"/>
      <c r="AT1785" s="75"/>
      <c r="AU1785" s="75"/>
      <c r="AV1785" s="75"/>
      <c r="AW1785" s="75"/>
      <c r="AX1785" s="75"/>
      <c r="AY1785" s="67">
        <f t="shared" ca="1" si="1"/>
        <v>0</v>
      </c>
      <c r="AZ1785" s="75"/>
      <c r="BA1785" s="67">
        <f t="shared" ca="1" si="2"/>
        <v>0</v>
      </c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8"/>
      <c r="BL1785" s="78">
        <f t="shared" ca="1" si="3"/>
        <v>0</v>
      </c>
      <c r="BM1785" s="78"/>
      <c r="BN1785" s="78">
        <f t="shared" ca="1" si="4"/>
        <v>0</v>
      </c>
      <c r="BO1785" s="66"/>
      <c r="BP1785" s="66"/>
    </row>
    <row r="1786" spans="1:68" ht="13.2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>
        <f t="shared" ref="AP1786:AQ1786" si="1779">AR1786+AT1786+AV1786</f>
        <v>0</v>
      </c>
      <c r="AQ1786" s="75">
        <f t="shared" si="1779"/>
        <v>0</v>
      </c>
      <c r="AR1786" s="75"/>
      <c r="AS1786" s="75"/>
      <c r="AT1786" s="75"/>
      <c r="AU1786" s="75"/>
      <c r="AV1786" s="75"/>
      <c r="AW1786" s="75"/>
      <c r="AX1786" s="75"/>
      <c r="AY1786" s="67">
        <f t="shared" ca="1" si="1"/>
        <v>0</v>
      </c>
      <c r="AZ1786" s="75"/>
      <c r="BA1786" s="67">
        <f t="shared" ca="1" si="2"/>
        <v>0</v>
      </c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8"/>
      <c r="BL1786" s="78">
        <f t="shared" ca="1" si="3"/>
        <v>0</v>
      </c>
      <c r="BM1786" s="78"/>
      <c r="BN1786" s="78">
        <f t="shared" ca="1" si="4"/>
        <v>0</v>
      </c>
      <c r="BO1786" s="66"/>
      <c r="BP1786" s="66"/>
    </row>
    <row r="1787" spans="1:68" ht="13.2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>
        <f t="shared" ref="AP1787:AQ1787" si="1780">AR1787+AT1787+AV1787</f>
        <v>0</v>
      </c>
      <c r="AQ1787" s="75">
        <f t="shared" si="1780"/>
        <v>0</v>
      </c>
      <c r="AR1787" s="75"/>
      <c r="AS1787" s="75"/>
      <c r="AT1787" s="75"/>
      <c r="AU1787" s="75"/>
      <c r="AV1787" s="75"/>
      <c r="AW1787" s="75"/>
      <c r="AX1787" s="75"/>
      <c r="AY1787" s="67">
        <f t="shared" ca="1" si="1"/>
        <v>0</v>
      </c>
      <c r="AZ1787" s="75"/>
      <c r="BA1787" s="67">
        <f t="shared" ca="1" si="2"/>
        <v>0</v>
      </c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8"/>
      <c r="BL1787" s="78">
        <f t="shared" ca="1" si="3"/>
        <v>0</v>
      </c>
      <c r="BM1787" s="78"/>
      <c r="BN1787" s="78">
        <f t="shared" ca="1" si="4"/>
        <v>0</v>
      </c>
      <c r="BO1787" s="66"/>
      <c r="BP1787" s="66"/>
    </row>
    <row r="1788" spans="1:68" ht="13.2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>
        <f t="shared" ref="AP1788:AQ1788" si="1781">AR1788+AT1788+AV1788</f>
        <v>0</v>
      </c>
      <c r="AQ1788" s="75">
        <f t="shared" si="1781"/>
        <v>0</v>
      </c>
      <c r="AR1788" s="75"/>
      <c r="AS1788" s="75"/>
      <c r="AT1788" s="75"/>
      <c r="AU1788" s="75"/>
      <c r="AV1788" s="75"/>
      <c r="AW1788" s="75"/>
      <c r="AX1788" s="75"/>
      <c r="AY1788" s="67">
        <f t="shared" ca="1" si="1"/>
        <v>0</v>
      </c>
      <c r="AZ1788" s="75"/>
      <c r="BA1788" s="67">
        <f t="shared" ca="1" si="2"/>
        <v>0</v>
      </c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8"/>
      <c r="BL1788" s="78">
        <f t="shared" ca="1" si="3"/>
        <v>0</v>
      </c>
      <c r="BM1788" s="78"/>
      <c r="BN1788" s="78">
        <f t="shared" ca="1" si="4"/>
        <v>0</v>
      </c>
      <c r="BO1788" s="66"/>
      <c r="BP1788" s="66"/>
    </row>
    <row r="1789" spans="1:68" ht="13.2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>
        <f t="shared" ref="AP1789:AQ1789" si="1782">AR1789+AT1789+AV1789</f>
        <v>0</v>
      </c>
      <c r="AQ1789" s="75">
        <f t="shared" si="1782"/>
        <v>0</v>
      </c>
      <c r="AR1789" s="75"/>
      <c r="AS1789" s="75"/>
      <c r="AT1789" s="75"/>
      <c r="AU1789" s="75"/>
      <c r="AV1789" s="75"/>
      <c r="AW1789" s="75"/>
      <c r="AX1789" s="75"/>
      <c r="AY1789" s="67">
        <f t="shared" ca="1" si="1"/>
        <v>0</v>
      </c>
      <c r="AZ1789" s="75"/>
      <c r="BA1789" s="67">
        <f t="shared" ca="1" si="2"/>
        <v>0</v>
      </c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8"/>
      <c r="BL1789" s="78">
        <f t="shared" ca="1" si="3"/>
        <v>0</v>
      </c>
      <c r="BM1789" s="78"/>
      <c r="BN1789" s="78">
        <f t="shared" ca="1" si="4"/>
        <v>0</v>
      </c>
      <c r="BO1789" s="66"/>
      <c r="BP1789" s="66"/>
    </row>
    <row r="1790" spans="1:68" ht="13.2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>
        <f t="shared" ref="AP1790:AQ1790" si="1783">AR1790+AT1790+AV1790</f>
        <v>0</v>
      </c>
      <c r="AQ1790" s="75">
        <f t="shared" si="1783"/>
        <v>0</v>
      </c>
      <c r="AR1790" s="75"/>
      <c r="AS1790" s="75"/>
      <c r="AT1790" s="75"/>
      <c r="AU1790" s="75"/>
      <c r="AV1790" s="75"/>
      <c r="AW1790" s="75"/>
      <c r="AX1790" s="75"/>
      <c r="AY1790" s="67">
        <f t="shared" ca="1" si="1"/>
        <v>0</v>
      </c>
      <c r="AZ1790" s="75"/>
      <c r="BA1790" s="67">
        <f t="shared" ca="1" si="2"/>
        <v>0</v>
      </c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8"/>
      <c r="BL1790" s="78">
        <f t="shared" ca="1" si="3"/>
        <v>0</v>
      </c>
      <c r="BM1790" s="78"/>
      <c r="BN1790" s="78">
        <f t="shared" ca="1" si="4"/>
        <v>0</v>
      </c>
      <c r="BO1790" s="66"/>
      <c r="BP1790" s="66"/>
    </row>
    <row r="1791" spans="1:68" ht="13.2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>
        <f t="shared" ref="AP1791:AQ1791" si="1784">AR1791+AT1791+AV1791</f>
        <v>0</v>
      </c>
      <c r="AQ1791" s="75">
        <f t="shared" si="1784"/>
        <v>0</v>
      </c>
      <c r="AR1791" s="75"/>
      <c r="AS1791" s="75"/>
      <c r="AT1791" s="75"/>
      <c r="AU1791" s="75"/>
      <c r="AV1791" s="75"/>
      <c r="AW1791" s="75"/>
      <c r="AX1791" s="75"/>
      <c r="AY1791" s="67">
        <f t="shared" ca="1" si="1"/>
        <v>0</v>
      </c>
      <c r="AZ1791" s="75"/>
      <c r="BA1791" s="67">
        <f t="shared" ca="1" si="2"/>
        <v>0</v>
      </c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8"/>
      <c r="BL1791" s="78">
        <f t="shared" ca="1" si="3"/>
        <v>0</v>
      </c>
      <c r="BM1791" s="78"/>
      <c r="BN1791" s="78">
        <f t="shared" ca="1" si="4"/>
        <v>0</v>
      </c>
      <c r="BO1791" s="66"/>
      <c r="BP1791" s="66"/>
    </row>
    <row r="1792" spans="1:68" ht="13.2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>
        <f t="shared" ref="AP1792:AQ1792" si="1785">AR1792+AT1792+AV1792</f>
        <v>0</v>
      </c>
      <c r="AQ1792" s="75">
        <f t="shared" si="1785"/>
        <v>0</v>
      </c>
      <c r="AR1792" s="75"/>
      <c r="AS1792" s="75"/>
      <c r="AT1792" s="75"/>
      <c r="AU1792" s="75"/>
      <c r="AV1792" s="75"/>
      <c r="AW1792" s="75"/>
      <c r="AX1792" s="75"/>
      <c r="AY1792" s="67">
        <f t="shared" ca="1" si="1"/>
        <v>0</v>
      </c>
      <c r="AZ1792" s="75"/>
      <c r="BA1792" s="67">
        <f t="shared" ca="1" si="2"/>
        <v>0</v>
      </c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8"/>
      <c r="BL1792" s="78">
        <f t="shared" ca="1" si="3"/>
        <v>0</v>
      </c>
      <c r="BM1792" s="78"/>
      <c r="BN1792" s="78">
        <f t="shared" ca="1" si="4"/>
        <v>0</v>
      </c>
      <c r="BO1792" s="66"/>
      <c r="BP1792" s="66"/>
    </row>
    <row r="1793" spans="1:68" ht="13.2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>
        <f t="shared" ref="AP1793:AQ1793" si="1786">AR1793+AT1793+AV1793</f>
        <v>0</v>
      </c>
      <c r="AQ1793" s="75">
        <f t="shared" si="1786"/>
        <v>0</v>
      </c>
      <c r="AR1793" s="75"/>
      <c r="AS1793" s="75"/>
      <c r="AT1793" s="75"/>
      <c r="AU1793" s="75"/>
      <c r="AV1793" s="75"/>
      <c r="AW1793" s="75"/>
      <c r="AX1793" s="75"/>
      <c r="AY1793" s="67">
        <f t="shared" ca="1" si="1"/>
        <v>0</v>
      </c>
      <c r="AZ1793" s="75"/>
      <c r="BA1793" s="67">
        <f t="shared" ca="1" si="2"/>
        <v>0</v>
      </c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8"/>
      <c r="BL1793" s="78">
        <f t="shared" ca="1" si="3"/>
        <v>0</v>
      </c>
      <c r="BM1793" s="78"/>
      <c r="BN1793" s="78">
        <f t="shared" ca="1" si="4"/>
        <v>0</v>
      </c>
      <c r="BO1793" s="66"/>
      <c r="BP1793" s="66"/>
    </row>
    <row r="1794" spans="1:68" ht="13.2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>
        <f t="shared" ref="AP1794:AQ1794" si="1787">AR1794+AT1794+AV1794</f>
        <v>0</v>
      </c>
      <c r="AQ1794" s="75">
        <f t="shared" si="1787"/>
        <v>0</v>
      </c>
      <c r="AR1794" s="75"/>
      <c r="AS1794" s="75"/>
      <c r="AT1794" s="75"/>
      <c r="AU1794" s="75"/>
      <c r="AV1794" s="75"/>
      <c r="AW1794" s="75"/>
      <c r="AX1794" s="75"/>
      <c r="AY1794" s="67">
        <f t="shared" ca="1" si="1"/>
        <v>0</v>
      </c>
      <c r="AZ1794" s="75"/>
      <c r="BA1794" s="67">
        <f t="shared" ca="1" si="2"/>
        <v>0</v>
      </c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8"/>
      <c r="BL1794" s="78">
        <f t="shared" ca="1" si="3"/>
        <v>0</v>
      </c>
      <c r="BM1794" s="78"/>
      <c r="BN1794" s="78">
        <f t="shared" ca="1" si="4"/>
        <v>0</v>
      </c>
      <c r="BO1794" s="66"/>
      <c r="BP1794" s="66"/>
    </row>
    <row r="1795" spans="1:68" ht="13.2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>
        <f t="shared" ref="AP1795:AQ1795" si="1788">AR1795+AT1795+AV1795</f>
        <v>0</v>
      </c>
      <c r="AQ1795" s="75">
        <f t="shared" si="1788"/>
        <v>0</v>
      </c>
      <c r="AR1795" s="75"/>
      <c r="AS1795" s="75"/>
      <c r="AT1795" s="75"/>
      <c r="AU1795" s="75"/>
      <c r="AV1795" s="75"/>
      <c r="AW1795" s="75"/>
      <c r="AX1795" s="75"/>
      <c r="AY1795" s="67">
        <f t="shared" ca="1" si="1"/>
        <v>0</v>
      </c>
      <c r="AZ1795" s="75"/>
      <c r="BA1795" s="67">
        <f t="shared" ca="1" si="2"/>
        <v>0</v>
      </c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8"/>
      <c r="BL1795" s="78">
        <f t="shared" ca="1" si="3"/>
        <v>0</v>
      </c>
      <c r="BM1795" s="78"/>
      <c r="BN1795" s="78">
        <f t="shared" ca="1" si="4"/>
        <v>0</v>
      </c>
      <c r="BO1795" s="66"/>
      <c r="BP1795" s="66"/>
    </row>
    <row r="1796" spans="1:68" ht="13.2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>
        <f t="shared" ref="AP1796:AQ1796" si="1789">AR1796+AT1796+AV1796</f>
        <v>0</v>
      </c>
      <c r="AQ1796" s="75">
        <f t="shared" si="1789"/>
        <v>0</v>
      </c>
      <c r="AR1796" s="75"/>
      <c r="AS1796" s="75"/>
      <c r="AT1796" s="75"/>
      <c r="AU1796" s="75"/>
      <c r="AV1796" s="75"/>
      <c r="AW1796" s="75"/>
      <c r="AX1796" s="75"/>
      <c r="AY1796" s="67">
        <f t="shared" ca="1" si="1"/>
        <v>0</v>
      </c>
      <c r="AZ1796" s="75"/>
      <c r="BA1796" s="67">
        <f t="shared" ca="1" si="2"/>
        <v>0</v>
      </c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8"/>
      <c r="BL1796" s="78">
        <f t="shared" ca="1" si="3"/>
        <v>0</v>
      </c>
      <c r="BM1796" s="78"/>
      <c r="BN1796" s="78">
        <f t="shared" ca="1" si="4"/>
        <v>0</v>
      </c>
      <c r="BO1796" s="66"/>
      <c r="BP1796" s="66"/>
    </row>
    <row r="1797" spans="1:68" ht="13.2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>
        <f t="shared" ref="AP1797:AQ1797" si="1790">AR1797+AT1797+AV1797</f>
        <v>0</v>
      </c>
      <c r="AQ1797" s="75">
        <f t="shared" si="1790"/>
        <v>0</v>
      </c>
      <c r="AR1797" s="75"/>
      <c r="AS1797" s="75"/>
      <c r="AT1797" s="75"/>
      <c r="AU1797" s="75"/>
      <c r="AV1797" s="75"/>
      <c r="AW1797" s="75"/>
      <c r="AX1797" s="75"/>
      <c r="AY1797" s="67">
        <f t="shared" ca="1" si="1"/>
        <v>0</v>
      </c>
      <c r="AZ1797" s="75"/>
      <c r="BA1797" s="67">
        <f t="shared" ca="1" si="2"/>
        <v>0</v>
      </c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8"/>
      <c r="BL1797" s="78">
        <f t="shared" ca="1" si="3"/>
        <v>0</v>
      </c>
      <c r="BM1797" s="78"/>
      <c r="BN1797" s="78">
        <f t="shared" ca="1" si="4"/>
        <v>0</v>
      </c>
      <c r="BO1797" s="66"/>
      <c r="BP1797" s="66"/>
    </row>
    <row r="1798" spans="1:68" ht="13.2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>
        <f t="shared" ref="AP1798:AQ1798" si="1791">AR1798+AT1798+AV1798</f>
        <v>0</v>
      </c>
      <c r="AQ1798" s="75">
        <f t="shared" si="1791"/>
        <v>0</v>
      </c>
      <c r="AR1798" s="75"/>
      <c r="AS1798" s="75"/>
      <c r="AT1798" s="75"/>
      <c r="AU1798" s="75"/>
      <c r="AV1798" s="75"/>
      <c r="AW1798" s="75"/>
      <c r="AX1798" s="75"/>
      <c r="AY1798" s="67">
        <f t="shared" ca="1" si="1"/>
        <v>0</v>
      </c>
      <c r="AZ1798" s="75"/>
      <c r="BA1798" s="67">
        <f t="shared" ca="1" si="2"/>
        <v>0</v>
      </c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8"/>
      <c r="BL1798" s="78">
        <f t="shared" ca="1" si="3"/>
        <v>0</v>
      </c>
      <c r="BM1798" s="78"/>
      <c r="BN1798" s="78">
        <f t="shared" ca="1" si="4"/>
        <v>0</v>
      </c>
      <c r="BO1798" s="66"/>
      <c r="BP1798" s="66"/>
    </row>
    <row r="1799" spans="1:68" ht="13.2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>
        <f t="shared" ref="AP1799:AQ1799" si="1792">AR1799+AT1799+AV1799</f>
        <v>0</v>
      </c>
      <c r="AQ1799" s="75">
        <f t="shared" si="1792"/>
        <v>0</v>
      </c>
      <c r="AR1799" s="75"/>
      <c r="AS1799" s="75"/>
      <c r="AT1799" s="75"/>
      <c r="AU1799" s="75"/>
      <c r="AV1799" s="75"/>
      <c r="AW1799" s="75"/>
      <c r="AX1799" s="75"/>
      <c r="AY1799" s="67">
        <f t="shared" ca="1" si="1"/>
        <v>0</v>
      </c>
      <c r="AZ1799" s="75"/>
      <c r="BA1799" s="67">
        <f t="shared" ca="1" si="2"/>
        <v>0</v>
      </c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8"/>
      <c r="BL1799" s="78">
        <f t="shared" ca="1" si="3"/>
        <v>0</v>
      </c>
      <c r="BM1799" s="78"/>
      <c r="BN1799" s="78">
        <f t="shared" ca="1" si="4"/>
        <v>0</v>
      </c>
      <c r="BO1799" s="66"/>
      <c r="BP1799" s="66"/>
    </row>
    <row r="1800" spans="1:68" ht="13.2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>
        <f t="shared" ref="AP1800:AQ1800" si="1793">AR1800+AT1800+AV1800</f>
        <v>0</v>
      </c>
      <c r="AQ1800" s="75">
        <f t="shared" si="1793"/>
        <v>0</v>
      </c>
      <c r="AR1800" s="75"/>
      <c r="AS1800" s="75"/>
      <c r="AT1800" s="75"/>
      <c r="AU1800" s="75"/>
      <c r="AV1800" s="75"/>
      <c r="AW1800" s="75"/>
      <c r="AX1800" s="75"/>
      <c r="AY1800" s="67">
        <f t="shared" ca="1" si="1"/>
        <v>0</v>
      </c>
      <c r="AZ1800" s="75"/>
      <c r="BA1800" s="67">
        <f t="shared" ca="1" si="2"/>
        <v>0</v>
      </c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8"/>
      <c r="BL1800" s="78">
        <f t="shared" ca="1" si="3"/>
        <v>0</v>
      </c>
      <c r="BM1800" s="78"/>
      <c r="BN1800" s="78">
        <f t="shared" ca="1" si="4"/>
        <v>0</v>
      </c>
      <c r="BO1800" s="66"/>
      <c r="BP1800" s="66"/>
    </row>
    <row r="1801" spans="1:68" ht="13.2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>
        <f t="shared" ref="AP1801:AQ1801" si="1794">AR1801+AT1801+AV1801</f>
        <v>0</v>
      </c>
      <c r="AQ1801" s="75">
        <f t="shared" si="1794"/>
        <v>0</v>
      </c>
      <c r="AR1801" s="75"/>
      <c r="AS1801" s="75"/>
      <c r="AT1801" s="75"/>
      <c r="AU1801" s="75"/>
      <c r="AV1801" s="75"/>
      <c r="AW1801" s="75"/>
      <c r="AX1801" s="75"/>
      <c r="AY1801" s="67">
        <f t="shared" ca="1" si="1"/>
        <v>0</v>
      </c>
      <c r="AZ1801" s="75"/>
      <c r="BA1801" s="67">
        <f t="shared" ca="1" si="2"/>
        <v>0</v>
      </c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8"/>
      <c r="BL1801" s="78">
        <f t="shared" ca="1" si="3"/>
        <v>0</v>
      </c>
      <c r="BM1801" s="78"/>
      <c r="BN1801" s="78">
        <f t="shared" ca="1" si="4"/>
        <v>0</v>
      </c>
      <c r="BO1801" s="66"/>
      <c r="BP1801" s="66"/>
    </row>
    <row r="1802" spans="1:68" ht="13.2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>
        <f t="shared" ref="AP1802:AQ1802" si="1795">AR1802+AT1802+AV1802</f>
        <v>0</v>
      </c>
      <c r="AQ1802" s="75">
        <f t="shared" si="1795"/>
        <v>0</v>
      </c>
      <c r="AR1802" s="75"/>
      <c r="AS1802" s="75"/>
      <c r="AT1802" s="75"/>
      <c r="AU1802" s="75"/>
      <c r="AV1802" s="75"/>
      <c r="AW1802" s="75"/>
      <c r="AX1802" s="75"/>
      <c r="AY1802" s="67">
        <f t="shared" ca="1" si="1"/>
        <v>0</v>
      </c>
      <c r="AZ1802" s="75"/>
      <c r="BA1802" s="67">
        <f t="shared" ca="1" si="2"/>
        <v>0</v>
      </c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8"/>
      <c r="BL1802" s="78">
        <f t="shared" ca="1" si="3"/>
        <v>0</v>
      </c>
      <c r="BM1802" s="78"/>
      <c r="BN1802" s="78">
        <f t="shared" ca="1" si="4"/>
        <v>0</v>
      </c>
      <c r="BO1802" s="66"/>
      <c r="BP1802" s="66"/>
    </row>
    <row r="1803" spans="1:68" ht="13.2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>
        <f t="shared" ref="AP1803:AQ1803" si="1796">AR1803+AT1803+AV1803</f>
        <v>0</v>
      </c>
      <c r="AQ1803" s="75">
        <f t="shared" si="1796"/>
        <v>0</v>
      </c>
      <c r="AR1803" s="75"/>
      <c r="AS1803" s="75"/>
      <c r="AT1803" s="75"/>
      <c r="AU1803" s="75"/>
      <c r="AV1803" s="75"/>
      <c r="AW1803" s="75"/>
      <c r="AX1803" s="75"/>
      <c r="AY1803" s="67">
        <f t="shared" ca="1" si="1"/>
        <v>0</v>
      </c>
      <c r="AZ1803" s="75"/>
      <c r="BA1803" s="67">
        <f t="shared" ca="1" si="2"/>
        <v>0</v>
      </c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8"/>
      <c r="BL1803" s="78">
        <f t="shared" ca="1" si="3"/>
        <v>0</v>
      </c>
      <c r="BM1803" s="78"/>
      <c r="BN1803" s="78">
        <f t="shared" ca="1" si="4"/>
        <v>0</v>
      </c>
      <c r="BO1803" s="66"/>
      <c r="BP1803" s="66"/>
    </row>
    <row r="1804" spans="1:68" ht="13.2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>
        <f t="shared" ref="AP1804:AQ1804" si="1797">AR1804+AT1804+AV1804</f>
        <v>0</v>
      </c>
      <c r="AQ1804" s="75">
        <f t="shared" si="1797"/>
        <v>0</v>
      </c>
      <c r="AR1804" s="75"/>
      <c r="AS1804" s="75"/>
      <c r="AT1804" s="75"/>
      <c r="AU1804" s="75"/>
      <c r="AV1804" s="75"/>
      <c r="AW1804" s="75"/>
      <c r="AX1804" s="75"/>
      <c r="AY1804" s="67">
        <f t="shared" ca="1" si="1"/>
        <v>0</v>
      </c>
      <c r="AZ1804" s="75"/>
      <c r="BA1804" s="67">
        <f t="shared" ca="1" si="2"/>
        <v>0</v>
      </c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8"/>
      <c r="BL1804" s="78">
        <f t="shared" ca="1" si="3"/>
        <v>0</v>
      </c>
      <c r="BM1804" s="78"/>
      <c r="BN1804" s="78">
        <f t="shared" ca="1" si="4"/>
        <v>0</v>
      </c>
      <c r="BO1804" s="66"/>
      <c r="BP1804" s="66"/>
    </row>
    <row r="1805" spans="1:68" ht="13.2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>
        <f t="shared" ref="AP1805:AQ1805" si="1798">AR1805+AT1805+AV1805</f>
        <v>0</v>
      </c>
      <c r="AQ1805" s="75">
        <f t="shared" si="1798"/>
        <v>0</v>
      </c>
      <c r="AR1805" s="75"/>
      <c r="AS1805" s="75"/>
      <c r="AT1805" s="75"/>
      <c r="AU1805" s="75"/>
      <c r="AV1805" s="75"/>
      <c r="AW1805" s="75"/>
      <c r="AX1805" s="75"/>
      <c r="AY1805" s="67">
        <f t="shared" ca="1" si="1"/>
        <v>0</v>
      </c>
      <c r="AZ1805" s="75"/>
      <c r="BA1805" s="67">
        <f t="shared" ca="1" si="2"/>
        <v>0</v>
      </c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8"/>
      <c r="BL1805" s="78">
        <f t="shared" ca="1" si="3"/>
        <v>0</v>
      </c>
      <c r="BM1805" s="78"/>
      <c r="BN1805" s="78">
        <f t="shared" ca="1" si="4"/>
        <v>0</v>
      </c>
      <c r="BO1805" s="66"/>
      <c r="BP1805" s="66"/>
    </row>
    <row r="1806" spans="1:68" ht="13.2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>
        <f t="shared" ref="AP1806:AQ1806" si="1799">AR1806+AT1806+AV1806</f>
        <v>0</v>
      </c>
      <c r="AQ1806" s="75">
        <f t="shared" si="1799"/>
        <v>0</v>
      </c>
      <c r="AR1806" s="75"/>
      <c r="AS1806" s="75"/>
      <c r="AT1806" s="75"/>
      <c r="AU1806" s="75"/>
      <c r="AV1806" s="75"/>
      <c r="AW1806" s="75"/>
      <c r="AX1806" s="75"/>
      <c r="AY1806" s="67">
        <f t="shared" ca="1" si="1"/>
        <v>0</v>
      </c>
      <c r="AZ1806" s="75"/>
      <c r="BA1806" s="67">
        <f t="shared" ca="1" si="2"/>
        <v>0</v>
      </c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8"/>
      <c r="BL1806" s="78">
        <f t="shared" ca="1" si="3"/>
        <v>0</v>
      </c>
      <c r="BM1806" s="78"/>
      <c r="BN1806" s="78">
        <f t="shared" ca="1" si="4"/>
        <v>0</v>
      </c>
      <c r="BO1806" s="66"/>
      <c r="BP1806" s="66"/>
    </row>
    <row r="1807" spans="1:68" ht="13.2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>
        <f t="shared" ref="AP1807:AQ1807" si="1800">AR1807+AT1807+AV1807</f>
        <v>0</v>
      </c>
      <c r="AQ1807" s="75">
        <f t="shared" si="1800"/>
        <v>0</v>
      </c>
      <c r="AR1807" s="75"/>
      <c r="AS1807" s="75"/>
      <c r="AT1807" s="75"/>
      <c r="AU1807" s="75"/>
      <c r="AV1807" s="75"/>
      <c r="AW1807" s="75"/>
      <c r="AX1807" s="75"/>
      <c r="AY1807" s="67">
        <f t="shared" ca="1" si="1"/>
        <v>0</v>
      </c>
      <c r="AZ1807" s="75"/>
      <c r="BA1807" s="67">
        <f t="shared" ca="1" si="2"/>
        <v>0</v>
      </c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8"/>
      <c r="BL1807" s="78">
        <f t="shared" ca="1" si="3"/>
        <v>0</v>
      </c>
      <c r="BM1807" s="78"/>
      <c r="BN1807" s="78">
        <f t="shared" ca="1" si="4"/>
        <v>0</v>
      </c>
      <c r="BO1807" s="66"/>
      <c r="BP1807" s="66"/>
    </row>
    <row r="1808" spans="1:68" ht="13.2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>
        <f t="shared" ref="AP1808:AQ1808" si="1801">AR1808+AT1808+AV1808</f>
        <v>0</v>
      </c>
      <c r="AQ1808" s="75">
        <f t="shared" si="1801"/>
        <v>0</v>
      </c>
      <c r="AR1808" s="75"/>
      <c r="AS1808" s="75"/>
      <c r="AT1808" s="75"/>
      <c r="AU1808" s="75"/>
      <c r="AV1808" s="75"/>
      <c r="AW1808" s="75"/>
      <c r="AX1808" s="75"/>
      <c r="AY1808" s="67">
        <f t="shared" ca="1" si="1"/>
        <v>0</v>
      </c>
      <c r="AZ1808" s="75"/>
      <c r="BA1808" s="67">
        <f t="shared" ca="1" si="2"/>
        <v>0</v>
      </c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8"/>
      <c r="BL1808" s="78">
        <f t="shared" ca="1" si="3"/>
        <v>0</v>
      </c>
      <c r="BM1808" s="78"/>
      <c r="BN1808" s="78">
        <f t="shared" ca="1" si="4"/>
        <v>0</v>
      </c>
      <c r="BO1808" s="66"/>
      <c r="BP1808" s="66"/>
    </row>
    <row r="1809" spans="1:68" ht="13.2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>
        <f t="shared" ref="AP1809:AQ1809" si="1802">AR1809+AT1809+AV1809</f>
        <v>0</v>
      </c>
      <c r="AQ1809" s="75">
        <f t="shared" si="1802"/>
        <v>0</v>
      </c>
      <c r="AR1809" s="75"/>
      <c r="AS1809" s="75"/>
      <c r="AT1809" s="75"/>
      <c r="AU1809" s="75"/>
      <c r="AV1809" s="75"/>
      <c r="AW1809" s="75"/>
      <c r="AX1809" s="75"/>
      <c r="AY1809" s="67">
        <f t="shared" ca="1" si="1"/>
        <v>0</v>
      </c>
      <c r="AZ1809" s="75"/>
      <c r="BA1809" s="67">
        <f t="shared" ca="1" si="2"/>
        <v>0</v>
      </c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8"/>
      <c r="BL1809" s="78">
        <f t="shared" ca="1" si="3"/>
        <v>0</v>
      </c>
      <c r="BM1809" s="78"/>
      <c r="BN1809" s="78">
        <f t="shared" ca="1" si="4"/>
        <v>0</v>
      </c>
      <c r="BO1809" s="66"/>
      <c r="BP1809" s="66"/>
    </row>
    <row r="1810" spans="1:68" ht="13.2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>
        <f t="shared" ref="AP1810:AQ1810" si="1803">AR1810+AT1810+AV1810</f>
        <v>0</v>
      </c>
      <c r="AQ1810" s="75">
        <f t="shared" si="1803"/>
        <v>0</v>
      </c>
      <c r="AR1810" s="75"/>
      <c r="AS1810" s="75"/>
      <c r="AT1810" s="75"/>
      <c r="AU1810" s="75"/>
      <c r="AV1810" s="75"/>
      <c r="AW1810" s="75"/>
      <c r="AX1810" s="75"/>
      <c r="AY1810" s="67">
        <f t="shared" ca="1" si="1"/>
        <v>0</v>
      </c>
      <c r="AZ1810" s="75"/>
      <c r="BA1810" s="67">
        <f t="shared" ca="1" si="2"/>
        <v>0</v>
      </c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8"/>
      <c r="BL1810" s="78">
        <f t="shared" ca="1" si="3"/>
        <v>0</v>
      </c>
      <c r="BM1810" s="78"/>
      <c r="BN1810" s="78">
        <f t="shared" ca="1" si="4"/>
        <v>0</v>
      </c>
      <c r="BO1810" s="66"/>
      <c r="BP1810" s="66"/>
    </row>
    <row r="1811" spans="1:68" ht="13.2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>
        <f t="shared" ref="AP1811:AQ1811" si="1804">AR1811+AT1811+AV1811</f>
        <v>0</v>
      </c>
      <c r="AQ1811" s="75">
        <f t="shared" si="1804"/>
        <v>0</v>
      </c>
      <c r="AR1811" s="75"/>
      <c r="AS1811" s="75"/>
      <c r="AT1811" s="75"/>
      <c r="AU1811" s="75"/>
      <c r="AV1811" s="75"/>
      <c r="AW1811" s="75"/>
      <c r="AX1811" s="75"/>
      <c r="AY1811" s="67">
        <f t="shared" ca="1" si="1"/>
        <v>0</v>
      </c>
      <c r="AZ1811" s="75"/>
      <c r="BA1811" s="67">
        <f t="shared" ca="1" si="2"/>
        <v>0</v>
      </c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8"/>
      <c r="BL1811" s="78">
        <f t="shared" ca="1" si="3"/>
        <v>0</v>
      </c>
      <c r="BM1811" s="78"/>
      <c r="BN1811" s="78">
        <f t="shared" ca="1" si="4"/>
        <v>0</v>
      </c>
      <c r="BO1811" s="66"/>
      <c r="BP1811" s="66"/>
    </row>
    <row r="1812" spans="1:68" ht="13.2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>
        <f t="shared" ref="AP1812:AQ1812" si="1805">AR1812+AT1812+AV1812</f>
        <v>0</v>
      </c>
      <c r="AQ1812" s="75">
        <f t="shared" si="1805"/>
        <v>0</v>
      </c>
      <c r="AR1812" s="75"/>
      <c r="AS1812" s="75"/>
      <c r="AT1812" s="75"/>
      <c r="AU1812" s="75"/>
      <c r="AV1812" s="75"/>
      <c r="AW1812" s="75"/>
      <c r="AX1812" s="75"/>
      <c r="AY1812" s="67">
        <f t="shared" ca="1" si="1"/>
        <v>0</v>
      </c>
      <c r="AZ1812" s="75"/>
      <c r="BA1812" s="67">
        <f t="shared" ca="1" si="2"/>
        <v>0</v>
      </c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8"/>
      <c r="BL1812" s="78">
        <f t="shared" ca="1" si="3"/>
        <v>0</v>
      </c>
      <c r="BM1812" s="78"/>
      <c r="BN1812" s="78">
        <f t="shared" ca="1" si="4"/>
        <v>0</v>
      </c>
      <c r="BO1812" s="66"/>
      <c r="BP1812" s="66"/>
    </row>
    <row r="1813" spans="1:68" ht="13.2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>
        <f t="shared" ref="AP1813:AQ1813" si="1806">AR1813+AT1813+AV1813</f>
        <v>0</v>
      </c>
      <c r="AQ1813" s="75">
        <f t="shared" si="1806"/>
        <v>0</v>
      </c>
      <c r="AR1813" s="75"/>
      <c r="AS1813" s="75"/>
      <c r="AT1813" s="75"/>
      <c r="AU1813" s="75"/>
      <c r="AV1813" s="75"/>
      <c r="AW1813" s="75"/>
      <c r="AX1813" s="75"/>
      <c r="AY1813" s="67">
        <f t="shared" ca="1" si="1"/>
        <v>0</v>
      </c>
      <c r="AZ1813" s="75"/>
      <c r="BA1813" s="67">
        <f t="shared" ca="1" si="2"/>
        <v>0</v>
      </c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8"/>
      <c r="BL1813" s="78">
        <f t="shared" ca="1" si="3"/>
        <v>0</v>
      </c>
      <c r="BM1813" s="78"/>
      <c r="BN1813" s="78">
        <f t="shared" ca="1" si="4"/>
        <v>0</v>
      </c>
      <c r="BO1813" s="66"/>
      <c r="BP1813" s="66"/>
    </row>
    <row r="1814" spans="1:68" ht="13.2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>
        <f t="shared" ref="AP1814:AQ1814" si="1807">AR1814+AT1814+AV1814</f>
        <v>0</v>
      </c>
      <c r="AQ1814" s="75">
        <f t="shared" si="1807"/>
        <v>0</v>
      </c>
      <c r="AR1814" s="75"/>
      <c r="AS1814" s="75"/>
      <c r="AT1814" s="75"/>
      <c r="AU1814" s="75"/>
      <c r="AV1814" s="75"/>
      <c r="AW1814" s="75"/>
      <c r="AX1814" s="75"/>
      <c r="AY1814" s="67">
        <f t="shared" ca="1" si="1"/>
        <v>0</v>
      </c>
      <c r="AZ1814" s="75"/>
      <c r="BA1814" s="67">
        <f t="shared" ca="1" si="2"/>
        <v>0</v>
      </c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8"/>
      <c r="BL1814" s="78">
        <f t="shared" ca="1" si="3"/>
        <v>0</v>
      </c>
      <c r="BM1814" s="78"/>
      <c r="BN1814" s="78">
        <f t="shared" ca="1" si="4"/>
        <v>0</v>
      </c>
      <c r="BO1814" s="66"/>
      <c r="BP1814" s="66"/>
    </row>
    <row r="1815" spans="1:68" ht="13.2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>
        <f t="shared" ref="AP1815:AQ1815" si="1808">AR1815+AT1815+AV1815</f>
        <v>0</v>
      </c>
      <c r="AQ1815" s="75">
        <f t="shared" si="1808"/>
        <v>0</v>
      </c>
      <c r="AR1815" s="75"/>
      <c r="AS1815" s="75"/>
      <c r="AT1815" s="75"/>
      <c r="AU1815" s="75"/>
      <c r="AV1815" s="75"/>
      <c r="AW1815" s="75"/>
      <c r="AX1815" s="75"/>
      <c r="AY1815" s="67">
        <f t="shared" ca="1" si="1"/>
        <v>0</v>
      </c>
      <c r="AZ1815" s="75"/>
      <c r="BA1815" s="67">
        <f t="shared" ca="1" si="2"/>
        <v>0</v>
      </c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8"/>
      <c r="BL1815" s="78">
        <f t="shared" ca="1" si="3"/>
        <v>0</v>
      </c>
      <c r="BM1815" s="78"/>
      <c r="BN1815" s="78">
        <f t="shared" ca="1" si="4"/>
        <v>0</v>
      </c>
      <c r="BO1815" s="66"/>
      <c r="BP1815" s="66"/>
    </row>
    <row r="1816" spans="1:68" ht="13.2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>
        <f t="shared" ref="AP1816:AQ1816" si="1809">AR1816+AT1816+AV1816</f>
        <v>0</v>
      </c>
      <c r="AQ1816" s="75">
        <f t="shared" si="1809"/>
        <v>0</v>
      </c>
      <c r="AR1816" s="75"/>
      <c r="AS1816" s="75"/>
      <c r="AT1816" s="75"/>
      <c r="AU1816" s="75"/>
      <c r="AV1816" s="75"/>
      <c r="AW1816" s="75"/>
      <c r="AX1816" s="75"/>
      <c r="AY1816" s="67">
        <f t="shared" ca="1" si="1"/>
        <v>0</v>
      </c>
      <c r="AZ1816" s="75"/>
      <c r="BA1816" s="67">
        <f t="shared" ca="1" si="2"/>
        <v>0</v>
      </c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8"/>
      <c r="BL1816" s="78">
        <f t="shared" ca="1" si="3"/>
        <v>0</v>
      </c>
      <c r="BM1816" s="78"/>
      <c r="BN1816" s="78">
        <f t="shared" ca="1" si="4"/>
        <v>0</v>
      </c>
      <c r="BO1816" s="66"/>
      <c r="BP1816" s="66"/>
    </row>
    <row r="1817" spans="1:68" ht="13.2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>
        <f t="shared" ref="AP1817:AQ1817" si="1810">AR1817+AT1817+AV1817</f>
        <v>0</v>
      </c>
      <c r="AQ1817" s="75">
        <f t="shared" si="1810"/>
        <v>0</v>
      </c>
      <c r="AR1817" s="75"/>
      <c r="AS1817" s="75"/>
      <c r="AT1817" s="75"/>
      <c r="AU1817" s="75"/>
      <c r="AV1817" s="75"/>
      <c r="AW1817" s="75"/>
      <c r="AX1817" s="75"/>
      <c r="AY1817" s="67">
        <f t="shared" ca="1" si="1"/>
        <v>0</v>
      </c>
      <c r="AZ1817" s="75"/>
      <c r="BA1817" s="67">
        <f t="shared" ca="1" si="2"/>
        <v>0</v>
      </c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8"/>
      <c r="BL1817" s="78">
        <f t="shared" ca="1" si="3"/>
        <v>0</v>
      </c>
      <c r="BM1817" s="78"/>
      <c r="BN1817" s="78">
        <f t="shared" ca="1" si="4"/>
        <v>0</v>
      </c>
      <c r="BO1817" s="66"/>
      <c r="BP1817" s="66"/>
    </row>
    <row r="1818" spans="1:68" ht="13.2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>
        <f t="shared" ref="AP1818:AQ1818" si="1811">AR1818+AT1818+AV1818</f>
        <v>0</v>
      </c>
      <c r="AQ1818" s="75">
        <f t="shared" si="1811"/>
        <v>0</v>
      </c>
      <c r="AR1818" s="75"/>
      <c r="AS1818" s="75"/>
      <c r="AT1818" s="75"/>
      <c r="AU1818" s="75"/>
      <c r="AV1818" s="75"/>
      <c r="AW1818" s="75"/>
      <c r="AX1818" s="75"/>
      <c r="AY1818" s="67">
        <f t="shared" ca="1" si="1"/>
        <v>0</v>
      </c>
      <c r="AZ1818" s="75"/>
      <c r="BA1818" s="67">
        <f t="shared" ca="1" si="2"/>
        <v>0</v>
      </c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8"/>
      <c r="BL1818" s="78">
        <f t="shared" ca="1" si="3"/>
        <v>0</v>
      </c>
      <c r="BM1818" s="78"/>
      <c r="BN1818" s="78">
        <f t="shared" ca="1" si="4"/>
        <v>0</v>
      </c>
      <c r="BO1818" s="66"/>
      <c r="BP1818" s="66"/>
    </row>
    <row r="1819" spans="1:68" ht="13.2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>
        <f t="shared" ref="AP1819:AQ1819" si="1812">AR1819+AT1819+AV1819</f>
        <v>0</v>
      </c>
      <c r="AQ1819" s="75">
        <f t="shared" si="1812"/>
        <v>0</v>
      </c>
      <c r="AR1819" s="75"/>
      <c r="AS1819" s="75"/>
      <c r="AT1819" s="75"/>
      <c r="AU1819" s="75"/>
      <c r="AV1819" s="75"/>
      <c r="AW1819" s="75"/>
      <c r="AX1819" s="75"/>
      <c r="AY1819" s="67">
        <f t="shared" ca="1" si="1"/>
        <v>0</v>
      </c>
      <c r="AZ1819" s="75"/>
      <c r="BA1819" s="67">
        <f t="shared" ca="1" si="2"/>
        <v>0</v>
      </c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8"/>
      <c r="BL1819" s="78">
        <f t="shared" ca="1" si="3"/>
        <v>0</v>
      </c>
      <c r="BM1819" s="78"/>
      <c r="BN1819" s="78">
        <f t="shared" ca="1" si="4"/>
        <v>0</v>
      </c>
      <c r="BO1819" s="66"/>
      <c r="BP1819" s="66"/>
    </row>
    <row r="1820" spans="1:68" ht="13.2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>
        <f t="shared" ref="AP1820:AQ1820" si="1813">AR1820+AT1820+AV1820</f>
        <v>0</v>
      </c>
      <c r="AQ1820" s="75">
        <f t="shared" si="1813"/>
        <v>0</v>
      </c>
      <c r="AR1820" s="75"/>
      <c r="AS1820" s="75"/>
      <c r="AT1820" s="75"/>
      <c r="AU1820" s="75"/>
      <c r="AV1820" s="75"/>
      <c r="AW1820" s="75"/>
      <c r="AX1820" s="75"/>
      <c r="AY1820" s="67">
        <f t="shared" ca="1" si="1"/>
        <v>0</v>
      </c>
      <c r="AZ1820" s="75"/>
      <c r="BA1820" s="67">
        <f t="shared" ca="1" si="2"/>
        <v>0</v>
      </c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8"/>
      <c r="BL1820" s="78">
        <f t="shared" ca="1" si="3"/>
        <v>0</v>
      </c>
      <c r="BM1820" s="78"/>
      <c r="BN1820" s="78">
        <f t="shared" ca="1" si="4"/>
        <v>0</v>
      </c>
      <c r="BO1820" s="66"/>
      <c r="BP1820" s="66"/>
    </row>
    <row r="1821" spans="1:68" ht="13.2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>
        <f t="shared" ref="AP1821:AQ1821" si="1814">AR1821+AT1821+AV1821</f>
        <v>0</v>
      </c>
      <c r="AQ1821" s="75">
        <f t="shared" si="1814"/>
        <v>0</v>
      </c>
      <c r="AR1821" s="75"/>
      <c r="AS1821" s="75"/>
      <c r="AT1821" s="75"/>
      <c r="AU1821" s="75"/>
      <c r="AV1821" s="75"/>
      <c r="AW1821" s="75"/>
      <c r="AX1821" s="75"/>
      <c r="AY1821" s="67">
        <f t="shared" ca="1" si="1"/>
        <v>0</v>
      </c>
      <c r="AZ1821" s="75"/>
      <c r="BA1821" s="67">
        <f t="shared" ca="1" si="2"/>
        <v>0</v>
      </c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8"/>
      <c r="BL1821" s="78">
        <f t="shared" ca="1" si="3"/>
        <v>0</v>
      </c>
      <c r="BM1821" s="78"/>
      <c r="BN1821" s="78">
        <f t="shared" ca="1" si="4"/>
        <v>0</v>
      </c>
      <c r="BO1821" s="66"/>
      <c r="BP1821" s="66"/>
    </row>
    <row r="1822" spans="1:68" ht="13.2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>
        <f t="shared" ref="AP1822:AQ1822" si="1815">AR1822+AT1822+AV1822</f>
        <v>0</v>
      </c>
      <c r="AQ1822" s="75">
        <f t="shared" si="1815"/>
        <v>0</v>
      </c>
      <c r="AR1822" s="75"/>
      <c r="AS1822" s="75"/>
      <c r="AT1822" s="75"/>
      <c r="AU1822" s="75"/>
      <c r="AV1822" s="75"/>
      <c r="AW1822" s="75"/>
      <c r="AX1822" s="75"/>
      <c r="AY1822" s="67">
        <f t="shared" ca="1" si="1"/>
        <v>0</v>
      </c>
      <c r="AZ1822" s="75"/>
      <c r="BA1822" s="67">
        <f t="shared" ca="1" si="2"/>
        <v>0</v>
      </c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8"/>
      <c r="BL1822" s="78">
        <f t="shared" ca="1" si="3"/>
        <v>0</v>
      </c>
      <c r="BM1822" s="78"/>
      <c r="BN1822" s="78">
        <f t="shared" ca="1" si="4"/>
        <v>0</v>
      </c>
      <c r="BO1822" s="66"/>
      <c r="BP1822" s="66"/>
    </row>
    <row r="1823" spans="1:68" ht="13.2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>
        <f t="shared" ref="AP1823:AQ1823" si="1816">AR1823+AT1823+AV1823</f>
        <v>0</v>
      </c>
      <c r="AQ1823" s="75">
        <f t="shared" si="1816"/>
        <v>0</v>
      </c>
      <c r="AR1823" s="75"/>
      <c r="AS1823" s="75"/>
      <c r="AT1823" s="75"/>
      <c r="AU1823" s="75"/>
      <c r="AV1823" s="75"/>
      <c r="AW1823" s="75"/>
      <c r="AX1823" s="75"/>
      <c r="AY1823" s="67">
        <f t="shared" ca="1" si="1"/>
        <v>0</v>
      </c>
      <c r="AZ1823" s="75"/>
      <c r="BA1823" s="67">
        <f t="shared" ca="1" si="2"/>
        <v>0</v>
      </c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8"/>
      <c r="BL1823" s="78">
        <f t="shared" ca="1" si="3"/>
        <v>0</v>
      </c>
      <c r="BM1823" s="78"/>
      <c r="BN1823" s="78">
        <f t="shared" ca="1" si="4"/>
        <v>0</v>
      </c>
      <c r="BO1823" s="66"/>
      <c r="BP1823" s="66"/>
    </row>
    <row r="1824" spans="1:68" ht="13.2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>
        <f t="shared" ref="AP1824:AQ1824" si="1817">AR1824+AT1824+AV1824</f>
        <v>0</v>
      </c>
      <c r="AQ1824" s="75">
        <f t="shared" si="1817"/>
        <v>0</v>
      </c>
      <c r="AR1824" s="75"/>
      <c r="AS1824" s="75"/>
      <c r="AT1824" s="75"/>
      <c r="AU1824" s="75"/>
      <c r="AV1824" s="75"/>
      <c r="AW1824" s="75"/>
      <c r="AX1824" s="75"/>
      <c r="AY1824" s="67">
        <f t="shared" ca="1" si="1"/>
        <v>0</v>
      </c>
      <c r="AZ1824" s="75"/>
      <c r="BA1824" s="67">
        <f t="shared" ca="1" si="2"/>
        <v>0</v>
      </c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8"/>
      <c r="BL1824" s="78">
        <f t="shared" ca="1" si="3"/>
        <v>0</v>
      </c>
      <c r="BM1824" s="78"/>
      <c r="BN1824" s="78">
        <f t="shared" ca="1" si="4"/>
        <v>0</v>
      </c>
      <c r="BO1824" s="66"/>
      <c r="BP1824" s="66"/>
    </row>
    <row r="1825" spans="1:68" ht="13.2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>
        <f t="shared" ref="AP1825:AQ1825" si="1818">AR1825+AT1825+AV1825</f>
        <v>0</v>
      </c>
      <c r="AQ1825" s="75">
        <f t="shared" si="1818"/>
        <v>0</v>
      </c>
      <c r="AR1825" s="75"/>
      <c r="AS1825" s="75"/>
      <c r="AT1825" s="75"/>
      <c r="AU1825" s="75"/>
      <c r="AV1825" s="75"/>
      <c r="AW1825" s="75"/>
      <c r="AX1825" s="75"/>
      <c r="AY1825" s="67">
        <f t="shared" ca="1" si="1"/>
        <v>0</v>
      </c>
      <c r="AZ1825" s="75"/>
      <c r="BA1825" s="67">
        <f t="shared" ca="1" si="2"/>
        <v>0</v>
      </c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8"/>
      <c r="BL1825" s="78">
        <f t="shared" ca="1" si="3"/>
        <v>0</v>
      </c>
      <c r="BM1825" s="78"/>
      <c r="BN1825" s="78">
        <f t="shared" ca="1" si="4"/>
        <v>0</v>
      </c>
      <c r="BO1825" s="66"/>
      <c r="BP1825" s="66"/>
    </row>
    <row r="1826" spans="1:68" ht="13.2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>
        <f t="shared" ref="AP1826:AQ1826" si="1819">AR1826+AT1826+AV1826</f>
        <v>0</v>
      </c>
      <c r="AQ1826" s="75">
        <f t="shared" si="1819"/>
        <v>0</v>
      </c>
      <c r="AR1826" s="75"/>
      <c r="AS1826" s="75"/>
      <c r="AT1826" s="75"/>
      <c r="AU1826" s="75"/>
      <c r="AV1826" s="75"/>
      <c r="AW1826" s="75"/>
      <c r="AX1826" s="75"/>
      <c r="AY1826" s="67">
        <f t="shared" ca="1" si="1"/>
        <v>0</v>
      </c>
      <c r="AZ1826" s="75"/>
      <c r="BA1826" s="67">
        <f t="shared" ca="1" si="2"/>
        <v>0</v>
      </c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8"/>
      <c r="BL1826" s="78">
        <f t="shared" ca="1" si="3"/>
        <v>0</v>
      </c>
      <c r="BM1826" s="78"/>
      <c r="BN1826" s="78">
        <f t="shared" ca="1" si="4"/>
        <v>0</v>
      </c>
      <c r="BO1826" s="66"/>
      <c r="BP1826" s="66"/>
    </row>
    <row r="1827" spans="1:68" ht="13.2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>
        <f t="shared" ref="AP1827:AQ1827" si="1820">AR1827+AT1827+AV1827</f>
        <v>0</v>
      </c>
      <c r="AQ1827" s="75">
        <f t="shared" si="1820"/>
        <v>0</v>
      </c>
      <c r="AR1827" s="75"/>
      <c r="AS1827" s="75"/>
      <c r="AT1827" s="75"/>
      <c r="AU1827" s="75"/>
      <c r="AV1827" s="75"/>
      <c r="AW1827" s="75"/>
      <c r="AX1827" s="75"/>
      <c r="AY1827" s="67">
        <f t="shared" ca="1" si="1"/>
        <v>0</v>
      </c>
      <c r="AZ1827" s="75"/>
      <c r="BA1827" s="67">
        <f t="shared" ca="1" si="2"/>
        <v>0</v>
      </c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8"/>
      <c r="BL1827" s="78">
        <f t="shared" ca="1" si="3"/>
        <v>0</v>
      </c>
      <c r="BM1827" s="78"/>
      <c r="BN1827" s="78">
        <f t="shared" ca="1" si="4"/>
        <v>0</v>
      </c>
      <c r="BO1827" s="66"/>
      <c r="BP1827" s="66"/>
    </row>
    <row r="1828" spans="1:68" ht="13.2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>
        <f t="shared" ref="AP1828:AQ1828" si="1821">AR1828+AT1828+AV1828</f>
        <v>0</v>
      </c>
      <c r="AQ1828" s="75">
        <f t="shared" si="1821"/>
        <v>0</v>
      </c>
      <c r="AR1828" s="75"/>
      <c r="AS1828" s="75"/>
      <c r="AT1828" s="75"/>
      <c r="AU1828" s="75"/>
      <c r="AV1828" s="75"/>
      <c r="AW1828" s="75"/>
      <c r="AX1828" s="75"/>
      <c r="AY1828" s="67">
        <f t="shared" ca="1" si="1"/>
        <v>0</v>
      </c>
      <c r="AZ1828" s="75"/>
      <c r="BA1828" s="67">
        <f t="shared" ca="1" si="2"/>
        <v>0</v>
      </c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8"/>
      <c r="BL1828" s="78">
        <f t="shared" ca="1" si="3"/>
        <v>0</v>
      </c>
      <c r="BM1828" s="78"/>
      <c r="BN1828" s="78">
        <f t="shared" ca="1" si="4"/>
        <v>0</v>
      </c>
      <c r="BO1828" s="66"/>
      <c r="BP1828" s="66"/>
    </row>
    <row r="1829" spans="1:68" ht="13.2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>
        <f t="shared" ref="AP1829:AQ1829" si="1822">AR1829+AT1829+AV1829</f>
        <v>0</v>
      </c>
      <c r="AQ1829" s="75">
        <f t="shared" si="1822"/>
        <v>0</v>
      </c>
      <c r="AR1829" s="75"/>
      <c r="AS1829" s="75"/>
      <c r="AT1829" s="75"/>
      <c r="AU1829" s="75"/>
      <c r="AV1829" s="75"/>
      <c r="AW1829" s="75"/>
      <c r="AX1829" s="75"/>
      <c r="AY1829" s="67">
        <f t="shared" ca="1" si="1"/>
        <v>0</v>
      </c>
      <c r="AZ1829" s="75"/>
      <c r="BA1829" s="67">
        <f t="shared" ca="1" si="2"/>
        <v>0</v>
      </c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8"/>
      <c r="BL1829" s="78">
        <f t="shared" ca="1" si="3"/>
        <v>0</v>
      </c>
      <c r="BM1829" s="78"/>
      <c r="BN1829" s="78">
        <f t="shared" ca="1" si="4"/>
        <v>0</v>
      </c>
      <c r="BO1829" s="66"/>
      <c r="BP1829" s="66"/>
    </row>
    <row r="1830" spans="1:68" ht="13.2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>
        <f t="shared" ref="AP1830:AQ1830" si="1823">AR1830+AT1830+AV1830</f>
        <v>0</v>
      </c>
      <c r="AQ1830" s="75">
        <f t="shared" si="1823"/>
        <v>0</v>
      </c>
      <c r="AR1830" s="75"/>
      <c r="AS1830" s="75"/>
      <c r="AT1830" s="75"/>
      <c r="AU1830" s="75"/>
      <c r="AV1830" s="75"/>
      <c r="AW1830" s="75"/>
      <c r="AX1830" s="75"/>
      <c r="AY1830" s="67">
        <f t="shared" ca="1" si="1"/>
        <v>0</v>
      </c>
      <c r="AZ1830" s="75"/>
      <c r="BA1830" s="67">
        <f t="shared" ca="1" si="2"/>
        <v>0</v>
      </c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8"/>
      <c r="BL1830" s="78">
        <f t="shared" ca="1" si="3"/>
        <v>0</v>
      </c>
      <c r="BM1830" s="78"/>
      <c r="BN1830" s="78">
        <f t="shared" ca="1" si="4"/>
        <v>0</v>
      </c>
      <c r="BO1830" s="66"/>
      <c r="BP1830" s="66"/>
    </row>
    <row r="1831" spans="1:68" ht="13.2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>
        <f t="shared" ref="AP1831:AQ1831" si="1824">AR1831+AT1831+AV1831</f>
        <v>0</v>
      </c>
      <c r="AQ1831" s="75">
        <f t="shared" si="1824"/>
        <v>0</v>
      </c>
      <c r="AR1831" s="75"/>
      <c r="AS1831" s="75"/>
      <c r="AT1831" s="75"/>
      <c r="AU1831" s="75"/>
      <c r="AV1831" s="75"/>
      <c r="AW1831" s="75"/>
      <c r="AX1831" s="75"/>
      <c r="AY1831" s="67">
        <f t="shared" ca="1" si="1"/>
        <v>0</v>
      </c>
      <c r="AZ1831" s="75"/>
      <c r="BA1831" s="67">
        <f t="shared" ca="1" si="2"/>
        <v>0</v>
      </c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8"/>
      <c r="BL1831" s="78">
        <f t="shared" ca="1" si="3"/>
        <v>0</v>
      </c>
      <c r="BM1831" s="78"/>
      <c r="BN1831" s="78">
        <f t="shared" ca="1" si="4"/>
        <v>0</v>
      </c>
      <c r="BO1831" s="66"/>
      <c r="BP1831" s="66"/>
    </row>
    <row r="1832" spans="1:68" ht="13.2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>
        <f t="shared" ref="AP1832:AQ1832" si="1825">AR1832+AT1832+AV1832</f>
        <v>0</v>
      </c>
      <c r="AQ1832" s="75">
        <f t="shared" si="1825"/>
        <v>0</v>
      </c>
      <c r="AR1832" s="75"/>
      <c r="AS1832" s="75"/>
      <c r="AT1832" s="75"/>
      <c r="AU1832" s="75"/>
      <c r="AV1832" s="75"/>
      <c r="AW1832" s="75"/>
      <c r="AX1832" s="75"/>
      <c r="AY1832" s="67">
        <f t="shared" ca="1" si="1"/>
        <v>0</v>
      </c>
      <c r="AZ1832" s="75"/>
      <c r="BA1832" s="67">
        <f t="shared" ca="1" si="2"/>
        <v>0</v>
      </c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8"/>
      <c r="BL1832" s="78">
        <f t="shared" ca="1" si="3"/>
        <v>0</v>
      </c>
      <c r="BM1832" s="78"/>
      <c r="BN1832" s="78">
        <f t="shared" ca="1" si="4"/>
        <v>0</v>
      </c>
      <c r="BO1832" s="66"/>
      <c r="BP1832" s="66"/>
    </row>
    <row r="1833" spans="1:68" ht="13.2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>
        <f t="shared" ref="AP1833:AQ1833" si="1826">AR1833+AT1833+AV1833</f>
        <v>0</v>
      </c>
      <c r="AQ1833" s="75">
        <f t="shared" si="1826"/>
        <v>0</v>
      </c>
      <c r="AR1833" s="75"/>
      <c r="AS1833" s="75"/>
      <c r="AT1833" s="75"/>
      <c r="AU1833" s="75"/>
      <c r="AV1833" s="75"/>
      <c r="AW1833" s="75"/>
      <c r="AX1833" s="75"/>
      <c r="AY1833" s="67">
        <f t="shared" ca="1" si="1"/>
        <v>0</v>
      </c>
      <c r="AZ1833" s="75"/>
      <c r="BA1833" s="67">
        <f t="shared" ca="1" si="2"/>
        <v>0</v>
      </c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8"/>
      <c r="BL1833" s="78">
        <f t="shared" ca="1" si="3"/>
        <v>0</v>
      </c>
      <c r="BM1833" s="78"/>
      <c r="BN1833" s="78">
        <f t="shared" ca="1" si="4"/>
        <v>0</v>
      </c>
      <c r="BO1833" s="66"/>
      <c r="BP1833" s="66"/>
    </row>
    <row r="1834" spans="1:68" ht="13.2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>
        <f t="shared" ref="AP1834:AQ1834" si="1827">AR1834+AT1834+AV1834</f>
        <v>0</v>
      </c>
      <c r="AQ1834" s="75">
        <f t="shared" si="1827"/>
        <v>0</v>
      </c>
      <c r="AR1834" s="75"/>
      <c r="AS1834" s="75"/>
      <c r="AT1834" s="75"/>
      <c r="AU1834" s="75"/>
      <c r="AV1834" s="75"/>
      <c r="AW1834" s="75"/>
      <c r="AX1834" s="75"/>
      <c r="AY1834" s="67">
        <f t="shared" ca="1" si="1"/>
        <v>0</v>
      </c>
      <c r="AZ1834" s="75"/>
      <c r="BA1834" s="67">
        <f t="shared" ca="1" si="2"/>
        <v>0</v>
      </c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8"/>
      <c r="BL1834" s="78">
        <f t="shared" ca="1" si="3"/>
        <v>0</v>
      </c>
      <c r="BM1834" s="78"/>
      <c r="BN1834" s="78">
        <f t="shared" ca="1" si="4"/>
        <v>0</v>
      </c>
      <c r="BO1834" s="66"/>
      <c r="BP1834" s="66"/>
    </row>
    <row r="1835" spans="1:68" ht="13.2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>
        <f t="shared" ref="AP1835:AQ1835" si="1828">AR1835+AT1835+AV1835</f>
        <v>0</v>
      </c>
      <c r="AQ1835" s="75">
        <f t="shared" si="1828"/>
        <v>0</v>
      </c>
      <c r="AR1835" s="75"/>
      <c r="AS1835" s="75"/>
      <c r="AT1835" s="75"/>
      <c r="AU1835" s="75"/>
      <c r="AV1835" s="75"/>
      <c r="AW1835" s="75"/>
      <c r="AX1835" s="75"/>
      <c r="AY1835" s="67">
        <f t="shared" ca="1" si="1"/>
        <v>0</v>
      </c>
      <c r="AZ1835" s="75"/>
      <c r="BA1835" s="67">
        <f t="shared" ca="1" si="2"/>
        <v>0</v>
      </c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8"/>
      <c r="BL1835" s="78">
        <f t="shared" ca="1" si="3"/>
        <v>0</v>
      </c>
      <c r="BM1835" s="78"/>
      <c r="BN1835" s="78">
        <f t="shared" ca="1" si="4"/>
        <v>0</v>
      </c>
      <c r="BO1835" s="66"/>
      <c r="BP1835" s="66"/>
    </row>
    <row r="1836" spans="1:68" ht="13.2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>
        <f t="shared" ref="AP1836:AQ1836" si="1829">AR1836+AT1836+AV1836</f>
        <v>0</v>
      </c>
      <c r="AQ1836" s="75">
        <f t="shared" si="1829"/>
        <v>0</v>
      </c>
      <c r="AR1836" s="75"/>
      <c r="AS1836" s="75"/>
      <c r="AT1836" s="75"/>
      <c r="AU1836" s="75"/>
      <c r="AV1836" s="75"/>
      <c r="AW1836" s="75"/>
      <c r="AX1836" s="75"/>
      <c r="AY1836" s="67">
        <f t="shared" ca="1" si="1"/>
        <v>0</v>
      </c>
      <c r="AZ1836" s="75"/>
      <c r="BA1836" s="67">
        <f t="shared" ca="1" si="2"/>
        <v>0</v>
      </c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8"/>
      <c r="BL1836" s="78">
        <f t="shared" ca="1" si="3"/>
        <v>0</v>
      </c>
      <c r="BM1836" s="78"/>
      <c r="BN1836" s="78">
        <f t="shared" ca="1" si="4"/>
        <v>0</v>
      </c>
      <c r="BO1836" s="66"/>
      <c r="BP1836" s="66"/>
    </row>
    <row r="1837" spans="1:68" ht="13.2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>
        <f t="shared" ref="AP1837:AQ1837" si="1830">AR1837+AT1837+AV1837</f>
        <v>0</v>
      </c>
      <c r="AQ1837" s="75">
        <f t="shared" si="1830"/>
        <v>0</v>
      </c>
      <c r="AR1837" s="75"/>
      <c r="AS1837" s="75"/>
      <c r="AT1837" s="75"/>
      <c r="AU1837" s="75"/>
      <c r="AV1837" s="75"/>
      <c r="AW1837" s="75"/>
      <c r="AX1837" s="75"/>
      <c r="AY1837" s="67">
        <f t="shared" ca="1" si="1"/>
        <v>0</v>
      </c>
      <c r="AZ1837" s="75"/>
      <c r="BA1837" s="67">
        <f t="shared" ca="1" si="2"/>
        <v>0</v>
      </c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8"/>
      <c r="BL1837" s="78">
        <f t="shared" ca="1" si="3"/>
        <v>0</v>
      </c>
      <c r="BM1837" s="78"/>
      <c r="BN1837" s="78">
        <f t="shared" ca="1" si="4"/>
        <v>0</v>
      </c>
      <c r="BO1837" s="66"/>
      <c r="BP1837" s="66"/>
    </row>
    <row r="1838" spans="1:68" ht="13.2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>
        <f t="shared" ref="AP1838:AQ1838" si="1831">AR1838+AT1838+AV1838</f>
        <v>0</v>
      </c>
      <c r="AQ1838" s="75">
        <f t="shared" si="1831"/>
        <v>0</v>
      </c>
      <c r="AR1838" s="75"/>
      <c r="AS1838" s="75"/>
      <c r="AT1838" s="75"/>
      <c r="AU1838" s="75"/>
      <c r="AV1838" s="75"/>
      <c r="AW1838" s="75"/>
      <c r="AX1838" s="75"/>
      <c r="AY1838" s="67">
        <f t="shared" ca="1" si="1"/>
        <v>0</v>
      </c>
      <c r="AZ1838" s="75"/>
      <c r="BA1838" s="67">
        <f t="shared" ca="1" si="2"/>
        <v>0</v>
      </c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8"/>
      <c r="BL1838" s="78">
        <f t="shared" ca="1" si="3"/>
        <v>0</v>
      </c>
      <c r="BM1838" s="78"/>
      <c r="BN1838" s="78">
        <f t="shared" ca="1" si="4"/>
        <v>0</v>
      </c>
      <c r="BO1838" s="66"/>
      <c r="BP1838" s="66"/>
    </row>
    <row r="1839" spans="1:68" ht="13.2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>
        <f t="shared" ref="AP1839:AQ1839" si="1832">AR1839+AT1839+AV1839</f>
        <v>0</v>
      </c>
      <c r="AQ1839" s="75">
        <f t="shared" si="1832"/>
        <v>0</v>
      </c>
      <c r="AR1839" s="75"/>
      <c r="AS1839" s="75"/>
      <c r="AT1839" s="75"/>
      <c r="AU1839" s="75"/>
      <c r="AV1839" s="75"/>
      <c r="AW1839" s="75"/>
      <c r="AX1839" s="75"/>
      <c r="AY1839" s="67">
        <f t="shared" ca="1" si="1"/>
        <v>0</v>
      </c>
      <c r="AZ1839" s="75"/>
      <c r="BA1839" s="67">
        <f t="shared" ca="1" si="2"/>
        <v>0</v>
      </c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8"/>
      <c r="BL1839" s="78">
        <f t="shared" ca="1" si="3"/>
        <v>0</v>
      </c>
      <c r="BM1839" s="78"/>
      <c r="BN1839" s="78">
        <f t="shared" ca="1" si="4"/>
        <v>0</v>
      </c>
      <c r="BO1839" s="66"/>
      <c r="BP1839" s="66"/>
    </row>
    <row r="1840" spans="1:68" ht="13.2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>
        <f t="shared" ref="AP1840:AQ1840" si="1833">AR1840+AT1840+AV1840</f>
        <v>0</v>
      </c>
      <c r="AQ1840" s="75">
        <f t="shared" si="1833"/>
        <v>0</v>
      </c>
      <c r="AR1840" s="75"/>
      <c r="AS1840" s="75"/>
      <c r="AT1840" s="75"/>
      <c r="AU1840" s="75"/>
      <c r="AV1840" s="75"/>
      <c r="AW1840" s="75"/>
      <c r="AX1840" s="75"/>
      <c r="AY1840" s="67">
        <f t="shared" ca="1" si="1"/>
        <v>0</v>
      </c>
      <c r="AZ1840" s="75"/>
      <c r="BA1840" s="67">
        <f t="shared" ca="1" si="2"/>
        <v>0</v>
      </c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8"/>
      <c r="BL1840" s="78">
        <f t="shared" ca="1" si="3"/>
        <v>0</v>
      </c>
      <c r="BM1840" s="78"/>
      <c r="BN1840" s="78">
        <f t="shared" ca="1" si="4"/>
        <v>0</v>
      </c>
      <c r="BO1840" s="66"/>
      <c r="BP1840" s="66"/>
    </row>
    <row r="1841" spans="1:68" ht="13.2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>
        <f t="shared" ref="AP1841:AQ1841" si="1834">AR1841+AT1841+AV1841</f>
        <v>0</v>
      </c>
      <c r="AQ1841" s="75">
        <f t="shared" si="1834"/>
        <v>0</v>
      </c>
      <c r="AR1841" s="75"/>
      <c r="AS1841" s="75"/>
      <c r="AT1841" s="75"/>
      <c r="AU1841" s="75"/>
      <c r="AV1841" s="75"/>
      <c r="AW1841" s="75"/>
      <c r="AX1841" s="75"/>
      <c r="AY1841" s="67">
        <f t="shared" ca="1" si="1"/>
        <v>0</v>
      </c>
      <c r="AZ1841" s="75"/>
      <c r="BA1841" s="67">
        <f t="shared" ca="1" si="2"/>
        <v>0</v>
      </c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8"/>
      <c r="BL1841" s="78">
        <f t="shared" ca="1" si="3"/>
        <v>0</v>
      </c>
      <c r="BM1841" s="78"/>
      <c r="BN1841" s="78">
        <f t="shared" ca="1" si="4"/>
        <v>0</v>
      </c>
      <c r="BO1841" s="66"/>
      <c r="BP1841" s="66"/>
    </row>
    <row r="1842" spans="1:68" ht="13.2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>
        <f t="shared" ref="AP1842:AQ1842" si="1835">AR1842+AT1842+AV1842</f>
        <v>0</v>
      </c>
      <c r="AQ1842" s="75">
        <f t="shared" si="1835"/>
        <v>0</v>
      </c>
      <c r="AR1842" s="75"/>
      <c r="AS1842" s="75"/>
      <c r="AT1842" s="75"/>
      <c r="AU1842" s="75"/>
      <c r="AV1842" s="75"/>
      <c r="AW1842" s="75"/>
      <c r="AX1842" s="75"/>
      <c r="AY1842" s="67">
        <f t="shared" ca="1" si="1"/>
        <v>0</v>
      </c>
      <c r="AZ1842" s="75"/>
      <c r="BA1842" s="67">
        <f t="shared" ca="1" si="2"/>
        <v>0</v>
      </c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8"/>
      <c r="BL1842" s="78">
        <f t="shared" ca="1" si="3"/>
        <v>0</v>
      </c>
      <c r="BM1842" s="78"/>
      <c r="BN1842" s="78">
        <f t="shared" ca="1" si="4"/>
        <v>0</v>
      </c>
      <c r="BO1842" s="66"/>
      <c r="BP1842" s="66"/>
    </row>
    <row r="1843" spans="1:68" ht="13.2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>
        <f t="shared" ref="AP1843:AQ1843" si="1836">AR1843+AT1843+AV1843</f>
        <v>0</v>
      </c>
      <c r="AQ1843" s="75">
        <f t="shared" si="1836"/>
        <v>0</v>
      </c>
      <c r="AR1843" s="75"/>
      <c r="AS1843" s="75"/>
      <c r="AT1843" s="75"/>
      <c r="AU1843" s="75"/>
      <c r="AV1843" s="75"/>
      <c r="AW1843" s="75"/>
      <c r="AX1843" s="75"/>
      <c r="AY1843" s="67">
        <f t="shared" ca="1" si="1"/>
        <v>0</v>
      </c>
      <c r="AZ1843" s="75"/>
      <c r="BA1843" s="67">
        <f t="shared" ca="1" si="2"/>
        <v>0</v>
      </c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8"/>
      <c r="BL1843" s="78">
        <f t="shared" ca="1" si="3"/>
        <v>0</v>
      </c>
      <c r="BM1843" s="78"/>
      <c r="BN1843" s="78">
        <f t="shared" ca="1" si="4"/>
        <v>0</v>
      </c>
      <c r="BO1843" s="66"/>
      <c r="BP1843" s="66"/>
    </row>
    <row r="1844" spans="1:68" ht="13.2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>
        <f t="shared" ref="AP1844:AQ1844" si="1837">AR1844+AT1844+AV1844</f>
        <v>0</v>
      </c>
      <c r="AQ1844" s="75">
        <f t="shared" si="1837"/>
        <v>0</v>
      </c>
      <c r="AR1844" s="75"/>
      <c r="AS1844" s="75"/>
      <c r="AT1844" s="75"/>
      <c r="AU1844" s="75"/>
      <c r="AV1844" s="75"/>
      <c r="AW1844" s="75"/>
      <c r="AX1844" s="75"/>
      <c r="AY1844" s="67">
        <f t="shared" ca="1" si="1"/>
        <v>0</v>
      </c>
      <c r="AZ1844" s="75"/>
      <c r="BA1844" s="67">
        <f t="shared" ca="1" si="2"/>
        <v>0</v>
      </c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8"/>
      <c r="BL1844" s="78">
        <f t="shared" ca="1" si="3"/>
        <v>0</v>
      </c>
      <c r="BM1844" s="78"/>
      <c r="BN1844" s="78">
        <f t="shared" ca="1" si="4"/>
        <v>0</v>
      </c>
      <c r="BO1844" s="66"/>
      <c r="BP1844" s="66"/>
    </row>
    <row r="1845" spans="1:68" ht="13.2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>
        <f t="shared" ref="AP1845:AQ1845" si="1838">AR1845+AT1845+AV1845</f>
        <v>0</v>
      </c>
      <c r="AQ1845" s="75">
        <f t="shared" si="1838"/>
        <v>0</v>
      </c>
      <c r="AR1845" s="75"/>
      <c r="AS1845" s="75"/>
      <c r="AT1845" s="75"/>
      <c r="AU1845" s="75"/>
      <c r="AV1845" s="75"/>
      <c r="AW1845" s="75"/>
      <c r="AX1845" s="75"/>
      <c r="AY1845" s="67">
        <f t="shared" ca="1" si="1"/>
        <v>0</v>
      </c>
      <c r="AZ1845" s="75"/>
      <c r="BA1845" s="67">
        <f t="shared" ca="1" si="2"/>
        <v>0</v>
      </c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8"/>
      <c r="BL1845" s="78">
        <f t="shared" ca="1" si="3"/>
        <v>0</v>
      </c>
      <c r="BM1845" s="78"/>
      <c r="BN1845" s="78">
        <f t="shared" ca="1" si="4"/>
        <v>0</v>
      </c>
      <c r="BO1845" s="66"/>
      <c r="BP1845" s="66"/>
    </row>
    <row r="1846" spans="1:68" ht="13.2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>
        <f t="shared" ref="AP1846:AQ1846" si="1839">AR1846+AT1846+AV1846</f>
        <v>0</v>
      </c>
      <c r="AQ1846" s="75">
        <f t="shared" si="1839"/>
        <v>0</v>
      </c>
      <c r="AR1846" s="75"/>
      <c r="AS1846" s="75"/>
      <c r="AT1846" s="75"/>
      <c r="AU1846" s="75"/>
      <c r="AV1846" s="75"/>
      <c r="AW1846" s="75"/>
      <c r="AX1846" s="75"/>
      <c r="AY1846" s="67">
        <f t="shared" ca="1" si="1"/>
        <v>0</v>
      </c>
      <c r="AZ1846" s="75"/>
      <c r="BA1846" s="67">
        <f t="shared" ca="1" si="2"/>
        <v>0</v>
      </c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8"/>
      <c r="BL1846" s="78">
        <f t="shared" ca="1" si="3"/>
        <v>0</v>
      </c>
      <c r="BM1846" s="78"/>
      <c r="BN1846" s="78">
        <f t="shared" ca="1" si="4"/>
        <v>0</v>
      </c>
      <c r="BO1846" s="66"/>
      <c r="BP1846" s="66"/>
    </row>
    <row r="1847" spans="1:68" ht="13.2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>
        <f t="shared" ref="AP1847:AQ1847" si="1840">AR1847+AT1847+AV1847</f>
        <v>0</v>
      </c>
      <c r="AQ1847" s="75">
        <f t="shared" si="1840"/>
        <v>0</v>
      </c>
      <c r="AR1847" s="75"/>
      <c r="AS1847" s="75"/>
      <c r="AT1847" s="75"/>
      <c r="AU1847" s="75"/>
      <c r="AV1847" s="75"/>
      <c r="AW1847" s="75"/>
      <c r="AX1847" s="75"/>
      <c r="AY1847" s="67">
        <f t="shared" ca="1" si="1"/>
        <v>0</v>
      </c>
      <c r="AZ1847" s="75"/>
      <c r="BA1847" s="67">
        <f t="shared" ca="1" si="2"/>
        <v>0</v>
      </c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8"/>
      <c r="BL1847" s="78">
        <f t="shared" ca="1" si="3"/>
        <v>0</v>
      </c>
      <c r="BM1847" s="78"/>
      <c r="BN1847" s="78">
        <f t="shared" ca="1" si="4"/>
        <v>0</v>
      </c>
      <c r="BO1847" s="66"/>
      <c r="BP1847" s="66"/>
    </row>
    <row r="1848" spans="1:68" ht="13.2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>
        <f t="shared" ref="AP1848:AQ1848" si="1841">AR1848+AT1848+AV1848</f>
        <v>0</v>
      </c>
      <c r="AQ1848" s="75">
        <f t="shared" si="1841"/>
        <v>0</v>
      </c>
      <c r="AR1848" s="75"/>
      <c r="AS1848" s="75"/>
      <c r="AT1848" s="75"/>
      <c r="AU1848" s="75"/>
      <c r="AV1848" s="75"/>
      <c r="AW1848" s="75"/>
      <c r="AX1848" s="75"/>
      <c r="AY1848" s="67">
        <f t="shared" ca="1" si="1"/>
        <v>0</v>
      </c>
      <c r="AZ1848" s="75"/>
      <c r="BA1848" s="67">
        <f t="shared" ca="1" si="2"/>
        <v>0</v>
      </c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8"/>
      <c r="BL1848" s="78">
        <f t="shared" ca="1" si="3"/>
        <v>0</v>
      </c>
      <c r="BM1848" s="78"/>
      <c r="BN1848" s="78">
        <f t="shared" ca="1" si="4"/>
        <v>0</v>
      </c>
      <c r="BO1848" s="66"/>
      <c r="BP1848" s="66"/>
    </row>
    <row r="1849" spans="1:68" ht="13.2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>
        <f t="shared" ref="AP1849:AQ1849" si="1842">AR1849+AT1849+AV1849</f>
        <v>0</v>
      </c>
      <c r="AQ1849" s="75">
        <f t="shared" si="1842"/>
        <v>0</v>
      </c>
      <c r="AR1849" s="75"/>
      <c r="AS1849" s="75"/>
      <c r="AT1849" s="75"/>
      <c r="AU1849" s="75"/>
      <c r="AV1849" s="75"/>
      <c r="AW1849" s="75"/>
      <c r="AX1849" s="75"/>
      <c r="AY1849" s="67">
        <f t="shared" ca="1" si="1"/>
        <v>0</v>
      </c>
      <c r="AZ1849" s="75"/>
      <c r="BA1849" s="67">
        <f t="shared" ca="1" si="2"/>
        <v>0</v>
      </c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8"/>
      <c r="BL1849" s="78">
        <f t="shared" ca="1" si="3"/>
        <v>0</v>
      </c>
      <c r="BM1849" s="78"/>
      <c r="BN1849" s="78">
        <f t="shared" ca="1" si="4"/>
        <v>0</v>
      </c>
      <c r="BO1849" s="66"/>
      <c r="BP1849" s="66"/>
    </row>
    <row r="1850" spans="1:68" ht="13.2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>
        <f t="shared" ref="AP1850:AQ1850" si="1843">AR1850+AT1850+AV1850</f>
        <v>0</v>
      </c>
      <c r="AQ1850" s="75">
        <f t="shared" si="1843"/>
        <v>0</v>
      </c>
      <c r="AR1850" s="75"/>
      <c r="AS1850" s="75"/>
      <c r="AT1850" s="75"/>
      <c r="AU1850" s="75"/>
      <c r="AV1850" s="75"/>
      <c r="AW1850" s="75"/>
      <c r="AX1850" s="75"/>
      <c r="AY1850" s="67">
        <f t="shared" ca="1" si="1"/>
        <v>0</v>
      </c>
      <c r="AZ1850" s="75"/>
      <c r="BA1850" s="67">
        <f t="shared" ca="1" si="2"/>
        <v>0</v>
      </c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8"/>
      <c r="BL1850" s="78">
        <f t="shared" ca="1" si="3"/>
        <v>0</v>
      </c>
      <c r="BM1850" s="78"/>
      <c r="BN1850" s="78">
        <f t="shared" ca="1" si="4"/>
        <v>0</v>
      </c>
      <c r="BO1850" s="66"/>
      <c r="BP1850" s="66"/>
    </row>
    <row r="1851" spans="1:68" ht="13.2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>
        <f t="shared" ref="AP1851:AQ1851" si="1844">AR1851+AT1851+AV1851</f>
        <v>0</v>
      </c>
      <c r="AQ1851" s="75">
        <f t="shared" si="1844"/>
        <v>0</v>
      </c>
      <c r="AR1851" s="75"/>
      <c r="AS1851" s="75"/>
      <c r="AT1851" s="75"/>
      <c r="AU1851" s="75"/>
      <c r="AV1851" s="75"/>
      <c r="AW1851" s="75"/>
      <c r="AX1851" s="75"/>
      <c r="AY1851" s="67">
        <f t="shared" ca="1" si="1"/>
        <v>0</v>
      </c>
      <c r="AZ1851" s="75"/>
      <c r="BA1851" s="67">
        <f t="shared" ca="1" si="2"/>
        <v>0</v>
      </c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8"/>
      <c r="BL1851" s="78">
        <f t="shared" ca="1" si="3"/>
        <v>0</v>
      </c>
      <c r="BM1851" s="78"/>
      <c r="BN1851" s="78">
        <f t="shared" ca="1" si="4"/>
        <v>0</v>
      </c>
      <c r="BO1851" s="66"/>
      <c r="BP1851" s="66"/>
    </row>
    <row r="1852" spans="1:68" ht="13.2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>
        <f t="shared" ref="AP1852:AQ1852" si="1845">AR1852+AT1852+AV1852</f>
        <v>0</v>
      </c>
      <c r="AQ1852" s="75">
        <f t="shared" si="1845"/>
        <v>0</v>
      </c>
      <c r="AR1852" s="75"/>
      <c r="AS1852" s="75"/>
      <c r="AT1852" s="75"/>
      <c r="AU1852" s="75"/>
      <c r="AV1852" s="75"/>
      <c r="AW1852" s="75"/>
      <c r="AX1852" s="75"/>
      <c r="AY1852" s="67">
        <f t="shared" ca="1" si="1"/>
        <v>0</v>
      </c>
      <c r="AZ1852" s="75"/>
      <c r="BA1852" s="67">
        <f t="shared" ca="1" si="2"/>
        <v>0</v>
      </c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8"/>
      <c r="BL1852" s="78">
        <f t="shared" ca="1" si="3"/>
        <v>0</v>
      </c>
      <c r="BM1852" s="78"/>
      <c r="BN1852" s="78">
        <f t="shared" ca="1" si="4"/>
        <v>0</v>
      </c>
      <c r="BO1852" s="66"/>
      <c r="BP1852" s="66"/>
    </row>
    <row r="1853" spans="1:68" ht="13.2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>
        <f t="shared" ref="AP1853:AQ1853" si="1846">AR1853+AT1853+AV1853</f>
        <v>0</v>
      </c>
      <c r="AQ1853" s="75">
        <f t="shared" si="1846"/>
        <v>0</v>
      </c>
      <c r="AR1853" s="75"/>
      <c r="AS1853" s="75"/>
      <c r="AT1853" s="75"/>
      <c r="AU1853" s="75"/>
      <c r="AV1853" s="75"/>
      <c r="AW1853" s="75"/>
      <c r="AX1853" s="75"/>
      <c r="AY1853" s="67">
        <f t="shared" ca="1" si="1"/>
        <v>0</v>
      </c>
      <c r="AZ1853" s="75"/>
      <c r="BA1853" s="67">
        <f t="shared" ca="1" si="2"/>
        <v>0</v>
      </c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8"/>
      <c r="BL1853" s="78">
        <f t="shared" ca="1" si="3"/>
        <v>0</v>
      </c>
      <c r="BM1853" s="78"/>
      <c r="BN1853" s="78">
        <f t="shared" ca="1" si="4"/>
        <v>0</v>
      </c>
      <c r="BO1853" s="66"/>
      <c r="BP1853" s="66"/>
    </row>
    <row r="1854" spans="1:68" ht="13.2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>
        <f t="shared" ref="AP1854:AQ1854" si="1847">AR1854+AT1854+AV1854</f>
        <v>0</v>
      </c>
      <c r="AQ1854" s="75">
        <f t="shared" si="1847"/>
        <v>0</v>
      </c>
      <c r="AR1854" s="75"/>
      <c r="AS1854" s="75"/>
      <c r="AT1854" s="75"/>
      <c r="AU1854" s="75"/>
      <c r="AV1854" s="75"/>
      <c r="AW1854" s="75"/>
      <c r="AX1854" s="75"/>
      <c r="AY1854" s="67">
        <f t="shared" ca="1" si="1"/>
        <v>0</v>
      </c>
      <c r="AZ1854" s="75"/>
      <c r="BA1854" s="67">
        <f t="shared" ca="1" si="2"/>
        <v>0</v>
      </c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8"/>
      <c r="BL1854" s="78">
        <f t="shared" ca="1" si="3"/>
        <v>0</v>
      </c>
      <c r="BM1854" s="78"/>
      <c r="BN1854" s="78">
        <f t="shared" ca="1" si="4"/>
        <v>0</v>
      </c>
      <c r="BO1854" s="66"/>
      <c r="BP1854" s="66"/>
    </row>
    <row r="1855" spans="1:68" ht="13.2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>
        <f t="shared" ref="AP1855:AQ1855" si="1848">AR1855+AT1855+AV1855</f>
        <v>0</v>
      </c>
      <c r="AQ1855" s="75">
        <f t="shared" si="1848"/>
        <v>0</v>
      </c>
      <c r="AR1855" s="75"/>
      <c r="AS1855" s="75"/>
      <c r="AT1855" s="75"/>
      <c r="AU1855" s="75"/>
      <c r="AV1855" s="75"/>
      <c r="AW1855" s="75"/>
      <c r="AX1855" s="75"/>
      <c r="AY1855" s="67">
        <f t="shared" ca="1" si="1"/>
        <v>0</v>
      </c>
      <c r="AZ1855" s="75"/>
      <c r="BA1855" s="67">
        <f t="shared" ca="1" si="2"/>
        <v>0</v>
      </c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8"/>
      <c r="BL1855" s="78">
        <f t="shared" ca="1" si="3"/>
        <v>0</v>
      </c>
      <c r="BM1855" s="78"/>
      <c r="BN1855" s="78">
        <f t="shared" ca="1" si="4"/>
        <v>0</v>
      </c>
      <c r="BO1855" s="66"/>
      <c r="BP1855" s="66"/>
    </row>
    <row r="1856" spans="1:68" ht="13.2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>
        <f t="shared" ref="AP1856:AQ1856" si="1849">AR1856+AT1856+AV1856</f>
        <v>0</v>
      </c>
      <c r="AQ1856" s="75">
        <f t="shared" si="1849"/>
        <v>0</v>
      </c>
      <c r="AR1856" s="75"/>
      <c r="AS1856" s="75"/>
      <c r="AT1856" s="75"/>
      <c r="AU1856" s="75"/>
      <c r="AV1856" s="75"/>
      <c r="AW1856" s="75"/>
      <c r="AX1856" s="75"/>
      <c r="AY1856" s="67">
        <f t="shared" ca="1" si="1"/>
        <v>0</v>
      </c>
      <c r="AZ1856" s="75"/>
      <c r="BA1856" s="67">
        <f t="shared" ca="1" si="2"/>
        <v>0</v>
      </c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8"/>
      <c r="BL1856" s="78">
        <f t="shared" ca="1" si="3"/>
        <v>0</v>
      </c>
      <c r="BM1856" s="78"/>
      <c r="BN1856" s="78">
        <f t="shared" ca="1" si="4"/>
        <v>0</v>
      </c>
      <c r="BO1856" s="66"/>
      <c r="BP1856" s="66"/>
    </row>
    <row r="1857" spans="1:68" ht="13.2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>
        <f t="shared" ref="AP1857:AQ1857" si="1850">AR1857+AT1857+AV1857</f>
        <v>0</v>
      </c>
      <c r="AQ1857" s="75">
        <f t="shared" si="1850"/>
        <v>0</v>
      </c>
      <c r="AR1857" s="75"/>
      <c r="AS1857" s="75"/>
      <c r="AT1857" s="75"/>
      <c r="AU1857" s="75"/>
      <c r="AV1857" s="75"/>
      <c r="AW1857" s="75"/>
      <c r="AX1857" s="75"/>
      <c r="AY1857" s="67">
        <f t="shared" ca="1" si="1"/>
        <v>0</v>
      </c>
      <c r="AZ1857" s="75"/>
      <c r="BA1857" s="67">
        <f t="shared" ca="1" si="2"/>
        <v>0</v>
      </c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8"/>
      <c r="BL1857" s="78">
        <f t="shared" ca="1" si="3"/>
        <v>0</v>
      </c>
      <c r="BM1857" s="78"/>
      <c r="BN1857" s="78">
        <f t="shared" ca="1" si="4"/>
        <v>0</v>
      </c>
      <c r="BO1857" s="66"/>
      <c r="BP1857" s="66"/>
    </row>
    <row r="1858" spans="1:68" ht="13.2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>
        <f t="shared" ref="AP1858:AQ1858" si="1851">AR1858+AT1858+AV1858</f>
        <v>0</v>
      </c>
      <c r="AQ1858" s="75">
        <f t="shared" si="1851"/>
        <v>0</v>
      </c>
      <c r="AR1858" s="75"/>
      <c r="AS1858" s="75"/>
      <c r="AT1858" s="75"/>
      <c r="AU1858" s="75"/>
      <c r="AV1858" s="75"/>
      <c r="AW1858" s="75"/>
      <c r="AX1858" s="75"/>
      <c r="AY1858" s="67">
        <f t="shared" ca="1" si="1"/>
        <v>0</v>
      </c>
      <c r="AZ1858" s="75"/>
      <c r="BA1858" s="67">
        <f t="shared" ca="1" si="2"/>
        <v>0</v>
      </c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8"/>
      <c r="BL1858" s="78">
        <f t="shared" ca="1" si="3"/>
        <v>0</v>
      </c>
      <c r="BM1858" s="78"/>
      <c r="BN1858" s="78">
        <f t="shared" ca="1" si="4"/>
        <v>0</v>
      </c>
      <c r="BO1858" s="66"/>
      <c r="BP1858" s="66"/>
    </row>
    <row r="1859" spans="1:68" ht="13.2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>
        <f t="shared" ref="AP1859:AQ1859" si="1852">AR1859+AT1859+AV1859</f>
        <v>0</v>
      </c>
      <c r="AQ1859" s="75">
        <f t="shared" si="1852"/>
        <v>0</v>
      </c>
      <c r="AR1859" s="75"/>
      <c r="AS1859" s="75"/>
      <c r="AT1859" s="75"/>
      <c r="AU1859" s="75"/>
      <c r="AV1859" s="75"/>
      <c r="AW1859" s="75"/>
      <c r="AX1859" s="75"/>
      <c r="AY1859" s="67">
        <f t="shared" ca="1" si="1"/>
        <v>0</v>
      </c>
      <c r="AZ1859" s="75"/>
      <c r="BA1859" s="67">
        <f t="shared" ca="1" si="2"/>
        <v>0</v>
      </c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8"/>
      <c r="BL1859" s="78">
        <f t="shared" ca="1" si="3"/>
        <v>0</v>
      </c>
      <c r="BM1859" s="78"/>
      <c r="BN1859" s="78">
        <f t="shared" ca="1" si="4"/>
        <v>0</v>
      </c>
      <c r="BO1859" s="66"/>
      <c r="BP1859" s="66"/>
    </row>
    <row r="1860" spans="1:68" ht="13.2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>
        <f t="shared" ref="AP1860:AQ1860" si="1853">AR1860+AT1860+AV1860</f>
        <v>0</v>
      </c>
      <c r="AQ1860" s="75">
        <f t="shared" si="1853"/>
        <v>0</v>
      </c>
      <c r="AR1860" s="75"/>
      <c r="AS1860" s="75"/>
      <c r="AT1860" s="75"/>
      <c r="AU1860" s="75"/>
      <c r="AV1860" s="75"/>
      <c r="AW1860" s="75"/>
      <c r="AX1860" s="75"/>
      <c r="AY1860" s="67">
        <f t="shared" ca="1" si="1"/>
        <v>0</v>
      </c>
      <c r="AZ1860" s="75"/>
      <c r="BA1860" s="67">
        <f t="shared" ca="1" si="2"/>
        <v>0</v>
      </c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8"/>
      <c r="BL1860" s="78">
        <f t="shared" ca="1" si="3"/>
        <v>0</v>
      </c>
      <c r="BM1860" s="78"/>
      <c r="BN1860" s="78">
        <f t="shared" ca="1" si="4"/>
        <v>0</v>
      </c>
      <c r="BO1860" s="66"/>
      <c r="BP1860" s="66"/>
    </row>
    <row r="1861" spans="1:68" ht="13.2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>
        <f t="shared" ref="AP1861:AQ1861" si="1854">AR1861+AT1861+AV1861</f>
        <v>0</v>
      </c>
      <c r="AQ1861" s="75">
        <f t="shared" si="1854"/>
        <v>0</v>
      </c>
      <c r="AR1861" s="75"/>
      <c r="AS1861" s="75"/>
      <c r="AT1861" s="75"/>
      <c r="AU1861" s="75"/>
      <c r="AV1861" s="75"/>
      <c r="AW1861" s="75"/>
      <c r="AX1861" s="75"/>
      <c r="AY1861" s="67">
        <f t="shared" ca="1" si="1"/>
        <v>0</v>
      </c>
      <c r="AZ1861" s="75"/>
      <c r="BA1861" s="67">
        <f t="shared" ca="1" si="2"/>
        <v>0</v>
      </c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8"/>
      <c r="BL1861" s="78">
        <f t="shared" ca="1" si="3"/>
        <v>0</v>
      </c>
      <c r="BM1861" s="78"/>
      <c r="BN1861" s="78">
        <f t="shared" ca="1" si="4"/>
        <v>0</v>
      </c>
      <c r="BO1861" s="66"/>
      <c r="BP1861" s="66"/>
    </row>
    <row r="1862" spans="1:68" ht="13.2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>
        <f t="shared" ref="AP1862:AQ1862" si="1855">AR1862+AT1862+AV1862</f>
        <v>0</v>
      </c>
      <c r="AQ1862" s="75">
        <f t="shared" si="1855"/>
        <v>0</v>
      </c>
      <c r="AR1862" s="75"/>
      <c r="AS1862" s="75"/>
      <c r="AT1862" s="75"/>
      <c r="AU1862" s="75"/>
      <c r="AV1862" s="75"/>
      <c r="AW1862" s="75"/>
      <c r="AX1862" s="75"/>
      <c r="AY1862" s="67">
        <f t="shared" ca="1" si="1"/>
        <v>0</v>
      </c>
      <c r="AZ1862" s="75"/>
      <c r="BA1862" s="67">
        <f t="shared" ca="1" si="2"/>
        <v>0</v>
      </c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8"/>
      <c r="BL1862" s="78">
        <f t="shared" ca="1" si="3"/>
        <v>0</v>
      </c>
      <c r="BM1862" s="78"/>
      <c r="BN1862" s="78">
        <f t="shared" ca="1" si="4"/>
        <v>0</v>
      </c>
      <c r="BO1862" s="66"/>
      <c r="BP1862" s="66"/>
    </row>
    <row r="1863" spans="1:68" ht="13.2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>
        <f t="shared" ref="AP1863:AQ1863" si="1856">AR1863+AT1863+AV1863</f>
        <v>0</v>
      </c>
      <c r="AQ1863" s="75">
        <f t="shared" si="1856"/>
        <v>0</v>
      </c>
      <c r="AR1863" s="75"/>
      <c r="AS1863" s="75"/>
      <c r="AT1863" s="75"/>
      <c r="AU1863" s="75"/>
      <c r="AV1863" s="75"/>
      <c r="AW1863" s="75"/>
      <c r="AX1863" s="75"/>
      <c r="AY1863" s="67">
        <f t="shared" ca="1" si="1"/>
        <v>0</v>
      </c>
      <c r="AZ1863" s="75"/>
      <c r="BA1863" s="67">
        <f t="shared" ca="1" si="2"/>
        <v>0</v>
      </c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8"/>
      <c r="BL1863" s="78">
        <f t="shared" ca="1" si="3"/>
        <v>0</v>
      </c>
      <c r="BM1863" s="78"/>
      <c r="BN1863" s="78">
        <f t="shared" ca="1" si="4"/>
        <v>0</v>
      </c>
      <c r="BO1863" s="66"/>
      <c r="BP1863" s="66"/>
    </row>
    <row r="1864" spans="1:68" ht="13.2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>
        <f t="shared" ref="AP1864:AQ1864" si="1857">AR1864+AT1864+AV1864</f>
        <v>0</v>
      </c>
      <c r="AQ1864" s="75">
        <f t="shared" si="1857"/>
        <v>0</v>
      </c>
      <c r="AR1864" s="75"/>
      <c r="AS1864" s="75"/>
      <c r="AT1864" s="75"/>
      <c r="AU1864" s="75"/>
      <c r="AV1864" s="75"/>
      <c r="AW1864" s="75"/>
      <c r="AX1864" s="75"/>
      <c r="AY1864" s="67">
        <f t="shared" ca="1" si="1"/>
        <v>0</v>
      </c>
      <c r="AZ1864" s="75"/>
      <c r="BA1864" s="67">
        <f t="shared" ca="1" si="2"/>
        <v>0</v>
      </c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8"/>
      <c r="BL1864" s="78">
        <f t="shared" ca="1" si="3"/>
        <v>0</v>
      </c>
      <c r="BM1864" s="78"/>
      <c r="BN1864" s="78">
        <f t="shared" ca="1" si="4"/>
        <v>0</v>
      </c>
      <c r="BO1864" s="66"/>
      <c r="BP1864" s="66"/>
    </row>
    <row r="1865" spans="1:68" ht="13.2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>
        <f t="shared" ref="AP1865:AQ1865" si="1858">AR1865+AT1865+AV1865</f>
        <v>0</v>
      </c>
      <c r="AQ1865" s="75">
        <f t="shared" si="1858"/>
        <v>0</v>
      </c>
      <c r="AR1865" s="75"/>
      <c r="AS1865" s="75"/>
      <c r="AT1865" s="75"/>
      <c r="AU1865" s="75"/>
      <c r="AV1865" s="75"/>
      <c r="AW1865" s="75"/>
      <c r="AX1865" s="75"/>
      <c r="AY1865" s="67">
        <f t="shared" ca="1" si="1"/>
        <v>0</v>
      </c>
      <c r="AZ1865" s="75"/>
      <c r="BA1865" s="67">
        <f t="shared" ca="1" si="2"/>
        <v>0</v>
      </c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8"/>
      <c r="BL1865" s="78">
        <f t="shared" ca="1" si="3"/>
        <v>0</v>
      </c>
      <c r="BM1865" s="78"/>
      <c r="BN1865" s="78">
        <f t="shared" ca="1" si="4"/>
        <v>0</v>
      </c>
      <c r="BO1865" s="66"/>
      <c r="BP1865" s="66"/>
    </row>
    <row r="1866" spans="1:68" ht="13.2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>
        <f t="shared" ref="AP1866:AQ1866" si="1859">AR1866+AT1866+AV1866</f>
        <v>0</v>
      </c>
      <c r="AQ1866" s="75">
        <f t="shared" si="1859"/>
        <v>0</v>
      </c>
      <c r="AR1866" s="75"/>
      <c r="AS1866" s="75"/>
      <c r="AT1866" s="75"/>
      <c r="AU1866" s="75"/>
      <c r="AV1866" s="75"/>
      <c r="AW1866" s="75"/>
      <c r="AX1866" s="75"/>
      <c r="AY1866" s="67">
        <f t="shared" ca="1" si="1"/>
        <v>0</v>
      </c>
      <c r="AZ1866" s="75"/>
      <c r="BA1866" s="67">
        <f t="shared" ca="1" si="2"/>
        <v>0</v>
      </c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8"/>
      <c r="BL1866" s="78">
        <f t="shared" ca="1" si="3"/>
        <v>0</v>
      </c>
      <c r="BM1866" s="78"/>
      <c r="BN1866" s="78">
        <f t="shared" ca="1" si="4"/>
        <v>0</v>
      </c>
      <c r="BO1866" s="66"/>
      <c r="BP1866" s="66"/>
    </row>
    <row r="1867" spans="1:68" ht="13.2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>
        <f t="shared" ref="AP1867:AQ1867" si="1860">AR1867+AT1867+AV1867</f>
        <v>0</v>
      </c>
      <c r="AQ1867" s="75">
        <f t="shared" si="1860"/>
        <v>0</v>
      </c>
      <c r="AR1867" s="75"/>
      <c r="AS1867" s="75"/>
      <c r="AT1867" s="75"/>
      <c r="AU1867" s="75"/>
      <c r="AV1867" s="75"/>
      <c r="AW1867" s="75"/>
      <c r="AX1867" s="75"/>
      <c r="AY1867" s="67">
        <f t="shared" ca="1" si="1"/>
        <v>0</v>
      </c>
      <c r="AZ1867" s="75"/>
      <c r="BA1867" s="67">
        <f t="shared" ca="1" si="2"/>
        <v>0</v>
      </c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8"/>
      <c r="BL1867" s="78">
        <f t="shared" ca="1" si="3"/>
        <v>0</v>
      </c>
      <c r="BM1867" s="78"/>
      <c r="BN1867" s="78">
        <f t="shared" ca="1" si="4"/>
        <v>0</v>
      </c>
      <c r="BO1867" s="66"/>
      <c r="BP1867" s="66"/>
    </row>
    <row r="1868" spans="1:68" ht="13.2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>
        <f t="shared" ref="AP1868:AQ1868" si="1861">AR1868+AT1868+AV1868</f>
        <v>0</v>
      </c>
      <c r="AQ1868" s="75">
        <f t="shared" si="1861"/>
        <v>0</v>
      </c>
      <c r="AR1868" s="75"/>
      <c r="AS1868" s="75"/>
      <c r="AT1868" s="75"/>
      <c r="AU1868" s="75"/>
      <c r="AV1868" s="75"/>
      <c r="AW1868" s="75"/>
      <c r="AX1868" s="75"/>
      <c r="AY1868" s="67">
        <f t="shared" ca="1" si="1"/>
        <v>0</v>
      </c>
      <c r="AZ1868" s="75"/>
      <c r="BA1868" s="67">
        <f t="shared" ca="1" si="2"/>
        <v>0</v>
      </c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8"/>
      <c r="BL1868" s="78">
        <f t="shared" ca="1" si="3"/>
        <v>0</v>
      </c>
      <c r="BM1868" s="78"/>
      <c r="BN1868" s="78">
        <f t="shared" ca="1" si="4"/>
        <v>0</v>
      </c>
      <c r="BO1868" s="66"/>
      <c r="BP1868" s="66"/>
    </row>
    <row r="1869" spans="1:68" ht="13.2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>
        <f t="shared" ref="AP1869:AQ1869" si="1862">AR1869+AT1869+AV1869</f>
        <v>0</v>
      </c>
      <c r="AQ1869" s="75">
        <f t="shared" si="1862"/>
        <v>0</v>
      </c>
      <c r="AR1869" s="75"/>
      <c r="AS1869" s="75"/>
      <c r="AT1869" s="75"/>
      <c r="AU1869" s="75"/>
      <c r="AV1869" s="75"/>
      <c r="AW1869" s="75"/>
      <c r="AX1869" s="75"/>
      <c r="AY1869" s="67">
        <f t="shared" ca="1" si="1"/>
        <v>0</v>
      </c>
      <c r="AZ1869" s="75"/>
      <c r="BA1869" s="67">
        <f t="shared" ca="1" si="2"/>
        <v>0</v>
      </c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8"/>
      <c r="BL1869" s="78">
        <f t="shared" ca="1" si="3"/>
        <v>0</v>
      </c>
      <c r="BM1869" s="78"/>
      <c r="BN1869" s="78">
        <f t="shared" ca="1" si="4"/>
        <v>0</v>
      </c>
      <c r="BO1869" s="66"/>
      <c r="BP1869" s="66"/>
    </row>
    <row r="1870" spans="1:68" ht="13.2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>
        <f t="shared" ref="AP1870:AQ1870" si="1863">AR1870+AT1870+AV1870</f>
        <v>0</v>
      </c>
      <c r="AQ1870" s="75">
        <f t="shared" si="1863"/>
        <v>0</v>
      </c>
      <c r="AR1870" s="75"/>
      <c r="AS1870" s="75"/>
      <c r="AT1870" s="75"/>
      <c r="AU1870" s="75"/>
      <c r="AV1870" s="75"/>
      <c r="AW1870" s="75"/>
      <c r="AX1870" s="75"/>
      <c r="AY1870" s="67">
        <f t="shared" ca="1" si="1"/>
        <v>0</v>
      </c>
      <c r="AZ1870" s="75"/>
      <c r="BA1870" s="67">
        <f t="shared" ca="1" si="2"/>
        <v>0</v>
      </c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8"/>
      <c r="BL1870" s="78">
        <f t="shared" ca="1" si="3"/>
        <v>0</v>
      </c>
      <c r="BM1870" s="78"/>
      <c r="BN1870" s="78">
        <f t="shared" ca="1" si="4"/>
        <v>0</v>
      </c>
      <c r="BO1870" s="66"/>
      <c r="BP1870" s="66"/>
    </row>
    <row r="1871" spans="1:68" ht="13.2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>
        <f t="shared" ref="AP1871:AQ1871" si="1864">AR1871+AT1871+AV1871</f>
        <v>0</v>
      </c>
      <c r="AQ1871" s="75">
        <f t="shared" si="1864"/>
        <v>0</v>
      </c>
      <c r="AR1871" s="75"/>
      <c r="AS1871" s="75"/>
      <c r="AT1871" s="75"/>
      <c r="AU1871" s="75"/>
      <c r="AV1871" s="75"/>
      <c r="AW1871" s="75"/>
      <c r="AX1871" s="75"/>
      <c r="AY1871" s="67">
        <f t="shared" ca="1" si="1"/>
        <v>0</v>
      </c>
      <c r="AZ1871" s="75"/>
      <c r="BA1871" s="67">
        <f t="shared" ca="1" si="2"/>
        <v>0</v>
      </c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8"/>
      <c r="BL1871" s="78">
        <f t="shared" ca="1" si="3"/>
        <v>0</v>
      </c>
      <c r="BM1871" s="78"/>
      <c r="BN1871" s="78">
        <f t="shared" ca="1" si="4"/>
        <v>0</v>
      </c>
      <c r="BO1871" s="66"/>
      <c r="BP1871" s="66"/>
    </row>
    <row r="1872" spans="1:68" ht="13.2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>
        <f t="shared" ref="AP1872:AQ1872" si="1865">AR1872+AT1872+AV1872</f>
        <v>0</v>
      </c>
      <c r="AQ1872" s="75">
        <f t="shared" si="1865"/>
        <v>0</v>
      </c>
      <c r="AR1872" s="75"/>
      <c r="AS1872" s="75"/>
      <c r="AT1872" s="75"/>
      <c r="AU1872" s="75"/>
      <c r="AV1872" s="75"/>
      <c r="AW1872" s="75"/>
      <c r="AX1872" s="75"/>
      <c r="AY1872" s="67">
        <f t="shared" ca="1" si="1"/>
        <v>0</v>
      </c>
      <c r="AZ1872" s="75"/>
      <c r="BA1872" s="67">
        <f t="shared" ca="1" si="2"/>
        <v>0</v>
      </c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8"/>
      <c r="BL1872" s="78">
        <f t="shared" ca="1" si="3"/>
        <v>0</v>
      </c>
      <c r="BM1872" s="78"/>
      <c r="BN1872" s="78">
        <f t="shared" ca="1" si="4"/>
        <v>0</v>
      </c>
      <c r="BO1872" s="66"/>
      <c r="BP1872" s="66"/>
    </row>
    <row r="1873" spans="1:68" ht="13.2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>
        <f t="shared" ref="AP1873:AQ1873" si="1866">AR1873+AT1873+AV1873</f>
        <v>0</v>
      </c>
      <c r="AQ1873" s="75">
        <f t="shared" si="1866"/>
        <v>0</v>
      </c>
      <c r="AR1873" s="75"/>
      <c r="AS1873" s="75"/>
      <c r="AT1873" s="75"/>
      <c r="AU1873" s="75"/>
      <c r="AV1873" s="75"/>
      <c r="AW1873" s="75"/>
      <c r="AX1873" s="75"/>
      <c r="AY1873" s="67">
        <f t="shared" ca="1" si="1"/>
        <v>0</v>
      </c>
      <c r="AZ1873" s="75"/>
      <c r="BA1873" s="67">
        <f t="shared" ca="1" si="2"/>
        <v>0</v>
      </c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8"/>
      <c r="BL1873" s="78">
        <f t="shared" ca="1" si="3"/>
        <v>0</v>
      </c>
      <c r="BM1873" s="78"/>
      <c r="BN1873" s="78">
        <f t="shared" ca="1" si="4"/>
        <v>0</v>
      </c>
      <c r="BO1873" s="66"/>
      <c r="BP1873" s="66"/>
    </row>
    <row r="1874" spans="1:68" ht="13.2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>
        <f t="shared" ref="AP1874:AQ1874" si="1867">AR1874+AT1874+AV1874</f>
        <v>0</v>
      </c>
      <c r="AQ1874" s="75">
        <f t="shared" si="1867"/>
        <v>0</v>
      </c>
      <c r="AR1874" s="75"/>
      <c r="AS1874" s="75"/>
      <c r="AT1874" s="75"/>
      <c r="AU1874" s="75"/>
      <c r="AV1874" s="75"/>
      <c r="AW1874" s="75"/>
      <c r="AX1874" s="75"/>
      <c r="AY1874" s="67">
        <f t="shared" ca="1" si="1"/>
        <v>0</v>
      </c>
      <c r="AZ1874" s="75"/>
      <c r="BA1874" s="67">
        <f t="shared" ca="1" si="2"/>
        <v>0</v>
      </c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8"/>
      <c r="BL1874" s="78">
        <f t="shared" ca="1" si="3"/>
        <v>0</v>
      </c>
      <c r="BM1874" s="78"/>
      <c r="BN1874" s="78">
        <f t="shared" ca="1" si="4"/>
        <v>0</v>
      </c>
      <c r="BO1874" s="66"/>
      <c r="BP1874" s="66"/>
    </row>
    <row r="1875" spans="1:68" ht="13.2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>
        <f t="shared" ref="AP1875:AQ1875" si="1868">AR1875+AT1875+AV1875</f>
        <v>0</v>
      </c>
      <c r="AQ1875" s="75">
        <f t="shared" si="1868"/>
        <v>0</v>
      </c>
      <c r="AR1875" s="75"/>
      <c r="AS1875" s="75"/>
      <c r="AT1875" s="75"/>
      <c r="AU1875" s="75"/>
      <c r="AV1875" s="75"/>
      <c r="AW1875" s="75"/>
      <c r="AX1875" s="75"/>
      <c r="AY1875" s="67">
        <f t="shared" ca="1" si="1"/>
        <v>0</v>
      </c>
      <c r="AZ1875" s="75"/>
      <c r="BA1875" s="67">
        <f t="shared" ca="1" si="2"/>
        <v>0</v>
      </c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8"/>
      <c r="BL1875" s="78">
        <f t="shared" ca="1" si="3"/>
        <v>0</v>
      </c>
      <c r="BM1875" s="78"/>
      <c r="BN1875" s="78">
        <f t="shared" ca="1" si="4"/>
        <v>0</v>
      </c>
      <c r="BO1875" s="66"/>
      <c r="BP1875" s="66"/>
    </row>
    <row r="1876" spans="1:68" ht="13.2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>
        <f t="shared" ref="AP1876:AQ1876" si="1869">AR1876+AT1876+AV1876</f>
        <v>0</v>
      </c>
      <c r="AQ1876" s="75">
        <f t="shared" si="1869"/>
        <v>0</v>
      </c>
      <c r="AR1876" s="75"/>
      <c r="AS1876" s="75"/>
      <c r="AT1876" s="75"/>
      <c r="AU1876" s="75"/>
      <c r="AV1876" s="75"/>
      <c r="AW1876" s="75"/>
      <c r="AX1876" s="75"/>
      <c r="AY1876" s="67">
        <f t="shared" ca="1" si="1"/>
        <v>0</v>
      </c>
      <c r="AZ1876" s="75"/>
      <c r="BA1876" s="67">
        <f t="shared" ca="1" si="2"/>
        <v>0</v>
      </c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8"/>
      <c r="BL1876" s="78">
        <f t="shared" ca="1" si="3"/>
        <v>0</v>
      </c>
      <c r="BM1876" s="78"/>
      <c r="BN1876" s="78">
        <f t="shared" ca="1" si="4"/>
        <v>0</v>
      </c>
      <c r="BO1876" s="66"/>
      <c r="BP1876" s="66"/>
    </row>
    <row r="1877" spans="1:68" ht="13.2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>
        <f t="shared" ref="AP1877:AQ1877" si="1870">AR1877+AT1877+AV1877</f>
        <v>0</v>
      </c>
      <c r="AQ1877" s="75">
        <f t="shared" si="1870"/>
        <v>0</v>
      </c>
      <c r="AR1877" s="75"/>
      <c r="AS1877" s="75"/>
      <c r="AT1877" s="75"/>
      <c r="AU1877" s="75"/>
      <c r="AV1877" s="75"/>
      <c r="AW1877" s="75"/>
      <c r="AX1877" s="75"/>
      <c r="AY1877" s="67">
        <f t="shared" ca="1" si="1"/>
        <v>0</v>
      </c>
      <c r="AZ1877" s="75"/>
      <c r="BA1877" s="67">
        <f t="shared" ca="1" si="2"/>
        <v>0</v>
      </c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8"/>
      <c r="BL1877" s="78">
        <f t="shared" ca="1" si="3"/>
        <v>0</v>
      </c>
      <c r="BM1877" s="78"/>
      <c r="BN1877" s="78">
        <f t="shared" ca="1" si="4"/>
        <v>0</v>
      </c>
      <c r="BO1877" s="66"/>
      <c r="BP1877" s="66"/>
    </row>
    <row r="1878" spans="1:68" ht="13.2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>
        <f t="shared" ref="AP1878:AQ1878" si="1871">AR1878+AT1878+AV1878</f>
        <v>0</v>
      </c>
      <c r="AQ1878" s="75">
        <f t="shared" si="1871"/>
        <v>0</v>
      </c>
      <c r="AR1878" s="75"/>
      <c r="AS1878" s="75"/>
      <c r="AT1878" s="75"/>
      <c r="AU1878" s="75"/>
      <c r="AV1878" s="75"/>
      <c r="AW1878" s="75"/>
      <c r="AX1878" s="75"/>
      <c r="AY1878" s="67">
        <f t="shared" ca="1" si="1"/>
        <v>0</v>
      </c>
      <c r="AZ1878" s="75"/>
      <c r="BA1878" s="67">
        <f t="shared" ca="1" si="2"/>
        <v>0</v>
      </c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8"/>
      <c r="BL1878" s="78">
        <f t="shared" ca="1" si="3"/>
        <v>0</v>
      </c>
      <c r="BM1878" s="78"/>
      <c r="BN1878" s="78">
        <f t="shared" ca="1" si="4"/>
        <v>0</v>
      </c>
      <c r="BO1878" s="66"/>
      <c r="BP1878" s="66"/>
    </row>
    <row r="1879" spans="1:68" ht="13.2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>
        <f t="shared" ref="AP1879:AQ1879" si="1872">AR1879+AT1879+AV1879</f>
        <v>0</v>
      </c>
      <c r="AQ1879" s="75">
        <f t="shared" si="1872"/>
        <v>0</v>
      </c>
      <c r="AR1879" s="75"/>
      <c r="AS1879" s="75"/>
      <c r="AT1879" s="75"/>
      <c r="AU1879" s="75"/>
      <c r="AV1879" s="75"/>
      <c r="AW1879" s="75"/>
      <c r="AX1879" s="75"/>
      <c r="AY1879" s="67">
        <f t="shared" ca="1" si="1"/>
        <v>0</v>
      </c>
      <c r="AZ1879" s="75"/>
      <c r="BA1879" s="67">
        <f t="shared" ca="1" si="2"/>
        <v>0</v>
      </c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8"/>
      <c r="BL1879" s="78">
        <f t="shared" ca="1" si="3"/>
        <v>0</v>
      </c>
      <c r="BM1879" s="78"/>
      <c r="BN1879" s="78">
        <f t="shared" ca="1" si="4"/>
        <v>0</v>
      </c>
      <c r="BO1879" s="66"/>
      <c r="BP1879" s="66"/>
    </row>
    <row r="1880" spans="1:68" ht="13.2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>
        <f t="shared" ref="AP1880:AQ1880" si="1873">AR1880+AT1880+AV1880</f>
        <v>0</v>
      </c>
      <c r="AQ1880" s="75">
        <f t="shared" si="1873"/>
        <v>0</v>
      </c>
      <c r="AR1880" s="75"/>
      <c r="AS1880" s="75"/>
      <c r="AT1880" s="75"/>
      <c r="AU1880" s="75"/>
      <c r="AV1880" s="75"/>
      <c r="AW1880" s="75"/>
      <c r="AX1880" s="75"/>
      <c r="AY1880" s="67">
        <f t="shared" ca="1" si="1"/>
        <v>0</v>
      </c>
      <c r="AZ1880" s="75"/>
      <c r="BA1880" s="67">
        <f t="shared" ca="1" si="2"/>
        <v>0</v>
      </c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8"/>
      <c r="BL1880" s="78">
        <f t="shared" ca="1" si="3"/>
        <v>0</v>
      </c>
      <c r="BM1880" s="78"/>
      <c r="BN1880" s="78">
        <f t="shared" ca="1" si="4"/>
        <v>0</v>
      </c>
      <c r="BO1880" s="66"/>
      <c r="BP1880" s="66"/>
    </row>
    <row r="1881" spans="1:68" ht="13.2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>
        <f t="shared" ref="AP1881:AQ1881" si="1874">AR1881+AT1881+AV1881</f>
        <v>0</v>
      </c>
      <c r="AQ1881" s="75">
        <f t="shared" si="1874"/>
        <v>0</v>
      </c>
      <c r="AR1881" s="75"/>
      <c r="AS1881" s="75"/>
      <c r="AT1881" s="75"/>
      <c r="AU1881" s="75"/>
      <c r="AV1881" s="75"/>
      <c r="AW1881" s="75"/>
      <c r="AX1881" s="75"/>
      <c r="AY1881" s="67">
        <f t="shared" ca="1" si="1"/>
        <v>0</v>
      </c>
      <c r="AZ1881" s="75"/>
      <c r="BA1881" s="67">
        <f t="shared" ca="1" si="2"/>
        <v>0</v>
      </c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8"/>
      <c r="BL1881" s="78">
        <f t="shared" ca="1" si="3"/>
        <v>0</v>
      </c>
      <c r="BM1881" s="78"/>
      <c r="BN1881" s="78">
        <f t="shared" ca="1" si="4"/>
        <v>0</v>
      </c>
      <c r="BO1881" s="66"/>
      <c r="BP1881" s="66"/>
    </row>
    <row r="1882" spans="1:68" ht="13.2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>
        <f t="shared" ref="AP1882:AQ1882" si="1875">AR1882+AT1882+AV1882</f>
        <v>0</v>
      </c>
      <c r="AQ1882" s="75">
        <f t="shared" si="1875"/>
        <v>0</v>
      </c>
      <c r="AR1882" s="75"/>
      <c r="AS1882" s="75"/>
      <c r="AT1882" s="75"/>
      <c r="AU1882" s="75"/>
      <c r="AV1882" s="75"/>
      <c r="AW1882" s="75"/>
      <c r="AX1882" s="75"/>
      <c r="AY1882" s="67">
        <f t="shared" ca="1" si="1"/>
        <v>0</v>
      </c>
      <c r="AZ1882" s="75"/>
      <c r="BA1882" s="67">
        <f t="shared" ca="1" si="2"/>
        <v>0</v>
      </c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8"/>
      <c r="BL1882" s="78">
        <f t="shared" ca="1" si="3"/>
        <v>0</v>
      </c>
      <c r="BM1882" s="78"/>
      <c r="BN1882" s="78">
        <f t="shared" ca="1" si="4"/>
        <v>0</v>
      </c>
      <c r="BO1882" s="66"/>
      <c r="BP1882" s="66"/>
    </row>
    <row r="1883" spans="1:68" ht="13.2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>
        <f t="shared" ref="AP1883:AQ1883" si="1876">AR1883+AT1883+AV1883</f>
        <v>0</v>
      </c>
      <c r="AQ1883" s="75">
        <f t="shared" si="1876"/>
        <v>0</v>
      </c>
      <c r="AR1883" s="75"/>
      <c r="AS1883" s="75"/>
      <c r="AT1883" s="75"/>
      <c r="AU1883" s="75"/>
      <c r="AV1883" s="75"/>
      <c r="AW1883" s="75"/>
      <c r="AX1883" s="75"/>
      <c r="AY1883" s="67">
        <f t="shared" ca="1" si="1"/>
        <v>0</v>
      </c>
      <c r="AZ1883" s="75"/>
      <c r="BA1883" s="67">
        <f t="shared" ca="1" si="2"/>
        <v>0</v>
      </c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8"/>
      <c r="BL1883" s="78">
        <f t="shared" ca="1" si="3"/>
        <v>0</v>
      </c>
      <c r="BM1883" s="78"/>
      <c r="BN1883" s="78">
        <f t="shared" ca="1" si="4"/>
        <v>0</v>
      </c>
      <c r="BO1883" s="66"/>
      <c r="BP1883" s="66"/>
    </row>
    <row r="1884" spans="1:68" ht="13.2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>
        <f t="shared" ref="AP1884:AQ1884" si="1877">AR1884+AT1884+AV1884</f>
        <v>0</v>
      </c>
      <c r="AQ1884" s="75">
        <f t="shared" si="1877"/>
        <v>0</v>
      </c>
      <c r="AR1884" s="75"/>
      <c r="AS1884" s="75"/>
      <c r="AT1884" s="75"/>
      <c r="AU1884" s="75"/>
      <c r="AV1884" s="75"/>
      <c r="AW1884" s="75"/>
      <c r="AX1884" s="75"/>
      <c r="AY1884" s="67">
        <f t="shared" ca="1" si="1"/>
        <v>0</v>
      </c>
      <c r="AZ1884" s="75"/>
      <c r="BA1884" s="67">
        <f t="shared" ca="1" si="2"/>
        <v>0</v>
      </c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8"/>
      <c r="BL1884" s="78">
        <f t="shared" ca="1" si="3"/>
        <v>0</v>
      </c>
      <c r="BM1884" s="78"/>
      <c r="BN1884" s="78">
        <f t="shared" ca="1" si="4"/>
        <v>0</v>
      </c>
      <c r="BO1884" s="66"/>
      <c r="BP1884" s="66"/>
    </row>
    <row r="1885" spans="1:68" ht="13.2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>
        <f t="shared" ref="AP1885:AQ1885" si="1878">AR1885+AT1885+AV1885</f>
        <v>0</v>
      </c>
      <c r="AQ1885" s="75">
        <f t="shared" si="1878"/>
        <v>0</v>
      </c>
      <c r="AR1885" s="75"/>
      <c r="AS1885" s="75"/>
      <c r="AT1885" s="75"/>
      <c r="AU1885" s="75"/>
      <c r="AV1885" s="75"/>
      <c r="AW1885" s="75"/>
      <c r="AX1885" s="75"/>
      <c r="AY1885" s="67">
        <f t="shared" ca="1" si="1"/>
        <v>0</v>
      </c>
      <c r="AZ1885" s="75"/>
      <c r="BA1885" s="67">
        <f t="shared" ca="1" si="2"/>
        <v>0</v>
      </c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8"/>
      <c r="BL1885" s="78">
        <f t="shared" ca="1" si="3"/>
        <v>0</v>
      </c>
      <c r="BM1885" s="78"/>
      <c r="BN1885" s="78">
        <f t="shared" ca="1" si="4"/>
        <v>0</v>
      </c>
      <c r="BO1885" s="66"/>
      <c r="BP1885" s="66"/>
    </row>
    <row r="1886" spans="1:68" ht="13.2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>
        <f t="shared" ref="AP1886:AQ1886" si="1879">AR1886+AT1886+AV1886</f>
        <v>0</v>
      </c>
      <c r="AQ1886" s="75">
        <f t="shared" si="1879"/>
        <v>0</v>
      </c>
      <c r="AR1886" s="75"/>
      <c r="AS1886" s="75"/>
      <c r="AT1886" s="75"/>
      <c r="AU1886" s="75"/>
      <c r="AV1886" s="75"/>
      <c r="AW1886" s="75"/>
      <c r="AX1886" s="75"/>
      <c r="AY1886" s="67">
        <f t="shared" ca="1" si="1"/>
        <v>0</v>
      </c>
      <c r="AZ1886" s="75"/>
      <c r="BA1886" s="67">
        <f t="shared" ca="1" si="2"/>
        <v>0</v>
      </c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8"/>
      <c r="BL1886" s="78">
        <f t="shared" ca="1" si="3"/>
        <v>0</v>
      </c>
      <c r="BM1886" s="78"/>
      <c r="BN1886" s="78">
        <f t="shared" ca="1" si="4"/>
        <v>0</v>
      </c>
      <c r="BO1886" s="66"/>
      <c r="BP1886" s="66"/>
    </row>
    <row r="1887" spans="1:68" ht="13.2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>
        <f t="shared" ref="AP1887:AQ1887" si="1880">AR1887+AT1887+AV1887</f>
        <v>0</v>
      </c>
      <c r="AQ1887" s="75">
        <f t="shared" si="1880"/>
        <v>0</v>
      </c>
      <c r="AR1887" s="75"/>
      <c r="AS1887" s="75"/>
      <c r="AT1887" s="75"/>
      <c r="AU1887" s="75"/>
      <c r="AV1887" s="75"/>
      <c r="AW1887" s="75"/>
      <c r="AX1887" s="75"/>
      <c r="AY1887" s="67">
        <f t="shared" ca="1" si="1"/>
        <v>0</v>
      </c>
      <c r="AZ1887" s="75"/>
      <c r="BA1887" s="67">
        <f t="shared" ca="1" si="2"/>
        <v>0</v>
      </c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8"/>
      <c r="BL1887" s="78">
        <f t="shared" ca="1" si="3"/>
        <v>0</v>
      </c>
      <c r="BM1887" s="78"/>
      <c r="BN1887" s="78">
        <f t="shared" ca="1" si="4"/>
        <v>0</v>
      </c>
      <c r="BO1887" s="66"/>
      <c r="BP1887" s="66"/>
    </row>
    <row r="1888" spans="1:68" ht="13.2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>
        <f t="shared" ref="AP1888:AQ1888" si="1881">AR1888+AT1888+AV1888</f>
        <v>0</v>
      </c>
      <c r="AQ1888" s="75">
        <f t="shared" si="1881"/>
        <v>0</v>
      </c>
      <c r="AR1888" s="75"/>
      <c r="AS1888" s="75"/>
      <c r="AT1888" s="75"/>
      <c r="AU1888" s="75"/>
      <c r="AV1888" s="75"/>
      <c r="AW1888" s="75"/>
      <c r="AX1888" s="75"/>
      <c r="AY1888" s="67">
        <f t="shared" ca="1" si="1"/>
        <v>0</v>
      </c>
      <c r="AZ1888" s="75"/>
      <c r="BA1888" s="67">
        <f t="shared" ca="1" si="2"/>
        <v>0</v>
      </c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8"/>
      <c r="BL1888" s="78">
        <f t="shared" ca="1" si="3"/>
        <v>0</v>
      </c>
      <c r="BM1888" s="78"/>
      <c r="BN1888" s="78">
        <f t="shared" ca="1" si="4"/>
        <v>0</v>
      </c>
      <c r="BO1888" s="66"/>
      <c r="BP1888" s="66"/>
    </row>
    <row r="1889" spans="1:68" ht="13.2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>
        <f t="shared" ref="AP1889:AQ1889" si="1882">AR1889+AT1889+AV1889</f>
        <v>0</v>
      </c>
      <c r="AQ1889" s="75">
        <f t="shared" si="1882"/>
        <v>0</v>
      </c>
      <c r="AR1889" s="75"/>
      <c r="AS1889" s="75"/>
      <c r="AT1889" s="75"/>
      <c r="AU1889" s="75"/>
      <c r="AV1889" s="75"/>
      <c r="AW1889" s="75"/>
      <c r="AX1889" s="75"/>
      <c r="AY1889" s="67">
        <f t="shared" ca="1" si="1"/>
        <v>0</v>
      </c>
      <c r="AZ1889" s="75"/>
      <c r="BA1889" s="67">
        <f t="shared" ca="1" si="2"/>
        <v>0</v>
      </c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8"/>
      <c r="BL1889" s="78">
        <f t="shared" ca="1" si="3"/>
        <v>0</v>
      </c>
      <c r="BM1889" s="78"/>
      <c r="BN1889" s="78">
        <f t="shared" ca="1" si="4"/>
        <v>0</v>
      </c>
      <c r="BO1889" s="66"/>
      <c r="BP1889" s="66"/>
    </row>
    <row r="1890" spans="1:68" ht="13.2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>
        <f t="shared" ref="AP1890:AQ1890" si="1883">AR1890+AT1890+AV1890</f>
        <v>0</v>
      </c>
      <c r="AQ1890" s="75">
        <f t="shared" si="1883"/>
        <v>0</v>
      </c>
      <c r="AR1890" s="75"/>
      <c r="AS1890" s="75"/>
      <c r="AT1890" s="75"/>
      <c r="AU1890" s="75"/>
      <c r="AV1890" s="75"/>
      <c r="AW1890" s="75"/>
      <c r="AX1890" s="75"/>
      <c r="AY1890" s="67">
        <f t="shared" ca="1" si="1"/>
        <v>0</v>
      </c>
      <c r="AZ1890" s="75"/>
      <c r="BA1890" s="67">
        <f t="shared" ca="1" si="2"/>
        <v>0</v>
      </c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8"/>
      <c r="BL1890" s="78">
        <f t="shared" ca="1" si="3"/>
        <v>0</v>
      </c>
      <c r="BM1890" s="78"/>
      <c r="BN1890" s="78">
        <f t="shared" ca="1" si="4"/>
        <v>0</v>
      </c>
      <c r="BO1890" s="66"/>
      <c r="BP1890" s="66"/>
    </row>
    <row r="1891" spans="1:68" ht="13.2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>
        <f t="shared" ref="AP1891:AQ1891" si="1884">AR1891+AT1891+AV1891</f>
        <v>0</v>
      </c>
      <c r="AQ1891" s="75">
        <f t="shared" si="1884"/>
        <v>0</v>
      </c>
      <c r="AR1891" s="75"/>
      <c r="AS1891" s="75"/>
      <c r="AT1891" s="75"/>
      <c r="AU1891" s="75"/>
      <c r="AV1891" s="75"/>
      <c r="AW1891" s="75"/>
      <c r="AX1891" s="75"/>
      <c r="AY1891" s="67">
        <f t="shared" ca="1" si="1"/>
        <v>0</v>
      </c>
      <c r="AZ1891" s="75"/>
      <c r="BA1891" s="67">
        <f t="shared" ca="1" si="2"/>
        <v>0</v>
      </c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8"/>
      <c r="BL1891" s="78">
        <f t="shared" ca="1" si="3"/>
        <v>0</v>
      </c>
      <c r="BM1891" s="78"/>
      <c r="BN1891" s="78">
        <f t="shared" ca="1" si="4"/>
        <v>0</v>
      </c>
      <c r="BO1891" s="66"/>
      <c r="BP1891" s="66"/>
    </row>
    <row r="1892" spans="1:68" ht="13.2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>
        <f t="shared" ref="AP1892:AQ1892" si="1885">AR1892+AT1892+AV1892</f>
        <v>0</v>
      </c>
      <c r="AQ1892" s="75">
        <f t="shared" si="1885"/>
        <v>0</v>
      </c>
      <c r="AR1892" s="75"/>
      <c r="AS1892" s="75"/>
      <c r="AT1892" s="75"/>
      <c r="AU1892" s="75"/>
      <c r="AV1892" s="75"/>
      <c r="AW1892" s="75"/>
      <c r="AX1892" s="75"/>
      <c r="AY1892" s="67">
        <f t="shared" ca="1" si="1"/>
        <v>0</v>
      </c>
      <c r="AZ1892" s="75"/>
      <c r="BA1892" s="67">
        <f t="shared" ca="1" si="2"/>
        <v>0</v>
      </c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8"/>
      <c r="BL1892" s="78">
        <f t="shared" ca="1" si="3"/>
        <v>0</v>
      </c>
      <c r="BM1892" s="78"/>
      <c r="BN1892" s="78">
        <f t="shared" ca="1" si="4"/>
        <v>0</v>
      </c>
      <c r="BO1892" s="66"/>
      <c r="BP1892" s="66"/>
    </row>
    <row r="1893" spans="1:68" ht="13.2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>
        <f t="shared" ref="AP1893:AQ1893" si="1886">AR1893+AT1893+AV1893</f>
        <v>0</v>
      </c>
      <c r="AQ1893" s="75">
        <f t="shared" si="1886"/>
        <v>0</v>
      </c>
      <c r="AR1893" s="75"/>
      <c r="AS1893" s="75"/>
      <c r="AT1893" s="75"/>
      <c r="AU1893" s="75"/>
      <c r="AV1893" s="75"/>
      <c r="AW1893" s="75"/>
      <c r="AX1893" s="75"/>
      <c r="AY1893" s="67">
        <f t="shared" ca="1" si="1"/>
        <v>0</v>
      </c>
      <c r="AZ1893" s="75"/>
      <c r="BA1893" s="67">
        <f t="shared" ca="1" si="2"/>
        <v>0</v>
      </c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8"/>
      <c r="BL1893" s="78">
        <f t="shared" ca="1" si="3"/>
        <v>0</v>
      </c>
      <c r="BM1893" s="78"/>
      <c r="BN1893" s="78">
        <f t="shared" ca="1" si="4"/>
        <v>0</v>
      </c>
      <c r="BO1893" s="66"/>
      <c r="BP1893" s="66"/>
    </row>
    <row r="1894" spans="1:68" ht="13.2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>
        <f t="shared" ref="AP1894:AQ1894" si="1887">AR1894+AT1894+AV1894</f>
        <v>0</v>
      </c>
      <c r="AQ1894" s="75">
        <f t="shared" si="1887"/>
        <v>0</v>
      </c>
      <c r="AR1894" s="75"/>
      <c r="AS1894" s="75"/>
      <c r="AT1894" s="75"/>
      <c r="AU1894" s="75"/>
      <c r="AV1894" s="75"/>
      <c r="AW1894" s="75"/>
      <c r="AX1894" s="75"/>
      <c r="AY1894" s="67">
        <f t="shared" ca="1" si="1"/>
        <v>0</v>
      </c>
      <c r="AZ1894" s="75"/>
      <c r="BA1894" s="67">
        <f t="shared" ca="1" si="2"/>
        <v>0</v>
      </c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8"/>
      <c r="BL1894" s="78">
        <f t="shared" ca="1" si="3"/>
        <v>0</v>
      </c>
      <c r="BM1894" s="78"/>
      <c r="BN1894" s="78">
        <f t="shared" ca="1" si="4"/>
        <v>0</v>
      </c>
      <c r="BO1894" s="66"/>
      <c r="BP1894" s="66"/>
    </row>
    <row r="1895" spans="1:68" ht="13.2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>
        <f t="shared" ref="AP1895:AQ1895" si="1888">AR1895+AT1895+AV1895</f>
        <v>0</v>
      </c>
      <c r="AQ1895" s="75">
        <f t="shared" si="1888"/>
        <v>0</v>
      </c>
      <c r="AR1895" s="75"/>
      <c r="AS1895" s="75"/>
      <c r="AT1895" s="75"/>
      <c r="AU1895" s="75"/>
      <c r="AV1895" s="75"/>
      <c r="AW1895" s="75"/>
      <c r="AX1895" s="75"/>
      <c r="AY1895" s="67">
        <f t="shared" ca="1" si="1"/>
        <v>0</v>
      </c>
      <c r="AZ1895" s="75"/>
      <c r="BA1895" s="67">
        <f t="shared" ca="1" si="2"/>
        <v>0</v>
      </c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8"/>
      <c r="BL1895" s="78">
        <f t="shared" ca="1" si="3"/>
        <v>0</v>
      </c>
      <c r="BM1895" s="78"/>
      <c r="BN1895" s="78">
        <f t="shared" ca="1" si="4"/>
        <v>0</v>
      </c>
      <c r="BO1895" s="66"/>
      <c r="BP1895" s="66"/>
    </row>
    <row r="1896" spans="1:68" ht="13.2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>
        <f t="shared" ref="AP1896:AQ1896" si="1889">AR1896+AT1896+AV1896</f>
        <v>0</v>
      </c>
      <c r="AQ1896" s="75">
        <f t="shared" si="1889"/>
        <v>0</v>
      </c>
      <c r="AR1896" s="75"/>
      <c r="AS1896" s="75"/>
      <c r="AT1896" s="75"/>
      <c r="AU1896" s="75"/>
      <c r="AV1896" s="75"/>
      <c r="AW1896" s="75"/>
      <c r="AX1896" s="75"/>
      <c r="AY1896" s="67">
        <f t="shared" ca="1" si="1"/>
        <v>0</v>
      </c>
      <c r="AZ1896" s="75"/>
      <c r="BA1896" s="67">
        <f t="shared" ca="1" si="2"/>
        <v>0</v>
      </c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8"/>
      <c r="BL1896" s="78">
        <f t="shared" ca="1" si="3"/>
        <v>0</v>
      </c>
      <c r="BM1896" s="78"/>
      <c r="BN1896" s="78">
        <f t="shared" ca="1" si="4"/>
        <v>0</v>
      </c>
      <c r="BO1896" s="66"/>
      <c r="BP1896" s="66"/>
    </row>
    <row r="1897" spans="1:68" ht="13.2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>
        <f t="shared" ref="AP1897:AQ1897" si="1890">AR1897+AT1897+AV1897</f>
        <v>0</v>
      </c>
      <c r="AQ1897" s="75">
        <f t="shared" si="1890"/>
        <v>0</v>
      </c>
      <c r="AR1897" s="75"/>
      <c r="AS1897" s="75"/>
      <c r="AT1897" s="75"/>
      <c r="AU1897" s="75"/>
      <c r="AV1897" s="75"/>
      <c r="AW1897" s="75"/>
      <c r="AX1897" s="75"/>
      <c r="AY1897" s="67">
        <f t="shared" ca="1" si="1"/>
        <v>0</v>
      </c>
      <c r="AZ1897" s="75"/>
      <c r="BA1897" s="67">
        <f t="shared" ca="1" si="2"/>
        <v>0</v>
      </c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8"/>
      <c r="BL1897" s="78">
        <f t="shared" ca="1" si="3"/>
        <v>0</v>
      </c>
      <c r="BM1897" s="78"/>
      <c r="BN1897" s="78">
        <f t="shared" ca="1" si="4"/>
        <v>0</v>
      </c>
      <c r="BO1897" s="66"/>
      <c r="BP1897" s="66"/>
    </row>
    <row r="1898" spans="1:68" ht="13.2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>
        <f t="shared" ref="AP1898:AQ1898" si="1891">AR1898+AT1898+AV1898</f>
        <v>0</v>
      </c>
      <c r="AQ1898" s="75">
        <f t="shared" si="1891"/>
        <v>0</v>
      </c>
      <c r="AR1898" s="75"/>
      <c r="AS1898" s="75"/>
      <c r="AT1898" s="75"/>
      <c r="AU1898" s="75"/>
      <c r="AV1898" s="75"/>
      <c r="AW1898" s="75"/>
      <c r="AX1898" s="75"/>
      <c r="AY1898" s="67">
        <f t="shared" ca="1" si="1"/>
        <v>0</v>
      </c>
      <c r="AZ1898" s="75"/>
      <c r="BA1898" s="67">
        <f t="shared" ca="1" si="2"/>
        <v>0</v>
      </c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8"/>
      <c r="BL1898" s="78">
        <f t="shared" ca="1" si="3"/>
        <v>0</v>
      </c>
      <c r="BM1898" s="78"/>
      <c r="BN1898" s="78">
        <f t="shared" ca="1" si="4"/>
        <v>0</v>
      </c>
      <c r="BO1898" s="66"/>
      <c r="BP1898" s="66"/>
    </row>
    <row r="1899" spans="1:68" ht="13.2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>
        <f t="shared" ref="AP1899:AQ1899" si="1892">AR1899+AT1899+AV1899</f>
        <v>0</v>
      </c>
      <c r="AQ1899" s="75">
        <f t="shared" si="1892"/>
        <v>0</v>
      </c>
      <c r="AR1899" s="75"/>
      <c r="AS1899" s="75"/>
      <c r="AT1899" s="75"/>
      <c r="AU1899" s="75"/>
      <c r="AV1899" s="75"/>
      <c r="AW1899" s="75"/>
      <c r="AX1899" s="75"/>
      <c r="AY1899" s="67">
        <f t="shared" ca="1" si="1"/>
        <v>0</v>
      </c>
      <c r="AZ1899" s="75"/>
      <c r="BA1899" s="67">
        <f t="shared" ca="1" si="2"/>
        <v>0</v>
      </c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8"/>
      <c r="BL1899" s="78">
        <f t="shared" ca="1" si="3"/>
        <v>0</v>
      </c>
      <c r="BM1899" s="78"/>
      <c r="BN1899" s="78">
        <f t="shared" ca="1" si="4"/>
        <v>0</v>
      </c>
      <c r="BO1899" s="66"/>
      <c r="BP1899" s="66"/>
    </row>
    <row r="1900" spans="1:68" ht="13.2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>
        <f t="shared" ref="AP1900:AQ1900" si="1893">AR1900+AT1900+AV1900</f>
        <v>0</v>
      </c>
      <c r="AQ1900" s="75">
        <f t="shared" si="1893"/>
        <v>0</v>
      </c>
      <c r="AR1900" s="75"/>
      <c r="AS1900" s="75"/>
      <c r="AT1900" s="75"/>
      <c r="AU1900" s="75"/>
      <c r="AV1900" s="75"/>
      <c r="AW1900" s="75"/>
      <c r="AX1900" s="75"/>
      <c r="AY1900" s="67">
        <f t="shared" ca="1" si="1"/>
        <v>0</v>
      </c>
      <c r="AZ1900" s="75"/>
      <c r="BA1900" s="67">
        <f t="shared" ca="1" si="2"/>
        <v>0</v>
      </c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8"/>
      <c r="BL1900" s="78">
        <f t="shared" ca="1" si="3"/>
        <v>0</v>
      </c>
      <c r="BM1900" s="78"/>
      <c r="BN1900" s="78">
        <f t="shared" ca="1" si="4"/>
        <v>0</v>
      </c>
      <c r="BO1900" s="66"/>
      <c r="BP1900" s="66"/>
    </row>
    <row r="1901" spans="1:68" ht="13.2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>
        <f t="shared" ref="AP1901:AQ1901" si="1894">AR1901+AT1901+AV1901</f>
        <v>0</v>
      </c>
      <c r="AQ1901" s="75">
        <f t="shared" si="1894"/>
        <v>0</v>
      </c>
      <c r="AR1901" s="75"/>
      <c r="AS1901" s="75"/>
      <c r="AT1901" s="75"/>
      <c r="AU1901" s="75"/>
      <c r="AV1901" s="75"/>
      <c r="AW1901" s="75"/>
      <c r="AX1901" s="75"/>
      <c r="AY1901" s="67">
        <f t="shared" ca="1" si="1"/>
        <v>0</v>
      </c>
      <c r="AZ1901" s="75"/>
      <c r="BA1901" s="67">
        <f t="shared" ca="1" si="2"/>
        <v>0</v>
      </c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8"/>
      <c r="BL1901" s="78">
        <f t="shared" ca="1" si="3"/>
        <v>0</v>
      </c>
      <c r="BM1901" s="78"/>
      <c r="BN1901" s="78">
        <f t="shared" ca="1" si="4"/>
        <v>0</v>
      </c>
      <c r="BO1901" s="66"/>
      <c r="BP1901" s="66"/>
    </row>
    <row r="1902" spans="1:68" ht="13.2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>
        <f t="shared" ref="AP1902:AQ1902" si="1895">AR1902+AT1902+AV1902</f>
        <v>0</v>
      </c>
      <c r="AQ1902" s="75">
        <f t="shared" si="1895"/>
        <v>0</v>
      </c>
      <c r="AR1902" s="75"/>
      <c r="AS1902" s="75"/>
      <c r="AT1902" s="75"/>
      <c r="AU1902" s="75"/>
      <c r="AV1902" s="75"/>
      <c r="AW1902" s="75"/>
      <c r="AX1902" s="75"/>
      <c r="AY1902" s="67">
        <f t="shared" ca="1" si="1"/>
        <v>0</v>
      </c>
      <c r="AZ1902" s="75"/>
      <c r="BA1902" s="67">
        <f t="shared" ca="1" si="2"/>
        <v>0</v>
      </c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8"/>
      <c r="BL1902" s="78">
        <f t="shared" ca="1" si="3"/>
        <v>0</v>
      </c>
      <c r="BM1902" s="78"/>
      <c r="BN1902" s="78">
        <f t="shared" ca="1" si="4"/>
        <v>0</v>
      </c>
      <c r="BO1902" s="66"/>
      <c r="BP1902" s="66"/>
    </row>
    <row r="1903" spans="1:68" ht="13.2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>
        <f t="shared" ref="AP1903:AQ1903" si="1896">AR1903+AT1903+AV1903</f>
        <v>0</v>
      </c>
      <c r="AQ1903" s="75">
        <f t="shared" si="1896"/>
        <v>0</v>
      </c>
      <c r="AR1903" s="75"/>
      <c r="AS1903" s="75"/>
      <c r="AT1903" s="75"/>
      <c r="AU1903" s="75"/>
      <c r="AV1903" s="75"/>
      <c r="AW1903" s="75"/>
      <c r="AX1903" s="75"/>
      <c r="AY1903" s="67">
        <f t="shared" ca="1" si="1"/>
        <v>0</v>
      </c>
      <c r="AZ1903" s="75"/>
      <c r="BA1903" s="67">
        <f t="shared" ca="1" si="2"/>
        <v>0</v>
      </c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8"/>
      <c r="BL1903" s="78">
        <f t="shared" ca="1" si="3"/>
        <v>0</v>
      </c>
      <c r="BM1903" s="78"/>
      <c r="BN1903" s="78">
        <f t="shared" ca="1" si="4"/>
        <v>0</v>
      </c>
      <c r="BO1903" s="66"/>
      <c r="BP1903" s="66"/>
    </row>
    <row r="1904" spans="1:68" ht="13.2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>
        <f t="shared" ref="AP1904:AQ1904" si="1897">AR1904+AT1904+AV1904</f>
        <v>0</v>
      </c>
      <c r="AQ1904" s="75">
        <f t="shared" si="1897"/>
        <v>0</v>
      </c>
      <c r="AR1904" s="75"/>
      <c r="AS1904" s="75"/>
      <c r="AT1904" s="75"/>
      <c r="AU1904" s="75"/>
      <c r="AV1904" s="75"/>
      <c r="AW1904" s="75"/>
      <c r="AX1904" s="75"/>
      <c r="AY1904" s="67">
        <f t="shared" ca="1" si="1"/>
        <v>0</v>
      </c>
      <c r="AZ1904" s="75"/>
      <c r="BA1904" s="67">
        <f t="shared" ca="1" si="2"/>
        <v>0</v>
      </c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8"/>
      <c r="BL1904" s="78">
        <f t="shared" ca="1" si="3"/>
        <v>0</v>
      </c>
      <c r="BM1904" s="78"/>
      <c r="BN1904" s="78">
        <f t="shared" ca="1" si="4"/>
        <v>0</v>
      </c>
      <c r="BO1904" s="66"/>
      <c r="BP1904" s="66"/>
    </row>
    <row r="1905" spans="1:68" ht="13.2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>
        <f t="shared" ref="AP1905:AQ1905" si="1898">AR1905+AT1905+AV1905</f>
        <v>0</v>
      </c>
      <c r="AQ1905" s="75">
        <f t="shared" si="1898"/>
        <v>0</v>
      </c>
      <c r="AR1905" s="75"/>
      <c r="AS1905" s="75"/>
      <c r="AT1905" s="75"/>
      <c r="AU1905" s="75"/>
      <c r="AV1905" s="75"/>
      <c r="AW1905" s="75"/>
      <c r="AX1905" s="75"/>
      <c r="AY1905" s="67">
        <f t="shared" ca="1" si="1"/>
        <v>0</v>
      </c>
      <c r="AZ1905" s="75"/>
      <c r="BA1905" s="67">
        <f t="shared" ca="1" si="2"/>
        <v>0</v>
      </c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8"/>
      <c r="BL1905" s="78">
        <f t="shared" ca="1" si="3"/>
        <v>0</v>
      </c>
      <c r="BM1905" s="78"/>
      <c r="BN1905" s="78">
        <f t="shared" ca="1" si="4"/>
        <v>0</v>
      </c>
      <c r="BO1905" s="66"/>
      <c r="BP1905" s="66"/>
    </row>
    <row r="1906" spans="1:68" ht="13.2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>
        <f t="shared" ref="AP1906:AQ1906" si="1899">AR1906+AT1906+AV1906</f>
        <v>0</v>
      </c>
      <c r="AQ1906" s="75">
        <f t="shared" si="1899"/>
        <v>0</v>
      </c>
      <c r="AR1906" s="75"/>
      <c r="AS1906" s="75"/>
      <c r="AT1906" s="75"/>
      <c r="AU1906" s="75"/>
      <c r="AV1906" s="75"/>
      <c r="AW1906" s="75"/>
      <c r="AX1906" s="75"/>
      <c r="AY1906" s="67">
        <f t="shared" ca="1" si="1"/>
        <v>0</v>
      </c>
      <c r="AZ1906" s="75"/>
      <c r="BA1906" s="67">
        <f t="shared" ca="1" si="2"/>
        <v>0</v>
      </c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8"/>
      <c r="BL1906" s="78">
        <f t="shared" ca="1" si="3"/>
        <v>0</v>
      </c>
      <c r="BM1906" s="78"/>
      <c r="BN1906" s="78">
        <f t="shared" ca="1" si="4"/>
        <v>0</v>
      </c>
      <c r="BO1906" s="66"/>
      <c r="BP1906" s="66"/>
    </row>
    <row r="1907" spans="1:68" ht="13.2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>
        <f t="shared" ref="AP1907:AQ1907" si="1900">AR1907+AT1907+AV1907</f>
        <v>0</v>
      </c>
      <c r="AQ1907" s="75">
        <f t="shared" si="1900"/>
        <v>0</v>
      </c>
      <c r="AR1907" s="75"/>
      <c r="AS1907" s="75"/>
      <c r="AT1907" s="75"/>
      <c r="AU1907" s="75"/>
      <c r="AV1907" s="75"/>
      <c r="AW1907" s="75"/>
      <c r="AX1907" s="75"/>
      <c r="AY1907" s="67">
        <f t="shared" ca="1" si="1"/>
        <v>0</v>
      </c>
      <c r="AZ1907" s="75"/>
      <c r="BA1907" s="67">
        <f t="shared" ca="1" si="2"/>
        <v>0</v>
      </c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8"/>
      <c r="BL1907" s="78">
        <f t="shared" ca="1" si="3"/>
        <v>0</v>
      </c>
      <c r="BM1907" s="78"/>
      <c r="BN1907" s="78">
        <f t="shared" ca="1" si="4"/>
        <v>0</v>
      </c>
      <c r="BO1907" s="66"/>
      <c r="BP1907" s="66"/>
    </row>
    <row r="1908" spans="1:68" ht="13.2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>
        <f t="shared" ref="AP1908:AQ1908" si="1901">AR1908+AT1908+AV1908</f>
        <v>0</v>
      </c>
      <c r="AQ1908" s="75">
        <f t="shared" si="1901"/>
        <v>0</v>
      </c>
      <c r="AR1908" s="75"/>
      <c r="AS1908" s="75"/>
      <c r="AT1908" s="75"/>
      <c r="AU1908" s="75"/>
      <c r="AV1908" s="75"/>
      <c r="AW1908" s="75"/>
      <c r="AX1908" s="75"/>
      <c r="AY1908" s="67">
        <f t="shared" ca="1" si="1"/>
        <v>0</v>
      </c>
      <c r="AZ1908" s="75"/>
      <c r="BA1908" s="67">
        <f t="shared" ca="1" si="2"/>
        <v>0</v>
      </c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8"/>
      <c r="BL1908" s="78">
        <f t="shared" ca="1" si="3"/>
        <v>0</v>
      </c>
      <c r="BM1908" s="78"/>
      <c r="BN1908" s="78">
        <f t="shared" ca="1" si="4"/>
        <v>0</v>
      </c>
      <c r="BO1908" s="66"/>
      <c r="BP1908" s="66"/>
    </row>
    <row r="1909" spans="1:68" ht="13.2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>
        <f t="shared" ref="AP1909:AQ1909" si="1902">AR1909+AT1909+AV1909</f>
        <v>0</v>
      </c>
      <c r="AQ1909" s="75">
        <f t="shared" si="1902"/>
        <v>0</v>
      </c>
      <c r="AR1909" s="75"/>
      <c r="AS1909" s="75"/>
      <c r="AT1909" s="75"/>
      <c r="AU1909" s="75"/>
      <c r="AV1909" s="75"/>
      <c r="AW1909" s="75"/>
      <c r="AX1909" s="75"/>
      <c r="AY1909" s="67">
        <f t="shared" ca="1" si="1"/>
        <v>0</v>
      </c>
      <c r="AZ1909" s="75"/>
      <c r="BA1909" s="67">
        <f t="shared" ca="1" si="2"/>
        <v>0</v>
      </c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8"/>
      <c r="BL1909" s="78">
        <f t="shared" ca="1" si="3"/>
        <v>0</v>
      </c>
      <c r="BM1909" s="78"/>
      <c r="BN1909" s="78">
        <f t="shared" ca="1" si="4"/>
        <v>0</v>
      </c>
      <c r="BO1909" s="66"/>
      <c r="BP1909" s="66"/>
    </row>
    <row r="1910" spans="1:68" ht="13.2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>
        <f t="shared" ref="AP1910:AQ1910" si="1903">AR1910+AT1910+AV1910</f>
        <v>0</v>
      </c>
      <c r="AQ1910" s="75">
        <f t="shared" si="1903"/>
        <v>0</v>
      </c>
      <c r="AR1910" s="75"/>
      <c r="AS1910" s="75"/>
      <c r="AT1910" s="75"/>
      <c r="AU1910" s="75"/>
      <c r="AV1910" s="75"/>
      <c r="AW1910" s="75"/>
      <c r="AX1910" s="75"/>
      <c r="AY1910" s="67">
        <f t="shared" ca="1" si="1"/>
        <v>0</v>
      </c>
      <c r="AZ1910" s="75"/>
      <c r="BA1910" s="67">
        <f t="shared" ca="1" si="2"/>
        <v>0</v>
      </c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8"/>
      <c r="BL1910" s="78">
        <f t="shared" ca="1" si="3"/>
        <v>0</v>
      </c>
      <c r="BM1910" s="78"/>
      <c r="BN1910" s="78">
        <f t="shared" ca="1" si="4"/>
        <v>0</v>
      </c>
      <c r="BO1910" s="66"/>
      <c r="BP1910" s="66"/>
    </row>
    <row r="1911" spans="1:68" ht="13.2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>
        <f t="shared" ref="AP1911:AQ1911" si="1904">AR1911+AT1911+AV1911</f>
        <v>0</v>
      </c>
      <c r="AQ1911" s="75">
        <f t="shared" si="1904"/>
        <v>0</v>
      </c>
      <c r="AR1911" s="75"/>
      <c r="AS1911" s="75"/>
      <c r="AT1911" s="75"/>
      <c r="AU1911" s="75"/>
      <c r="AV1911" s="75"/>
      <c r="AW1911" s="75"/>
      <c r="AX1911" s="75"/>
      <c r="AY1911" s="67">
        <f t="shared" ca="1" si="1"/>
        <v>0</v>
      </c>
      <c r="AZ1911" s="75"/>
      <c r="BA1911" s="67">
        <f t="shared" ca="1" si="2"/>
        <v>0</v>
      </c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8"/>
      <c r="BL1911" s="78">
        <f t="shared" ca="1" si="3"/>
        <v>0</v>
      </c>
      <c r="BM1911" s="78"/>
      <c r="BN1911" s="78">
        <f t="shared" ca="1" si="4"/>
        <v>0</v>
      </c>
      <c r="BO1911" s="66"/>
      <c r="BP1911" s="66"/>
    </row>
    <row r="1912" spans="1:68" ht="13.2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>
        <f t="shared" ref="AP1912:AQ1912" si="1905">AR1912+AT1912+AV1912</f>
        <v>0</v>
      </c>
      <c r="AQ1912" s="75">
        <f t="shared" si="1905"/>
        <v>0</v>
      </c>
      <c r="AR1912" s="75"/>
      <c r="AS1912" s="75"/>
      <c r="AT1912" s="75"/>
      <c r="AU1912" s="75"/>
      <c r="AV1912" s="75"/>
      <c r="AW1912" s="75"/>
      <c r="AX1912" s="75"/>
      <c r="AY1912" s="67">
        <f t="shared" ca="1" si="1"/>
        <v>0</v>
      </c>
      <c r="AZ1912" s="75"/>
      <c r="BA1912" s="67">
        <f t="shared" ca="1" si="2"/>
        <v>0</v>
      </c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8"/>
      <c r="BL1912" s="78">
        <f t="shared" ca="1" si="3"/>
        <v>0</v>
      </c>
      <c r="BM1912" s="78"/>
      <c r="BN1912" s="78">
        <f t="shared" ca="1" si="4"/>
        <v>0</v>
      </c>
      <c r="BO1912" s="66"/>
      <c r="BP1912" s="66"/>
    </row>
    <row r="1913" spans="1:68" ht="13.2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>
        <f t="shared" ref="AP1913:AQ1913" si="1906">AR1913+AT1913+AV1913</f>
        <v>0</v>
      </c>
      <c r="AQ1913" s="75">
        <f t="shared" si="1906"/>
        <v>0</v>
      </c>
      <c r="AR1913" s="75"/>
      <c r="AS1913" s="75"/>
      <c r="AT1913" s="75"/>
      <c r="AU1913" s="75"/>
      <c r="AV1913" s="75"/>
      <c r="AW1913" s="75"/>
      <c r="AX1913" s="75"/>
      <c r="AY1913" s="67">
        <f t="shared" ca="1" si="1"/>
        <v>0</v>
      </c>
      <c r="AZ1913" s="75"/>
      <c r="BA1913" s="67">
        <f t="shared" ca="1" si="2"/>
        <v>0</v>
      </c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8"/>
      <c r="BL1913" s="78">
        <f t="shared" ca="1" si="3"/>
        <v>0</v>
      </c>
      <c r="BM1913" s="78"/>
      <c r="BN1913" s="78">
        <f t="shared" ca="1" si="4"/>
        <v>0</v>
      </c>
      <c r="BO1913" s="66"/>
      <c r="BP1913" s="66"/>
    </row>
    <row r="1914" spans="1:68" ht="13.2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>
        <f t="shared" ref="AP1914:AQ1914" si="1907">AR1914+AT1914+AV1914</f>
        <v>0</v>
      </c>
      <c r="AQ1914" s="75">
        <f t="shared" si="1907"/>
        <v>0</v>
      </c>
      <c r="AR1914" s="75"/>
      <c r="AS1914" s="75"/>
      <c r="AT1914" s="75"/>
      <c r="AU1914" s="75"/>
      <c r="AV1914" s="75"/>
      <c r="AW1914" s="75"/>
      <c r="AX1914" s="75"/>
      <c r="AY1914" s="67">
        <f t="shared" ca="1" si="1"/>
        <v>0</v>
      </c>
      <c r="AZ1914" s="75"/>
      <c r="BA1914" s="67">
        <f t="shared" ca="1" si="2"/>
        <v>0</v>
      </c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8"/>
      <c r="BL1914" s="78">
        <f t="shared" ca="1" si="3"/>
        <v>0</v>
      </c>
      <c r="BM1914" s="78"/>
      <c r="BN1914" s="78">
        <f t="shared" ca="1" si="4"/>
        <v>0</v>
      </c>
      <c r="BO1914" s="66"/>
      <c r="BP1914" s="66"/>
    </row>
    <row r="1915" spans="1:68" ht="13.2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>
        <f t="shared" ref="AP1915:AQ1915" si="1908">AR1915+AT1915+AV1915</f>
        <v>0</v>
      </c>
      <c r="AQ1915" s="75">
        <f t="shared" si="1908"/>
        <v>0</v>
      </c>
      <c r="AR1915" s="75"/>
      <c r="AS1915" s="75"/>
      <c r="AT1915" s="75"/>
      <c r="AU1915" s="75"/>
      <c r="AV1915" s="75"/>
      <c r="AW1915" s="75"/>
      <c r="AX1915" s="75"/>
      <c r="AY1915" s="67">
        <f t="shared" ca="1" si="1"/>
        <v>0</v>
      </c>
      <c r="AZ1915" s="75"/>
      <c r="BA1915" s="67">
        <f t="shared" ca="1" si="2"/>
        <v>0</v>
      </c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8"/>
      <c r="BL1915" s="78">
        <f t="shared" ca="1" si="3"/>
        <v>0</v>
      </c>
      <c r="BM1915" s="78"/>
      <c r="BN1915" s="78">
        <f t="shared" ca="1" si="4"/>
        <v>0</v>
      </c>
      <c r="BO1915" s="66"/>
      <c r="BP1915" s="66"/>
    </row>
    <row r="1916" spans="1:68" ht="13.2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>
        <f t="shared" ref="AP1916:AQ1916" si="1909">AR1916+AT1916+AV1916</f>
        <v>0</v>
      </c>
      <c r="AQ1916" s="75">
        <f t="shared" si="1909"/>
        <v>0</v>
      </c>
      <c r="AR1916" s="75"/>
      <c r="AS1916" s="75"/>
      <c r="AT1916" s="75"/>
      <c r="AU1916" s="75"/>
      <c r="AV1916" s="75"/>
      <c r="AW1916" s="75"/>
      <c r="AX1916" s="75"/>
      <c r="AY1916" s="67">
        <f t="shared" ca="1" si="1"/>
        <v>0</v>
      </c>
      <c r="AZ1916" s="75"/>
      <c r="BA1916" s="67">
        <f t="shared" ca="1" si="2"/>
        <v>0</v>
      </c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8"/>
      <c r="BL1916" s="78">
        <f t="shared" ca="1" si="3"/>
        <v>0</v>
      </c>
      <c r="BM1916" s="78"/>
      <c r="BN1916" s="78">
        <f t="shared" ca="1" si="4"/>
        <v>0</v>
      </c>
      <c r="BO1916" s="66"/>
      <c r="BP1916" s="66"/>
    </row>
    <row r="1917" spans="1:68" ht="13.2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>
        <f t="shared" ref="AP1917:AQ1917" si="1910">AR1917+AT1917+AV1917</f>
        <v>0</v>
      </c>
      <c r="AQ1917" s="75">
        <f t="shared" si="1910"/>
        <v>0</v>
      </c>
      <c r="AR1917" s="75"/>
      <c r="AS1917" s="75"/>
      <c r="AT1917" s="75"/>
      <c r="AU1917" s="75"/>
      <c r="AV1917" s="75"/>
      <c r="AW1917" s="75"/>
      <c r="AX1917" s="75"/>
      <c r="AY1917" s="67">
        <f t="shared" ca="1" si="1"/>
        <v>0</v>
      </c>
      <c r="AZ1917" s="75"/>
      <c r="BA1917" s="67">
        <f t="shared" ca="1" si="2"/>
        <v>0</v>
      </c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8"/>
      <c r="BL1917" s="78">
        <f t="shared" ca="1" si="3"/>
        <v>0</v>
      </c>
      <c r="BM1917" s="78"/>
      <c r="BN1917" s="78">
        <f t="shared" ca="1" si="4"/>
        <v>0</v>
      </c>
      <c r="BO1917" s="66"/>
      <c r="BP1917" s="66"/>
    </row>
    <row r="1918" spans="1:68" ht="13.2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>
        <f t="shared" ref="AP1918:AQ1918" si="1911">AR1918+AT1918+AV1918</f>
        <v>0</v>
      </c>
      <c r="AQ1918" s="75">
        <f t="shared" si="1911"/>
        <v>0</v>
      </c>
      <c r="AR1918" s="75"/>
      <c r="AS1918" s="75"/>
      <c r="AT1918" s="75"/>
      <c r="AU1918" s="75"/>
      <c r="AV1918" s="75"/>
      <c r="AW1918" s="75"/>
      <c r="AX1918" s="75"/>
      <c r="AY1918" s="67">
        <f t="shared" ca="1" si="1"/>
        <v>0</v>
      </c>
      <c r="AZ1918" s="75"/>
      <c r="BA1918" s="67">
        <f t="shared" ca="1" si="2"/>
        <v>0</v>
      </c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8"/>
      <c r="BL1918" s="78">
        <f t="shared" ca="1" si="3"/>
        <v>0</v>
      </c>
      <c r="BM1918" s="78"/>
      <c r="BN1918" s="78">
        <f t="shared" ca="1" si="4"/>
        <v>0</v>
      </c>
      <c r="BO1918" s="66"/>
      <c r="BP1918" s="66"/>
    </row>
    <row r="1919" spans="1:68" ht="13.2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>
        <f t="shared" ref="AP1919:AQ1919" si="1912">AR1919+AT1919+AV1919</f>
        <v>0</v>
      </c>
      <c r="AQ1919" s="75">
        <f t="shared" si="1912"/>
        <v>0</v>
      </c>
      <c r="AR1919" s="75"/>
      <c r="AS1919" s="75"/>
      <c r="AT1919" s="75"/>
      <c r="AU1919" s="75"/>
      <c r="AV1919" s="75"/>
      <c r="AW1919" s="75"/>
      <c r="AX1919" s="75"/>
      <c r="AY1919" s="67">
        <f t="shared" ca="1" si="1"/>
        <v>0</v>
      </c>
      <c r="AZ1919" s="75"/>
      <c r="BA1919" s="67">
        <f t="shared" ca="1" si="2"/>
        <v>0</v>
      </c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8"/>
      <c r="BL1919" s="78">
        <f t="shared" ca="1" si="3"/>
        <v>0</v>
      </c>
      <c r="BM1919" s="78"/>
      <c r="BN1919" s="78">
        <f t="shared" ca="1" si="4"/>
        <v>0</v>
      </c>
      <c r="BO1919" s="66"/>
      <c r="BP1919" s="66"/>
    </row>
    <row r="1920" spans="1:68" ht="13.2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>
        <f t="shared" ref="AP1920:AQ1920" si="1913">AR1920+AT1920+AV1920</f>
        <v>0</v>
      </c>
      <c r="AQ1920" s="75">
        <f t="shared" si="1913"/>
        <v>0</v>
      </c>
      <c r="AR1920" s="75"/>
      <c r="AS1920" s="75"/>
      <c r="AT1920" s="75"/>
      <c r="AU1920" s="75"/>
      <c r="AV1920" s="75"/>
      <c r="AW1920" s="75"/>
      <c r="AX1920" s="75"/>
      <c r="AY1920" s="67">
        <f t="shared" ca="1" si="1"/>
        <v>0</v>
      </c>
      <c r="AZ1920" s="75"/>
      <c r="BA1920" s="67">
        <f t="shared" ca="1" si="2"/>
        <v>0</v>
      </c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8"/>
      <c r="BL1920" s="78">
        <f t="shared" ca="1" si="3"/>
        <v>0</v>
      </c>
      <c r="BM1920" s="78"/>
      <c r="BN1920" s="78">
        <f t="shared" ca="1" si="4"/>
        <v>0</v>
      </c>
      <c r="BO1920" s="66"/>
      <c r="BP1920" s="66"/>
    </row>
    <row r="1921" spans="1:68" ht="13.2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>
        <f t="shared" ref="AP1921:AQ1921" si="1914">AR1921+AT1921+AV1921</f>
        <v>0</v>
      </c>
      <c r="AQ1921" s="75">
        <f t="shared" si="1914"/>
        <v>0</v>
      </c>
      <c r="AR1921" s="75"/>
      <c r="AS1921" s="75"/>
      <c r="AT1921" s="75"/>
      <c r="AU1921" s="75"/>
      <c r="AV1921" s="75"/>
      <c r="AW1921" s="75"/>
      <c r="AX1921" s="75"/>
      <c r="AY1921" s="67">
        <f t="shared" ca="1" si="1"/>
        <v>0</v>
      </c>
      <c r="AZ1921" s="75"/>
      <c r="BA1921" s="67">
        <f t="shared" ca="1" si="2"/>
        <v>0</v>
      </c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8"/>
      <c r="BL1921" s="78">
        <f t="shared" ca="1" si="3"/>
        <v>0</v>
      </c>
      <c r="BM1921" s="78"/>
      <c r="BN1921" s="78">
        <f t="shared" ca="1" si="4"/>
        <v>0</v>
      </c>
      <c r="BO1921" s="66"/>
      <c r="BP1921" s="66"/>
    </row>
    <row r="1922" spans="1:68" ht="13.2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>
        <f t="shared" ref="AP1922:AQ1922" si="1915">AR1922+AT1922+AV1922</f>
        <v>0</v>
      </c>
      <c r="AQ1922" s="75">
        <f t="shared" si="1915"/>
        <v>0</v>
      </c>
      <c r="AR1922" s="75"/>
      <c r="AS1922" s="75"/>
      <c r="AT1922" s="75"/>
      <c r="AU1922" s="75"/>
      <c r="AV1922" s="75"/>
      <c r="AW1922" s="75"/>
      <c r="AX1922" s="75"/>
      <c r="AY1922" s="67">
        <f t="shared" ca="1" si="1"/>
        <v>0</v>
      </c>
      <c r="AZ1922" s="75"/>
      <c r="BA1922" s="67">
        <f t="shared" ca="1" si="2"/>
        <v>0</v>
      </c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8"/>
      <c r="BL1922" s="78">
        <f t="shared" ca="1" si="3"/>
        <v>0</v>
      </c>
      <c r="BM1922" s="78"/>
      <c r="BN1922" s="78">
        <f t="shared" ca="1" si="4"/>
        <v>0</v>
      </c>
      <c r="BO1922" s="66"/>
      <c r="BP1922" s="66"/>
    </row>
    <row r="1923" spans="1:68" ht="13.2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>
        <f t="shared" ref="AP1923:AQ1923" si="1916">AR1923+AT1923+AV1923</f>
        <v>0</v>
      </c>
      <c r="AQ1923" s="75">
        <f t="shared" si="1916"/>
        <v>0</v>
      </c>
      <c r="AR1923" s="75"/>
      <c r="AS1923" s="75"/>
      <c r="AT1923" s="75"/>
      <c r="AU1923" s="75"/>
      <c r="AV1923" s="75"/>
      <c r="AW1923" s="75"/>
      <c r="AX1923" s="75"/>
      <c r="AY1923" s="67">
        <f t="shared" ca="1" si="1"/>
        <v>0</v>
      </c>
      <c r="AZ1923" s="75"/>
      <c r="BA1923" s="67">
        <f t="shared" ca="1" si="2"/>
        <v>0</v>
      </c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8"/>
      <c r="BL1923" s="78">
        <f t="shared" ca="1" si="3"/>
        <v>0</v>
      </c>
      <c r="BM1923" s="78"/>
      <c r="BN1923" s="78">
        <f t="shared" ca="1" si="4"/>
        <v>0</v>
      </c>
      <c r="BO1923" s="66"/>
      <c r="BP1923" s="66"/>
    </row>
    <row r="1924" spans="1:68" ht="13.2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>
        <f t="shared" ref="AP1924:AQ1924" si="1917">AR1924+AT1924+AV1924</f>
        <v>0</v>
      </c>
      <c r="AQ1924" s="75">
        <f t="shared" si="1917"/>
        <v>0</v>
      </c>
      <c r="AR1924" s="75"/>
      <c r="AS1924" s="75"/>
      <c r="AT1924" s="75"/>
      <c r="AU1924" s="75"/>
      <c r="AV1924" s="75"/>
      <c r="AW1924" s="75"/>
      <c r="AX1924" s="75"/>
      <c r="AY1924" s="67">
        <f t="shared" ca="1" si="1"/>
        <v>0</v>
      </c>
      <c r="AZ1924" s="75"/>
      <c r="BA1924" s="67">
        <f t="shared" ca="1" si="2"/>
        <v>0</v>
      </c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8"/>
      <c r="BL1924" s="78">
        <f t="shared" ca="1" si="3"/>
        <v>0</v>
      </c>
      <c r="BM1924" s="78"/>
      <c r="BN1924" s="78">
        <f t="shared" ca="1" si="4"/>
        <v>0</v>
      </c>
      <c r="BO1924" s="66"/>
      <c r="BP1924" s="66"/>
    </row>
    <row r="1925" spans="1:68" ht="13.2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>
        <f t="shared" ref="AP1925:AQ1925" si="1918">AR1925+AT1925+AV1925</f>
        <v>0</v>
      </c>
      <c r="AQ1925" s="75">
        <f t="shared" si="1918"/>
        <v>0</v>
      </c>
      <c r="AR1925" s="75"/>
      <c r="AS1925" s="75"/>
      <c r="AT1925" s="75"/>
      <c r="AU1925" s="75"/>
      <c r="AV1925" s="75"/>
      <c r="AW1925" s="75"/>
      <c r="AX1925" s="75"/>
      <c r="AY1925" s="67">
        <f t="shared" ca="1" si="1"/>
        <v>0</v>
      </c>
      <c r="AZ1925" s="75"/>
      <c r="BA1925" s="67">
        <f t="shared" ca="1" si="2"/>
        <v>0</v>
      </c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8"/>
      <c r="BL1925" s="78">
        <f t="shared" ca="1" si="3"/>
        <v>0</v>
      </c>
      <c r="BM1925" s="78"/>
      <c r="BN1925" s="78">
        <f t="shared" ca="1" si="4"/>
        <v>0</v>
      </c>
      <c r="BO1925" s="66"/>
      <c r="BP1925" s="66"/>
    </row>
    <row r="1926" spans="1:68" ht="13.2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>
        <f t="shared" ref="AP1926:AQ1926" si="1919">AR1926+AT1926+AV1926</f>
        <v>0</v>
      </c>
      <c r="AQ1926" s="75">
        <f t="shared" si="1919"/>
        <v>0</v>
      </c>
      <c r="AR1926" s="75"/>
      <c r="AS1926" s="75"/>
      <c r="AT1926" s="75"/>
      <c r="AU1926" s="75"/>
      <c r="AV1926" s="75"/>
      <c r="AW1926" s="75"/>
      <c r="AX1926" s="75"/>
      <c r="AY1926" s="67">
        <f t="shared" ca="1" si="1"/>
        <v>0</v>
      </c>
      <c r="AZ1926" s="75"/>
      <c r="BA1926" s="67">
        <f t="shared" ca="1" si="2"/>
        <v>0</v>
      </c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8"/>
      <c r="BL1926" s="78">
        <f t="shared" ca="1" si="3"/>
        <v>0</v>
      </c>
      <c r="BM1926" s="78"/>
      <c r="BN1926" s="78">
        <f t="shared" ca="1" si="4"/>
        <v>0</v>
      </c>
      <c r="BO1926" s="66"/>
      <c r="BP1926" s="66"/>
    </row>
    <row r="1927" spans="1:68" ht="13.2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>
        <f t="shared" ref="AP1927:AQ1927" si="1920">AR1927+AT1927+AV1927</f>
        <v>0</v>
      </c>
      <c r="AQ1927" s="75">
        <f t="shared" si="1920"/>
        <v>0</v>
      </c>
      <c r="AR1927" s="75"/>
      <c r="AS1927" s="75"/>
      <c r="AT1927" s="75"/>
      <c r="AU1927" s="75"/>
      <c r="AV1927" s="75"/>
      <c r="AW1927" s="75"/>
      <c r="AX1927" s="75"/>
      <c r="AY1927" s="67">
        <f t="shared" ca="1" si="1"/>
        <v>0</v>
      </c>
      <c r="AZ1927" s="75"/>
      <c r="BA1927" s="67">
        <f t="shared" ca="1" si="2"/>
        <v>0</v>
      </c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8"/>
      <c r="BL1927" s="78">
        <f t="shared" ca="1" si="3"/>
        <v>0</v>
      </c>
      <c r="BM1927" s="78"/>
      <c r="BN1927" s="78">
        <f t="shared" ca="1" si="4"/>
        <v>0</v>
      </c>
      <c r="BO1927" s="66"/>
      <c r="BP1927" s="66"/>
    </row>
    <row r="1928" spans="1:68" ht="13.2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>
        <f t="shared" ref="AP1928:AQ1928" si="1921">AR1928+AT1928+AV1928</f>
        <v>0</v>
      </c>
      <c r="AQ1928" s="75">
        <f t="shared" si="1921"/>
        <v>0</v>
      </c>
      <c r="AR1928" s="75"/>
      <c r="AS1928" s="75"/>
      <c r="AT1928" s="75"/>
      <c r="AU1928" s="75"/>
      <c r="AV1928" s="75"/>
      <c r="AW1928" s="75"/>
      <c r="AX1928" s="75"/>
      <c r="AY1928" s="67">
        <f t="shared" ca="1" si="1"/>
        <v>0</v>
      </c>
      <c r="AZ1928" s="75"/>
      <c r="BA1928" s="67">
        <f t="shared" ca="1" si="2"/>
        <v>0</v>
      </c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8"/>
      <c r="BL1928" s="78">
        <f t="shared" ca="1" si="3"/>
        <v>0</v>
      </c>
      <c r="BM1928" s="78"/>
      <c r="BN1928" s="78">
        <f t="shared" ca="1" si="4"/>
        <v>0</v>
      </c>
      <c r="BO1928" s="66"/>
      <c r="BP1928" s="66"/>
    </row>
    <row r="1929" spans="1:68" ht="13.2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>
        <f t="shared" ref="AP1929:AQ1929" si="1922">AR1929+AT1929+AV1929</f>
        <v>0</v>
      </c>
      <c r="AQ1929" s="75">
        <f t="shared" si="1922"/>
        <v>0</v>
      </c>
      <c r="AR1929" s="75"/>
      <c r="AS1929" s="75"/>
      <c r="AT1929" s="75"/>
      <c r="AU1929" s="75"/>
      <c r="AV1929" s="75"/>
      <c r="AW1929" s="75"/>
      <c r="AX1929" s="75"/>
      <c r="AY1929" s="67">
        <f t="shared" ca="1" si="1"/>
        <v>0</v>
      </c>
      <c r="AZ1929" s="75"/>
      <c r="BA1929" s="67">
        <f t="shared" ca="1" si="2"/>
        <v>0</v>
      </c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8"/>
      <c r="BL1929" s="78">
        <f t="shared" ca="1" si="3"/>
        <v>0</v>
      </c>
      <c r="BM1929" s="78"/>
      <c r="BN1929" s="78">
        <f t="shared" ca="1" si="4"/>
        <v>0</v>
      </c>
      <c r="BO1929" s="66"/>
      <c r="BP1929" s="66"/>
    </row>
    <row r="1930" spans="1:68" ht="13.2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>
        <f t="shared" ref="AP1930:AQ1930" si="1923">AR1930+AT1930+AV1930</f>
        <v>0</v>
      </c>
      <c r="AQ1930" s="75">
        <f t="shared" si="1923"/>
        <v>0</v>
      </c>
      <c r="AR1930" s="75"/>
      <c r="AS1930" s="75"/>
      <c r="AT1930" s="75"/>
      <c r="AU1930" s="75"/>
      <c r="AV1930" s="75"/>
      <c r="AW1930" s="75"/>
      <c r="AX1930" s="75"/>
      <c r="AY1930" s="67">
        <f t="shared" ca="1" si="1"/>
        <v>0</v>
      </c>
      <c r="AZ1930" s="75"/>
      <c r="BA1930" s="67">
        <f t="shared" ca="1" si="2"/>
        <v>0</v>
      </c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8"/>
      <c r="BL1930" s="78">
        <f t="shared" ca="1" si="3"/>
        <v>0</v>
      </c>
      <c r="BM1930" s="78"/>
      <c r="BN1930" s="78">
        <f t="shared" ca="1" si="4"/>
        <v>0</v>
      </c>
      <c r="BO1930" s="66"/>
      <c r="BP1930" s="66"/>
    </row>
    <row r="1931" spans="1:68" ht="13.2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>
        <f t="shared" ref="AP1931:AQ1931" si="1924">AR1931+AT1931+AV1931</f>
        <v>0</v>
      </c>
      <c r="AQ1931" s="75">
        <f t="shared" si="1924"/>
        <v>0</v>
      </c>
      <c r="AR1931" s="75"/>
      <c r="AS1931" s="75"/>
      <c r="AT1931" s="75"/>
      <c r="AU1931" s="75"/>
      <c r="AV1931" s="75"/>
      <c r="AW1931" s="75"/>
      <c r="AX1931" s="75"/>
      <c r="AY1931" s="67">
        <f t="shared" ca="1" si="1"/>
        <v>0</v>
      </c>
      <c r="AZ1931" s="75"/>
      <c r="BA1931" s="67">
        <f t="shared" ca="1" si="2"/>
        <v>0</v>
      </c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8"/>
      <c r="BL1931" s="78">
        <f t="shared" ca="1" si="3"/>
        <v>0</v>
      </c>
      <c r="BM1931" s="78"/>
      <c r="BN1931" s="78">
        <f t="shared" ca="1" si="4"/>
        <v>0</v>
      </c>
      <c r="BO1931" s="66"/>
      <c r="BP1931" s="66"/>
    </row>
    <row r="1932" spans="1:68" ht="13.2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>
        <f t="shared" ref="AP1932:AQ1932" si="1925">AR1932+AT1932+AV1932</f>
        <v>0</v>
      </c>
      <c r="AQ1932" s="75">
        <f t="shared" si="1925"/>
        <v>0</v>
      </c>
      <c r="AR1932" s="75"/>
      <c r="AS1932" s="75"/>
      <c r="AT1932" s="75"/>
      <c r="AU1932" s="75"/>
      <c r="AV1932" s="75"/>
      <c r="AW1932" s="75"/>
      <c r="AX1932" s="75"/>
      <c r="AY1932" s="67">
        <f t="shared" ca="1" si="1"/>
        <v>0</v>
      </c>
      <c r="AZ1932" s="75"/>
      <c r="BA1932" s="67">
        <f t="shared" ca="1" si="2"/>
        <v>0</v>
      </c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8"/>
      <c r="BL1932" s="78">
        <f t="shared" ca="1" si="3"/>
        <v>0</v>
      </c>
      <c r="BM1932" s="78"/>
      <c r="BN1932" s="78">
        <f t="shared" ca="1" si="4"/>
        <v>0</v>
      </c>
      <c r="BO1932" s="66"/>
      <c r="BP1932" s="66"/>
    </row>
    <row r="1933" spans="1:68" ht="13.2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>
        <f t="shared" ref="AP1933:AQ1933" si="1926">AR1933+AT1933+AV1933</f>
        <v>0</v>
      </c>
      <c r="AQ1933" s="75">
        <f t="shared" si="1926"/>
        <v>0</v>
      </c>
      <c r="AR1933" s="75"/>
      <c r="AS1933" s="75"/>
      <c r="AT1933" s="75"/>
      <c r="AU1933" s="75"/>
      <c r="AV1933" s="75"/>
      <c r="AW1933" s="75"/>
      <c r="AX1933" s="75"/>
      <c r="AY1933" s="67">
        <f t="shared" ca="1" si="1"/>
        <v>0</v>
      </c>
      <c r="AZ1933" s="75"/>
      <c r="BA1933" s="67">
        <f t="shared" ca="1" si="2"/>
        <v>0</v>
      </c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8"/>
      <c r="BL1933" s="78">
        <f t="shared" ca="1" si="3"/>
        <v>0</v>
      </c>
      <c r="BM1933" s="78"/>
      <c r="BN1933" s="78">
        <f t="shared" ca="1" si="4"/>
        <v>0</v>
      </c>
      <c r="BO1933" s="66"/>
      <c r="BP1933" s="66"/>
    </row>
    <row r="1934" spans="1:68" ht="13.2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>
        <f t="shared" ref="AP1934:AQ1934" si="1927">AR1934+AT1934+AV1934</f>
        <v>0</v>
      </c>
      <c r="AQ1934" s="75">
        <f t="shared" si="1927"/>
        <v>0</v>
      </c>
      <c r="AR1934" s="75"/>
      <c r="AS1934" s="75"/>
      <c r="AT1934" s="75"/>
      <c r="AU1934" s="75"/>
      <c r="AV1934" s="75"/>
      <c r="AW1934" s="75"/>
      <c r="AX1934" s="75"/>
      <c r="AY1934" s="67">
        <f t="shared" ca="1" si="1"/>
        <v>0</v>
      </c>
      <c r="AZ1934" s="75"/>
      <c r="BA1934" s="67">
        <f t="shared" ca="1" si="2"/>
        <v>0</v>
      </c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8"/>
      <c r="BL1934" s="78">
        <f t="shared" ca="1" si="3"/>
        <v>0</v>
      </c>
      <c r="BM1934" s="78"/>
      <c r="BN1934" s="78">
        <f t="shared" ca="1" si="4"/>
        <v>0</v>
      </c>
      <c r="BO1934" s="66"/>
      <c r="BP1934" s="66"/>
    </row>
    <row r="1935" spans="1:68" ht="13.2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>
        <f t="shared" ref="AP1935:AQ1935" si="1928">AR1935+AT1935+AV1935</f>
        <v>0</v>
      </c>
      <c r="AQ1935" s="75">
        <f t="shared" si="1928"/>
        <v>0</v>
      </c>
      <c r="AR1935" s="75"/>
      <c r="AS1935" s="75"/>
      <c r="AT1935" s="75"/>
      <c r="AU1935" s="75"/>
      <c r="AV1935" s="75"/>
      <c r="AW1935" s="75"/>
      <c r="AX1935" s="75"/>
      <c r="AY1935" s="67">
        <f t="shared" ca="1" si="1"/>
        <v>0</v>
      </c>
      <c r="AZ1935" s="75"/>
      <c r="BA1935" s="67">
        <f t="shared" ca="1" si="2"/>
        <v>0</v>
      </c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8"/>
      <c r="BL1935" s="78">
        <f t="shared" ca="1" si="3"/>
        <v>0</v>
      </c>
      <c r="BM1935" s="78"/>
      <c r="BN1935" s="78">
        <f t="shared" ca="1" si="4"/>
        <v>0</v>
      </c>
      <c r="BO1935" s="66"/>
      <c r="BP1935" s="66"/>
    </row>
    <row r="1936" spans="1:68" ht="13.2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>
        <f t="shared" ref="AP1936:AQ1936" si="1929">AR1936+AT1936+AV1936</f>
        <v>0</v>
      </c>
      <c r="AQ1936" s="75">
        <f t="shared" si="1929"/>
        <v>0</v>
      </c>
      <c r="AR1936" s="75"/>
      <c r="AS1936" s="75"/>
      <c r="AT1936" s="75"/>
      <c r="AU1936" s="75"/>
      <c r="AV1936" s="75"/>
      <c r="AW1936" s="75"/>
      <c r="AX1936" s="75"/>
      <c r="AY1936" s="67">
        <f t="shared" ca="1" si="1"/>
        <v>0</v>
      </c>
      <c r="AZ1936" s="75"/>
      <c r="BA1936" s="67">
        <f t="shared" ca="1" si="2"/>
        <v>0</v>
      </c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8"/>
      <c r="BL1936" s="78">
        <f t="shared" ca="1" si="3"/>
        <v>0</v>
      </c>
      <c r="BM1936" s="78"/>
      <c r="BN1936" s="78">
        <f t="shared" ca="1" si="4"/>
        <v>0</v>
      </c>
      <c r="BO1936" s="66"/>
      <c r="BP1936" s="66"/>
    </row>
    <row r="1937" spans="1:68" ht="13.2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>
        <f t="shared" ref="AP1937:AQ1937" si="1930">AR1937+AT1937+AV1937</f>
        <v>0</v>
      </c>
      <c r="AQ1937" s="75">
        <f t="shared" si="1930"/>
        <v>0</v>
      </c>
      <c r="AR1937" s="75"/>
      <c r="AS1937" s="75"/>
      <c r="AT1937" s="75"/>
      <c r="AU1937" s="75"/>
      <c r="AV1937" s="75"/>
      <c r="AW1937" s="75"/>
      <c r="AX1937" s="75"/>
      <c r="AY1937" s="67">
        <f t="shared" ca="1" si="1"/>
        <v>0</v>
      </c>
      <c r="AZ1937" s="75"/>
      <c r="BA1937" s="67">
        <f t="shared" ca="1" si="2"/>
        <v>0</v>
      </c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8"/>
      <c r="BL1937" s="78">
        <f t="shared" ca="1" si="3"/>
        <v>0</v>
      </c>
      <c r="BM1937" s="78"/>
      <c r="BN1937" s="78">
        <f t="shared" ca="1" si="4"/>
        <v>0</v>
      </c>
      <c r="BO1937" s="66"/>
      <c r="BP1937" s="66"/>
    </row>
    <row r="1938" spans="1:68" ht="13.2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>
        <f t="shared" ref="AP1938:AQ1938" si="1931">AR1938+AT1938+AV1938</f>
        <v>0</v>
      </c>
      <c r="AQ1938" s="75">
        <f t="shared" si="1931"/>
        <v>0</v>
      </c>
      <c r="AR1938" s="75"/>
      <c r="AS1938" s="75"/>
      <c r="AT1938" s="75"/>
      <c r="AU1938" s="75"/>
      <c r="AV1938" s="75"/>
      <c r="AW1938" s="75"/>
      <c r="AX1938" s="75"/>
      <c r="AY1938" s="67">
        <f t="shared" ca="1" si="1"/>
        <v>0</v>
      </c>
      <c r="AZ1938" s="75"/>
      <c r="BA1938" s="67">
        <f t="shared" ca="1" si="2"/>
        <v>0</v>
      </c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8"/>
      <c r="BL1938" s="78">
        <f t="shared" ca="1" si="3"/>
        <v>0</v>
      </c>
      <c r="BM1938" s="78"/>
      <c r="BN1938" s="78">
        <f t="shared" ca="1" si="4"/>
        <v>0</v>
      </c>
      <c r="BO1938" s="66"/>
      <c r="BP1938" s="66"/>
    </row>
    <row r="1939" spans="1:68" ht="13.2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>
        <f t="shared" ref="AP1939:AQ1939" si="1932">AR1939+AT1939+AV1939</f>
        <v>0</v>
      </c>
      <c r="AQ1939" s="75">
        <f t="shared" si="1932"/>
        <v>0</v>
      </c>
      <c r="AR1939" s="75"/>
      <c r="AS1939" s="75"/>
      <c r="AT1939" s="75"/>
      <c r="AU1939" s="75"/>
      <c r="AV1939" s="75"/>
      <c r="AW1939" s="75"/>
      <c r="AX1939" s="75"/>
      <c r="AY1939" s="67">
        <f t="shared" ca="1" si="1"/>
        <v>0</v>
      </c>
      <c r="AZ1939" s="75"/>
      <c r="BA1939" s="67">
        <f t="shared" ca="1" si="2"/>
        <v>0</v>
      </c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8"/>
      <c r="BL1939" s="78">
        <f t="shared" ca="1" si="3"/>
        <v>0</v>
      </c>
      <c r="BM1939" s="78"/>
      <c r="BN1939" s="78">
        <f t="shared" ca="1" si="4"/>
        <v>0</v>
      </c>
      <c r="BO1939" s="66"/>
      <c r="BP1939" s="66"/>
    </row>
    <row r="1940" spans="1:68" ht="13.2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>
        <f t="shared" ref="AP1940:AQ1940" si="1933">AR1940+AT1940+AV1940</f>
        <v>0</v>
      </c>
      <c r="AQ1940" s="75">
        <f t="shared" si="1933"/>
        <v>0</v>
      </c>
      <c r="AR1940" s="75"/>
      <c r="AS1940" s="75"/>
      <c r="AT1940" s="75"/>
      <c r="AU1940" s="75"/>
      <c r="AV1940" s="75"/>
      <c r="AW1940" s="75"/>
      <c r="AX1940" s="75"/>
      <c r="AY1940" s="67">
        <f t="shared" ca="1" si="1"/>
        <v>0</v>
      </c>
      <c r="AZ1940" s="75"/>
      <c r="BA1940" s="67">
        <f t="shared" ca="1" si="2"/>
        <v>0</v>
      </c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8"/>
      <c r="BL1940" s="78">
        <f t="shared" ca="1" si="3"/>
        <v>0</v>
      </c>
      <c r="BM1940" s="78"/>
      <c r="BN1940" s="78">
        <f t="shared" ca="1" si="4"/>
        <v>0</v>
      </c>
      <c r="BO1940" s="66"/>
      <c r="BP1940" s="66"/>
    </row>
    <row r="1941" spans="1:68" ht="13.2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>
        <f t="shared" ref="AP1941:AQ1941" si="1934">AR1941+AT1941+AV1941</f>
        <v>0</v>
      </c>
      <c r="AQ1941" s="75">
        <f t="shared" si="1934"/>
        <v>0</v>
      </c>
      <c r="AR1941" s="75"/>
      <c r="AS1941" s="75"/>
      <c r="AT1941" s="75"/>
      <c r="AU1941" s="75"/>
      <c r="AV1941" s="75"/>
      <c r="AW1941" s="75"/>
      <c r="AX1941" s="75"/>
      <c r="AY1941" s="67">
        <f t="shared" ca="1" si="1"/>
        <v>0</v>
      </c>
      <c r="AZ1941" s="75"/>
      <c r="BA1941" s="67">
        <f t="shared" ca="1" si="2"/>
        <v>0</v>
      </c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8"/>
      <c r="BL1941" s="78">
        <f t="shared" ca="1" si="3"/>
        <v>0</v>
      </c>
      <c r="BM1941" s="78"/>
      <c r="BN1941" s="78">
        <f t="shared" ca="1" si="4"/>
        <v>0</v>
      </c>
      <c r="BO1941" s="66"/>
      <c r="BP1941" s="66"/>
    </row>
    <row r="1942" spans="1:68" ht="13.2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>
        <f t="shared" ref="AP1942:AQ1942" si="1935">AR1942+AT1942+AV1942</f>
        <v>0</v>
      </c>
      <c r="AQ1942" s="75">
        <f t="shared" si="1935"/>
        <v>0</v>
      </c>
      <c r="AR1942" s="75"/>
      <c r="AS1942" s="75"/>
      <c r="AT1942" s="75"/>
      <c r="AU1942" s="75"/>
      <c r="AV1942" s="75"/>
      <c r="AW1942" s="75"/>
      <c r="AX1942" s="75"/>
      <c r="AY1942" s="67">
        <f t="shared" ca="1" si="1"/>
        <v>0</v>
      </c>
      <c r="AZ1942" s="75"/>
      <c r="BA1942" s="67">
        <f t="shared" ca="1" si="2"/>
        <v>0</v>
      </c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8"/>
      <c r="BL1942" s="78">
        <f t="shared" ca="1" si="3"/>
        <v>0</v>
      </c>
      <c r="BM1942" s="78"/>
      <c r="BN1942" s="78">
        <f t="shared" ca="1" si="4"/>
        <v>0</v>
      </c>
      <c r="BO1942" s="66"/>
      <c r="BP1942" s="66"/>
    </row>
    <row r="1943" spans="1:68" ht="13.2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>
        <f t="shared" ref="AP1943:AQ1943" si="1936">AR1943+AT1943+AV1943</f>
        <v>0</v>
      </c>
      <c r="AQ1943" s="75">
        <f t="shared" si="1936"/>
        <v>0</v>
      </c>
      <c r="AR1943" s="75"/>
      <c r="AS1943" s="75"/>
      <c r="AT1943" s="75"/>
      <c r="AU1943" s="75"/>
      <c r="AV1943" s="75"/>
      <c r="AW1943" s="75"/>
      <c r="AX1943" s="75"/>
      <c r="AY1943" s="67">
        <f t="shared" ca="1" si="1"/>
        <v>0</v>
      </c>
      <c r="AZ1943" s="75"/>
      <c r="BA1943" s="67">
        <f t="shared" ca="1" si="2"/>
        <v>0</v>
      </c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8"/>
      <c r="BL1943" s="78">
        <f t="shared" ca="1" si="3"/>
        <v>0</v>
      </c>
      <c r="BM1943" s="78"/>
      <c r="BN1943" s="78">
        <f t="shared" ca="1" si="4"/>
        <v>0</v>
      </c>
      <c r="BO1943" s="66"/>
      <c r="BP1943" s="66"/>
    </row>
    <row r="1944" spans="1:68" ht="13.2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>
        <f t="shared" ref="AP1944:AQ1944" si="1937">AR1944+AT1944+AV1944</f>
        <v>0</v>
      </c>
      <c r="AQ1944" s="75">
        <f t="shared" si="1937"/>
        <v>0</v>
      </c>
      <c r="AR1944" s="75"/>
      <c r="AS1944" s="75"/>
      <c r="AT1944" s="75"/>
      <c r="AU1944" s="75"/>
      <c r="AV1944" s="75"/>
      <c r="AW1944" s="75"/>
      <c r="AX1944" s="75"/>
      <c r="AY1944" s="67">
        <f t="shared" ca="1" si="1"/>
        <v>0</v>
      </c>
      <c r="AZ1944" s="75"/>
      <c r="BA1944" s="67">
        <f t="shared" ca="1" si="2"/>
        <v>0</v>
      </c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8"/>
      <c r="BL1944" s="78">
        <f t="shared" ca="1" si="3"/>
        <v>0</v>
      </c>
      <c r="BM1944" s="78"/>
      <c r="BN1944" s="78">
        <f t="shared" ca="1" si="4"/>
        <v>0</v>
      </c>
      <c r="BO1944" s="66"/>
      <c r="BP1944" s="66"/>
    </row>
    <row r="1945" spans="1:68" ht="13.2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>
        <f t="shared" ref="AP1945:AQ1945" si="1938">AR1945+AT1945+AV1945</f>
        <v>0</v>
      </c>
      <c r="AQ1945" s="75">
        <f t="shared" si="1938"/>
        <v>0</v>
      </c>
      <c r="AR1945" s="75"/>
      <c r="AS1945" s="75"/>
      <c r="AT1945" s="75"/>
      <c r="AU1945" s="75"/>
      <c r="AV1945" s="75"/>
      <c r="AW1945" s="75"/>
      <c r="AX1945" s="75"/>
      <c r="AY1945" s="67">
        <f t="shared" ca="1" si="1"/>
        <v>0</v>
      </c>
      <c r="AZ1945" s="75"/>
      <c r="BA1945" s="67">
        <f t="shared" ca="1" si="2"/>
        <v>0</v>
      </c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8"/>
      <c r="BL1945" s="78">
        <f t="shared" ca="1" si="3"/>
        <v>0</v>
      </c>
      <c r="BM1945" s="78"/>
      <c r="BN1945" s="78">
        <f t="shared" ca="1" si="4"/>
        <v>0</v>
      </c>
      <c r="BO1945" s="66"/>
      <c r="BP1945" s="66"/>
    </row>
    <row r="1946" spans="1:68" ht="13.2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>
        <f t="shared" ref="AP1946:AQ1946" si="1939">AR1946+AT1946+AV1946</f>
        <v>0</v>
      </c>
      <c r="AQ1946" s="75">
        <f t="shared" si="1939"/>
        <v>0</v>
      </c>
      <c r="AR1946" s="75"/>
      <c r="AS1946" s="75"/>
      <c r="AT1946" s="75"/>
      <c r="AU1946" s="75"/>
      <c r="AV1946" s="75"/>
      <c r="AW1946" s="75"/>
      <c r="AX1946" s="75"/>
      <c r="AY1946" s="67">
        <f t="shared" ca="1" si="1"/>
        <v>0</v>
      </c>
      <c r="AZ1946" s="75"/>
      <c r="BA1946" s="67">
        <f t="shared" ca="1" si="2"/>
        <v>0</v>
      </c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8"/>
      <c r="BL1946" s="78">
        <f t="shared" ca="1" si="3"/>
        <v>0</v>
      </c>
      <c r="BM1946" s="78"/>
      <c r="BN1946" s="78">
        <f t="shared" ca="1" si="4"/>
        <v>0</v>
      </c>
      <c r="BO1946" s="66"/>
      <c r="BP1946" s="66"/>
    </row>
    <row r="1947" spans="1:68" ht="13.2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>
        <f t="shared" ref="AP1947:AQ1947" si="1940">AR1947+AT1947+AV1947</f>
        <v>0</v>
      </c>
      <c r="AQ1947" s="75">
        <f t="shared" si="1940"/>
        <v>0</v>
      </c>
      <c r="AR1947" s="75"/>
      <c r="AS1947" s="75"/>
      <c r="AT1947" s="75"/>
      <c r="AU1947" s="75"/>
      <c r="AV1947" s="75"/>
      <c r="AW1947" s="75"/>
      <c r="AX1947" s="75"/>
      <c r="AY1947" s="67">
        <f t="shared" ca="1" si="1"/>
        <v>0</v>
      </c>
      <c r="AZ1947" s="75"/>
      <c r="BA1947" s="67">
        <f t="shared" ca="1" si="2"/>
        <v>0</v>
      </c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8"/>
      <c r="BL1947" s="78">
        <f t="shared" ca="1" si="3"/>
        <v>0</v>
      </c>
      <c r="BM1947" s="78"/>
      <c r="BN1947" s="78">
        <f t="shared" ca="1" si="4"/>
        <v>0</v>
      </c>
      <c r="BO1947" s="66"/>
      <c r="BP1947" s="66"/>
    </row>
    <row r="1948" spans="1:68" ht="13.2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>
        <f t="shared" ref="AP1948:AQ1948" si="1941">AR1948+AT1948+AV1948</f>
        <v>0</v>
      </c>
      <c r="AQ1948" s="75">
        <f t="shared" si="1941"/>
        <v>0</v>
      </c>
      <c r="AR1948" s="75"/>
      <c r="AS1948" s="75"/>
      <c r="AT1948" s="75"/>
      <c r="AU1948" s="75"/>
      <c r="AV1948" s="75"/>
      <c r="AW1948" s="75"/>
      <c r="AX1948" s="75"/>
      <c r="AY1948" s="67">
        <f t="shared" ca="1" si="1"/>
        <v>0</v>
      </c>
      <c r="AZ1948" s="75"/>
      <c r="BA1948" s="67">
        <f t="shared" ca="1" si="2"/>
        <v>0</v>
      </c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8"/>
      <c r="BL1948" s="78">
        <f t="shared" ca="1" si="3"/>
        <v>0</v>
      </c>
      <c r="BM1948" s="78"/>
      <c r="BN1948" s="78">
        <f t="shared" ca="1" si="4"/>
        <v>0</v>
      </c>
      <c r="BO1948" s="66"/>
      <c r="BP1948" s="66"/>
    </row>
  </sheetData>
  <autoFilter ref="A12:BP1948"/>
  <mergeCells count="67"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8:B11"/>
    <mergeCell ref="C8:C11"/>
    <mergeCell ref="D8:D11"/>
    <mergeCell ref="E8:E11"/>
    <mergeCell ref="F8:F11"/>
    <mergeCell ref="BD8:BD11"/>
    <mergeCell ref="BE8:BE11"/>
    <mergeCell ref="BF8:BF11"/>
    <mergeCell ref="AO9:AO11"/>
    <mergeCell ref="H8:I10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AV10:AW10"/>
    <mergeCell ref="AX10:AY10"/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AP10:AQ10"/>
    <mergeCell ref="AR10:AS10"/>
    <mergeCell ref="AT10:AU10"/>
    <mergeCell ref="AI10:AI11"/>
  </mergeCells>
  <conditionalFormatting sqref="C4">
    <cfRule type="containsText" dxfId="17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6" priority="2" operator="containsText" text="Согласовано">
      <formula>NOT(ISERROR(SEARCH(("Согласовано"),(C1))))</formula>
    </cfRule>
  </conditionalFormatting>
  <conditionalFormatting sqref="C1:C3">
    <cfRule type="containsText" dxfId="15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14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13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12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11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0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9" priority="9" operator="containsText" text="Работы завершены">
      <formula>NOT(ISERROR(SEARCH(("Работы завершены"),(AL13))))</formula>
    </cfRule>
  </conditionalFormatting>
  <dataValidations count="8"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list" allowBlank="1" showErrorMessage="1" sqref="P13:P23 S13:S23 V13:V23 AB13:AB23 AE13:AE23 AH13:AH23 P586:P1948 S586:S1948 V586:V1948 AB586:AB1948 AE586:AE1948 AH586:AH1948">
      <formula1>"Выполнено,Не требуется,Не выполнено"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AX13:AX1948">
      <formula1>-99999999</formula1>
    </dataValidation>
    <dataValidation type="decimal" operator="greaterThanOrEqual" allowBlank="1" showDropDown="1" showErrorMessage="1" sqref="BK13:BK1948 BM13:BM1948">
      <formula1>-10000000</formula1>
    </dataValidation>
    <dataValidation type="decimal" operator="greaterThanOrEqual" allowBlank="1" showDropDown="1" showErrorMessage="1" sqref="AP13:AW1948">
      <formula1>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  <x14:dataValidation type="list" allowBlank="1" showErrorMessage="1">
          <x14:formula1>
            <xm:f>'Перечень ОЗВ'!$B$5:$B$200</xm:f>
          </x14:formula1>
          <xm:sqref>BJ13:BJ1948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6640625" defaultRowHeight="15.75" customHeight="1" outlineLevelRow="1"/>
  <cols>
    <col min="1" max="1" width="5.77734375" customWidth="1"/>
    <col min="2" max="2" width="24.109375" customWidth="1"/>
    <col min="3" max="3" width="16.33203125" customWidth="1"/>
    <col min="4" max="4" width="20.88671875" customWidth="1"/>
    <col min="5" max="5" width="25.44140625" customWidth="1"/>
    <col min="6" max="6" width="21.6640625" customWidth="1"/>
    <col min="7" max="7" width="26.77734375" customWidth="1"/>
    <col min="8" max="8" width="21.109375" customWidth="1"/>
    <col min="9" max="9" width="15.6640625" customWidth="1"/>
    <col min="10" max="10" width="53.88671875" customWidth="1"/>
    <col min="11" max="11" width="19.33203125" customWidth="1"/>
    <col min="12" max="12" width="10.88671875" customWidth="1"/>
    <col min="13" max="13" width="14.88671875" customWidth="1"/>
    <col min="14" max="15" width="11.33203125" customWidth="1"/>
    <col min="16" max="16" width="22.109375" customWidth="1"/>
    <col min="17" max="18" width="12.77734375" customWidth="1"/>
    <col min="19" max="19" width="23.6640625" customWidth="1"/>
    <col min="20" max="21" width="12.77734375" customWidth="1"/>
    <col min="22" max="22" width="12.33203125" customWidth="1"/>
    <col min="23" max="25" width="13.21875" customWidth="1"/>
    <col min="26" max="26" width="14.44140625" customWidth="1"/>
    <col min="27" max="27" width="12.109375" customWidth="1"/>
    <col min="28" max="28" width="11.77734375" customWidth="1"/>
    <col min="29" max="30" width="11.44140625" customWidth="1"/>
    <col min="31" max="31" width="15.21875" customWidth="1"/>
    <col min="32" max="33" width="11.109375" customWidth="1"/>
    <col min="34" max="34" width="15.44140625" customWidth="1"/>
    <col min="35" max="36" width="13.21875" customWidth="1"/>
    <col min="37" max="37" width="14.6640625" customWidth="1"/>
    <col min="38" max="38" width="21.77734375" customWidth="1"/>
    <col min="39" max="39" width="29.6640625" customWidth="1"/>
    <col min="40" max="40" width="24.44140625" customWidth="1"/>
    <col min="41" max="41" width="22.33203125" customWidth="1"/>
    <col min="42" max="49" width="11.6640625" customWidth="1"/>
    <col min="50" max="50" width="8.88671875" customWidth="1"/>
    <col min="51" max="51" width="20.77734375" customWidth="1"/>
    <col min="52" max="52" width="9.88671875" customWidth="1"/>
    <col min="53" max="53" width="20.21875" customWidth="1"/>
    <col min="54" max="54" width="9.44140625" customWidth="1"/>
    <col min="55" max="55" width="34.88671875" customWidth="1"/>
    <col min="56" max="56" width="20.33203125" customWidth="1"/>
    <col min="57" max="57" width="18.33203125" customWidth="1"/>
    <col min="58" max="58" width="27.33203125" customWidth="1"/>
    <col min="59" max="59" width="16.33203125" customWidth="1"/>
    <col min="60" max="61" width="31" customWidth="1"/>
    <col min="62" max="62" width="21.6640625" customWidth="1"/>
    <col min="63" max="63" width="9.88671875" customWidth="1"/>
    <col min="64" max="64" width="15.77734375" customWidth="1"/>
    <col min="65" max="65" width="9.88671875" customWidth="1"/>
    <col min="66" max="66" width="15.88671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 ca="1">SUM(AZ13:AZ1948)</f>
        <v>6776.4180649999989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57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 ca="1">SUM(BM13:BM1948)</f>
        <v>6118.8588902515339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3.8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89" t="s">
        <v>137</v>
      </c>
      <c r="AP5" s="48"/>
      <c r="AQ5" s="48"/>
      <c r="AR5" s="90">
        <v>9191088.9299999997</v>
      </c>
      <c r="AS5" s="48"/>
      <c r="AT5" s="90">
        <v>48068.49</v>
      </c>
      <c r="AU5" s="48"/>
      <c r="AV5" s="90">
        <v>104907.92</v>
      </c>
      <c r="AW5" s="48"/>
      <c r="AX5" s="90">
        <v>19775.330000000002</v>
      </c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89" t="s">
        <v>137</v>
      </c>
      <c r="BK5" s="90">
        <v>19121.259999999998</v>
      </c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89" t="s">
        <v>138</v>
      </c>
      <c r="AP6" s="47"/>
      <c r="AQ6" s="47"/>
      <c r="AR6" s="90">
        <f ca="1">SUM(AR13:AR1948)</f>
        <v>9191088.922770001</v>
      </c>
      <c r="AS6" s="47"/>
      <c r="AT6" s="90">
        <f ca="1">SUM(AT13:AT1948)</f>
        <v>48068.486130000005</v>
      </c>
      <c r="AU6" s="47"/>
      <c r="AV6" s="90">
        <f ca="1">SUM(AV13:AV1948)</f>
        <v>104907.92</v>
      </c>
      <c r="AW6" s="47"/>
      <c r="AX6" s="90">
        <f ca="1">SUM(AX13:AX1948)</f>
        <v>19775.319763999989</v>
      </c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89" t="s">
        <v>138</v>
      </c>
      <c r="BK6" s="90">
        <f ca="1">SUM(BK13:BK1948)</f>
        <v>19121.259845538098</v>
      </c>
      <c r="BL6" s="47"/>
      <c r="BM6" s="47"/>
      <c r="BN6" s="47"/>
      <c r="BO6" s="32"/>
      <c r="BP6" s="32"/>
    </row>
    <row r="7" spans="1:68" ht="13.8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2">
      <c r="A8" s="56"/>
      <c r="B8" s="108" t="s">
        <v>139</v>
      </c>
      <c r="C8" s="108" t="s">
        <v>30</v>
      </c>
      <c r="D8" s="108" t="s">
        <v>31</v>
      </c>
      <c r="E8" s="108" t="s">
        <v>140</v>
      </c>
      <c r="F8" s="111" t="s">
        <v>33</v>
      </c>
      <c r="G8" s="108" t="s">
        <v>34</v>
      </c>
      <c r="H8" s="107" t="s">
        <v>35</v>
      </c>
      <c r="I8" s="103"/>
      <c r="J8" s="108" t="s">
        <v>36</v>
      </c>
      <c r="K8" s="91" t="s">
        <v>37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3"/>
      <c r="AP8" s="101" t="s">
        <v>38</v>
      </c>
      <c r="AQ8" s="102"/>
      <c r="AR8" s="102"/>
      <c r="AS8" s="102"/>
      <c r="AT8" s="102"/>
      <c r="AU8" s="102"/>
      <c r="AV8" s="102"/>
      <c r="AW8" s="103"/>
      <c r="AX8" s="107" t="s">
        <v>39</v>
      </c>
      <c r="AY8" s="102"/>
      <c r="AZ8" s="102"/>
      <c r="BA8" s="103"/>
      <c r="BB8" s="56"/>
      <c r="BC8" s="56"/>
      <c r="BD8" s="108" t="s">
        <v>141</v>
      </c>
      <c r="BE8" s="108" t="s">
        <v>30</v>
      </c>
      <c r="BF8" s="108" t="s">
        <v>31</v>
      </c>
      <c r="BG8" s="108" t="s">
        <v>142</v>
      </c>
      <c r="BH8" s="108" t="s">
        <v>33</v>
      </c>
      <c r="BI8" s="108" t="s">
        <v>34</v>
      </c>
      <c r="BJ8" s="107" t="s">
        <v>42</v>
      </c>
      <c r="BK8" s="102"/>
      <c r="BL8" s="102"/>
      <c r="BM8" s="102"/>
      <c r="BN8" s="103"/>
      <c r="BO8" s="56"/>
      <c r="BP8" s="56"/>
    </row>
    <row r="9" spans="1:68" ht="13.2">
      <c r="A9" s="56"/>
      <c r="B9" s="95"/>
      <c r="C9" s="95"/>
      <c r="D9" s="95"/>
      <c r="E9" s="95"/>
      <c r="F9" s="95"/>
      <c r="G9" s="95"/>
      <c r="H9" s="109"/>
      <c r="I9" s="110"/>
      <c r="J9" s="95"/>
      <c r="K9" s="91" t="s">
        <v>43</v>
      </c>
      <c r="L9" s="92"/>
      <c r="M9" s="93"/>
      <c r="N9" s="91" t="s">
        <v>44</v>
      </c>
      <c r="O9" s="92"/>
      <c r="P9" s="93"/>
      <c r="Q9" s="91" t="s">
        <v>45</v>
      </c>
      <c r="R9" s="92"/>
      <c r="S9" s="93"/>
      <c r="T9" s="91" t="s">
        <v>46</v>
      </c>
      <c r="U9" s="92"/>
      <c r="V9" s="93"/>
      <c r="W9" s="91" t="s">
        <v>47</v>
      </c>
      <c r="X9" s="92"/>
      <c r="Y9" s="93"/>
      <c r="Z9" s="91" t="s">
        <v>48</v>
      </c>
      <c r="AA9" s="92"/>
      <c r="AB9" s="93"/>
      <c r="AC9" s="91" t="s">
        <v>49</v>
      </c>
      <c r="AD9" s="92"/>
      <c r="AE9" s="93"/>
      <c r="AF9" s="91" t="s">
        <v>50</v>
      </c>
      <c r="AG9" s="92"/>
      <c r="AH9" s="93"/>
      <c r="AI9" s="91" t="s">
        <v>51</v>
      </c>
      <c r="AJ9" s="92"/>
      <c r="AK9" s="93"/>
      <c r="AL9" s="94" t="s">
        <v>9</v>
      </c>
      <c r="AM9" s="108" t="s">
        <v>52</v>
      </c>
      <c r="AN9" s="108" t="s">
        <v>53</v>
      </c>
      <c r="AO9" s="108" t="s">
        <v>54</v>
      </c>
      <c r="AP9" s="104"/>
      <c r="AQ9" s="105"/>
      <c r="AR9" s="105"/>
      <c r="AS9" s="105"/>
      <c r="AT9" s="105"/>
      <c r="AU9" s="105"/>
      <c r="AV9" s="105"/>
      <c r="AW9" s="106"/>
      <c r="AX9" s="104"/>
      <c r="AY9" s="105"/>
      <c r="AZ9" s="105"/>
      <c r="BA9" s="106"/>
      <c r="BB9" s="56"/>
      <c r="BC9" s="56"/>
      <c r="BD9" s="95"/>
      <c r="BE9" s="95"/>
      <c r="BF9" s="95"/>
      <c r="BG9" s="95"/>
      <c r="BH9" s="95"/>
      <c r="BI9" s="95"/>
      <c r="BJ9" s="104"/>
      <c r="BK9" s="105"/>
      <c r="BL9" s="105"/>
      <c r="BM9" s="105"/>
      <c r="BN9" s="106"/>
      <c r="BO9" s="56"/>
      <c r="BP9" s="56"/>
    </row>
    <row r="10" spans="1:68" ht="13.2">
      <c r="A10" s="56"/>
      <c r="B10" s="95"/>
      <c r="C10" s="95"/>
      <c r="D10" s="95"/>
      <c r="E10" s="95"/>
      <c r="F10" s="95"/>
      <c r="G10" s="95"/>
      <c r="H10" s="104"/>
      <c r="I10" s="106"/>
      <c r="J10" s="95"/>
      <c r="K10" s="94" t="s">
        <v>55</v>
      </c>
      <c r="L10" s="94" t="s">
        <v>56</v>
      </c>
      <c r="M10" s="94" t="s">
        <v>57</v>
      </c>
      <c r="N10" s="94" t="s">
        <v>58</v>
      </c>
      <c r="O10" s="94" t="s">
        <v>59</v>
      </c>
      <c r="P10" s="94" t="s">
        <v>60</v>
      </c>
      <c r="Q10" s="94" t="s">
        <v>58</v>
      </c>
      <c r="R10" s="94" t="s">
        <v>59</v>
      </c>
      <c r="S10" s="94" t="s">
        <v>60</v>
      </c>
      <c r="T10" s="94" t="s">
        <v>58</v>
      </c>
      <c r="U10" s="94" t="s">
        <v>59</v>
      </c>
      <c r="V10" s="94" t="s">
        <v>60</v>
      </c>
      <c r="W10" s="94" t="s">
        <v>55</v>
      </c>
      <c r="X10" s="94" t="s">
        <v>56</v>
      </c>
      <c r="Y10" s="94" t="s">
        <v>57</v>
      </c>
      <c r="Z10" s="94" t="s">
        <v>58</v>
      </c>
      <c r="AA10" s="94" t="s">
        <v>59</v>
      </c>
      <c r="AB10" s="94" t="s">
        <v>60</v>
      </c>
      <c r="AC10" s="94" t="s">
        <v>58</v>
      </c>
      <c r="AD10" s="94" t="s">
        <v>59</v>
      </c>
      <c r="AE10" s="94" t="s">
        <v>60</v>
      </c>
      <c r="AF10" s="94" t="s">
        <v>58</v>
      </c>
      <c r="AG10" s="94" t="s">
        <v>59</v>
      </c>
      <c r="AH10" s="94" t="s">
        <v>60</v>
      </c>
      <c r="AI10" s="94" t="s">
        <v>58</v>
      </c>
      <c r="AJ10" s="94" t="s">
        <v>59</v>
      </c>
      <c r="AK10" s="94" t="s">
        <v>61</v>
      </c>
      <c r="AL10" s="95"/>
      <c r="AM10" s="95"/>
      <c r="AN10" s="95"/>
      <c r="AO10" s="95"/>
      <c r="AP10" s="97" t="s">
        <v>62</v>
      </c>
      <c r="AQ10" s="93"/>
      <c r="AR10" s="97" t="s">
        <v>63</v>
      </c>
      <c r="AS10" s="93"/>
      <c r="AT10" s="97" t="s">
        <v>64</v>
      </c>
      <c r="AU10" s="93"/>
      <c r="AV10" s="97" t="s">
        <v>65</v>
      </c>
      <c r="AW10" s="93"/>
      <c r="AX10" s="98" t="s">
        <v>66</v>
      </c>
      <c r="AY10" s="99"/>
      <c r="AZ10" s="100" t="s">
        <v>67</v>
      </c>
      <c r="BA10" s="93"/>
      <c r="BB10" s="56"/>
      <c r="BC10" s="56"/>
      <c r="BD10" s="95"/>
      <c r="BE10" s="95"/>
      <c r="BF10" s="95"/>
      <c r="BG10" s="95"/>
      <c r="BH10" s="95"/>
      <c r="BI10" s="95"/>
      <c r="BJ10" s="112" t="s">
        <v>143</v>
      </c>
      <c r="BK10" s="98" t="s">
        <v>66</v>
      </c>
      <c r="BL10" s="99"/>
      <c r="BM10" s="100" t="s">
        <v>67</v>
      </c>
      <c r="BN10" s="93"/>
      <c r="BO10" s="56"/>
      <c r="BP10" s="56"/>
    </row>
    <row r="11" spans="1:68" ht="36" customHeight="1">
      <c r="A11" s="56"/>
      <c r="B11" s="96"/>
      <c r="C11" s="96"/>
      <c r="D11" s="96"/>
      <c r="E11" s="96"/>
      <c r="F11" s="96"/>
      <c r="G11" s="96"/>
      <c r="H11" s="57" t="s">
        <v>69</v>
      </c>
      <c r="I11" s="57" t="s">
        <v>70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6"/>
      <c r="BE11" s="96"/>
      <c r="BF11" s="96"/>
      <c r="BG11" s="96"/>
      <c r="BH11" s="96"/>
      <c r="BI11" s="96"/>
      <c r="BJ11" s="96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2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39.6">
      <c r="A13" s="66"/>
      <c r="B13" s="67" t="str">
        <f ca="1">IFERROR(__xludf.DUMMYFUNCTION("QUERY({'Информация по городу'!B13:BA1948;IMPORTRANGE(""1U1xQ8csI0_O3PL5Yv3x95djYlznRgRiRQfpUyDtPrfA"",""'Текущий месяц'!B13:BA"");IMPORTRANGE(""1lvNHBNlRBRnsY_FVWVe1LYgxTPcd53YV4kaCGqQbCM4"",""'Текущий месяц'!B13:BA"");IMPORTRANGE(""18KV3bp90f_KWipMlJcEan"&amp;"BiX2KJOCcy4BfgDzukSqbU"",""'Текущий месяц'!B13:BA"");IMPORTRANGE(""1CbF-CczbG4IoV0y7LA0BF2qynW3q-mwKnbVk5HwNYAk"",""'Текущий месяц'!B13:BA"");IMPORTRANGE(""1b4kCYhPolXA55kQbc0rqQ5F0oEZ__Dfv-a-koHxRm94"",""'Текущий месяц'!B13:BA"");IMPORTRANGE(""1B6ObhFtvo"&amp;"kxVSlmlILjhbQSZrJHtKU5ZkGniZjM4Rqg"",""'Текущий месяц'!B13:BA"")},""select * where Col1 is not null order by Col4"")"),"Забайкальский край")</f>
        <v>Забайкальский край</v>
      </c>
      <c r="C13" s="67" t="str">
        <f ca="1">IFERROR(__xludf.DUMMYFUNCTION("""COMPUTED_VALUE"""),"Чита")</f>
        <v>Чита</v>
      </c>
      <c r="D13" s="68" t="str">
        <f ca="1">IFERROR(__xludf.DUMMYFUNCTION("""COMPUTED_VALUE"""),"ОАО ""РЖД""")</f>
        <v>ОАО "РЖД"</v>
      </c>
      <c r="E13" s="69" t="str">
        <f ca="1">IFERROR(__xludf.DUMMYFUNCTION("""COMPUTED_VALUE""")," 3.2.6.")</f>
        <v xml:space="preserve"> 3.2.6.</v>
      </c>
      <c r="F13" s="70" t="str">
        <f ca="1">IFERROR(__xludf.DUMMYFUNCTION("""COMPUTED_VALUE"""),"Мероприятие ЮЛ/ИП")</f>
        <v>Мероприятие ЮЛ/ИП</v>
      </c>
      <c r="G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71">
        <f ca="1">IFERROR(__xludf.DUMMYFUNCTION("""COMPUTED_VALUE"""),44927)</f>
        <v>44927</v>
      </c>
      <c r="I13" s="71">
        <f ca="1">IFERROR(__xludf.DUMMYFUNCTION("""COMPUTED_VALUE"""),45291)</f>
        <v>45291</v>
      </c>
      <c r="J13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>
        <f ca="1">IFERROR(__xludf.DUMMYFUNCTION("""COMPUTED_VALUE"""),45291)</f>
        <v>45291</v>
      </c>
      <c r="AJ13" s="72"/>
      <c r="AK13" s="73"/>
      <c r="AL13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3" s="73" t="str">
        <f ca="1">IFERROR(__xludf.DUMMYFUNCTION("""COMPUTED_VALUE"""),"Ведется монтаж отбойников дымовых газов")</f>
        <v>Ведется монтаж отбойников дымовых газов</v>
      </c>
      <c r="AN13" s="73" t="str">
        <f ca="1">IFERROR(__xludf.DUMMYFUNCTION("""COMPUTED_VALUE"""),"Нет")</f>
        <v>Нет</v>
      </c>
      <c r="AO13" s="73"/>
      <c r="AP13" s="75">
        <f ca="1">IFERROR(__xludf.DUMMYFUNCTION("""COMPUTED_VALUE"""),300)</f>
        <v>300</v>
      </c>
      <c r="AQ13" s="75">
        <f ca="1">IFERROR(__xludf.DUMMYFUNCTION("""COMPUTED_VALUE"""),0)</f>
        <v>0</v>
      </c>
      <c r="AR13" s="75">
        <f ca="1">IFERROR(__xludf.DUMMYFUNCTION("""COMPUTED_VALUE"""),0)</f>
        <v>0</v>
      </c>
      <c r="AS13" s="75">
        <f ca="1">IFERROR(__xludf.DUMMYFUNCTION("""COMPUTED_VALUE"""),0)</f>
        <v>0</v>
      </c>
      <c r="AT13" s="75">
        <f ca="1">IFERROR(__xludf.DUMMYFUNCTION("""COMPUTED_VALUE"""),0)</f>
        <v>0</v>
      </c>
      <c r="AU13" s="75">
        <f ca="1">IFERROR(__xludf.DUMMYFUNCTION("""COMPUTED_VALUE"""),0)</f>
        <v>0</v>
      </c>
      <c r="AV13" s="75">
        <f ca="1">IFERROR(__xludf.DUMMYFUNCTION("""COMPUTED_VALUE"""),300)</f>
        <v>300</v>
      </c>
      <c r="AW13" s="75">
        <f ca="1">IFERROR(__xludf.DUMMYFUNCTION("""COMPUTED_VALUE"""),0)</f>
        <v>0</v>
      </c>
      <c r="AX13" s="75">
        <f ca="1">IFERROR(__xludf.DUMMYFUNCTION("""COMPUTED_VALUE"""),0)</f>
        <v>0</v>
      </c>
      <c r="AY13" s="77">
        <f ca="1">IFERROR(__xludf.DUMMYFUNCTION("""COMPUTED_VALUE"""),0)</f>
        <v>0</v>
      </c>
      <c r="AZ13" s="75">
        <f ca="1">IFERROR(__xludf.DUMMYFUNCTION("""COMPUTED_VALUE"""),0)</f>
        <v>0</v>
      </c>
      <c r="BA13" s="77">
        <f ca="1">IFERROR(__xludf.DUMMYFUNCTION("""COMPUTED_VALUE"""),0)</f>
        <v>0</v>
      </c>
      <c r="BB13" s="4"/>
      <c r="BC13" s="4"/>
      <c r="BD13" s="67" t="str">
        <f ca="1">IFERROR(__xludf.DUMMYFUNCTION("QUERY({'Информация по городу'!BD13:BN1948;IMPORTRANGE(""1U1xQ8csI0_O3PL5Yv3x95djYlznRgRiRQfpUyDtPrfA"",""'Текущий месяц'!BD13:BN"");IMPORTRANGE(""1lvNHBNlRBRnsY_FVWVe1LYgxTPcd53YV4kaCGqQbCM4"",""'Текущий месяц'!BD13:BN"");IMPORTRANGE(""18KV3bp90f_KWipMlJc"&amp;"EanBiX2KJOCcy4BfgDzukSqbU"",""'Текущий месяц'!BD13:BN"");IMPORTRANGE(""1CbF-CczbG4IoV0y7LA0BF2qynW3q-mwKnbVk5HwNYAk"",""'Текущий месяц'!BD13:BN"");IMPORTRANGE(""1b4kCYhPolXA55kQbc0rqQ5F0oEZ__Dfv-a-koHxRm94"",""'Текущий месяц'!BD13:BN"");IMPORTRANGE(""1B6O"&amp;"bhFtvokxVSlmlILjhbQSZrJHtKU5ZkGniZjM4Rqg"",""'Текущий месяц'!BD13:BN"")},""select * where Col1 is not null order by Col4"")"),"Забайкальский край")</f>
        <v>Забайкальский край</v>
      </c>
      <c r="BE13" s="67" t="str">
        <f ca="1">IFERROR(__xludf.DUMMYFUNCTION("""COMPUTED_VALUE"""),"Чита")</f>
        <v>Чита</v>
      </c>
      <c r="BF13" s="68" t="str">
        <f ca="1">IFERROR(__xludf.DUMMYFUNCTION("""COMPUTED_VALUE"""),"ОАО ""РЖД""")</f>
        <v>ОАО "РЖД"</v>
      </c>
      <c r="BG13" s="69" t="str">
        <f ca="1">IFERROR(__xludf.DUMMYFUNCTION("""COMPUTED_VALUE""")," 3.2.6.")</f>
        <v xml:space="preserve"> 3.2.6.</v>
      </c>
      <c r="BH13" s="68" t="str">
        <f ca="1">IFERROR(__xludf.DUMMYFUNCTION("""COMPUTED_VALUE"""),"Мероприятие ЮЛ/ИП")</f>
        <v>Мероприятие ЮЛ/ИП</v>
      </c>
      <c r="BI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J13" s="73" t="str">
        <f ca="1">IFERROR(__xludf.DUMMYFUNCTION("""COMPUTED_VALUE"""),"Бенз/а/пирен")</f>
        <v>Бенз/а/пирен</v>
      </c>
      <c r="BK13" s="78">
        <f ca="1">IFERROR(__xludf.DUMMYFUNCTION("""COMPUTED_VALUE"""),0.0002538)</f>
        <v>2.5379999999999999E-4</v>
      </c>
      <c r="BL13" s="78">
        <f ca="1">IFERROR(__xludf.DUMMYFUNCTION("""COMPUTED_VALUE"""),4.13304159943824E-07)</f>
        <v>4.1330415994382401E-7</v>
      </c>
      <c r="BM13" s="78">
        <f ca="1">IFERROR(__xludf.DUMMYFUNCTION("""COMPUTED_VALUE"""),0)</f>
        <v>0</v>
      </c>
      <c r="BN13" s="78">
        <f ca="1">IFERROR(__xludf.DUMMYFUNCTION("""COMPUTED_VALUE"""),0)</f>
        <v>0</v>
      </c>
      <c r="BO13" s="66"/>
      <c r="BP13" s="66"/>
    </row>
    <row r="14" spans="1:68" ht="105.6">
      <c r="A14" s="66"/>
      <c r="B14" s="67" t="str">
        <f ca="1">IFERROR(__xludf.DUMMYFUNCTION("""COMPUTED_VALUE"""),"Забайкальский край")</f>
        <v>Забайкальский край</v>
      </c>
      <c r="C14" s="67" t="str">
        <f ca="1">IFERROR(__xludf.DUMMYFUNCTION("""COMPUTED_VALUE"""),"Чита")</f>
        <v>Чита</v>
      </c>
      <c r="D14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69" t="str">
        <f ca="1">IFERROR(__xludf.DUMMYFUNCTION("""COMPUTED_VALUE"""),"1.1.1.")</f>
        <v>1.1.1.</v>
      </c>
      <c r="F14" s="70" t="str">
        <f ca="1">IFERROR(__xludf.DUMMYFUNCTION("""COMPUTED_VALUE"""),"Объекты транспортной инфраструктуры")</f>
        <v>Объекты транспортной инфраструктуры</v>
      </c>
      <c r="G14" s="68" t="str">
        <f ca="1">IFERROR(__xludf.DUMMYFUNCTION("""COMPUTED_VALUE"""),"Приобретение троллейбусов (55 ед.)")</f>
        <v>Приобретение троллейбусов (55 ед.)</v>
      </c>
      <c r="H14" s="71">
        <f ca="1">IFERROR(__xludf.DUMMYFUNCTION("""COMPUTED_VALUE"""),44365)</f>
        <v>44365</v>
      </c>
      <c r="I14" s="71">
        <f ca="1">IFERROR(__xludf.DUMMYFUNCTION("""COMPUTED_VALUE"""),44920)</f>
        <v>44920</v>
      </c>
      <c r="J14" s="68" t="str">
        <f ca="1"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73"/>
      <c r="AL14" s="68" t="str">
        <f ca="1">IFERROR(__xludf.DUMMYFUNCTION("""COMPUTED_VALUE"""),"Работы завершены")</f>
        <v>Работы завершены</v>
      </c>
      <c r="AM14" s="73" t="str">
        <f ca="1"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Поставлено 10 троллейбусов. ")</f>
        <v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v>
      </c>
      <c r="AN14" s="73" t="str">
        <f ca="1">IFERROR(__xludf.DUMMYFUNCTION("""COMPUTED_VALUE"""),"Нет")</f>
        <v>Нет</v>
      </c>
      <c r="AO14" s="73"/>
      <c r="AP14" s="75">
        <f ca="1">IFERROR(__xludf.DUMMYFUNCTION("""COMPUTED_VALUE"""),1069056.5)</f>
        <v>1069056.5</v>
      </c>
      <c r="AQ14" s="75">
        <f ca="1">IFERROR(__xludf.DUMMYFUNCTION("""COMPUTED_VALUE"""),1069022.37928)</f>
        <v>1069022.37928</v>
      </c>
      <c r="AR14" s="75">
        <f ca="1">IFERROR(__xludf.DUMMYFUNCTION("""COMPUTED_VALUE"""),1053972.44)</f>
        <v>1053972.44</v>
      </c>
      <c r="AS14" s="75">
        <f ca="1">IFERROR(__xludf.DUMMYFUNCTION("""COMPUTED_VALUE"""),1053972.44)</f>
        <v>1053972.44</v>
      </c>
      <c r="AT14" s="75">
        <f ca="1">IFERROR(__xludf.DUMMYFUNCTION("""COMPUTED_VALUE"""),15084.06)</f>
        <v>15084.06</v>
      </c>
      <c r="AU14" s="75">
        <f ca="1">IFERROR(__xludf.DUMMYFUNCTION("""COMPUTED_VALUE"""),15049.9392799999)</f>
        <v>15049.9392799999</v>
      </c>
      <c r="AV14" s="75">
        <f ca="1">IFERROR(__xludf.DUMMYFUNCTION("""COMPUTED_VALUE"""),0)</f>
        <v>0</v>
      </c>
      <c r="AW14" s="75">
        <f ca="1">IFERROR(__xludf.DUMMYFUNCTION("""COMPUTED_VALUE"""),0)</f>
        <v>0</v>
      </c>
      <c r="AX14" s="75">
        <f ca="1">IFERROR(__xludf.DUMMYFUNCTION("""COMPUTED_VALUE"""),702.13)</f>
        <v>702.13</v>
      </c>
      <c r="AY14" s="77">
        <f ca="1">IFERROR(__xludf.DUMMYFUNCTION("""COMPUTED_VALUE"""),0.942050472212643)</f>
        <v>0.94205047221264304</v>
      </c>
      <c r="AZ14" s="75">
        <f ca="1">IFERROR(__xludf.DUMMYFUNCTION("""COMPUTED_VALUE"""),785.07)</f>
        <v>785.07</v>
      </c>
      <c r="BA14" s="77">
        <f ca="1">IFERROR(__xludf.DUMMYFUNCTION("""COMPUTED_VALUE"""),1.05333138339051)</f>
        <v>1.05333138339051</v>
      </c>
      <c r="BB14" s="4"/>
      <c r="BC14" s="4"/>
      <c r="BD14" s="67" t="str">
        <f ca="1">IFERROR(__xludf.DUMMYFUNCTION("""COMPUTED_VALUE"""),"Забайкальский край")</f>
        <v>Забайкальский край</v>
      </c>
      <c r="BE14" s="67" t="str">
        <f ca="1">IFERROR(__xludf.DUMMYFUNCTION("""COMPUTED_VALUE"""),"Чита")</f>
        <v>Чита</v>
      </c>
      <c r="BF1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4" s="69" t="str">
        <f ca="1">IFERROR(__xludf.DUMMYFUNCTION("""COMPUTED_VALUE"""),"1.1.1.")</f>
        <v>1.1.1.</v>
      </c>
      <c r="BH14" s="68" t="str">
        <f ca="1">IFERROR(__xludf.DUMMYFUNCTION("""COMPUTED_VALUE"""),"Объекты транспортной инфраструктуры")</f>
        <v>Объекты транспортной инфраструктуры</v>
      </c>
      <c r="BI14" s="68" t="str">
        <f ca="1">IFERROR(__xludf.DUMMYFUNCTION("""COMPUTED_VALUE"""),"Приобретение троллейбусов (55 ед.)")</f>
        <v>Приобретение троллейбусов (55 ед.)</v>
      </c>
      <c r="BJ14" s="73" t="str">
        <f ca="1">IFERROR(__xludf.DUMMYFUNCTION("""COMPUTED_VALUE"""),"Азот (II) оксид")</f>
        <v>Азот (II) оксид</v>
      </c>
      <c r="BK14" s="78">
        <f ca="1">IFERROR(__xludf.DUMMYFUNCTION("""COMPUTED_VALUE"""),0.99)</f>
        <v>0.99</v>
      </c>
      <c r="BL14" s="78">
        <f ca="1">IFERROR(__xludf.DUMMYFUNCTION("""COMPUTED_VALUE"""),0.0016121793472986)</f>
        <v>1.6121793472986001E-3</v>
      </c>
      <c r="BM14" s="78">
        <f ca="1">IFERROR(__xludf.DUMMYFUNCTION("""COMPUTED_VALUE"""),1.0469722)</f>
        <v>1.0469721999999999</v>
      </c>
      <c r="BN14" s="78">
        <f ca="1">IFERROR(__xludf.DUMMYFUNCTION("""COMPUTED_VALUE"""),0.00170495652326847)</f>
        <v>1.7049565232684701E-3</v>
      </c>
      <c r="BO14" s="66"/>
      <c r="BP14" s="66"/>
    </row>
    <row r="15" spans="1:68" ht="105.6">
      <c r="A15" s="66"/>
      <c r="B15" s="67" t="str">
        <f ca="1">IFERROR(__xludf.DUMMYFUNCTION("""COMPUTED_VALUE"""),"Забайкальский край")</f>
        <v>Забайкальский край</v>
      </c>
      <c r="C15" s="67" t="str">
        <f ca="1">IFERROR(__xludf.DUMMYFUNCTION("""COMPUTED_VALUE"""),"Чита")</f>
        <v>Чита</v>
      </c>
      <c r="D15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69" t="str">
        <f ca="1">IFERROR(__xludf.DUMMYFUNCTION("""COMPUTED_VALUE"""),"1.2.1.")</f>
        <v>1.2.1.</v>
      </c>
      <c r="F15" s="70" t="str">
        <f ca="1">IFERROR(__xludf.DUMMYFUNCTION("""COMPUTED_VALUE"""),"Объекты транспортной инфраструктуры")</f>
        <v>Объекты транспортной инфраструктуры</v>
      </c>
      <c r="G15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71">
        <f ca="1">IFERROR(__xludf.DUMMYFUNCTION("""COMPUTED_VALUE"""),43466)</f>
        <v>43466</v>
      </c>
      <c r="I15" s="71">
        <f ca="1">IFERROR(__xludf.DUMMYFUNCTION("""COMPUTED_VALUE"""),44925)</f>
        <v>44925</v>
      </c>
      <c r="J15" s="68" t="str">
        <f ca="1"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72"/>
      <c r="L15" s="72"/>
      <c r="M15" s="73"/>
      <c r="N15" s="72"/>
      <c r="O15" s="72"/>
      <c r="P15" s="73"/>
      <c r="Q15" s="72"/>
      <c r="R15" s="72"/>
      <c r="S15" s="73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72"/>
      <c r="AJ15" s="72"/>
      <c r="AK15" s="73" t="str">
        <f ca="1">IFERROR(__xludf.DUMMYFUNCTION("""COMPUTED_VALUE"""),"Акт от 30.11.2022 г.")</f>
        <v>Акт от 30.11.2022 г.</v>
      </c>
      <c r="AL15" s="68" t="str">
        <f ca="1">IFERROR(__xludf.DUMMYFUNCTION("""COMPUTED_VALUE"""),"Работы завершены")</f>
        <v>Работы завершены</v>
      </c>
      <c r="AM15" s="73" t="str">
        <f ca="1"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AN15" s="73" t="str">
        <f ca="1">IFERROR(__xludf.DUMMYFUNCTION("""COMPUTED_VALUE"""),"Нет")</f>
        <v>Нет</v>
      </c>
      <c r="AO15" s="73"/>
      <c r="AP15" s="75">
        <f ca="1">IFERROR(__xludf.DUMMYFUNCTION("""COMPUTED_VALUE"""),303671.63963)</f>
        <v>303671.63962999999</v>
      </c>
      <c r="AQ15" s="75">
        <f ca="1">IFERROR(__xludf.DUMMYFUNCTION("""COMPUTED_VALUE"""),303671.63963)</f>
        <v>303671.63962999999</v>
      </c>
      <c r="AR15" s="75">
        <f ca="1">IFERROR(__xludf.DUMMYFUNCTION("""COMPUTED_VALUE"""),283523.69963)</f>
        <v>283523.69962999999</v>
      </c>
      <c r="AS15" s="75">
        <f ca="1">IFERROR(__xludf.DUMMYFUNCTION("""COMPUTED_VALUE"""),283523.69963)</f>
        <v>283523.69962999999</v>
      </c>
      <c r="AT15" s="75">
        <f ca="1">IFERROR(__xludf.DUMMYFUNCTION("""COMPUTED_VALUE"""),20147.94)</f>
        <v>20147.939999999999</v>
      </c>
      <c r="AU15" s="75">
        <f ca="1">IFERROR(__xludf.DUMMYFUNCTION("""COMPUTED_VALUE"""),20147.94)</f>
        <v>20147.939999999999</v>
      </c>
      <c r="AV15" s="75">
        <f ca="1">IFERROR(__xludf.DUMMYFUNCTION("""COMPUTED_VALUE"""),0)</f>
        <v>0</v>
      </c>
      <c r="AW15" s="75">
        <f ca="1">IFERROR(__xludf.DUMMYFUNCTION("""COMPUTED_VALUE"""),0)</f>
        <v>0</v>
      </c>
      <c r="AX15" s="75">
        <f ca="1">IFERROR(__xludf.DUMMYFUNCTION("""COMPUTED_VALUE"""),107.25)</f>
        <v>107.25</v>
      </c>
      <c r="AY15" s="77">
        <f ca="1">IFERROR(__xludf.DUMMYFUNCTION("""COMPUTED_VALUE"""),0.143897729971381)</f>
        <v>0.14389772997138101</v>
      </c>
      <c r="AZ15" s="75">
        <f ca="1">IFERROR(__xludf.DUMMYFUNCTION("""COMPUTED_VALUE"""),107.25)</f>
        <v>107.25</v>
      </c>
      <c r="BA15" s="77">
        <f ca="1">IFERROR(__xludf.DUMMYFUNCTION("""COMPUTED_VALUE"""),0.143897729971381)</f>
        <v>0.14389772997138101</v>
      </c>
      <c r="BB15" s="4"/>
      <c r="BC15" s="4"/>
      <c r="BD15" s="67" t="str">
        <f ca="1">IFERROR(__xludf.DUMMYFUNCTION("""COMPUTED_VALUE"""),"Забайкальский край")</f>
        <v>Забайкальский край</v>
      </c>
      <c r="BE15" s="67" t="str">
        <f ca="1">IFERROR(__xludf.DUMMYFUNCTION("""COMPUTED_VALUE"""),"Чита")</f>
        <v>Чита</v>
      </c>
      <c r="BF1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5" s="69" t="str">
        <f ca="1">IFERROR(__xludf.DUMMYFUNCTION("""COMPUTED_VALUE"""),"1.1.1.")</f>
        <v>1.1.1.</v>
      </c>
      <c r="BH15" s="68" t="str">
        <f ca="1">IFERROR(__xludf.DUMMYFUNCTION("""COMPUTED_VALUE"""),"Объекты транспортной инфраструктуры")</f>
        <v>Объекты транспортной инфраструктуры</v>
      </c>
      <c r="BI15" s="68" t="str">
        <f ca="1">IFERROR(__xludf.DUMMYFUNCTION("""COMPUTED_VALUE"""),"Приобретение троллейбусов (55 ед.)")</f>
        <v>Приобретение троллейбусов (55 ед.)</v>
      </c>
      <c r="BJ15" s="73" t="str">
        <f ca="1">IFERROR(__xludf.DUMMYFUNCTION("""COMPUTED_VALUE"""),"Азота диоксид")</f>
        <v>Азота диоксид</v>
      </c>
      <c r="BK15" s="78">
        <f ca="1">IFERROR(__xludf.DUMMYFUNCTION("""COMPUTED_VALUE"""),6.05)</f>
        <v>6.05</v>
      </c>
      <c r="BL15" s="78">
        <f ca="1">IFERROR(__xludf.DUMMYFUNCTION("""COMPUTED_VALUE"""),0.00985220712238037)</f>
        <v>9.8522071223803697E-3</v>
      </c>
      <c r="BM15" s="78">
        <f ca="1">IFERROR(__xludf.DUMMYFUNCTION("""COMPUTED_VALUE"""),6.81489943743563)</f>
        <v>6.8148994374356304</v>
      </c>
      <c r="BN15" s="78">
        <f ca="1">IFERROR(__xludf.DUMMYFUNCTION("""COMPUTED_VALUE"""),0.0110978183100511)</f>
        <v>1.10978183100511E-2</v>
      </c>
      <c r="BO15" s="66"/>
      <c r="BP15" s="66"/>
    </row>
    <row r="16" spans="1:68" ht="79.2">
      <c r="A16" s="66"/>
      <c r="B16" s="67" t="str">
        <f ca="1">IFERROR(__xludf.DUMMYFUNCTION("""COMPUTED_VALUE"""),"Забайкальский край")</f>
        <v>Забайкальский край</v>
      </c>
      <c r="C16" s="67" t="str">
        <f ca="1">IFERROR(__xludf.DUMMYFUNCTION("""COMPUTED_VALUE"""),"Чита")</f>
        <v>Чита</v>
      </c>
      <c r="D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6" s="69" t="str">
        <f ca="1">IFERROR(__xludf.DUMMYFUNCTION("""COMPUTED_VALUE"""),"2.1.1.")</f>
        <v>2.1.1.</v>
      </c>
      <c r="F16" s="70" t="str">
        <f ca="1">IFERROR(__xludf.DUMMYFUNCTION("""COMPUTED_VALUE"""),"Объекты коммунальной инфраструктуры")</f>
        <v>Объекты коммунальной инфраструктуры</v>
      </c>
      <c r="G1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71">
        <f ca="1">IFERROR(__xludf.DUMMYFUNCTION("""COMPUTED_VALUE"""),43466)</f>
        <v>43466</v>
      </c>
      <c r="I16" s="71">
        <f ca="1">IFERROR(__xludf.DUMMYFUNCTION("""COMPUTED_VALUE"""),44925)</f>
        <v>44925</v>
      </c>
      <c r="J16" s="68" t="str">
        <f ca="1"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72">
        <f ca="1">IFERROR(__xludf.DUMMYFUNCTION("""COMPUTED_VALUE"""),45169)</f>
        <v>45169</v>
      </c>
      <c r="AJ16" s="72"/>
      <c r="AK16" s="73"/>
      <c r="AL16" s="68" t="str">
        <f ca="1">IFERROR(__xludf.DUMMYFUNCTION("""COMPUTED_VALUE"""),"Работы завершены")</f>
        <v>Работы завершены</v>
      </c>
      <c r="AM16" s="73" t="str">
        <f ca="1"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AN16" s="73" t="str">
        <f ca="1">IFERROR(__xludf.DUMMYFUNCTION("""COMPUTED_VALUE"""),"Нет")</f>
        <v>Нет</v>
      </c>
      <c r="AO16" s="73"/>
      <c r="AP16" s="75">
        <f ca="1">IFERROR(__xludf.DUMMYFUNCTION("""COMPUTED_VALUE"""),19919.95613)</f>
        <v>19919.956129999999</v>
      </c>
      <c r="AQ16" s="75">
        <f ca="1">IFERROR(__xludf.DUMMYFUNCTION("""COMPUTED_VALUE"""),19919.95848)</f>
        <v>19919.958480000001</v>
      </c>
      <c r="AR16" s="75">
        <f ca="1">IFERROR(__xludf.DUMMYFUNCTION("""COMPUTED_VALUE"""),18441.1)</f>
        <v>18441.099999999999</v>
      </c>
      <c r="AS16" s="75">
        <f ca="1">IFERROR(__xludf.DUMMYFUNCTION("""COMPUTED_VALUE"""),18441.10235)</f>
        <v>18441.102350000001</v>
      </c>
      <c r="AT16" s="75">
        <f ca="1">IFERROR(__xludf.DUMMYFUNCTION("""COMPUTED_VALUE"""),1478.85613)</f>
        <v>1478.8561299999999</v>
      </c>
      <c r="AU16" s="75">
        <f ca="1">IFERROR(__xludf.DUMMYFUNCTION("""COMPUTED_VALUE"""),1478.85613)</f>
        <v>1478.8561299999999</v>
      </c>
      <c r="AV16" s="75">
        <f ca="1">IFERROR(__xludf.DUMMYFUNCTION("""COMPUTED_VALUE"""),0)</f>
        <v>0</v>
      </c>
      <c r="AW16" s="75">
        <f ca="1">IFERROR(__xludf.DUMMYFUNCTION("""COMPUTED_VALUE"""),0)</f>
        <v>0</v>
      </c>
      <c r="AX16" s="75">
        <f ca="1">IFERROR(__xludf.DUMMYFUNCTION("""COMPUTED_VALUE"""),86.3)</f>
        <v>86.3</v>
      </c>
      <c r="AY16" s="77">
        <f ca="1">IFERROR(__xludf.DUMMYFUNCTION("""COMPUTED_VALUE"""),0.115789035865083)</f>
        <v>0.115789035865083</v>
      </c>
      <c r="AZ16" s="75">
        <f ca="1">IFERROR(__xludf.DUMMYFUNCTION("""COMPUTED_VALUE"""),86.3)</f>
        <v>86.3</v>
      </c>
      <c r="BA16" s="77">
        <f ca="1">IFERROR(__xludf.DUMMYFUNCTION("""COMPUTED_VALUE"""),0.115789035865083)</f>
        <v>0.115789035865083</v>
      </c>
      <c r="BB16" s="4"/>
      <c r="BC16" s="4"/>
      <c r="BD16" s="67" t="str">
        <f ca="1">IFERROR(__xludf.DUMMYFUNCTION("""COMPUTED_VALUE"""),"Забайкальский край")</f>
        <v>Забайкальский край</v>
      </c>
      <c r="BE16" s="67" t="str">
        <f ca="1">IFERROR(__xludf.DUMMYFUNCTION("""COMPUTED_VALUE"""),"Чита")</f>
        <v>Чита</v>
      </c>
      <c r="BF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6" s="69" t="str">
        <f ca="1">IFERROR(__xludf.DUMMYFUNCTION("""COMPUTED_VALUE"""),"1.1.1.")</f>
        <v>1.1.1.</v>
      </c>
      <c r="BH16" s="68" t="str">
        <f ca="1">IFERROR(__xludf.DUMMYFUNCTION("""COMPUTED_VALUE"""),"Объекты транспортной инфраструктуры")</f>
        <v>Объекты транспортной инфраструктуры</v>
      </c>
      <c r="BI16" s="68" t="str">
        <f ca="1">IFERROR(__xludf.DUMMYFUNCTION("""COMPUTED_VALUE"""),"Приобретение троллейбусов (55 ед.)")</f>
        <v>Приобретение троллейбусов (55 ед.)</v>
      </c>
      <c r="BJ16" s="73" t="str">
        <f ca="1">IFERROR(__xludf.DUMMYFUNCTION("""COMPUTED_VALUE"""),"Сера диоксид")</f>
        <v>Сера диоксид</v>
      </c>
      <c r="BK16" s="78">
        <f ca="1">IFERROR(__xludf.DUMMYFUNCTION("""COMPUTED_VALUE"""),1.65)</f>
        <v>1.65</v>
      </c>
      <c r="BL16" s="78">
        <f ca="1">IFERROR(__xludf.DUMMYFUNCTION("""COMPUTED_VALUE"""),0.00268696557883101)</f>
        <v>2.68696557883101E-3</v>
      </c>
      <c r="BM16" s="75">
        <f ca="1">IFERROR(__xludf.DUMMYFUNCTION("""COMPUTED_VALUE"""),1.48834283230689)</f>
        <v>1.4883428323068899</v>
      </c>
      <c r="BN16" s="78">
        <f ca="1">IFERROR(__xludf.DUMMYFUNCTION("""COMPUTED_VALUE"""),0.00242371270297482)</f>
        <v>2.42371270297482E-3</v>
      </c>
      <c r="BO16" s="66"/>
      <c r="BP16" s="66"/>
    </row>
    <row r="17" spans="1:68" ht="92.4">
      <c r="A17" s="66"/>
      <c r="B17" s="67" t="str">
        <f ca="1">IFERROR(__xludf.DUMMYFUNCTION("""COMPUTED_VALUE"""),"Забайкальский край")</f>
        <v>Забайкальский край</v>
      </c>
      <c r="C17" s="67" t="str">
        <f ca="1">IFERROR(__xludf.DUMMYFUNCTION("""COMPUTED_VALUE"""),"Чита")</f>
        <v>Чита</v>
      </c>
      <c r="D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7" s="69" t="str">
        <f ca="1">IFERROR(__xludf.DUMMYFUNCTION("""COMPUTED_VALUE"""),"2.1.2.")</f>
        <v>2.1.2.</v>
      </c>
      <c r="F17" s="70" t="str">
        <f ca="1">IFERROR(__xludf.DUMMYFUNCTION("""COMPUTED_VALUE"""),"Объекты коммунальной инфраструктуры")</f>
        <v>Объекты коммунальной инфраструктуры</v>
      </c>
      <c r="G17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71">
        <f ca="1">IFERROR(__xludf.DUMMYFUNCTION("""COMPUTED_VALUE"""),43466)</f>
        <v>43466</v>
      </c>
      <c r="I17" s="71">
        <f ca="1">IFERROR(__xludf.DUMMYFUNCTION("""COMPUTED_VALUE"""),44925)</f>
        <v>44925</v>
      </c>
      <c r="J17" s="68" t="str">
        <f ca="1"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72">
        <f ca="1">IFERROR(__xludf.DUMMYFUNCTION("""COMPUTED_VALUE"""),45169)</f>
        <v>45169</v>
      </c>
      <c r="AJ17" s="72"/>
      <c r="AK17" s="73"/>
      <c r="AL17" s="68" t="str">
        <f ca="1">IFERROR(__xludf.DUMMYFUNCTION("""COMPUTED_VALUE"""),"Работы завершены")</f>
        <v>Работы завершены</v>
      </c>
      <c r="AM17" s="73" t="str">
        <f ca="1"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AN17" s="73" t="str">
        <f ca="1">IFERROR(__xludf.DUMMYFUNCTION("""COMPUTED_VALUE"""),"Нет")</f>
        <v>Нет</v>
      </c>
      <c r="AO17" s="73"/>
      <c r="AP17" s="75">
        <f ca="1">IFERROR(__xludf.DUMMYFUNCTION("""COMPUTED_VALUE"""),270058.233139999)</f>
        <v>270058.23313999898</v>
      </c>
      <c r="AQ17" s="75">
        <f ca="1">IFERROR(__xludf.DUMMYFUNCTION("""COMPUTED_VALUE"""),270058.233139999)</f>
        <v>270058.23313999898</v>
      </c>
      <c r="AR17" s="75">
        <f ca="1">IFERROR(__xludf.DUMMYFUNCTION("""COMPUTED_VALUE"""),267292.55314)</f>
        <v>267292.55313999997</v>
      </c>
      <c r="AS17" s="75">
        <f ca="1">IFERROR(__xludf.DUMMYFUNCTION("""COMPUTED_VALUE"""),267292.55314)</f>
        <v>267292.55313999997</v>
      </c>
      <c r="AT17" s="75">
        <f ca="1">IFERROR(__xludf.DUMMYFUNCTION("""COMPUTED_VALUE"""),2765.68)</f>
        <v>2765.68</v>
      </c>
      <c r="AU17" s="75">
        <f ca="1">IFERROR(__xludf.DUMMYFUNCTION("""COMPUTED_VALUE"""),2765.68)</f>
        <v>2765.68</v>
      </c>
      <c r="AV17" s="75">
        <f ca="1">IFERROR(__xludf.DUMMYFUNCTION("""COMPUTED_VALUE"""),0)</f>
        <v>0</v>
      </c>
      <c r="AW17" s="75">
        <f ca="1">IFERROR(__xludf.DUMMYFUNCTION("""COMPUTED_VALUE"""),0)</f>
        <v>0</v>
      </c>
      <c r="AX17" s="75">
        <f ca="1">IFERROR(__xludf.DUMMYFUNCTION("""COMPUTED_VALUE"""),462.3)</f>
        <v>462.3</v>
      </c>
      <c r="AY17" s="77">
        <f ca="1">IFERROR(__xludf.DUMMYFUNCTION("""COMPUTED_VALUE"""),0.620269655624891)</f>
        <v>0.620269655624891</v>
      </c>
      <c r="AZ17" s="75">
        <f ca="1">IFERROR(__xludf.DUMMYFUNCTION("""COMPUTED_VALUE"""),462.3)</f>
        <v>462.3</v>
      </c>
      <c r="BA17" s="77">
        <f ca="1">IFERROR(__xludf.DUMMYFUNCTION("""COMPUTED_VALUE"""),0.620269655624891)</f>
        <v>0.620269655624891</v>
      </c>
      <c r="BB17" s="4"/>
      <c r="BC17" s="4"/>
      <c r="BD17" s="67" t="str">
        <f ca="1">IFERROR(__xludf.DUMMYFUNCTION("""COMPUTED_VALUE"""),"Забайкальский край")</f>
        <v>Забайкальский край</v>
      </c>
      <c r="BE17" s="67" t="str">
        <f ca="1">IFERROR(__xludf.DUMMYFUNCTION("""COMPUTED_VALUE"""),"Чита")</f>
        <v>Чита</v>
      </c>
      <c r="BF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7" s="69" t="str">
        <f ca="1">IFERROR(__xludf.DUMMYFUNCTION("""COMPUTED_VALUE"""),"1.1.1.")</f>
        <v>1.1.1.</v>
      </c>
      <c r="BH17" s="68" t="str">
        <f ca="1">IFERROR(__xludf.DUMMYFUNCTION("""COMPUTED_VALUE"""),"Объекты транспортной инфраструктуры")</f>
        <v>Объекты транспортной инфраструктуры</v>
      </c>
      <c r="BI17" s="68" t="str">
        <f ca="1">IFERROR(__xludf.DUMMYFUNCTION("""COMPUTED_VALUE"""),"Приобретение троллейбусов (55 ед.)")</f>
        <v>Приобретение троллейбусов (55 ед.)</v>
      </c>
      <c r="BJ17" s="73" t="str">
        <f ca="1">IFERROR(__xludf.DUMMYFUNCTION("""COMPUTED_VALUE"""),"Углерода оксид")</f>
        <v>Углерода оксид</v>
      </c>
      <c r="BK17" s="78">
        <f ca="1">IFERROR(__xludf.DUMMYFUNCTION("""COMPUTED_VALUE"""),622.61)</f>
        <v>622.61</v>
      </c>
      <c r="BL17" s="78">
        <f ca="1">IFERROR(__xludf.DUMMYFUNCTION("""COMPUTED_VALUE"""),1.0138979630521)</f>
        <v>1.0138979630520999</v>
      </c>
      <c r="BM17" s="78">
        <f ca="1">IFERROR(__xludf.DUMMYFUNCTION("""COMPUTED_VALUE"""),701.266769765748)</f>
        <v>701.26676976574799</v>
      </c>
      <c r="BN17" s="78">
        <f ca="1">IFERROR(__xludf.DUMMYFUNCTION("""COMPUTED_VALUE"""),1.14198767996277)</f>
        <v>1.14198767996277</v>
      </c>
      <c r="BO17" s="66"/>
      <c r="BP17" s="66"/>
    </row>
    <row r="18" spans="1:68" ht="79.2">
      <c r="A18" s="66"/>
      <c r="B18" s="67" t="str">
        <f ca="1">IFERROR(__xludf.DUMMYFUNCTION("""COMPUTED_VALUE"""),"Забайкальский край")</f>
        <v>Забайкальский край</v>
      </c>
      <c r="C18" s="67" t="str">
        <f ca="1">IFERROR(__xludf.DUMMYFUNCTION("""COMPUTED_VALUE"""),"Чита")</f>
        <v>Чита</v>
      </c>
      <c r="D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8" s="69" t="str">
        <f ca="1">IFERROR(__xludf.DUMMYFUNCTION("""COMPUTED_VALUE"""),"2.1.3.")</f>
        <v>2.1.3.</v>
      </c>
      <c r="F18" s="70" t="str">
        <f ca="1">IFERROR(__xludf.DUMMYFUNCTION("""COMPUTED_VALUE"""),"Объекты коммунальной инфраструктуры")</f>
        <v>Объекты коммунальной инфраструктуры</v>
      </c>
      <c r="G1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71">
        <f ca="1">IFERROR(__xludf.DUMMYFUNCTION("""COMPUTED_VALUE"""),43466)</f>
        <v>43466</v>
      </c>
      <c r="I18" s="71">
        <f ca="1">IFERROR(__xludf.DUMMYFUNCTION("""COMPUTED_VALUE"""),44925)</f>
        <v>44925</v>
      </c>
      <c r="J18" s="68" t="str">
        <f ca="1"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72"/>
      <c r="L18" s="72"/>
      <c r="M18" s="73"/>
      <c r="N18" s="72"/>
      <c r="O18" s="72"/>
      <c r="P18" s="73"/>
      <c r="Q18" s="72"/>
      <c r="R18" s="72"/>
      <c r="S18" s="73"/>
      <c r="T18" s="72"/>
      <c r="U18" s="72"/>
      <c r="V18" s="73"/>
      <c r="W18" s="72"/>
      <c r="X18" s="72"/>
      <c r="Y18" s="73"/>
      <c r="Z18" s="72"/>
      <c r="AA18" s="72"/>
      <c r="AB18" s="73"/>
      <c r="AC18" s="72"/>
      <c r="AD18" s="72"/>
      <c r="AE18" s="73"/>
      <c r="AF18" s="72"/>
      <c r="AG18" s="72"/>
      <c r="AH18" s="73"/>
      <c r="AI18" s="72">
        <f ca="1">IFERROR(__xludf.DUMMYFUNCTION("""COMPUTED_VALUE"""),45169)</f>
        <v>45169</v>
      </c>
      <c r="AJ18" s="72"/>
      <c r="AK18" s="73"/>
      <c r="AL18" s="68" t="str">
        <f ca="1">IFERROR(__xludf.DUMMYFUNCTION("""COMPUTED_VALUE"""),"Работы завершены")</f>
        <v>Работы завершены</v>
      </c>
      <c r="AM18" s="73" t="str">
        <f ca="1"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AN18" s="73" t="str">
        <f ca="1">IFERROR(__xludf.DUMMYFUNCTION("""COMPUTED_VALUE"""),"Нет")</f>
        <v>Нет</v>
      </c>
      <c r="AO18" s="73"/>
      <c r="AP18" s="75">
        <f ca="1">IFERROR(__xludf.DUMMYFUNCTION("""COMPUTED_VALUE"""),129934.89)</f>
        <v>129934.89</v>
      </c>
      <c r="AQ18" s="75">
        <f ca="1">IFERROR(__xludf.DUMMYFUNCTION("""COMPUTED_VALUE"""),129934.89)</f>
        <v>129934.89</v>
      </c>
      <c r="AR18" s="75">
        <f ca="1">IFERROR(__xludf.DUMMYFUNCTION("""COMPUTED_VALUE"""),121342.94)</f>
        <v>121342.94</v>
      </c>
      <c r="AS18" s="75">
        <f ca="1">IFERROR(__xludf.DUMMYFUNCTION("""COMPUTED_VALUE"""),121342.94)</f>
        <v>121342.94</v>
      </c>
      <c r="AT18" s="75">
        <f ca="1">IFERROR(__xludf.DUMMYFUNCTION("""COMPUTED_VALUE"""),8591.95)</f>
        <v>8591.9500000000007</v>
      </c>
      <c r="AU18" s="75">
        <f ca="1">IFERROR(__xludf.DUMMYFUNCTION("""COMPUTED_VALUE"""),8591.95)</f>
        <v>8591.9500000000007</v>
      </c>
      <c r="AV18" s="75">
        <f ca="1">IFERROR(__xludf.DUMMYFUNCTION("""COMPUTED_VALUE"""),0)</f>
        <v>0</v>
      </c>
      <c r="AW18" s="75">
        <f ca="1">IFERROR(__xludf.DUMMYFUNCTION("""COMPUTED_VALUE"""),0)</f>
        <v>0</v>
      </c>
      <c r="AX18" s="75">
        <f ca="1">IFERROR(__xludf.DUMMYFUNCTION("""COMPUTED_VALUE"""),297.09)</f>
        <v>297.08999999999997</v>
      </c>
      <c r="AY18" s="77">
        <f ca="1">IFERROR(__xludf.DUMMYFUNCTION("""COMPUTED_VALUE"""),0.398606774799046)</f>
        <v>0.39860677479904599</v>
      </c>
      <c r="AZ18" s="75">
        <f ca="1">IFERROR(__xludf.DUMMYFUNCTION("""COMPUTED_VALUE"""),297.099)</f>
        <v>297.09899999999999</v>
      </c>
      <c r="BA18" s="77">
        <f ca="1">IFERROR(__xludf.DUMMYFUNCTION("""COMPUTED_VALUE"""),0.398618850133029)</f>
        <v>0.398618850133029</v>
      </c>
      <c r="BB18" s="4"/>
      <c r="BC18" s="4"/>
      <c r="BD18" s="67" t="str">
        <f ca="1">IFERROR(__xludf.DUMMYFUNCTION("""COMPUTED_VALUE"""),"Забайкальский край")</f>
        <v>Забайкальский край</v>
      </c>
      <c r="BE18" s="67" t="str">
        <f ca="1">IFERROR(__xludf.DUMMYFUNCTION("""COMPUTED_VALUE"""),"Чита")</f>
        <v>Чита</v>
      </c>
      <c r="BF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8" s="69" t="str">
        <f ca="1">IFERROR(__xludf.DUMMYFUNCTION("""COMPUTED_VALUE"""),"1.2.1.")</f>
        <v>1.2.1.</v>
      </c>
      <c r="BH18" s="68" t="str">
        <f ca="1">IFERROR(__xludf.DUMMYFUNCTION("""COMPUTED_VALUE"""),"Объекты транспортной инфраструктуры")</f>
        <v>Объекты транспортной инфраструктуры</v>
      </c>
      <c r="BI18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8" s="73" t="str">
        <f ca="1">IFERROR(__xludf.DUMMYFUNCTION("""COMPUTED_VALUE"""),"Азота диоксид")</f>
        <v>Азота диоксид</v>
      </c>
      <c r="BK18" s="78">
        <f ca="1">IFERROR(__xludf.DUMMYFUNCTION("""COMPUTED_VALUE"""),0.930891698)</f>
        <v>0.93089169800000005</v>
      </c>
      <c r="BL18" s="78">
        <f ca="1">IFERROR(__xludf.DUMMYFUNCTION("""COMPUTED_VALUE"""),0.00151592360614881)</f>
        <v>1.5159236061488099E-3</v>
      </c>
      <c r="BM18" s="78">
        <f ca="1">IFERROR(__xludf.DUMMYFUNCTION("""COMPUTED_VALUE"""),0.930989451)</f>
        <v>0.93098945099999997</v>
      </c>
      <c r="BN18" s="78">
        <f ca="1">IFERROR(__xludf.DUMMYFUNCTION("""COMPUTED_VALUE"""),0.00151608279338895)</f>
        <v>1.51608279338895E-3</v>
      </c>
      <c r="BO18" s="66"/>
      <c r="BP18" s="66"/>
    </row>
    <row r="19" spans="1:68" ht="66">
      <c r="A19" s="66"/>
      <c r="B19" s="67" t="str">
        <f ca="1">IFERROR(__xludf.DUMMYFUNCTION("""COMPUTED_VALUE"""),"Забайкальский край")</f>
        <v>Забайкальский край</v>
      </c>
      <c r="C19" s="67" t="str">
        <f ca="1">IFERROR(__xludf.DUMMYFUNCTION("""COMPUTED_VALUE"""),"Чита")</f>
        <v>Чита</v>
      </c>
      <c r="D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9" s="69" t="str">
        <f ca="1">IFERROR(__xludf.DUMMYFUNCTION("""COMPUTED_VALUE"""),"2.1.4.")</f>
        <v>2.1.4.</v>
      </c>
      <c r="F19" s="70" t="str">
        <f ca="1">IFERROR(__xludf.DUMMYFUNCTION("""COMPUTED_VALUE"""),"Объекты коммунальной инфраструктуры")</f>
        <v>Объекты коммунальной инфраструктуры</v>
      </c>
      <c r="G1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71">
        <f ca="1">IFERROR(__xludf.DUMMYFUNCTION("""COMPUTED_VALUE"""),44956)</f>
        <v>44956</v>
      </c>
      <c r="I19" s="71">
        <f ca="1">IFERROR(__xludf.DUMMYFUNCTION("""COMPUTED_VALUE"""),45290)</f>
        <v>45290</v>
      </c>
      <c r="J19" s="68" t="str">
        <f ca="1"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72"/>
      <c r="L19" s="72"/>
      <c r="M19" s="73"/>
      <c r="N19" s="72"/>
      <c r="O19" s="72"/>
      <c r="P19" s="73" t="str">
        <f ca="1">IFERROR(__xludf.DUMMYFUNCTION("""COMPUTED_VALUE"""),"Выполнено")</f>
        <v>Выполнено</v>
      </c>
      <c r="Q19" s="72">
        <f ca="1">IFERROR(__xludf.DUMMYFUNCTION("""COMPUTED_VALUE"""),45061)</f>
        <v>45061</v>
      </c>
      <c r="R19" s="72">
        <f ca="1">IFERROR(__xludf.DUMMYFUNCTION("""COMPUTED_VALUE"""),45098)</f>
        <v>45098</v>
      </c>
      <c r="S19" s="73" t="str">
        <f ca="1">IFERROR(__xludf.DUMMYFUNCTION("""COMPUTED_VALUE"""),"Выполнено")</f>
        <v>Выполнено</v>
      </c>
      <c r="T19" s="72">
        <f ca="1">IFERROR(__xludf.DUMMYFUNCTION("""COMPUTED_VALUE"""),45086)</f>
        <v>45086</v>
      </c>
      <c r="U19" s="72"/>
      <c r="V19" s="73" t="str">
        <f ca="1">IFERROR(__xludf.DUMMYFUNCTION("""COMPUTED_VALUE"""),"Не выполнено")</f>
        <v>Не выполнено</v>
      </c>
      <c r="W19" s="72">
        <f ca="1">IFERROR(__xludf.DUMMYFUNCTION("""COMPUTED_VALUE"""),45188)</f>
        <v>45188</v>
      </c>
      <c r="X19" s="72">
        <f ca="1">IFERROR(__xludf.DUMMYFUNCTION("""COMPUTED_VALUE"""),45188)</f>
        <v>45188</v>
      </c>
      <c r="Y19" s="73"/>
      <c r="Z19" s="72">
        <f ca="1">IFERROR(__xludf.DUMMYFUNCTION("""COMPUTED_VALUE"""),45061)</f>
        <v>45061</v>
      </c>
      <c r="AA19" s="72">
        <f ca="1">IFERROR(__xludf.DUMMYFUNCTION("""COMPUTED_VALUE"""),45061)</f>
        <v>45061</v>
      </c>
      <c r="AB19" s="73" t="str">
        <f ca="1">IFERROR(__xludf.DUMMYFUNCTION("""COMPUTED_VALUE"""),"Выполнено")</f>
        <v>Выполнено</v>
      </c>
      <c r="AC19" s="72">
        <f ca="1">IFERROR(__xludf.DUMMYFUNCTION("""COMPUTED_VALUE"""),45188)</f>
        <v>45188</v>
      </c>
      <c r="AD19" s="72">
        <f ca="1">IFERROR(__xludf.DUMMYFUNCTION("""COMPUTED_VALUE"""),45188)</f>
        <v>45188</v>
      </c>
      <c r="AE19" s="73" t="str">
        <f ca="1">IFERROR(__xludf.DUMMYFUNCTION("""COMPUTED_VALUE"""),"Выполнено")</f>
        <v>Выполнено</v>
      </c>
      <c r="AF19" s="72">
        <f ca="1">IFERROR(__xludf.DUMMYFUNCTION("""COMPUTED_VALUE"""),45170)</f>
        <v>45170</v>
      </c>
      <c r="AG19" s="72">
        <f ca="1">IFERROR(__xludf.DUMMYFUNCTION("""COMPUTED_VALUE"""),45170)</f>
        <v>45170</v>
      </c>
      <c r="AH19" s="73" t="str">
        <f ca="1">IFERROR(__xludf.DUMMYFUNCTION("""COMPUTED_VALUE"""),"Выполнено")</f>
        <v>Выполнено</v>
      </c>
      <c r="AI19" s="72">
        <f ca="1">IFERROR(__xludf.DUMMYFUNCTION("""COMPUTED_VALUE"""),45261)</f>
        <v>45261</v>
      </c>
      <c r="AJ19" s="72"/>
      <c r="AK19" s="73"/>
      <c r="AL19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9" s="73" t="str">
        <f ca="1">IFERROR(__xludf.DUMMYFUNCTION("""COMPUTED_VALUE"""),"ПСД повторно направлена на государственную экспертизу. Строительно-монтажные работы по закрытию котельной Гимназии 21 начаты с 15 мая 2023 года. Завершены демонтажные работы, выполнены работы по монтажу внутренней системы отопления, водоснабжения, электро"&amp;"снабжения, отделочные работы. Тепловой пункт собран, выполнены работы по установке автоматики и присоединению к электрике. Завершены работы по прокладке теплотрассы от здания школы до точки подключения к сетям «ТГК-14». Строительно-монтажные работы выполн"&amp;"ены на 100 %. ")</f>
        <v xml:space="preserve">ПСД повторно направлена на государственную экспертизу. Строительно-монтажные работы по закрытию котельной Гимназии 21 начаты с 15 мая 2023 года. Завершены демонтажные работы, выполнены работы по монтажу внутренней системы отопления, водоснабжения, электроснабжения, отделочные работы. Тепловой пункт собран, выполнены работы по установке автоматики и присоединению к электрике. Завершены работы по прокладке теплотрассы от здания школы до точки подключения к сетям «ТГК-14». Строительно-монтажные работы выполнены на 100 %. </v>
      </c>
      <c r="AN19" s="73" t="str">
        <f ca="1">IFERROR(__xludf.DUMMYFUNCTION("""COMPUTED_VALUE"""),"Нет")</f>
        <v>Нет</v>
      </c>
      <c r="AO19" s="73"/>
      <c r="AP19" s="75">
        <f ca="1">IFERROR(__xludf.DUMMYFUNCTION("""COMPUTED_VALUE"""),36993)</f>
        <v>36993</v>
      </c>
      <c r="AQ19" s="75">
        <f ca="1">IFERROR(__xludf.DUMMYFUNCTION("""COMPUTED_VALUE"""),22574.86135)</f>
        <v>22574.861349999999</v>
      </c>
      <c r="AR19" s="75">
        <f ca="1">IFERROR(__xludf.DUMMYFUNCTION("""COMPUTED_VALUE"""),36993)</f>
        <v>36993</v>
      </c>
      <c r="AS19" s="75">
        <f ca="1">IFERROR(__xludf.DUMMYFUNCTION("""COMPUTED_VALUE"""),22574.86135)</f>
        <v>22574.861349999999</v>
      </c>
      <c r="AT19" s="75">
        <f ca="1">IFERROR(__xludf.DUMMYFUNCTION("""COMPUTED_VALUE"""),0)</f>
        <v>0</v>
      </c>
      <c r="AU19" s="75">
        <f ca="1">IFERROR(__xludf.DUMMYFUNCTION("""COMPUTED_VALUE"""),0)</f>
        <v>0</v>
      </c>
      <c r="AV19" s="75">
        <f ca="1">IFERROR(__xludf.DUMMYFUNCTION("""COMPUTED_VALUE"""),0)</f>
        <v>0</v>
      </c>
      <c r="AW19" s="75">
        <f ca="1">IFERROR(__xludf.DUMMYFUNCTION("""COMPUTED_VALUE"""),0)</f>
        <v>0</v>
      </c>
      <c r="AX19" s="75">
        <f ca="1">IFERROR(__xludf.DUMMYFUNCTION("""COMPUTED_VALUE"""),30)</f>
        <v>30</v>
      </c>
      <c r="AY19" s="77">
        <f ca="1">IFERROR(__xludf.DUMMYFUNCTION("""COMPUTED_VALUE"""),0.040251113278708)</f>
        <v>4.0251113278707999E-2</v>
      </c>
      <c r="AZ19" s="75">
        <f ca="1">IFERROR(__xludf.DUMMYFUNCTION("""COMPUTED_VALUE"""),0)</f>
        <v>0</v>
      </c>
      <c r="BA19" s="77">
        <f ca="1">IFERROR(__xludf.DUMMYFUNCTION("""COMPUTED_VALUE"""),0)</f>
        <v>0</v>
      </c>
      <c r="BB19" s="4"/>
      <c r="BC19" s="4"/>
      <c r="BD19" s="67" t="str">
        <f ca="1">IFERROR(__xludf.DUMMYFUNCTION("""COMPUTED_VALUE"""),"Забайкальский край")</f>
        <v>Забайкальский край</v>
      </c>
      <c r="BE19" s="67" t="str">
        <f ca="1">IFERROR(__xludf.DUMMYFUNCTION("""COMPUTED_VALUE"""),"Чита")</f>
        <v>Чита</v>
      </c>
      <c r="BF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9" s="69" t="str">
        <f ca="1">IFERROR(__xludf.DUMMYFUNCTION("""COMPUTED_VALUE"""),"1.2.1.")</f>
        <v>1.2.1.</v>
      </c>
      <c r="BH19" s="68" t="str">
        <f ca="1">IFERROR(__xludf.DUMMYFUNCTION("""COMPUTED_VALUE"""),"Объекты транспортной инфраструктуры")</f>
        <v>Объекты транспортной инфраструктуры</v>
      </c>
      <c r="BI19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9" s="73" t="str">
        <f ca="1">IFERROR(__xludf.DUMMYFUNCTION("""COMPUTED_VALUE"""),"Азот (II) оксид")</f>
        <v>Азот (II) оксид</v>
      </c>
      <c r="BK19" s="78">
        <f ca="1">IFERROR(__xludf.DUMMYFUNCTION("""COMPUTED_VALUE"""),0.151287713)</f>
        <v>0.15128771299999999</v>
      </c>
      <c r="BL19" s="78">
        <f ca="1">IFERROR(__xludf.DUMMYFUNCTION("""COMPUTED_VALUE"""),0.000246366592321857)</f>
        <v>2.4636659232185701E-4</v>
      </c>
      <c r="BM19" s="78">
        <f ca="1">IFERROR(__xludf.DUMMYFUNCTION("""COMPUTED_VALUE"""),0.1430278)</f>
        <v>0.14302780000000001</v>
      </c>
      <c r="BN19" s="78">
        <f ca="1">IFERROR(__xludf.DUMMYFUNCTION("""COMPUTED_VALUE"""),0.000232915621464197)</f>
        <v>2.3291562146419699E-4</v>
      </c>
      <c r="BO19" s="66"/>
      <c r="BP19" s="66"/>
    </row>
    <row r="20" spans="1:68" ht="39.6">
      <c r="A20" s="66"/>
      <c r="B20" s="67" t="str">
        <f ca="1">IFERROR(__xludf.DUMMYFUNCTION("""COMPUTED_VALUE"""),"Забайкальский край")</f>
        <v>Забайкальский край</v>
      </c>
      <c r="C20" s="67" t="str">
        <f ca="1">IFERROR(__xludf.DUMMYFUNCTION("""COMPUTED_VALUE"""),"Чита")</f>
        <v>Чита</v>
      </c>
      <c r="D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0" s="69" t="str">
        <f ca="1">IFERROR(__xludf.DUMMYFUNCTION("""COMPUTED_VALUE"""),"2.1.5.")</f>
        <v>2.1.5.</v>
      </c>
      <c r="F20" s="70" t="str">
        <f ca="1">IFERROR(__xludf.DUMMYFUNCTION("""COMPUTED_VALUE"""),"Объекты коммунальной инфраструктуры")</f>
        <v>Объекты коммунальной инфраструктуры</v>
      </c>
      <c r="G20" s="68" t="str">
        <f ca="1">IFERROR(__xludf.DUMMYFUNCTION("""COMPUTED_VALUE"""),"Модернизация котельной МБДОУ №9")</f>
        <v>Модернизация котельной МБДОУ №9</v>
      </c>
      <c r="H20" s="71">
        <f ca="1">IFERROR(__xludf.DUMMYFUNCTION("""COMPUTED_VALUE"""),44834)</f>
        <v>44834</v>
      </c>
      <c r="I20" s="71">
        <f ca="1">IFERROR(__xludf.DUMMYFUNCTION("""COMPUTED_VALUE"""),44925)</f>
        <v>44925</v>
      </c>
      <c r="J20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73"/>
      <c r="AL20" s="68" t="str">
        <f ca="1">IFERROR(__xludf.DUMMYFUNCTION("""COMPUTED_VALUE"""),"Работы завершены")</f>
        <v>Работы завершены</v>
      </c>
      <c r="AM20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0" s="73" t="str">
        <f ca="1">IFERROR(__xludf.DUMMYFUNCTION("""COMPUTED_VALUE"""),"Нет")</f>
        <v>Нет</v>
      </c>
      <c r="AO20" s="73"/>
      <c r="AP20" s="75">
        <f ca="1">IFERROR(__xludf.DUMMYFUNCTION("""COMPUTED_VALUE"""),3000)</f>
        <v>3000</v>
      </c>
      <c r="AQ20" s="75">
        <f ca="1">IFERROR(__xludf.DUMMYFUNCTION("""COMPUTED_VALUE"""),3000)</f>
        <v>3000</v>
      </c>
      <c r="AR20" s="75">
        <f ca="1">IFERROR(__xludf.DUMMYFUNCTION("""COMPUTED_VALUE"""),3000)</f>
        <v>3000</v>
      </c>
      <c r="AS20" s="75">
        <f ca="1">IFERROR(__xludf.DUMMYFUNCTION("""COMPUTED_VALUE"""),3000)</f>
        <v>3000</v>
      </c>
      <c r="AT20" s="75">
        <f ca="1">IFERROR(__xludf.DUMMYFUNCTION("""COMPUTED_VALUE"""),0)</f>
        <v>0</v>
      </c>
      <c r="AU20" s="75">
        <f ca="1">IFERROR(__xludf.DUMMYFUNCTION("""COMPUTED_VALUE"""),0)</f>
        <v>0</v>
      </c>
      <c r="AV20" s="75">
        <f ca="1">IFERROR(__xludf.DUMMYFUNCTION("""COMPUTED_VALUE"""),0)</f>
        <v>0</v>
      </c>
      <c r="AW20" s="75">
        <f ca="1">IFERROR(__xludf.DUMMYFUNCTION("""COMPUTED_VALUE"""),0)</f>
        <v>0</v>
      </c>
      <c r="AX20" s="75">
        <f ca="1">IFERROR(__xludf.DUMMYFUNCTION("""COMPUTED_VALUE"""),4.07)</f>
        <v>4.07</v>
      </c>
      <c r="AY20" s="77">
        <f ca="1">IFERROR(__xludf.DUMMYFUNCTION("""COMPUTED_VALUE"""),0.00546073436814473)</f>
        <v>5.4607343681447301E-3</v>
      </c>
      <c r="AZ20" s="75">
        <f ca="1">IFERROR(__xludf.DUMMYFUNCTION("""COMPUTED_VALUE"""),7.74)</f>
        <v>7.74</v>
      </c>
      <c r="BA20" s="77">
        <f ca="1">IFERROR(__xludf.DUMMYFUNCTION("""COMPUTED_VALUE"""),0.0103847872259066)</f>
        <v>1.03847872259066E-2</v>
      </c>
      <c r="BB20" s="66"/>
      <c r="BC20" s="4"/>
      <c r="BD20" s="67" t="str">
        <f ca="1">IFERROR(__xludf.DUMMYFUNCTION("""COMPUTED_VALUE"""),"Забайкальский край")</f>
        <v>Забайкальский край</v>
      </c>
      <c r="BE20" s="67" t="str">
        <f ca="1">IFERROR(__xludf.DUMMYFUNCTION("""COMPUTED_VALUE"""),"Чита")</f>
        <v>Чита</v>
      </c>
      <c r="BF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0" s="69" t="str">
        <f ca="1">IFERROR(__xludf.DUMMYFUNCTION("""COMPUTED_VALUE"""),"1.2.1.")</f>
        <v>1.2.1.</v>
      </c>
      <c r="BH20" s="68" t="str">
        <f ca="1">IFERROR(__xludf.DUMMYFUNCTION("""COMPUTED_VALUE"""),"Объекты транспортной инфраструктуры")</f>
        <v>Объекты транспортной инфраструктуры</v>
      </c>
      <c r="BI20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0" s="73" t="str">
        <f ca="1">IFERROR(__xludf.DUMMYFUNCTION("""COMPUTED_VALUE"""),"Сера диоксид")</f>
        <v>Сера диоксид</v>
      </c>
      <c r="BK20" s="78">
        <f ca="1">IFERROR(__xludf.DUMMYFUNCTION("""COMPUTED_VALUE"""),0.248387065)</f>
        <v>0.24838706499999999</v>
      </c>
      <c r="BL20" s="78">
        <f ca="1">IFERROR(__xludf.DUMMYFUNCTION("""COMPUTED_VALUE"""),0.00040448939023143)</f>
        <v>4.0448939023143002E-4</v>
      </c>
      <c r="BM20" s="78">
        <f ca="1">IFERROR(__xludf.DUMMYFUNCTION("""COMPUTED_VALUE"""),0.20332383319311)</f>
        <v>0.20332383319311001</v>
      </c>
      <c r="BN20" s="78">
        <f ca="1">IFERROR(__xludf.DUMMYFUNCTION("""COMPUTED_VALUE"""),0.000331105540088402)</f>
        <v>3.31105540088402E-4</v>
      </c>
      <c r="BO20" s="66"/>
      <c r="BP20" s="66"/>
    </row>
    <row r="21" spans="1:68" ht="39.6">
      <c r="A21" s="66"/>
      <c r="B21" s="67" t="str">
        <f ca="1">IFERROR(__xludf.DUMMYFUNCTION("""COMPUTED_VALUE"""),"Забайкальский край")</f>
        <v>Забайкальский край</v>
      </c>
      <c r="C21" s="67" t="str">
        <f ca="1">IFERROR(__xludf.DUMMYFUNCTION("""COMPUTED_VALUE"""),"Чита")</f>
        <v>Чита</v>
      </c>
      <c r="D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1" s="69" t="str">
        <f ca="1">IFERROR(__xludf.DUMMYFUNCTION("""COMPUTED_VALUE"""),"2.1.6.")</f>
        <v>2.1.6.</v>
      </c>
      <c r="F21" s="70" t="str">
        <f ca="1">IFERROR(__xludf.DUMMYFUNCTION("""COMPUTED_VALUE"""),"Объекты коммунальной инфраструктуры")</f>
        <v>Объекты коммунальной инфраструктуры</v>
      </c>
      <c r="G21" s="68" t="str">
        <f ca="1">IFERROR(__xludf.DUMMYFUNCTION("""COMPUTED_VALUE"""),"Модернизация котельной МБДОУ №14")</f>
        <v>Модернизация котельной МБДОУ №14</v>
      </c>
      <c r="H21" s="71">
        <f ca="1">IFERROR(__xludf.DUMMYFUNCTION("""COMPUTED_VALUE"""),44834)</f>
        <v>44834</v>
      </c>
      <c r="I21" s="71">
        <f ca="1">IFERROR(__xludf.DUMMYFUNCTION("""COMPUTED_VALUE"""),44925)</f>
        <v>44925</v>
      </c>
      <c r="J21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73"/>
      <c r="AL21" s="68" t="str">
        <f ca="1">IFERROR(__xludf.DUMMYFUNCTION("""COMPUTED_VALUE"""),"Работы завершены")</f>
        <v>Работы завершены</v>
      </c>
      <c r="AM21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1" s="73" t="str">
        <f ca="1">IFERROR(__xludf.DUMMYFUNCTION("""COMPUTED_VALUE"""),"Нет")</f>
        <v>Нет</v>
      </c>
      <c r="AO21" s="73"/>
      <c r="AP21" s="75">
        <f ca="1">IFERROR(__xludf.DUMMYFUNCTION("""COMPUTED_VALUE"""),3000)</f>
        <v>3000</v>
      </c>
      <c r="AQ21" s="75">
        <f ca="1">IFERROR(__xludf.DUMMYFUNCTION("""COMPUTED_VALUE"""),3000)</f>
        <v>3000</v>
      </c>
      <c r="AR21" s="75">
        <f ca="1">IFERROR(__xludf.DUMMYFUNCTION("""COMPUTED_VALUE"""),3000)</f>
        <v>3000</v>
      </c>
      <c r="AS21" s="75">
        <f ca="1">IFERROR(__xludf.DUMMYFUNCTION("""COMPUTED_VALUE"""),3000)</f>
        <v>3000</v>
      </c>
      <c r="AT21" s="75">
        <f ca="1">IFERROR(__xludf.DUMMYFUNCTION("""COMPUTED_VALUE"""),0)</f>
        <v>0</v>
      </c>
      <c r="AU21" s="75">
        <f ca="1">IFERROR(__xludf.DUMMYFUNCTION("""COMPUTED_VALUE"""),0)</f>
        <v>0</v>
      </c>
      <c r="AV21" s="75">
        <f ca="1">IFERROR(__xludf.DUMMYFUNCTION("""COMPUTED_VALUE"""),0)</f>
        <v>0</v>
      </c>
      <c r="AW21" s="75">
        <f ca="1">IFERROR(__xludf.DUMMYFUNCTION("""COMPUTED_VALUE"""),0)</f>
        <v>0</v>
      </c>
      <c r="AX21" s="75">
        <f ca="1">IFERROR(__xludf.DUMMYFUNCTION("""COMPUTED_VALUE"""),1.71)</f>
        <v>1.71</v>
      </c>
      <c r="AY21" s="77">
        <f ca="1">IFERROR(__xludf.DUMMYFUNCTION("""COMPUTED_VALUE"""),0.00229431345688636)</f>
        <v>2.29431345688636E-3</v>
      </c>
      <c r="AZ21" s="75">
        <f ca="1">IFERROR(__xludf.DUMMYFUNCTION("""COMPUTED_VALUE"""),3.27)</f>
        <v>3.27</v>
      </c>
      <c r="BA21" s="77">
        <f ca="1">IFERROR(__xludf.DUMMYFUNCTION("""COMPUTED_VALUE"""),0.00438737134737918)</f>
        <v>4.3873713473791803E-3</v>
      </c>
      <c r="BB21" s="66"/>
      <c r="BC21" s="4"/>
      <c r="BD21" s="67" t="str">
        <f ca="1">IFERROR(__xludf.DUMMYFUNCTION("""COMPUTED_VALUE"""),"Забайкальский край")</f>
        <v>Забайкальский край</v>
      </c>
      <c r="BE21" s="67" t="str">
        <f ca="1">IFERROR(__xludf.DUMMYFUNCTION("""COMPUTED_VALUE"""),"Чита")</f>
        <v>Чита</v>
      </c>
      <c r="BF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1" s="69" t="str">
        <f ca="1">IFERROR(__xludf.DUMMYFUNCTION("""COMPUTED_VALUE"""),"1.2.1.")</f>
        <v>1.2.1.</v>
      </c>
      <c r="BH21" s="68" t="str">
        <f ca="1">IFERROR(__xludf.DUMMYFUNCTION("""COMPUTED_VALUE"""),"Объекты транспортной инфраструктуры")</f>
        <v>Объекты транспортной инфраструктуры</v>
      </c>
      <c r="BI21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1" s="73" t="str">
        <f ca="1">IFERROR(__xludf.DUMMYFUNCTION("""COMPUTED_VALUE"""),"Углерода оксид")</f>
        <v>Углерода оксид</v>
      </c>
      <c r="BK21" s="78">
        <f ca="1">IFERROR(__xludf.DUMMYFUNCTION("""COMPUTED_VALUE"""),95.72943352)</f>
        <v>95.729433520000001</v>
      </c>
      <c r="BL21" s="78">
        <f ca="1">IFERROR(__xludf.DUMMYFUNCTION("""COMPUTED_VALUE"""),0.155891934999534)</f>
        <v>0.15589193499953399</v>
      </c>
      <c r="BM21" s="78">
        <f ca="1">IFERROR(__xludf.DUMMYFUNCTION("""COMPUTED_VALUE"""),95.800674834252)</f>
        <v>95.800674834252007</v>
      </c>
      <c r="BN21" s="78">
        <f ca="1">IFERROR(__xludf.DUMMYFUNCTION("""COMPUTED_VALUE"""),0.156007948914192)</f>
        <v>0.15600794891419201</v>
      </c>
      <c r="BO21" s="66"/>
      <c r="BP21" s="66"/>
    </row>
    <row r="22" spans="1:68" ht="52.8">
      <c r="A22" s="66"/>
      <c r="B22" s="67" t="str">
        <f ca="1">IFERROR(__xludf.DUMMYFUNCTION("""COMPUTED_VALUE"""),"Забайкальский край")</f>
        <v>Забайкальский край</v>
      </c>
      <c r="C22" s="67" t="str">
        <f ca="1">IFERROR(__xludf.DUMMYFUNCTION("""COMPUTED_VALUE"""),"Чита")</f>
        <v>Чита</v>
      </c>
      <c r="D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2" s="69" t="str">
        <f ca="1">IFERROR(__xludf.DUMMYFUNCTION("""COMPUTED_VALUE"""),"2.1.7.")</f>
        <v>2.1.7.</v>
      </c>
      <c r="F22" s="70" t="str">
        <f ca="1">IFERROR(__xludf.DUMMYFUNCTION("""COMPUTED_VALUE"""),"Объекты коммунальной инфраструктуры")</f>
        <v>Объекты коммунальной инфраструктуры</v>
      </c>
      <c r="G22" s="68" t="str">
        <f ca="1">IFERROR(__xludf.DUMMYFUNCTION("""COMPUTED_VALUE"""),"Модернизация котельной МБДОУ №30")</f>
        <v>Модернизация котельной МБДОУ №30</v>
      </c>
      <c r="H22" s="71">
        <f ca="1">IFERROR(__xludf.DUMMYFUNCTION("""COMPUTED_VALUE"""),44834)</f>
        <v>44834</v>
      </c>
      <c r="I22" s="71">
        <f ca="1">IFERROR(__xludf.DUMMYFUNCTION("""COMPUTED_VALUE"""),44925)</f>
        <v>44925</v>
      </c>
      <c r="J22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73"/>
      <c r="AL22" s="68" t="str">
        <f ca="1">IFERROR(__xludf.DUMMYFUNCTION("""COMPUTED_VALUE"""),"Работы завершены")</f>
        <v>Работы завершены</v>
      </c>
      <c r="AM22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2" s="73" t="str">
        <f ca="1">IFERROR(__xludf.DUMMYFUNCTION("""COMPUTED_VALUE"""),"Нет")</f>
        <v>Нет</v>
      </c>
      <c r="AO22" s="73"/>
      <c r="AP22" s="75">
        <f ca="1">IFERROR(__xludf.DUMMYFUNCTION("""COMPUTED_VALUE"""),3000)</f>
        <v>3000</v>
      </c>
      <c r="AQ22" s="75">
        <f ca="1">IFERROR(__xludf.DUMMYFUNCTION("""COMPUTED_VALUE"""),3000)</f>
        <v>3000</v>
      </c>
      <c r="AR22" s="75">
        <f ca="1">IFERROR(__xludf.DUMMYFUNCTION("""COMPUTED_VALUE"""),3000)</f>
        <v>3000</v>
      </c>
      <c r="AS22" s="75">
        <f ca="1">IFERROR(__xludf.DUMMYFUNCTION("""COMPUTED_VALUE"""),3000)</f>
        <v>3000</v>
      </c>
      <c r="AT22" s="75">
        <f ca="1">IFERROR(__xludf.DUMMYFUNCTION("""COMPUTED_VALUE"""),0)</f>
        <v>0</v>
      </c>
      <c r="AU22" s="75">
        <f ca="1">IFERROR(__xludf.DUMMYFUNCTION("""COMPUTED_VALUE"""),0)</f>
        <v>0</v>
      </c>
      <c r="AV22" s="75">
        <f ca="1">IFERROR(__xludf.DUMMYFUNCTION("""COMPUTED_VALUE"""),0)</f>
        <v>0</v>
      </c>
      <c r="AW22" s="75">
        <f ca="1">IFERROR(__xludf.DUMMYFUNCTION("""COMPUTED_VALUE"""),0)</f>
        <v>0</v>
      </c>
      <c r="AX22" s="75">
        <f ca="1">IFERROR(__xludf.DUMMYFUNCTION("""COMPUTED_VALUE"""),2.69)</f>
        <v>2.69</v>
      </c>
      <c r="AY22" s="77">
        <f ca="1">IFERROR(__xludf.DUMMYFUNCTION("""COMPUTED_VALUE"""),0.00360918315732415)</f>
        <v>3.60918315732415E-3</v>
      </c>
      <c r="AZ22" s="75">
        <f ca="1">IFERROR(__xludf.DUMMYFUNCTION("""COMPUTED_VALUE"""),4.69)</f>
        <v>4.6900000000000004</v>
      </c>
      <c r="BA22" s="77">
        <f ca="1">IFERROR(__xludf.DUMMYFUNCTION("""COMPUTED_VALUE"""),0.00629259070923803)</f>
        <v>6.2925907092380301E-3</v>
      </c>
      <c r="BB22" s="66"/>
      <c r="BC22" s="4"/>
      <c r="BD22" s="67" t="str">
        <f ca="1">IFERROR(__xludf.DUMMYFUNCTION("""COMPUTED_VALUE"""),"Забайкальский край")</f>
        <v>Забайкальский край</v>
      </c>
      <c r="BE22" s="67" t="str">
        <f ca="1">IFERROR(__xludf.DUMMYFUNCTION("""COMPUTED_VALUE"""),"Чита")</f>
        <v>Чита</v>
      </c>
      <c r="BF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2" s="69" t="str">
        <f ca="1">IFERROR(__xludf.DUMMYFUNCTION("""COMPUTED_VALUE"""),"2.1.1.")</f>
        <v>2.1.1.</v>
      </c>
      <c r="BH22" s="68" t="str">
        <f ca="1">IFERROR(__xludf.DUMMYFUNCTION("""COMPUTED_VALUE"""),"Объекты коммунальной инфраструктуры")</f>
        <v>Объекты коммунальной инфраструктуры</v>
      </c>
      <c r="BI22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2" s="73" t="str">
        <f ca="1">IFERROR(__xludf.DUMMYFUNCTION("""COMPUTED_VALUE"""),"Азота диоксид")</f>
        <v>Азота диоксид</v>
      </c>
      <c r="BK22" s="78">
        <f ca="1">IFERROR(__xludf.DUMMYFUNCTION("""COMPUTED_VALUE"""),0.569885)</f>
        <v>0.56988499999999997</v>
      </c>
      <c r="BL22" s="78">
        <f ca="1">IFERROR(__xludf.DUMMYFUNCTION("""COMPUTED_VALUE"""),0.000928037199328551)</f>
        <v>9.28037199328551E-4</v>
      </c>
      <c r="BM22" s="78">
        <f ca="1">IFERROR(__xludf.DUMMYFUNCTION("""COMPUTED_VALUE"""),0.569885)</f>
        <v>0.56988499999999997</v>
      </c>
      <c r="BN22" s="78">
        <f ca="1">IFERROR(__xludf.DUMMYFUNCTION("""COMPUTED_VALUE"""),0.000928037199328551)</f>
        <v>9.28037199328551E-4</v>
      </c>
      <c r="BO22" s="66"/>
      <c r="BP22" s="66"/>
    </row>
    <row r="23" spans="1:68" ht="52.8">
      <c r="A23" s="66"/>
      <c r="B23" s="67" t="str">
        <f ca="1">IFERROR(__xludf.DUMMYFUNCTION("""COMPUTED_VALUE"""),"Забайкальский край")</f>
        <v>Забайкальский край</v>
      </c>
      <c r="C23" s="67" t="str">
        <f ca="1">IFERROR(__xludf.DUMMYFUNCTION("""COMPUTED_VALUE"""),"Чита")</f>
        <v>Чита</v>
      </c>
      <c r="D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3" s="69" t="str">
        <f ca="1">IFERROR(__xludf.DUMMYFUNCTION("""COMPUTED_VALUE"""),"2.1.8.")</f>
        <v>2.1.8.</v>
      </c>
      <c r="F23" s="70" t="str">
        <f ca="1">IFERROR(__xludf.DUMMYFUNCTION("""COMPUTED_VALUE"""),"Объекты коммунальной инфраструктуры")</f>
        <v>Объекты коммунальной инфраструктуры</v>
      </c>
      <c r="G23" s="68" t="str">
        <f ca="1">IFERROR(__xludf.DUMMYFUNCTION("""COMPUTED_VALUE"""),"Модернизация котельной МБДОУ №31")</f>
        <v>Модернизация котельной МБДОУ №31</v>
      </c>
      <c r="H23" s="71">
        <f ca="1">IFERROR(__xludf.DUMMYFUNCTION("""COMPUTED_VALUE"""),44834)</f>
        <v>44834</v>
      </c>
      <c r="I23" s="71">
        <f ca="1">IFERROR(__xludf.DUMMYFUNCTION("""COMPUTED_VALUE"""),44925)</f>
        <v>44925</v>
      </c>
      <c r="J23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72"/>
      <c r="L23" s="72"/>
      <c r="M23" s="73"/>
      <c r="N23" s="72"/>
      <c r="O23" s="72"/>
      <c r="P23" s="73"/>
      <c r="Q23" s="72"/>
      <c r="R23" s="72"/>
      <c r="S23" s="73"/>
      <c r="T23" s="72"/>
      <c r="U23" s="72"/>
      <c r="V23" s="73"/>
      <c r="W23" s="72"/>
      <c r="X23" s="72"/>
      <c r="Y23" s="73"/>
      <c r="Z23" s="72"/>
      <c r="AA23" s="72"/>
      <c r="AB23" s="73"/>
      <c r="AC23" s="72"/>
      <c r="AD23" s="72"/>
      <c r="AE23" s="73"/>
      <c r="AF23" s="72"/>
      <c r="AG23" s="72"/>
      <c r="AH23" s="73"/>
      <c r="AI23" s="72"/>
      <c r="AJ23" s="72"/>
      <c r="AK23" s="73"/>
      <c r="AL23" s="68" t="str">
        <f ca="1">IFERROR(__xludf.DUMMYFUNCTION("""COMPUTED_VALUE"""),"Работы завершены")</f>
        <v>Работы завершены</v>
      </c>
      <c r="AM23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3" s="73" t="str">
        <f ca="1">IFERROR(__xludf.DUMMYFUNCTION("""COMPUTED_VALUE"""),"Нет")</f>
        <v>Нет</v>
      </c>
      <c r="AO23" s="73"/>
      <c r="AP23" s="75">
        <f ca="1">IFERROR(__xludf.DUMMYFUNCTION("""COMPUTED_VALUE"""),3000)</f>
        <v>3000</v>
      </c>
      <c r="AQ23" s="75">
        <f ca="1">IFERROR(__xludf.DUMMYFUNCTION("""COMPUTED_VALUE"""),3000)</f>
        <v>3000</v>
      </c>
      <c r="AR23" s="75">
        <f ca="1">IFERROR(__xludf.DUMMYFUNCTION("""COMPUTED_VALUE"""),3000)</f>
        <v>3000</v>
      </c>
      <c r="AS23" s="75">
        <f ca="1">IFERROR(__xludf.DUMMYFUNCTION("""COMPUTED_VALUE"""),3000)</f>
        <v>3000</v>
      </c>
      <c r="AT23" s="75">
        <f ca="1">IFERROR(__xludf.DUMMYFUNCTION("""COMPUTED_VALUE"""),0)</f>
        <v>0</v>
      </c>
      <c r="AU23" s="75">
        <f ca="1">IFERROR(__xludf.DUMMYFUNCTION("""COMPUTED_VALUE"""),0)</f>
        <v>0</v>
      </c>
      <c r="AV23" s="75">
        <f ca="1">IFERROR(__xludf.DUMMYFUNCTION("""COMPUTED_VALUE"""),0)</f>
        <v>0</v>
      </c>
      <c r="AW23" s="75">
        <f ca="1">IFERROR(__xludf.DUMMYFUNCTION("""COMPUTED_VALUE"""),0)</f>
        <v>0</v>
      </c>
      <c r="AX23" s="75">
        <f ca="1">IFERROR(__xludf.DUMMYFUNCTION("""COMPUTED_VALUE"""),2.37)</f>
        <v>2.37</v>
      </c>
      <c r="AY23" s="77">
        <f ca="1">IFERROR(__xludf.DUMMYFUNCTION("""COMPUTED_VALUE"""),0.00317983794901793)</f>
        <v>3.1798379490179298E-3</v>
      </c>
      <c r="AZ23" s="75">
        <f ca="1">IFERROR(__xludf.DUMMYFUNCTION("""COMPUTED_VALUE"""),4.39)</f>
        <v>4.3899999999999997</v>
      </c>
      <c r="BA23" s="77">
        <f ca="1">IFERROR(__xludf.DUMMYFUNCTION("""COMPUTED_VALUE"""),0.00589007957645095)</f>
        <v>5.8900795764509498E-3</v>
      </c>
      <c r="BB23" s="66"/>
      <c r="BC23" s="4"/>
      <c r="BD23" s="67" t="str">
        <f ca="1">IFERROR(__xludf.DUMMYFUNCTION("""COMPUTED_VALUE"""),"Забайкальский край")</f>
        <v>Забайкальский край</v>
      </c>
      <c r="BE23" s="67" t="str">
        <f ca="1">IFERROR(__xludf.DUMMYFUNCTION("""COMPUTED_VALUE"""),"Чита")</f>
        <v>Чита</v>
      </c>
      <c r="BF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3" s="69" t="str">
        <f ca="1">IFERROR(__xludf.DUMMYFUNCTION("""COMPUTED_VALUE"""),"2.1.1.")</f>
        <v>2.1.1.</v>
      </c>
      <c r="BH23" s="68" t="str">
        <f ca="1">IFERROR(__xludf.DUMMYFUNCTION("""COMPUTED_VALUE"""),"Объекты коммунальной инфраструктуры")</f>
        <v>Объекты коммунальной инфраструктуры</v>
      </c>
      <c r="BI23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3" s="73" t="str">
        <f ca="1">IFERROR(__xludf.DUMMYFUNCTION("""COMPUTED_VALUE"""),"Азот (II) оксид")</f>
        <v>Азот (II) оксид</v>
      </c>
      <c r="BK23" s="78">
        <f ca="1">IFERROR(__xludf.DUMMYFUNCTION("""COMPUTED_VALUE"""),0.092606)</f>
        <v>9.2605999999999994E-2</v>
      </c>
      <c r="BL23" s="78">
        <f ca="1">IFERROR(__xludf.DUMMYFUNCTION("""COMPUTED_VALUE"""),0.000150805535995893)</f>
        <v>1.5080553599589299E-4</v>
      </c>
      <c r="BM23" s="78">
        <f ca="1">IFERROR(__xludf.DUMMYFUNCTION("""COMPUTED_VALUE"""),0.092606)</f>
        <v>9.2605999999999994E-2</v>
      </c>
      <c r="BN23" s="78">
        <f ca="1">IFERROR(__xludf.DUMMYFUNCTION("""COMPUTED_VALUE"""),0.000150805535995893)</f>
        <v>1.5080553599589299E-4</v>
      </c>
      <c r="BO23" s="66"/>
      <c r="BP23" s="66"/>
    </row>
    <row r="24" spans="1:68" ht="79.2">
      <c r="A24" s="66"/>
      <c r="B24" s="67" t="str">
        <f ca="1">IFERROR(__xludf.DUMMYFUNCTION("""COMPUTED_VALUE"""),"Забайкальский край")</f>
        <v>Забайкальский край</v>
      </c>
      <c r="C24" s="67" t="str">
        <f ca="1">IFERROR(__xludf.DUMMYFUNCTION("""COMPUTED_VALUE"""),"Чита")</f>
        <v>Чита</v>
      </c>
      <c r="D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4" s="69" t="str">
        <f ca="1">IFERROR(__xludf.DUMMYFUNCTION("""COMPUTED_VALUE"""),"2.2.")</f>
        <v>2.2.</v>
      </c>
      <c r="F24" s="84" t="str">
        <f ca="1">IFERROR(__xludf.DUMMYFUNCTION("""COMPUTED_VALUE"""),"Объекты коммунальной инфраструктуры")</f>
        <v>Объекты коммунальной инфраструктуры</v>
      </c>
      <c r="G2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71">
        <f ca="1">IFERROR(__xludf.DUMMYFUNCTION("""COMPUTED_VALUE"""),44834)</f>
        <v>44834</v>
      </c>
      <c r="I24" s="71">
        <f ca="1">IFERROR(__xludf.DUMMYFUNCTION("""COMPUTED_VALUE"""),45657)</f>
        <v>45657</v>
      </c>
      <c r="J24" s="68" t="str">
        <f ca="1"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72">
        <f ca="1">IFERROR(__xludf.DUMMYFUNCTION("""COMPUTED_VALUE"""),45122)</f>
        <v>45122</v>
      </c>
      <c r="L24" s="72"/>
      <c r="M24" s="73"/>
      <c r="N24" s="72">
        <f ca="1">IFERROR(__xludf.DUMMYFUNCTION("""COMPUTED_VALUE"""),45291)</f>
        <v>45291</v>
      </c>
      <c r="O24" s="72"/>
      <c r="P24" s="73"/>
      <c r="Q24" s="72">
        <f ca="1">IFERROR(__xludf.DUMMYFUNCTION("""COMPUTED_VALUE"""),45350)</f>
        <v>45350</v>
      </c>
      <c r="R24" s="72"/>
      <c r="S24" s="73" t="str">
        <f ca="1">IFERROR(__xludf.DUMMYFUNCTION("""COMPUTED_VALUE"""),"Не выполнено")</f>
        <v>Не выполнено</v>
      </c>
      <c r="T24" s="72">
        <f ca="1">IFERROR(__xludf.DUMMYFUNCTION("""COMPUTED_VALUE"""),45419)</f>
        <v>45419</v>
      </c>
      <c r="U24" s="72"/>
      <c r="V24" s="73" t="str">
        <f ca="1">IFERROR(__xludf.DUMMYFUNCTION("""COMPUTED_VALUE"""),"Не выполнено")</f>
        <v>Не выполнено</v>
      </c>
      <c r="W24" s="72">
        <f ca="1">IFERROR(__xludf.DUMMYFUNCTION("""COMPUTED_VALUE"""),45358)</f>
        <v>45358</v>
      </c>
      <c r="X24" s="72"/>
      <c r="Y24" s="73"/>
      <c r="Z24" s="72">
        <f ca="1">IFERROR(__xludf.DUMMYFUNCTION("""COMPUTED_VALUE"""),45611)</f>
        <v>45611</v>
      </c>
      <c r="AA24" s="72"/>
      <c r="AB24" s="73" t="str">
        <f ca="1">IFERROR(__xludf.DUMMYFUNCTION("""COMPUTED_VALUE"""),"Не выполнено")</f>
        <v>Не выполнено</v>
      </c>
      <c r="AC24" s="72">
        <f ca="1">IFERROR(__xludf.DUMMYFUNCTION("""COMPUTED_VALUE"""),45626)</f>
        <v>45626</v>
      </c>
      <c r="AD24" s="72"/>
      <c r="AE24" s="73"/>
      <c r="AF24" s="72">
        <f ca="1">IFERROR(__xludf.DUMMYFUNCTION("""COMPUTED_VALUE"""),45627)</f>
        <v>45627</v>
      </c>
      <c r="AG24" s="72"/>
      <c r="AH24" s="73"/>
      <c r="AI24" s="72">
        <f ca="1">IFERROR(__xludf.DUMMYFUNCTION("""COMPUTED_VALUE"""),45657)</f>
        <v>45657</v>
      </c>
      <c r="AJ24" s="72"/>
      <c r="AK24" s="73"/>
      <c r="AL24" s="68" t="str">
        <f ca="1">IFERROR(__xludf.DUMMYFUNCTION("""COMPUTED_VALUE"""),"Работы ведутся с отставанием от плана")</f>
        <v>Работы ведутся с отставанием от плана</v>
      </c>
      <c r="AM24" s="73" t="str">
        <f ca="1">IFERROR(__xludf.DUMMYFUNCTION("""COMPUTED_VALUE"""),"Определен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По состоянию на 01.10.2023 г. проложено 86,62 км газо"&amp;"распределительных сетей.  В 593 домовладениях выполнены работы по монтажу ВДГО.")</f>
        <v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По состоянию на 01.10.2023 г. проложено 86,62 км газораспределительных сетей.  В 593 домовладениях выполнены работы по монтажу ВДГО.</v>
      </c>
      <c r="AN24" s="73" t="str">
        <f ca="1">IFERROR(__xludf.DUMMYFUNCTION("""COMPUTED_VALUE"""),"Да")</f>
        <v>Да</v>
      </c>
      <c r="AO24" s="73" t="str">
        <f ca="1">IFERROR(__xludf.DUMMYFUNCTION("""COMPUTED_VALUE"""),"1. Прокладка газораспределителных  сетей. Причина риска: отставание от утвержденных план-графиков в связи с выявлением не обозначенных в документации объектов (самовольное размещение жителями сетей, септиков и.т.д. Действия по устранению: корректировки тр"&amp;"ассировок по проекту.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серви"&amp;"сном центре по приему заявок и заключению договоров, увеличение штатной численности технического персонала. ")</f>
        <v xml:space="preserve">1. Прокладка газораспределителных  сетей. Причина риска: отставание от утвержденных план-графиков в связи с выявлением не обозначенных в документации объектов (самовольное размещение жителями сетей, септиков и.т.д. Действия по устранению: корректировки трассировок по проекту.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v>
      </c>
      <c r="AP24" s="75">
        <f ca="1">IFERROR(__xludf.DUMMYFUNCTION("""COMPUTED_VALUE"""),7397523.19)</f>
        <v>7397523.1900000004</v>
      </c>
      <c r="AQ24" s="75">
        <f ca="1">IFERROR(__xludf.DUMMYFUNCTION("""COMPUTED_VALUE"""),5407913.19145)</f>
        <v>5407913.1914499998</v>
      </c>
      <c r="AR24" s="75">
        <f ca="1">IFERROR(__xludf.DUMMYFUNCTION("""COMPUTED_VALUE"""),7397523.19)</f>
        <v>7397523.1900000004</v>
      </c>
      <c r="AS24" s="75">
        <f ca="1">IFERROR(__xludf.DUMMYFUNCTION("""COMPUTED_VALUE"""),5407913.19145)</f>
        <v>5407913.1914499998</v>
      </c>
      <c r="AT24" s="75">
        <f ca="1">IFERROR(__xludf.DUMMYFUNCTION("""COMPUTED_VALUE"""),0)</f>
        <v>0</v>
      </c>
      <c r="AU24" s="75">
        <f ca="1">IFERROR(__xludf.DUMMYFUNCTION("""COMPUTED_VALUE"""),0)</f>
        <v>0</v>
      </c>
      <c r="AV24" s="75">
        <f ca="1">IFERROR(__xludf.DUMMYFUNCTION("""COMPUTED_VALUE"""),0)</f>
        <v>0</v>
      </c>
      <c r="AW24" s="75">
        <f ca="1">IFERROR(__xludf.DUMMYFUNCTION("""COMPUTED_VALUE"""),0)</f>
        <v>0</v>
      </c>
      <c r="AX24" s="75">
        <f ca="1">IFERROR(__xludf.DUMMYFUNCTION("""COMPUTED_VALUE"""),12898.81)</f>
        <v>12898.81</v>
      </c>
      <c r="AY24" s="77">
        <f ca="1">IFERROR(__xludf.DUMMYFUNCTION("""COMPUTED_VALUE"""),17.306382082351)</f>
        <v>17.306382082351</v>
      </c>
      <c r="AZ24" s="75">
        <f ca="1">IFERROR(__xludf.DUMMYFUNCTION("""COMPUTED_VALUE"""),0)</f>
        <v>0</v>
      </c>
      <c r="BA24" s="77">
        <f ca="1">IFERROR(__xludf.DUMMYFUNCTION("""COMPUTED_VALUE"""),0)</f>
        <v>0</v>
      </c>
      <c r="BB24" s="66"/>
      <c r="BC24" s="4"/>
      <c r="BD24" s="67" t="str">
        <f ca="1">IFERROR(__xludf.DUMMYFUNCTION("""COMPUTED_VALUE"""),"Забайкальский край")</f>
        <v>Забайкальский край</v>
      </c>
      <c r="BE24" s="67" t="str">
        <f ca="1">IFERROR(__xludf.DUMMYFUNCTION("""COMPUTED_VALUE"""),"Чита")</f>
        <v>Чита</v>
      </c>
      <c r="BF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4" s="69" t="str">
        <f ca="1">IFERROR(__xludf.DUMMYFUNCTION("""COMPUTED_VALUE"""),"2.1.1.")</f>
        <v>2.1.1.</v>
      </c>
      <c r="BH24" s="68" t="str">
        <f ca="1">IFERROR(__xludf.DUMMYFUNCTION("""COMPUTED_VALUE"""),"Объекты коммунальной инфраструктуры")</f>
        <v>Объекты коммунальной инфраструктуры</v>
      </c>
      <c r="BI24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4" s="73" t="str">
        <f ca="1">IFERROR(__xludf.DUMMYFUNCTION("""COMPUTED_VALUE"""),"Бенз/а/пирен")</f>
        <v>Бенз/а/пирен</v>
      </c>
      <c r="BK24" s="78">
        <f ca="1">IFERROR(__xludf.DUMMYFUNCTION("""COMPUTED_VALUE"""),0.000022)</f>
        <v>2.1999999999999999E-5</v>
      </c>
      <c r="BL24" s="78">
        <f ca="1">IFERROR(__xludf.DUMMYFUNCTION("""COMPUTED_VALUE"""),3.58262077177468E-08)</f>
        <v>3.5826207717746797E-8</v>
      </c>
      <c r="BM24" s="78">
        <f ca="1">IFERROR(__xludf.DUMMYFUNCTION("""COMPUTED_VALUE"""),0.000022)</f>
        <v>2.1999999999999999E-5</v>
      </c>
      <c r="BN24" s="78">
        <f ca="1">IFERROR(__xludf.DUMMYFUNCTION("""COMPUTED_VALUE"""),3.58262077177468E-08)</f>
        <v>3.5826207717746797E-8</v>
      </c>
      <c r="BO24" s="66"/>
      <c r="BP24" s="66"/>
    </row>
    <row r="25" spans="1:68" ht="52.8">
      <c r="A25" s="66"/>
      <c r="B25" s="67" t="str">
        <f ca="1">IFERROR(__xludf.DUMMYFUNCTION("""COMPUTED_VALUE"""),"Забайкальский край")</f>
        <v>Забайкальский край</v>
      </c>
      <c r="C25" s="67" t="str">
        <f ca="1">IFERROR(__xludf.DUMMYFUNCTION("""COMPUTED_VALUE"""),"Чита")</f>
        <v>Чита</v>
      </c>
      <c r="D25" s="68" t="str">
        <f ca="1">IFERROR(__xludf.DUMMYFUNCTION("""COMPUTED_VALUE"""),"ПАО ""ТГК-14""")</f>
        <v>ПАО "ТГК-14"</v>
      </c>
      <c r="E25" s="69" t="str">
        <f ca="1">IFERROR(__xludf.DUMMYFUNCTION("""COMPUTED_VALUE"""),"3.1.1.")</f>
        <v>3.1.1.</v>
      </c>
      <c r="F25" s="84" t="str">
        <f ca="1">IFERROR(__xludf.DUMMYFUNCTION("""COMPUTED_VALUE"""),"Мероприятие ЮЛ/ИП")</f>
        <v>Мероприятие ЮЛ/ИП</v>
      </c>
      <c r="G2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71">
        <f ca="1">IFERROR(__xludf.DUMMYFUNCTION("""COMPUTED_VALUE"""),43466)</f>
        <v>43466</v>
      </c>
      <c r="I25" s="71">
        <f ca="1">IFERROR(__xludf.DUMMYFUNCTION("""COMPUTED_VALUE"""),44196)</f>
        <v>44196</v>
      </c>
      <c r="J25" s="68" t="str">
        <f ca="1">IFERROR(__xludf.DUMMYFUNCTION("""COMPUTED_VALUE"""),"Ремонт и реконструкция котлоагрегатов с заменой ЗУУ ")</f>
        <v xml:space="preserve">Ремонт и реконструкция котлоагрегатов с заменой ЗУУ </v>
      </c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>
        <f ca="1">IFERROR(__xludf.DUMMYFUNCTION("""COMPUTED_VALUE"""),44196)</f>
        <v>44196</v>
      </c>
      <c r="AJ25" s="72">
        <f ca="1">IFERROR(__xludf.DUMMYFUNCTION("""COMPUTED_VALUE"""),44196)</f>
        <v>44196</v>
      </c>
      <c r="AK25" s="73"/>
      <c r="AL25" s="68" t="str">
        <f ca="1">IFERROR(__xludf.DUMMYFUNCTION("""COMPUTED_VALUE"""),"Работы завершены")</f>
        <v>Работы завершены</v>
      </c>
      <c r="AM25" s="73"/>
      <c r="AN25" s="73" t="str">
        <f ca="1">IFERROR(__xludf.DUMMYFUNCTION("""COMPUTED_VALUE"""),"Нет")</f>
        <v>Нет</v>
      </c>
      <c r="AO25" s="73"/>
      <c r="AP25" s="75">
        <f ca="1">IFERROR(__xludf.DUMMYFUNCTION("""COMPUTED_VALUE"""),71800)</f>
        <v>71800</v>
      </c>
      <c r="AQ25" s="75">
        <f ca="1">IFERROR(__xludf.DUMMYFUNCTION("""COMPUTED_VALUE"""),71800)</f>
        <v>71800</v>
      </c>
      <c r="AR25" s="75">
        <f ca="1">IFERROR(__xludf.DUMMYFUNCTION("""COMPUTED_VALUE"""),0)</f>
        <v>0</v>
      </c>
      <c r="AS25" s="75">
        <f ca="1">IFERROR(__xludf.DUMMYFUNCTION("""COMPUTED_VALUE"""),0)</f>
        <v>0</v>
      </c>
      <c r="AT25" s="75">
        <f ca="1">IFERROR(__xludf.DUMMYFUNCTION("""COMPUTED_VALUE"""),0)</f>
        <v>0</v>
      </c>
      <c r="AU25" s="75">
        <f ca="1">IFERROR(__xludf.DUMMYFUNCTION("""COMPUTED_VALUE"""),0)</f>
        <v>0</v>
      </c>
      <c r="AV25" s="75">
        <f ca="1">IFERROR(__xludf.DUMMYFUNCTION("""COMPUTED_VALUE"""),71800)</f>
        <v>71800</v>
      </c>
      <c r="AW25" s="75">
        <f ca="1">IFERROR(__xludf.DUMMYFUNCTION("""COMPUTED_VALUE"""),71800)</f>
        <v>71800</v>
      </c>
      <c r="AX25" s="75">
        <f ca="1">IFERROR(__xludf.DUMMYFUNCTION("""COMPUTED_VALUE"""),4242.86)</f>
        <v>4242.8599999999997</v>
      </c>
      <c r="AY25" s="77">
        <f ca="1">IFERROR(__xludf.DUMMYFUNCTION("""COMPUTED_VALUE"""),5.69266128285664)</f>
        <v>5.6926612828566396</v>
      </c>
      <c r="AZ25" s="75">
        <f ca="1">IFERROR(__xludf.DUMMYFUNCTION("""COMPUTED_VALUE"""),4242.86)</f>
        <v>4242.8599999999997</v>
      </c>
      <c r="BA25" s="77">
        <f ca="1">IFERROR(__xludf.DUMMYFUNCTION("""COMPUTED_VALUE"""),5.69266128285664)</f>
        <v>5.6926612828566396</v>
      </c>
      <c r="BB25" s="66"/>
      <c r="BC25" s="4"/>
      <c r="BD25" s="67" t="str">
        <f ca="1">IFERROR(__xludf.DUMMYFUNCTION("""COMPUTED_VALUE"""),"Забайкальский край")</f>
        <v>Забайкальский край</v>
      </c>
      <c r="BE25" s="67" t="str">
        <f ca="1">IFERROR(__xludf.DUMMYFUNCTION("""COMPUTED_VALUE"""),"Чита")</f>
        <v>Чита</v>
      </c>
      <c r="BF2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5" s="69" t="str">
        <f ca="1">IFERROR(__xludf.DUMMYFUNCTION("""COMPUTED_VALUE"""),"2.1.1.")</f>
        <v>2.1.1.</v>
      </c>
      <c r="BH25" s="68" t="str">
        <f ca="1">IFERROR(__xludf.DUMMYFUNCTION("""COMPUTED_VALUE"""),"Объекты коммунальной инфраструктуры")</f>
        <v>Объекты коммунальной инфраструктуры</v>
      </c>
      <c r="BI25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5" s="78">
        <f ca="1">IFERROR(__xludf.DUMMYFUNCTION("""COMPUTED_VALUE"""),0.795115)</f>
        <v>0.79511500000000002</v>
      </c>
      <c r="BL25" s="78">
        <f ca="1">IFERROR(__xludf.DUMMYFUNCTION("""COMPUTED_VALUE"""),0.00129481614315892)</f>
        <v>1.2948161431589199E-3</v>
      </c>
      <c r="BM25" s="78">
        <f ca="1">IFERROR(__xludf.DUMMYFUNCTION("""COMPUTED_VALUE"""),0.795115)</f>
        <v>0.79511500000000002</v>
      </c>
      <c r="BN25" s="78">
        <f ca="1">IFERROR(__xludf.DUMMYFUNCTION("""COMPUTED_VALUE"""),0.00129481614315892)</f>
        <v>1.2948161431589199E-3</v>
      </c>
      <c r="BO25" s="66"/>
      <c r="BP25" s="66"/>
    </row>
    <row r="26" spans="1:68" ht="52.8">
      <c r="A26" s="66"/>
      <c r="B26" s="67" t="str">
        <f ca="1">IFERROR(__xludf.DUMMYFUNCTION("""COMPUTED_VALUE"""),"Забайкальский край")</f>
        <v>Забайкальский край</v>
      </c>
      <c r="C26" s="67" t="str">
        <f ca="1">IFERROR(__xludf.DUMMYFUNCTION("""COMPUTED_VALUE"""),"Чита")</f>
        <v>Чита</v>
      </c>
      <c r="D26" s="68" t="str">
        <f ca="1">IFERROR(__xludf.DUMMYFUNCTION("""COMPUTED_VALUE"""),"ПАО ""ТГК-14""")</f>
        <v>ПАО "ТГК-14"</v>
      </c>
      <c r="E26" s="69" t="str">
        <f ca="1">IFERROR(__xludf.DUMMYFUNCTION("""COMPUTED_VALUE"""),"3.1.2.")</f>
        <v>3.1.2.</v>
      </c>
      <c r="F26" s="84" t="str">
        <f ca="1">IFERROR(__xludf.DUMMYFUNCTION("""COMPUTED_VALUE"""),"Мероприятие ЮЛ/ИП")</f>
        <v>Мероприятие ЮЛ/ИП</v>
      </c>
      <c r="G2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71">
        <f ca="1">IFERROR(__xludf.DUMMYFUNCTION("""COMPUTED_VALUE"""),43466)</f>
        <v>43466</v>
      </c>
      <c r="I26" s="71">
        <f ca="1">IFERROR(__xludf.DUMMYFUNCTION("""COMPUTED_VALUE"""),44196)</f>
        <v>44196</v>
      </c>
      <c r="J26" s="68" t="str">
        <f ca="1">IFERROR(__xludf.DUMMYFUNCTION("""COMPUTED_VALUE"""),"Текущий ремонт котлов, замена ВЗПи ВЭК")</f>
        <v>Текущий ремонт котлов, замена ВЗПи ВЭК</v>
      </c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>
        <f ca="1">IFERROR(__xludf.DUMMYFUNCTION("""COMPUTED_VALUE"""),44196)</f>
        <v>44196</v>
      </c>
      <c r="AJ26" s="72">
        <f ca="1">IFERROR(__xludf.DUMMYFUNCTION("""COMPUTED_VALUE"""),44196)</f>
        <v>44196</v>
      </c>
      <c r="AK26" s="73"/>
      <c r="AL26" s="68" t="str">
        <f ca="1">IFERROR(__xludf.DUMMYFUNCTION("""COMPUTED_VALUE"""),"Работы завершены")</f>
        <v>Работы завершены</v>
      </c>
      <c r="AM26" s="73"/>
      <c r="AN26" s="73" t="str">
        <f ca="1">IFERROR(__xludf.DUMMYFUNCTION("""COMPUTED_VALUE"""),"Нет")</f>
        <v>Нет</v>
      </c>
      <c r="AO26" s="73"/>
      <c r="AP26" s="75">
        <f ca="1">IFERROR(__xludf.DUMMYFUNCTION("""COMPUTED_VALUE"""),1300)</f>
        <v>1300</v>
      </c>
      <c r="AQ26" s="75">
        <f ca="1">IFERROR(__xludf.DUMMYFUNCTION("""COMPUTED_VALUE"""),1300)</f>
        <v>1300</v>
      </c>
      <c r="AR26" s="75">
        <f ca="1">IFERROR(__xludf.DUMMYFUNCTION("""COMPUTED_VALUE"""),0)</f>
        <v>0</v>
      </c>
      <c r="AS26" s="75">
        <f ca="1">IFERROR(__xludf.DUMMYFUNCTION("""COMPUTED_VALUE"""),0)</f>
        <v>0</v>
      </c>
      <c r="AT26" s="75">
        <f ca="1">IFERROR(__xludf.DUMMYFUNCTION("""COMPUTED_VALUE"""),0)</f>
        <v>0</v>
      </c>
      <c r="AU26" s="75">
        <f ca="1">IFERROR(__xludf.DUMMYFUNCTION("""COMPUTED_VALUE"""),0)</f>
        <v>0</v>
      </c>
      <c r="AV26" s="75">
        <f ca="1">IFERROR(__xludf.DUMMYFUNCTION("""COMPUTED_VALUE"""),1300)</f>
        <v>1300</v>
      </c>
      <c r="AW26" s="75">
        <f ca="1">IFERROR(__xludf.DUMMYFUNCTION("""COMPUTED_VALUE"""),1300)</f>
        <v>1300</v>
      </c>
      <c r="AX26" s="75">
        <f ca="1">IFERROR(__xludf.DUMMYFUNCTION("""COMPUTED_VALUE"""),-106.51625)</f>
        <v>-106.51625</v>
      </c>
      <c r="AY26" s="77">
        <f ca="1">IFERROR(__xludf.DUMMYFUNCTION("""COMPUTED_VALUE"""),-0.142913254825773)</f>
        <v>-0.142913254825773</v>
      </c>
      <c r="AZ26" s="75">
        <f ca="1">IFERROR(__xludf.DUMMYFUNCTION("""COMPUTED_VALUE"""),-106.51625)</f>
        <v>-106.51625</v>
      </c>
      <c r="BA26" s="77">
        <f ca="1">IFERROR(__xludf.DUMMYFUNCTION("""COMPUTED_VALUE"""),-0.142913254825773)</f>
        <v>-0.142913254825773</v>
      </c>
      <c r="BB26" s="66"/>
      <c r="BC26" s="4"/>
      <c r="BD26" s="67" t="str">
        <f ca="1">IFERROR(__xludf.DUMMYFUNCTION("""COMPUTED_VALUE"""),"Забайкальский край")</f>
        <v>Забайкальский край</v>
      </c>
      <c r="BE26" s="67" t="str">
        <f ca="1">IFERROR(__xludf.DUMMYFUNCTION("""COMPUTED_VALUE"""),"Чита")</f>
        <v>Чита</v>
      </c>
      <c r="BF2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6" s="69" t="str">
        <f ca="1">IFERROR(__xludf.DUMMYFUNCTION("""COMPUTED_VALUE"""),"2.1.1.")</f>
        <v>2.1.1.</v>
      </c>
      <c r="BH26" s="68" t="str">
        <f ca="1">IFERROR(__xludf.DUMMYFUNCTION("""COMPUTED_VALUE"""),"Объекты коммунальной инфраструктуры")</f>
        <v>Объекты коммунальной инфраструктуры</v>
      </c>
      <c r="BI2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6" s="73" t="str">
        <f ca="1">IFERROR(__xludf.DUMMYFUNCTION("""COMPUTED_VALUE"""),"Сера диоксид")</f>
        <v>Сера диоксид</v>
      </c>
      <c r="BK26" s="78">
        <f ca="1">IFERROR(__xludf.DUMMYFUNCTION("""COMPUTED_VALUE"""),1.394064)</f>
        <v>1.394064</v>
      </c>
      <c r="BL26" s="78">
        <f ca="1">IFERROR(__xludf.DUMMYFUNCTION("""COMPUTED_VALUE"""),0.00227018301981059)</f>
        <v>2.2701830198105901E-3</v>
      </c>
      <c r="BM26" s="78">
        <f ca="1">IFERROR(__xludf.DUMMYFUNCTION("""COMPUTED_VALUE"""),1.394064)</f>
        <v>1.394064</v>
      </c>
      <c r="BN26" s="78">
        <f ca="1">IFERROR(__xludf.DUMMYFUNCTION("""COMPUTED_VALUE"""),0.00227018301981059)</f>
        <v>2.2701830198105901E-3</v>
      </c>
      <c r="BO26" s="66"/>
      <c r="BP26" s="66"/>
    </row>
    <row r="27" spans="1:68" ht="66">
      <c r="A27" s="66"/>
      <c r="B27" s="67" t="str">
        <f ca="1">IFERROR(__xludf.DUMMYFUNCTION("""COMPUTED_VALUE"""),"Забайкальский край")</f>
        <v>Забайкальский край</v>
      </c>
      <c r="C27" s="67" t="str">
        <f ca="1">IFERROR(__xludf.DUMMYFUNCTION("""COMPUTED_VALUE"""),"Чита")</f>
        <v>Чита</v>
      </c>
      <c r="D27" s="68" t="str">
        <f ca="1">IFERROR(__xludf.DUMMYFUNCTION("""COMPUTED_VALUE"""),"ПАО ""ТГК-14""")</f>
        <v>ПАО "ТГК-14"</v>
      </c>
      <c r="E27" s="69" t="str">
        <f ca="1">IFERROR(__xludf.DUMMYFUNCTION("""COMPUTED_VALUE"""),"3.1.3.")</f>
        <v>3.1.3.</v>
      </c>
      <c r="F27" s="84" t="str">
        <f ca="1">IFERROR(__xludf.DUMMYFUNCTION("""COMPUTED_VALUE"""),"Мероприятие ЮЛ/ИП")</f>
        <v>Мероприятие ЮЛ/ИП</v>
      </c>
      <c r="G27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71">
        <f ca="1">IFERROR(__xludf.DUMMYFUNCTION("""COMPUTED_VALUE"""),44561)</f>
        <v>44561</v>
      </c>
      <c r="I27" s="71">
        <f ca="1">IFERROR(__xludf.DUMMYFUNCTION("""COMPUTED_VALUE"""),45291)</f>
        <v>45291</v>
      </c>
      <c r="J27" s="68" t="str">
        <f ca="1"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>
        <f ca="1">IFERROR(__xludf.DUMMYFUNCTION("""COMPUTED_VALUE"""),45291)</f>
        <v>45291</v>
      </c>
      <c r="AJ27" s="72">
        <f ca="1">IFERROR(__xludf.DUMMYFUNCTION("""COMPUTED_VALUE"""),44926)</f>
        <v>44926</v>
      </c>
      <c r="AK27" s="73"/>
      <c r="AL27" s="68" t="str">
        <f ca="1">IFERROR(__xludf.DUMMYFUNCTION("""COMPUTED_VALUE"""),"Работы завершены")</f>
        <v>Работы завершены</v>
      </c>
      <c r="AM27" s="73"/>
      <c r="AN27" s="73" t="str">
        <f ca="1">IFERROR(__xludf.DUMMYFUNCTION("""COMPUTED_VALUE"""),"Нет")</f>
        <v>Нет</v>
      </c>
      <c r="AO27" s="73"/>
      <c r="AP27" s="75">
        <f ca="1">IFERROR(__xludf.DUMMYFUNCTION("""COMPUTED_VALUE"""),0)</f>
        <v>0</v>
      </c>
      <c r="AQ27" s="75">
        <f ca="1">IFERROR(__xludf.DUMMYFUNCTION("""COMPUTED_VALUE"""),0)</f>
        <v>0</v>
      </c>
      <c r="AR27" s="75">
        <f ca="1">IFERROR(__xludf.DUMMYFUNCTION("""COMPUTED_VALUE"""),0)</f>
        <v>0</v>
      </c>
      <c r="AS27" s="75">
        <f ca="1">IFERROR(__xludf.DUMMYFUNCTION("""COMPUTED_VALUE"""),0)</f>
        <v>0</v>
      </c>
      <c r="AT27" s="75">
        <f ca="1">IFERROR(__xludf.DUMMYFUNCTION("""COMPUTED_VALUE"""),0)</f>
        <v>0</v>
      </c>
      <c r="AU27" s="75">
        <f ca="1">IFERROR(__xludf.DUMMYFUNCTION("""COMPUTED_VALUE"""),0)</f>
        <v>0</v>
      </c>
      <c r="AV27" s="75">
        <f ca="1">IFERROR(__xludf.DUMMYFUNCTION("""COMPUTED_VALUE"""),0)</f>
        <v>0</v>
      </c>
      <c r="AW27" s="75">
        <f ca="1">IFERROR(__xludf.DUMMYFUNCTION("""COMPUTED_VALUE"""),0)</f>
        <v>0</v>
      </c>
      <c r="AX27" s="75">
        <f ca="1">IFERROR(__xludf.DUMMYFUNCTION("""COMPUTED_VALUE"""),167.011)</f>
        <v>167.011</v>
      </c>
      <c r="AY27" s="77">
        <f ca="1">IFERROR(__xludf.DUMMYFUNCTION("""COMPUTED_VALUE"""),0.224079289326343)</f>
        <v>0.224079289326343</v>
      </c>
      <c r="AZ27" s="75">
        <f ca="1">IFERROR(__xludf.DUMMYFUNCTION("""COMPUTED_VALUE"""),167.011)</f>
        <v>167.011</v>
      </c>
      <c r="BA27" s="77">
        <f ca="1">IFERROR(__xludf.DUMMYFUNCTION("""COMPUTED_VALUE"""),0.224079289326343)</f>
        <v>0.224079289326343</v>
      </c>
      <c r="BB27" s="66"/>
      <c r="BC27" s="4"/>
      <c r="BD27" s="67" t="str">
        <f ca="1">IFERROR(__xludf.DUMMYFUNCTION("""COMPUTED_VALUE"""),"Забайкальский край")</f>
        <v>Забайкальский край</v>
      </c>
      <c r="BE27" s="67" t="str">
        <f ca="1">IFERROR(__xludf.DUMMYFUNCTION("""COMPUTED_VALUE"""),"Чита")</f>
        <v>Чита</v>
      </c>
      <c r="BF2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7" s="69" t="str">
        <f ca="1">IFERROR(__xludf.DUMMYFUNCTION("""COMPUTED_VALUE"""),"2.1.1.")</f>
        <v>2.1.1.</v>
      </c>
      <c r="BH27" s="68" t="str">
        <f ca="1">IFERROR(__xludf.DUMMYFUNCTION("""COMPUTED_VALUE"""),"Объекты коммунальной инфраструктуры")</f>
        <v>Объекты коммунальной инфраструктуры</v>
      </c>
      <c r="BI27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7" s="73" t="str">
        <f ca="1">IFERROR(__xludf.DUMMYFUNCTION("""COMPUTED_VALUE"""),"Углерода оксид")</f>
        <v>Углерода оксид</v>
      </c>
      <c r="BK27" s="78">
        <f ca="1">IFERROR(__xludf.DUMMYFUNCTION("""COMPUTED_VALUE"""),8.775891)</f>
        <v>8.7758909999999997</v>
      </c>
      <c r="BL27" s="78">
        <f ca="1">IFERROR(__xludf.DUMMYFUNCTION("""COMPUTED_VALUE"""),0.014291222448832)</f>
        <v>1.4291222448832E-2</v>
      </c>
      <c r="BM27" s="78">
        <f ca="1">IFERROR(__xludf.DUMMYFUNCTION("""COMPUTED_VALUE"""),8.775891)</f>
        <v>8.7758909999999997</v>
      </c>
      <c r="BN27" s="78">
        <f ca="1">IFERROR(__xludf.DUMMYFUNCTION("""COMPUTED_VALUE"""),0.014291222448832)</f>
        <v>1.4291222448832E-2</v>
      </c>
      <c r="BO27" s="66"/>
      <c r="BP27" s="66"/>
    </row>
    <row r="28" spans="1:68" ht="66">
      <c r="A28" s="66"/>
      <c r="B28" s="67" t="str">
        <f ca="1">IFERROR(__xludf.DUMMYFUNCTION("""COMPUTED_VALUE"""),"Забайкальский край")</f>
        <v>Забайкальский край</v>
      </c>
      <c r="C28" s="67" t="str">
        <f ca="1">IFERROR(__xludf.DUMMYFUNCTION("""COMPUTED_VALUE"""),"Чита")</f>
        <v>Чита</v>
      </c>
      <c r="D28" s="68" t="str">
        <f ca="1">IFERROR(__xludf.DUMMYFUNCTION("""COMPUTED_VALUE"""),"ПАО ""ТГК-14""")</f>
        <v>ПАО "ТГК-14"</v>
      </c>
      <c r="E28" s="69" t="str">
        <f ca="1">IFERROR(__xludf.DUMMYFUNCTION("""COMPUTED_VALUE"""),"3.1.4.")</f>
        <v>3.1.4.</v>
      </c>
      <c r="F28" s="84" t="str">
        <f ca="1">IFERROR(__xludf.DUMMYFUNCTION("""COMPUTED_VALUE"""),"Мероприятие ЮЛ/ИП")</f>
        <v>Мероприятие ЮЛ/ИП</v>
      </c>
      <c r="G2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71">
        <f ca="1">IFERROR(__xludf.DUMMYFUNCTION("""COMPUTED_VALUE"""),44561)</f>
        <v>44561</v>
      </c>
      <c r="I28" s="71">
        <f ca="1">IFERROR(__xludf.DUMMYFUNCTION("""COMPUTED_VALUE"""),45291)</f>
        <v>45291</v>
      </c>
      <c r="J28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>
        <f ca="1">IFERROR(__xludf.DUMMYFUNCTION("""COMPUTED_VALUE"""),45291)</f>
        <v>45291</v>
      </c>
      <c r="AJ28" s="72">
        <f ca="1">IFERROR(__xludf.DUMMYFUNCTION("""COMPUTED_VALUE"""),44926)</f>
        <v>44926</v>
      </c>
      <c r="AK28" s="73"/>
      <c r="AL28" s="68" t="str">
        <f ca="1">IFERROR(__xludf.DUMMYFUNCTION("""COMPUTED_VALUE"""),"Работы завершены")</f>
        <v>Работы завершены</v>
      </c>
      <c r="AM28" s="73"/>
      <c r="AN28" s="73" t="str">
        <f ca="1">IFERROR(__xludf.DUMMYFUNCTION("""COMPUTED_VALUE"""),"Нет")</f>
        <v>Нет</v>
      </c>
      <c r="AO28" s="73"/>
      <c r="AP28" s="75">
        <f ca="1">IFERROR(__xludf.DUMMYFUNCTION("""COMPUTED_VALUE"""),0)</f>
        <v>0</v>
      </c>
      <c r="AQ28" s="75">
        <f ca="1">IFERROR(__xludf.DUMMYFUNCTION("""COMPUTED_VALUE"""),0)</f>
        <v>0</v>
      </c>
      <c r="AR28" s="75">
        <f ca="1">IFERROR(__xludf.DUMMYFUNCTION("""COMPUTED_VALUE"""),0)</f>
        <v>0</v>
      </c>
      <c r="AS28" s="75">
        <f ca="1">IFERROR(__xludf.DUMMYFUNCTION("""COMPUTED_VALUE"""),0)</f>
        <v>0</v>
      </c>
      <c r="AT28" s="75">
        <f ca="1">IFERROR(__xludf.DUMMYFUNCTION("""COMPUTED_VALUE"""),0)</f>
        <v>0</v>
      </c>
      <c r="AU28" s="75">
        <f ca="1">IFERROR(__xludf.DUMMYFUNCTION("""COMPUTED_VALUE"""),0)</f>
        <v>0</v>
      </c>
      <c r="AV28" s="75">
        <f ca="1">IFERROR(__xludf.DUMMYFUNCTION("""COMPUTED_VALUE"""),0)</f>
        <v>0</v>
      </c>
      <c r="AW28" s="75">
        <f ca="1">IFERROR(__xludf.DUMMYFUNCTION("""COMPUTED_VALUE"""),0)</f>
        <v>0</v>
      </c>
      <c r="AX28" s="75">
        <f ca="1">IFERROR(__xludf.DUMMYFUNCTION("""COMPUTED_VALUE"""),80.767)</f>
        <v>80.766999999999996</v>
      </c>
      <c r="AY28" s="77">
        <f ca="1">IFERROR(__xludf.DUMMYFUNCTION("""COMPUTED_VALUE"""),0.108365388872713)</f>
        <v>0.10836538887271301</v>
      </c>
      <c r="AZ28" s="75">
        <f ca="1">IFERROR(__xludf.DUMMYFUNCTION("""COMPUTED_VALUE"""),80.767)</f>
        <v>80.766999999999996</v>
      </c>
      <c r="BA28" s="77">
        <f ca="1">IFERROR(__xludf.DUMMYFUNCTION("""COMPUTED_VALUE"""),0.108365388872713)</f>
        <v>0.10836538887271301</v>
      </c>
      <c r="BB28" s="66"/>
      <c r="BC28" s="4"/>
      <c r="BD28" s="67" t="str">
        <f ca="1">IFERROR(__xludf.DUMMYFUNCTION("""COMPUTED_VALUE"""),"Забайкальский край")</f>
        <v>Забайкальский край</v>
      </c>
      <c r="BE28" s="67" t="str">
        <f ca="1">IFERROR(__xludf.DUMMYFUNCTION("""COMPUTED_VALUE"""),"Чита")</f>
        <v>Чита</v>
      </c>
      <c r="BF2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8" s="69" t="str">
        <f ca="1">IFERROR(__xludf.DUMMYFUNCTION("""COMPUTED_VALUE"""),"2.1.1.")</f>
        <v>2.1.1.</v>
      </c>
      <c r="BH28" s="68" t="str">
        <f ca="1">IFERROR(__xludf.DUMMYFUNCTION("""COMPUTED_VALUE"""),"Объекты коммунальной инфраструктуры")</f>
        <v>Объекты коммунальной инфраструктуры</v>
      </c>
      <c r="BI28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8" s="73" t="str">
        <f ca="1">IFERROR(__xludf.DUMMYFUNCTION("""COMPUTED_VALUE"""),"Углерод")</f>
        <v>Углерод</v>
      </c>
      <c r="BK28" s="78">
        <f ca="1">IFERROR(__xludf.DUMMYFUNCTION("""COMPUTED_VALUE"""),0.656756)</f>
        <v>0.65675600000000001</v>
      </c>
      <c r="BL28" s="78">
        <f ca="1">IFERROR(__xludf.DUMMYFUNCTION("""COMPUTED_VALUE"""),0.00106950349435802)</f>
        <v>1.0695034943580201E-3</v>
      </c>
      <c r="BM28" s="78">
        <f ca="1">IFERROR(__xludf.DUMMYFUNCTION("""COMPUTED_VALUE"""),0.656756)</f>
        <v>0.65675600000000001</v>
      </c>
      <c r="BN28" s="78">
        <f ca="1">IFERROR(__xludf.DUMMYFUNCTION("""COMPUTED_VALUE"""),0.00106950349435802)</f>
        <v>1.0695034943580201E-3</v>
      </c>
      <c r="BO28" s="66"/>
      <c r="BP28" s="66"/>
    </row>
    <row r="29" spans="1:68" ht="79.2">
      <c r="A29" s="66"/>
      <c r="B29" s="67" t="str">
        <f ca="1">IFERROR(__xludf.DUMMYFUNCTION("""COMPUTED_VALUE"""),"Забайкальский край")</f>
        <v>Забайкальский край</v>
      </c>
      <c r="C29" s="67" t="str">
        <f ca="1">IFERROR(__xludf.DUMMYFUNCTION("""COMPUTED_VALUE"""),"Чита")</f>
        <v>Чита</v>
      </c>
      <c r="D29" s="68" t="str">
        <f ca="1">IFERROR(__xludf.DUMMYFUNCTION("""COMPUTED_VALUE"""),"ПАО ""ТГК-14""")</f>
        <v>ПАО "ТГК-14"</v>
      </c>
      <c r="E29" s="69" t="str">
        <f ca="1">IFERROR(__xludf.DUMMYFUNCTION("""COMPUTED_VALUE"""),"3.1.5.")</f>
        <v>3.1.5.</v>
      </c>
      <c r="F29" s="84" t="str">
        <f ca="1">IFERROR(__xludf.DUMMYFUNCTION("""COMPUTED_VALUE"""),"Мероприятие ЮЛ/ИП")</f>
        <v>Мероприятие ЮЛ/ИП</v>
      </c>
      <c r="G2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71">
        <f ca="1">IFERROR(__xludf.DUMMYFUNCTION("""COMPUTED_VALUE"""),44562)</f>
        <v>44562</v>
      </c>
      <c r="I29" s="71">
        <f ca="1">IFERROR(__xludf.DUMMYFUNCTION("""COMPUTED_VALUE"""),45291)</f>
        <v>45291</v>
      </c>
      <c r="J29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>
        <f ca="1">IFERROR(__xludf.DUMMYFUNCTION("""COMPUTED_VALUE"""),45291)</f>
        <v>45291</v>
      </c>
      <c r="AJ29" s="72">
        <f ca="1">IFERROR(__xludf.DUMMYFUNCTION("""COMPUTED_VALUE"""),44926)</f>
        <v>44926</v>
      </c>
      <c r="AK29" s="73"/>
      <c r="AL29" s="68" t="str">
        <f ca="1">IFERROR(__xludf.DUMMYFUNCTION("""COMPUTED_VALUE"""),"Работы завершены")</f>
        <v>Работы завершены</v>
      </c>
      <c r="AM29" s="73"/>
      <c r="AN29" s="73" t="str">
        <f ca="1">IFERROR(__xludf.DUMMYFUNCTION("""COMPUTED_VALUE"""),"Нет")</f>
        <v>Нет</v>
      </c>
      <c r="AO29" s="73"/>
      <c r="AP29" s="75">
        <f ca="1">IFERROR(__xludf.DUMMYFUNCTION("""COMPUTED_VALUE"""),0)</f>
        <v>0</v>
      </c>
      <c r="AQ29" s="75">
        <f ca="1">IFERROR(__xludf.DUMMYFUNCTION("""COMPUTED_VALUE"""),0)</f>
        <v>0</v>
      </c>
      <c r="AR29" s="75">
        <f ca="1">IFERROR(__xludf.DUMMYFUNCTION("""COMPUTED_VALUE"""),0)</f>
        <v>0</v>
      </c>
      <c r="AS29" s="75">
        <f ca="1">IFERROR(__xludf.DUMMYFUNCTION("""COMPUTED_VALUE"""),0)</f>
        <v>0</v>
      </c>
      <c r="AT29" s="75">
        <f ca="1">IFERROR(__xludf.DUMMYFUNCTION("""COMPUTED_VALUE"""),0)</f>
        <v>0</v>
      </c>
      <c r="AU29" s="75">
        <f ca="1">IFERROR(__xludf.DUMMYFUNCTION("""COMPUTED_VALUE"""),0)</f>
        <v>0</v>
      </c>
      <c r="AV29" s="75">
        <f ca="1">IFERROR(__xludf.DUMMYFUNCTION("""COMPUTED_VALUE"""),0)</f>
        <v>0</v>
      </c>
      <c r="AW29" s="75">
        <f ca="1">IFERROR(__xludf.DUMMYFUNCTION("""COMPUTED_VALUE"""),0)</f>
        <v>0</v>
      </c>
      <c r="AX29" s="75">
        <f ca="1">IFERROR(__xludf.DUMMYFUNCTION("""COMPUTED_VALUE"""),17.623)</f>
        <v>17.623000000000001</v>
      </c>
      <c r="AY29" s="77">
        <f ca="1">IFERROR(__xludf.DUMMYFUNCTION("""COMPUTED_VALUE"""),0.023644845643689)</f>
        <v>2.3644845643688999E-2</v>
      </c>
      <c r="AZ29" s="75">
        <f ca="1">IFERROR(__xludf.DUMMYFUNCTION("""COMPUTED_VALUE"""),17.623)</f>
        <v>17.623000000000001</v>
      </c>
      <c r="BA29" s="77">
        <f ca="1">IFERROR(__xludf.DUMMYFUNCTION("""COMPUTED_VALUE"""),0.023644845643689)</f>
        <v>2.3644845643688999E-2</v>
      </c>
      <c r="BB29" s="66"/>
      <c r="BC29" s="4"/>
      <c r="BD29" s="67" t="str">
        <f ca="1">IFERROR(__xludf.DUMMYFUNCTION("""COMPUTED_VALUE"""),"Забайкальский край")</f>
        <v>Забайкальский край</v>
      </c>
      <c r="BE29" s="67" t="str">
        <f ca="1">IFERROR(__xludf.DUMMYFUNCTION("""COMPUTED_VALUE"""),"Чита")</f>
        <v>Чита</v>
      </c>
      <c r="BF2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9" s="69" t="str">
        <f ca="1">IFERROR(__xludf.DUMMYFUNCTION("""COMPUTED_VALUE"""),"2.1.2.")</f>
        <v>2.1.2.</v>
      </c>
      <c r="BH29" s="68" t="str">
        <f ca="1">IFERROR(__xludf.DUMMYFUNCTION("""COMPUTED_VALUE"""),"Объекты коммунальной инфраструктуры")</f>
        <v>Объекты коммунальной инфраструктуры</v>
      </c>
      <c r="BI29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29" s="73" t="str">
        <f ca="1">IFERROR(__xludf.DUMMYFUNCTION("""COMPUTED_VALUE"""),"Азота диоксид")</f>
        <v>Азота диоксид</v>
      </c>
      <c r="BK29" s="78">
        <f ca="1">IFERROR(__xludf.DUMMYFUNCTION("""COMPUTED_VALUE"""),17.462394)</f>
        <v>17.462394</v>
      </c>
      <c r="BL29" s="78">
        <f ca="1">IFERROR(__xludf.DUMMYFUNCTION("""COMPUTED_VALUE"""),0.0284368797587788)</f>
        <v>2.8436879758778798E-2</v>
      </c>
      <c r="BM29" s="78">
        <f ca="1">IFERROR(__xludf.DUMMYFUNCTION("""COMPUTED_VALUE"""),17.462394)</f>
        <v>17.462394</v>
      </c>
      <c r="BN29" s="78">
        <f ca="1">IFERROR(__xludf.DUMMYFUNCTION("""COMPUTED_VALUE"""),0.0284368797587788)</f>
        <v>2.8436879758778798E-2</v>
      </c>
      <c r="BO29" s="66"/>
      <c r="BP29" s="66"/>
    </row>
    <row r="30" spans="1:68" ht="79.2">
      <c r="A30" s="66"/>
      <c r="B30" s="67" t="str">
        <f ca="1">IFERROR(__xludf.DUMMYFUNCTION("""COMPUTED_VALUE"""),"Забайкальский край")</f>
        <v>Забайкальский край</v>
      </c>
      <c r="C30" s="67" t="str">
        <f ca="1">IFERROR(__xludf.DUMMYFUNCTION("""COMPUTED_VALUE"""),"Чита")</f>
        <v>Чита</v>
      </c>
      <c r="D30" s="68" t="str">
        <f ca="1">IFERROR(__xludf.DUMMYFUNCTION("""COMPUTED_VALUE"""),"ПАО ""ТГК-14""")</f>
        <v>ПАО "ТГК-14"</v>
      </c>
      <c r="E30" s="69" t="str">
        <f ca="1">IFERROR(__xludf.DUMMYFUNCTION("""COMPUTED_VALUE"""),"3.1.6")</f>
        <v>3.1.6</v>
      </c>
      <c r="F30" s="84" t="str">
        <f ca="1">IFERROR(__xludf.DUMMYFUNCTION("""COMPUTED_VALUE"""),"Мероприятие ЮЛ/ИП")</f>
        <v>Мероприятие ЮЛ/ИП</v>
      </c>
      <c r="G3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71">
        <f ca="1">IFERROR(__xludf.DUMMYFUNCTION("""COMPUTED_VALUE"""),44562)</f>
        <v>44562</v>
      </c>
      <c r="I30" s="71">
        <f ca="1">IFERROR(__xludf.DUMMYFUNCTION("""COMPUTED_VALUE"""),45291)</f>
        <v>45291</v>
      </c>
      <c r="J30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>
        <f ca="1">IFERROR(__xludf.DUMMYFUNCTION("""COMPUTED_VALUE"""),45291)</f>
        <v>45291</v>
      </c>
      <c r="AJ30" s="72">
        <f ca="1">IFERROR(__xludf.DUMMYFUNCTION("""COMPUTED_VALUE"""),44926)</f>
        <v>44926</v>
      </c>
      <c r="AK30" s="73"/>
      <c r="AL30" s="68" t="str">
        <f ca="1">IFERROR(__xludf.DUMMYFUNCTION("""COMPUTED_VALUE"""),"Работы завершены")</f>
        <v>Работы завершены</v>
      </c>
      <c r="AM30" s="73"/>
      <c r="AN30" s="73" t="str">
        <f ca="1">IFERROR(__xludf.DUMMYFUNCTION("""COMPUTED_VALUE"""),"Нет")</f>
        <v>Нет</v>
      </c>
      <c r="AO30" s="73"/>
      <c r="AP30" s="75">
        <f ca="1">IFERROR(__xludf.DUMMYFUNCTION("""COMPUTED_VALUE"""),0)</f>
        <v>0</v>
      </c>
      <c r="AQ30" s="75">
        <f ca="1">IFERROR(__xludf.DUMMYFUNCTION("""COMPUTED_VALUE"""),0)</f>
        <v>0</v>
      </c>
      <c r="AR30" s="75">
        <f ca="1">IFERROR(__xludf.DUMMYFUNCTION("""COMPUTED_VALUE"""),0)</f>
        <v>0</v>
      </c>
      <c r="AS30" s="75">
        <f ca="1">IFERROR(__xludf.DUMMYFUNCTION("""COMPUTED_VALUE"""),0)</f>
        <v>0</v>
      </c>
      <c r="AT30" s="75">
        <f ca="1">IFERROR(__xludf.DUMMYFUNCTION("""COMPUTED_VALUE"""),0)</f>
        <v>0</v>
      </c>
      <c r="AU30" s="75">
        <f ca="1">IFERROR(__xludf.DUMMYFUNCTION("""COMPUTED_VALUE"""),0)</f>
        <v>0</v>
      </c>
      <c r="AV30" s="75">
        <f ca="1">IFERROR(__xludf.DUMMYFUNCTION("""COMPUTED_VALUE"""),0)</f>
        <v>0</v>
      </c>
      <c r="AW30" s="75">
        <f ca="1">IFERROR(__xludf.DUMMYFUNCTION("""COMPUTED_VALUE"""),0)</f>
        <v>0</v>
      </c>
      <c r="AX30" s="75">
        <f ca="1">IFERROR(__xludf.DUMMYFUNCTION("""COMPUTED_VALUE"""),9.566)</f>
        <v>9.5660000000000007</v>
      </c>
      <c r="AY30" s="77">
        <f ca="1">IFERROR(__xludf.DUMMYFUNCTION("""COMPUTED_VALUE"""),0.012834738320804)</f>
        <v>1.2834738320804E-2</v>
      </c>
      <c r="AZ30" s="75">
        <f ca="1">IFERROR(__xludf.DUMMYFUNCTION("""COMPUTED_VALUE"""),9.566)</f>
        <v>9.5660000000000007</v>
      </c>
      <c r="BA30" s="77">
        <f ca="1">IFERROR(__xludf.DUMMYFUNCTION("""COMPUTED_VALUE"""),0.012834738320804)</f>
        <v>1.2834738320804E-2</v>
      </c>
      <c r="BB30" s="66"/>
      <c r="BC30" s="4"/>
      <c r="BD30" s="67" t="str">
        <f ca="1">IFERROR(__xludf.DUMMYFUNCTION("""COMPUTED_VALUE"""),"Забайкальский край")</f>
        <v>Забайкальский край</v>
      </c>
      <c r="BE30" s="67" t="str">
        <f ca="1">IFERROR(__xludf.DUMMYFUNCTION("""COMPUTED_VALUE"""),"Чита")</f>
        <v>Чита</v>
      </c>
      <c r="BF3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0" s="69" t="str">
        <f ca="1">IFERROR(__xludf.DUMMYFUNCTION("""COMPUTED_VALUE"""),"2.1.2.")</f>
        <v>2.1.2.</v>
      </c>
      <c r="BH30" s="68" t="str">
        <f ca="1">IFERROR(__xludf.DUMMYFUNCTION("""COMPUTED_VALUE"""),"Объекты коммунальной инфраструктуры")</f>
        <v>Объекты коммунальной инфраструктуры</v>
      </c>
      <c r="BI30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0" s="73" t="str">
        <f ca="1">IFERROR(__xludf.DUMMYFUNCTION("""COMPUTED_VALUE"""),"Азот (II) оксид")</f>
        <v>Азот (II) оксид</v>
      </c>
      <c r="BK30" s="78">
        <f ca="1">IFERROR(__xludf.DUMMYFUNCTION("""COMPUTED_VALUE"""),2.837639)</f>
        <v>2.8376389999999998</v>
      </c>
      <c r="BL30" s="78">
        <f ca="1">IFERROR(__xludf.DUMMYFUNCTION("""COMPUTED_VALUE"""),0.00462099292008996)</f>
        <v>4.6209929200899599E-3</v>
      </c>
      <c r="BM30" s="78">
        <f ca="1">IFERROR(__xludf.DUMMYFUNCTION("""COMPUTED_VALUE"""),2.837639)</f>
        <v>2.8376389999999998</v>
      </c>
      <c r="BN30" s="78">
        <f ca="1">IFERROR(__xludf.DUMMYFUNCTION("""COMPUTED_VALUE"""),0.00462099292008996)</f>
        <v>4.6209929200899599E-3</v>
      </c>
      <c r="BO30" s="66"/>
      <c r="BP30" s="66"/>
    </row>
    <row r="31" spans="1:68" ht="79.2">
      <c r="A31" s="66"/>
      <c r="B31" s="67" t="str">
        <f ca="1">IFERROR(__xludf.DUMMYFUNCTION("""COMPUTED_VALUE"""),"Забайкальский край")</f>
        <v>Забайкальский край</v>
      </c>
      <c r="C31" s="67" t="str">
        <f ca="1">IFERROR(__xludf.DUMMYFUNCTION("""COMPUTED_VALUE"""),"Чита")</f>
        <v>Чита</v>
      </c>
      <c r="D31" s="68" t="str">
        <f ca="1">IFERROR(__xludf.DUMMYFUNCTION("""COMPUTED_VALUE"""),"ПАО ""ТГК-14""")</f>
        <v>ПАО "ТГК-14"</v>
      </c>
      <c r="E31" s="69" t="str">
        <f ca="1">IFERROR(__xludf.DUMMYFUNCTION("""COMPUTED_VALUE"""),"3.1.7.")</f>
        <v>3.1.7.</v>
      </c>
      <c r="F31" s="84" t="str">
        <f ca="1">IFERROR(__xludf.DUMMYFUNCTION("""COMPUTED_VALUE"""),"Мероприятие ЮЛ/ИП")</f>
        <v>Мероприятие ЮЛ/ИП</v>
      </c>
      <c r="G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71">
        <f ca="1">IFERROR(__xludf.DUMMYFUNCTION("""COMPUTED_VALUE"""),44562)</f>
        <v>44562</v>
      </c>
      <c r="I31" s="71">
        <f ca="1">IFERROR(__xludf.DUMMYFUNCTION("""COMPUTED_VALUE"""),45291)</f>
        <v>45291</v>
      </c>
      <c r="J31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>
        <f ca="1">IFERROR(__xludf.DUMMYFUNCTION("""COMPUTED_VALUE"""),45291)</f>
        <v>45291</v>
      </c>
      <c r="AJ31" s="72">
        <f ca="1">IFERROR(__xludf.DUMMYFUNCTION("""COMPUTED_VALUE"""),44926)</f>
        <v>44926</v>
      </c>
      <c r="AK31" s="73"/>
      <c r="AL31" s="68" t="str">
        <f ca="1">IFERROR(__xludf.DUMMYFUNCTION("""COMPUTED_VALUE"""),"Работы завершены")</f>
        <v>Работы завершены</v>
      </c>
      <c r="AM31" s="73"/>
      <c r="AN31" s="73" t="str">
        <f ca="1">IFERROR(__xludf.DUMMYFUNCTION("""COMPUTED_VALUE"""),"Нет")</f>
        <v>Нет</v>
      </c>
      <c r="AO31" s="73"/>
      <c r="AP31" s="75">
        <f ca="1">IFERROR(__xludf.DUMMYFUNCTION("""COMPUTED_VALUE"""),0)</f>
        <v>0</v>
      </c>
      <c r="AQ31" s="75">
        <f ca="1">IFERROR(__xludf.DUMMYFUNCTION("""COMPUTED_VALUE"""),0)</f>
        <v>0</v>
      </c>
      <c r="AR31" s="75">
        <f ca="1">IFERROR(__xludf.DUMMYFUNCTION("""COMPUTED_VALUE"""),0)</f>
        <v>0</v>
      </c>
      <c r="AS31" s="75">
        <f ca="1">IFERROR(__xludf.DUMMYFUNCTION("""COMPUTED_VALUE"""),0)</f>
        <v>0</v>
      </c>
      <c r="AT31" s="75">
        <f ca="1">IFERROR(__xludf.DUMMYFUNCTION("""COMPUTED_VALUE"""),0)</f>
        <v>0</v>
      </c>
      <c r="AU31" s="75">
        <f ca="1">IFERROR(__xludf.DUMMYFUNCTION("""COMPUTED_VALUE"""),0)</f>
        <v>0</v>
      </c>
      <c r="AV31" s="75">
        <f ca="1">IFERROR(__xludf.DUMMYFUNCTION("""COMPUTED_VALUE"""),0)</f>
        <v>0</v>
      </c>
      <c r="AW31" s="75">
        <f ca="1">IFERROR(__xludf.DUMMYFUNCTION("""COMPUTED_VALUE"""),0)</f>
        <v>0</v>
      </c>
      <c r="AX31" s="75">
        <f ca="1">IFERROR(__xludf.DUMMYFUNCTION("""COMPUTED_VALUE"""),8.084)</f>
        <v>8.0839999999999996</v>
      </c>
      <c r="AY31" s="77">
        <f ca="1">IFERROR(__xludf.DUMMYFUNCTION("""COMPUTED_VALUE"""),0.0108463333248358)</f>
        <v>1.08463333248358E-2</v>
      </c>
      <c r="AZ31" s="75">
        <f ca="1">IFERROR(__xludf.DUMMYFUNCTION("""COMPUTED_VALUE"""),8.084)</f>
        <v>8.0839999999999996</v>
      </c>
      <c r="BA31" s="77">
        <f ca="1">IFERROR(__xludf.DUMMYFUNCTION("""COMPUTED_VALUE"""),0.0108463333248358)</f>
        <v>1.08463333248358E-2</v>
      </c>
      <c r="BB31" s="66"/>
      <c r="BC31" s="4"/>
      <c r="BD31" s="67" t="str">
        <f ca="1">IFERROR(__xludf.DUMMYFUNCTION("""COMPUTED_VALUE"""),"Забайкальский край")</f>
        <v>Забайкальский край</v>
      </c>
      <c r="BE31" s="67" t="str">
        <f ca="1">IFERROR(__xludf.DUMMYFUNCTION("""COMPUTED_VALUE"""),"Чита")</f>
        <v>Чита</v>
      </c>
      <c r="BF3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1" s="69" t="str">
        <f ca="1">IFERROR(__xludf.DUMMYFUNCTION("""COMPUTED_VALUE"""),"2.1.2.")</f>
        <v>2.1.2.</v>
      </c>
      <c r="BH31" s="68" t="str">
        <f ca="1">IFERROR(__xludf.DUMMYFUNCTION("""COMPUTED_VALUE"""),"Объекты коммунальной инфраструктуры")</f>
        <v>Объекты коммунальной инфраструктуры</v>
      </c>
      <c r="BI31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1" s="73" t="str">
        <f ca="1">IFERROR(__xludf.DUMMYFUNCTION("""COMPUTED_VALUE"""),"Бенз/а/пирен")</f>
        <v>Бенз/а/пирен</v>
      </c>
      <c r="BK31" s="78">
        <f ca="1">IFERROR(__xludf.DUMMYFUNCTION("""COMPUTED_VALUE"""),0.000376)</f>
        <v>3.7599999999999998E-4</v>
      </c>
      <c r="BL31" s="78">
        <f ca="1">IFERROR(__xludf.DUMMYFUNCTION("""COMPUTED_VALUE"""),6.12302459176036E-07)</f>
        <v>6.1230245917603597E-7</v>
      </c>
      <c r="BM31" s="78">
        <f ca="1">IFERROR(__xludf.DUMMYFUNCTION("""COMPUTED_VALUE"""),0.000376)</f>
        <v>3.7599999999999998E-4</v>
      </c>
      <c r="BN31" s="78">
        <f ca="1">IFERROR(__xludf.DUMMYFUNCTION("""COMPUTED_VALUE"""),6.12302459176036E-07)</f>
        <v>6.1230245917603597E-7</v>
      </c>
      <c r="BO31" s="66"/>
      <c r="BP31" s="66"/>
    </row>
    <row r="32" spans="1:68" ht="79.2">
      <c r="A32" s="66"/>
      <c r="B32" s="67" t="str">
        <f ca="1">IFERROR(__xludf.DUMMYFUNCTION("""COMPUTED_VALUE"""),"Забайкальский край")</f>
        <v>Забайкальский край</v>
      </c>
      <c r="C32" s="67" t="str">
        <f ca="1">IFERROR(__xludf.DUMMYFUNCTION("""COMPUTED_VALUE"""),"Чита")</f>
        <v>Чита</v>
      </c>
      <c r="D32" s="68" t="str">
        <f ca="1">IFERROR(__xludf.DUMMYFUNCTION("""COMPUTED_VALUE"""),"ПАО ""ТГК-14""")</f>
        <v>ПАО "ТГК-14"</v>
      </c>
      <c r="E32" s="69" t="str">
        <f ca="1">IFERROR(__xludf.DUMMYFUNCTION("""COMPUTED_VALUE"""),"3.1.8.")</f>
        <v>3.1.8.</v>
      </c>
      <c r="F32" s="84" t="str">
        <f ca="1">IFERROR(__xludf.DUMMYFUNCTION("""COMPUTED_VALUE"""),"Мероприятие ЮЛ/ИП")</f>
        <v>Мероприятие ЮЛ/ИП</v>
      </c>
      <c r="G32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71">
        <f ca="1">IFERROR(__xludf.DUMMYFUNCTION("""COMPUTED_VALUE"""),44562)</f>
        <v>44562</v>
      </c>
      <c r="I32" s="71">
        <f ca="1">IFERROR(__xludf.DUMMYFUNCTION("""COMPUTED_VALUE"""),45291)</f>
        <v>45291</v>
      </c>
      <c r="J32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>
        <f ca="1">IFERROR(__xludf.DUMMYFUNCTION("""COMPUTED_VALUE"""),45291)</f>
        <v>45291</v>
      </c>
      <c r="AJ32" s="72">
        <f ca="1">IFERROR(__xludf.DUMMYFUNCTION("""COMPUTED_VALUE"""),44926)</f>
        <v>44926</v>
      </c>
      <c r="AK32" s="73"/>
      <c r="AL32" s="68" t="str">
        <f ca="1">IFERROR(__xludf.DUMMYFUNCTION("""COMPUTED_VALUE"""),"Работы завершены")</f>
        <v>Работы завершены</v>
      </c>
      <c r="AM32" s="73"/>
      <c r="AN32" s="73" t="str">
        <f ca="1">IFERROR(__xludf.DUMMYFUNCTION("""COMPUTED_VALUE"""),"Нет")</f>
        <v>Нет</v>
      </c>
      <c r="AO32" s="73"/>
      <c r="AP32" s="75">
        <f ca="1">IFERROR(__xludf.DUMMYFUNCTION("""COMPUTED_VALUE"""),0)</f>
        <v>0</v>
      </c>
      <c r="AQ32" s="75">
        <f ca="1">IFERROR(__xludf.DUMMYFUNCTION("""COMPUTED_VALUE"""),0)</f>
        <v>0</v>
      </c>
      <c r="AR32" s="75">
        <f ca="1">IFERROR(__xludf.DUMMYFUNCTION("""COMPUTED_VALUE"""),0)</f>
        <v>0</v>
      </c>
      <c r="AS32" s="75">
        <f ca="1">IFERROR(__xludf.DUMMYFUNCTION("""COMPUTED_VALUE"""),0)</f>
        <v>0</v>
      </c>
      <c r="AT32" s="75">
        <f ca="1">IFERROR(__xludf.DUMMYFUNCTION("""COMPUTED_VALUE"""),0)</f>
        <v>0</v>
      </c>
      <c r="AU32" s="75">
        <f ca="1">IFERROR(__xludf.DUMMYFUNCTION("""COMPUTED_VALUE"""),0)</f>
        <v>0</v>
      </c>
      <c r="AV32" s="75">
        <f ca="1">IFERROR(__xludf.DUMMYFUNCTION("""COMPUTED_VALUE"""),0)</f>
        <v>0</v>
      </c>
      <c r="AW32" s="75">
        <f ca="1">IFERROR(__xludf.DUMMYFUNCTION("""COMPUTED_VALUE"""),0)</f>
        <v>0</v>
      </c>
      <c r="AX32" s="75">
        <f ca="1">IFERROR(__xludf.DUMMYFUNCTION("""COMPUTED_VALUE"""),79.21)</f>
        <v>79.209999999999994</v>
      </c>
      <c r="AY32" s="77">
        <f ca="1">IFERROR(__xludf.DUMMYFUNCTION("""COMPUTED_VALUE"""),0.106276356093548)</f>
        <v>0.10627635609354801</v>
      </c>
      <c r="AZ32" s="75">
        <f ca="1">IFERROR(__xludf.DUMMYFUNCTION("""COMPUTED_VALUE"""),79.21)</f>
        <v>79.209999999999994</v>
      </c>
      <c r="BA32" s="77">
        <f ca="1">IFERROR(__xludf.DUMMYFUNCTION("""COMPUTED_VALUE"""),0.106276356093548)</f>
        <v>0.10627635609354801</v>
      </c>
      <c r="BB32" s="66"/>
      <c r="BC32" s="4"/>
      <c r="BD32" s="67" t="str">
        <f ca="1">IFERROR(__xludf.DUMMYFUNCTION("""COMPUTED_VALUE"""),"Забайкальский край")</f>
        <v>Забайкальский край</v>
      </c>
      <c r="BE32" s="67" t="str">
        <f ca="1">IFERROR(__xludf.DUMMYFUNCTION("""COMPUTED_VALUE"""),"Чита")</f>
        <v>Чита</v>
      </c>
      <c r="BF3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2" s="69" t="str">
        <f ca="1">IFERROR(__xludf.DUMMYFUNCTION("""COMPUTED_VALUE"""),"2.1.2.")</f>
        <v>2.1.2.</v>
      </c>
      <c r="BH32" s="68" t="str">
        <f ca="1">IFERROR(__xludf.DUMMYFUNCTION("""COMPUTED_VALUE"""),"Объекты коммунальной инфраструктуры")</f>
        <v>Объекты коммунальной инфраструктуры</v>
      </c>
      <c r="BI32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2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32" s="78">
        <f ca="1">IFERROR(__xludf.DUMMYFUNCTION("""COMPUTED_VALUE"""),11.933244)</f>
        <v>11.933244</v>
      </c>
      <c r="BL32" s="78">
        <f ca="1">IFERROR(__xludf.DUMMYFUNCTION("""COMPUTED_VALUE"""),0.0194328581041161)</f>
        <v>1.9432858104116098E-2</v>
      </c>
      <c r="BM32" s="78">
        <f ca="1">IFERROR(__xludf.DUMMYFUNCTION("""COMPUTED_VALUE"""),11.933244)</f>
        <v>11.933244</v>
      </c>
      <c r="BN32" s="78">
        <f ca="1">IFERROR(__xludf.DUMMYFUNCTION("""COMPUTED_VALUE"""),0.0194328581041161)</f>
        <v>1.9432858104116098E-2</v>
      </c>
      <c r="BO32" s="66"/>
      <c r="BP32" s="66"/>
    </row>
    <row r="33" spans="1:68" ht="79.2">
      <c r="A33" s="66"/>
      <c r="B33" s="67" t="str">
        <f ca="1">IFERROR(__xludf.DUMMYFUNCTION("""COMPUTED_VALUE"""),"Забайкальский край")</f>
        <v>Забайкальский край</v>
      </c>
      <c r="C33" s="67" t="str">
        <f ca="1">IFERROR(__xludf.DUMMYFUNCTION("""COMPUTED_VALUE"""),"Чита")</f>
        <v>Чита</v>
      </c>
      <c r="D33" s="68" t="str">
        <f ca="1">IFERROR(__xludf.DUMMYFUNCTION("""COMPUTED_VALUE"""),"ПАО ""ТГК-14""")</f>
        <v>ПАО "ТГК-14"</v>
      </c>
      <c r="E33" s="69" t="str">
        <f ca="1">IFERROR(__xludf.DUMMYFUNCTION("""COMPUTED_VALUE"""),"3.1.9.")</f>
        <v>3.1.9.</v>
      </c>
      <c r="F33" s="84" t="str">
        <f ca="1">IFERROR(__xludf.DUMMYFUNCTION("""COMPUTED_VALUE"""),"Мероприятие ЮЛ/ИП")</f>
        <v>Мероприятие ЮЛ/ИП</v>
      </c>
      <c r="G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71">
        <f ca="1">IFERROR(__xludf.DUMMYFUNCTION("""COMPUTED_VALUE"""),44562)</f>
        <v>44562</v>
      </c>
      <c r="I33" s="71">
        <f ca="1">IFERROR(__xludf.DUMMYFUNCTION("""COMPUTED_VALUE"""),44926)</f>
        <v>44926</v>
      </c>
      <c r="J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>
        <f ca="1">IFERROR(__xludf.DUMMYFUNCTION("""COMPUTED_VALUE"""),45291)</f>
        <v>45291</v>
      </c>
      <c r="AJ33" s="72">
        <f ca="1">IFERROR(__xludf.DUMMYFUNCTION("""COMPUTED_VALUE"""),44926)</f>
        <v>44926</v>
      </c>
      <c r="AK33" s="73"/>
      <c r="AL33" s="68" t="str">
        <f ca="1">IFERROR(__xludf.DUMMYFUNCTION("""COMPUTED_VALUE"""),"Работы завершены")</f>
        <v>Работы завершены</v>
      </c>
      <c r="AM33" s="73"/>
      <c r="AN33" s="73" t="str">
        <f ca="1">IFERROR(__xludf.DUMMYFUNCTION("""COMPUTED_VALUE"""),"Нет")</f>
        <v>Нет</v>
      </c>
      <c r="AO33" s="73"/>
      <c r="AP33" s="75">
        <f ca="1">IFERROR(__xludf.DUMMYFUNCTION("""COMPUTED_VALUE"""),18621)</f>
        <v>18621</v>
      </c>
      <c r="AQ33" s="75">
        <f ca="1">IFERROR(__xludf.DUMMYFUNCTION("""COMPUTED_VALUE"""),18621)</f>
        <v>18621</v>
      </c>
      <c r="AR33" s="75">
        <f ca="1">IFERROR(__xludf.DUMMYFUNCTION("""COMPUTED_VALUE"""),0)</f>
        <v>0</v>
      </c>
      <c r="AS33" s="75">
        <f ca="1">IFERROR(__xludf.DUMMYFUNCTION("""COMPUTED_VALUE"""),0)</f>
        <v>0</v>
      </c>
      <c r="AT33" s="75">
        <f ca="1">IFERROR(__xludf.DUMMYFUNCTION("""COMPUTED_VALUE"""),0)</f>
        <v>0</v>
      </c>
      <c r="AU33" s="75">
        <f ca="1">IFERROR(__xludf.DUMMYFUNCTION("""COMPUTED_VALUE"""),0)</f>
        <v>0</v>
      </c>
      <c r="AV33" s="75">
        <f ca="1">IFERROR(__xludf.DUMMYFUNCTION("""COMPUTED_VALUE"""),18621)</f>
        <v>18621</v>
      </c>
      <c r="AW33" s="75">
        <f ca="1">IFERROR(__xludf.DUMMYFUNCTION("""COMPUTED_VALUE"""),18621)</f>
        <v>18621</v>
      </c>
      <c r="AX33" s="75">
        <f ca="1">IFERROR(__xludf.DUMMYFUNCTION("""COMPUTED_VALUE"""),235.82)</f>
        <v>235.82</v>
      </c>
      <c r="AY33" s="77">
        <f ca="1">IFERROR(__xludf.DUMMYFUNCTION("""COMPUTED_VALUE"""),0.316400584446164)</f>
        <v>0.31640058444616398</v>
      </c>
      <c r="AZ33" s="75">
        <f ca="1">IFERROR(__xludf.DUMMYFUNCTION("""COMPUTED_VALUE"""),235.82)</f>
        <v>235.82</v>
      </c>
      <c r="BA33" s="77">
        <f ca="1">IFERROR(__xludf.DUMMYFUNCTION("""COMPUTED_VALUE"""),0.316400584446164)</f>
        <v>0.31640058444616398</v>
      </c>
      <c r="BB33" s="66"/>
      <c r="BC33" s="4"/>
      <c r="BD33" s="67" t="str">
        <f ca="1">IFERROR(__xludf.DUMMYFUNCTION("""COMPUTED_VALUE"""),"Забайкальский край")</f>
        <v>Забайкальский край</v>
      </c>
      <c r="BE33" s="67" t="str">
        <f ca="1">IFERROR(__xludf.DUMMYFUNCTION("""COMPUTED_VALUE"""),"Чита")</f>
        <v>Чита</v>
      </c>
      <c r="BF3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3" s="69" t="str">
        <f ca="1">IFERROR(__xludf.DUMMYFUNCTION("""COMPUTED_VALUE"""),"2.1.2.")</f>
        <v>2.1.2.</v>
      </c>
      <c r="BH33" s="68" t="str">
        <f ca="1">IFERROR(__xludf.DUMMYFUNCTION("""COMPUTED_VALUE"""),"Объекты коммунальной инфраструктуры")</f>
        <v>Объекты коммунальной инфраструктуры</v>
      </c>
      <c r="BI33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3" s="73" t="str">
        <f ca="1">IFERROR(__xludf.DUMMYFUNCTION("""COMPUTED_VALUE"""),"Сера диоксид")</f>
        <v>Сера диоксид</v>
      </c>
      <c r="BK33" s="78">
        <f ca="1">IFERROR(__xludf.DUMMYFUNCTION("""COMPUTED_VALUE"""),25.414128)</f>
        <v>25.414128000000002</v>
      </c>
      <c r="BL33" s="78">
        <f ca="1">IFERROR(__xludf.DUMMYFUNCTION("""COMPUTED_VALUE"""),0.0413859922133366)</f>
        <v>4.1385992213336602E-2</v>
      </c>
      <c r="BM33" s="78">
        <f ca="1">IFERROR(__xludf.DUMMYFUNCTION("""COMPUTED_VALUE"""),25.414128)</f>
        <v>25.414128000000002</v>
      </c>
      <c r="BN33" s="78">
        <f ca="1">IFERROR(__xludf.DUMMYFUNCTION("""COMPUTED_VALUE"""),0.0413859922133366)</f>
        <v>4.1385992213336602E-2</v>
      </c>
      <c r="BO33" s="66"/>
      <c r="BP33" s="66"/>
    </row>
    <row r="34" spans="1:68" ht="118.8">
      <c r="A34" s="66"/>
      <c r="B34" s="67" t="str">
        <f ca="1">IFERROR(__xludf.DUMMYFUNCTION("""COMPUTED_VALUE"""),"Забайкальский край")</f>
        <v>Забайкальский край</v>
      </c>
      <c r="C34" s="67" t="str">
        <f ca="1">IFERROR(__xludf.DUMMYFUNCTION("""COMPUTED_VALUE"""),"Чита")</f>
        <v>Чита</v>
      </c>
      <c r="D34" s="68" t="str">
        <f ca="1">IFERROR(__xludf.DUMMYFUNCTION("""COMPUTED_VALUE"""),"ОАО ""РЖД""")</f>
        <v>ОАО "РЖД"</v>
      </c>
      <c r="E34" s="69" t="str">
        <f ca="1">IFERROR(__xludf.DUMMYFUNCTION("""COMPUTED_VALUE"""),"3.2.1.")</f>
        <v>3.2.1.</v>
      </c>
      <c r="F34" s="84" t="str">
        <f ca="1">IFERROR(__xludf.DUMMYFUNCTION("""COMPUTED_VALUE"""),"Мероприятие ЮЛ/ИП")</f>
        <v>Мероприятие ЮЛ/ИП</v>
      </c>
      <c r="G34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71">
        <f ca="1">IFERROR(__xludf.DUMMYFUNCTION("""COMPUTED_VALUE"""),45292)</f>
        <v>45292</v>
      </c>
      <c r="I34" s="71">
        <f ca="1">IFERROR(__xludf.DUMMYFUNCTION("""COMPUTED_VALUE"""),45656)</f>
        <v>45656</v>
      </c>
      <c r="J3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>
        <f ca="1">IFERROR(__xludf.DUMMYFUNCTION("""COMPUTED_VALUE"""),45656)</f>
        <v>45656</v>
      </c>
      <c r="AJ34" s="72"/>
      <c r="AK34" s="73"/>
      <c r="AL34" s="68" t="str">
        <f ca="1">IFERROR(__xludf.DUMMYFUNCTION("""COMPUTED_VALUE"""),"Срок выполнения работ не наступил")</f>
        <v>Срок выполнения работ не наступил</v>
      </c>
      <c r="AM34" s="73"/>
      <c r="AN34" s="73" t="str">
        <f ca="1">IFERROR(__xludf.DUMMYFUNCTION("""COMPUTED_VALUE"""),"Нет")</f>
        <v>Нет</v>
      </c>
      <c r="AO34" s="73"/>
      <c r="AP34" s="75">
        <f ca="1">IFERROR(__xludf.DUMMYFUNCTION("""COMPUTED_VALUE"""),800)</f>
        <v>800</v>
      </c>
      <c r="AQ34" s="75">
        <f ca="1">IFERROR(__xludf.DUMMYFUNCTION("""COMPUTED_VALUE"""),0)</f>
        <v>0</v>
      </c>
      <c r="AR34" s="75">
        <f ca="1">IFERROR(__xludf.DUMMYFUNCTION("""COMPUTED_VALUE"""),0)</f>
        <v>0</v>
      </c>
      <c r="AS34" s="75">
        <f ca="1">IFERROR(__xludf.DUMMYFUNCTION("""COMPUTED_VALUE"""),0)</f>
        <v>0</v>
      </c>
      <c r="AT34" s="75">
        <f ca="1">IFERROR(__xludf.DUMMYFUNCTION("""COMPUTED_VALUE"""),0)</f>
        <v>0</v>
      </c>
      <c r="AU34" s="75">
        <f ca="1">IFERROR(__xludf.DUMMYFUNCTION("""COMPUTED_VALUE"""),0)</f>
        <v>0</v>
      </c>
      <c r="AV34" s="75">
        <f ca="1">IFERROR(__xludf.DUMMYFUNCTION("""COMPUTED_VALUE"""),800)</f>
        <v>800</v>
      </c>
      <c r="AW34" s="75">
        <f ca="1">IFERROR(__xludf.DUMMYFUNCTION("""COMPUTED_VALUE"""),0)</f>
        <v>0</v>
      </c>
      <c r="AX34" s="75">
        <f ca="1">IFERROR(__xludf.DUMMYFUNCTION("""COMPUTED_VALUE"""),0)</f>
        <v>0</v>
      </c>
      <c r="AY34" s="77">
        <f ca="1">IFERROR(__xludf.DUMMYFUNCTION("""COMPUTED_VALUE"""),0)</f>
        <v>0</v>
      </c>
      <c r="AZ34" s="75">
        <f ca="1">IFERROR(__xludf.DUMMYFUNCTION("""COMPUTED_VALUE"""),0)</f>
        <v>0</v>
      </c>
      <c r="BA34" s="77">
        <f ca="1">IFERROR(__xludf.DUMMYFUNCTION("""COMPUTED_VALUE"""),0)</f>
        <v>0</v>
      </c>
      <c r="BB34" s="66"/>
      <c r="BC34" s="4"/>
      <c r="BD34" s="67" t="str">
        <f ca="1">IFERROR(__xludf.DUMMYFUNCTION("""COMPUTED_VALUE"""),"Забайкальский край")</f>
        <v>Забайкальский край</v>
      </c>
      <c r="BE34" s="67" t="str">
        <f ca="1">IFERROR(__xludf.DUMMYFUNCTION("""COMPUTED_VALUE"""),"Чита")</f>
        <v>Чита</v>
      </c>
      <c r="BF3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4" s="69" t="str">
        <f ca="1">IFERROR(__xludf.DUMMYFUNCTION("""COMPUTED_VALUE"""),"2.1.2.")</f>
        <v>2.1.2.</v>
      </c>
      <c r="BH34" s="68" t="str">
        <f ca="1">IFERROR(__xludf.DUMMYFUNCTION("""COMPUTED_VALUE"""),"Объекты коммунальной инфраструктуры")</f>
        <v>Объекты коммунальной инфраструктуры</v>
      </c>
      <c r="BI34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4" s="73" t="str">
        <f ca="1">IFERROR(__xludf.DUMMYFUNCTION("""COMPUTED_VALUE"""),"Углерода оксид")</f>
        <v>Углерода оксид</v>
      </c>
      <c r="BK34" s="78">
        <f ca="1">IFERROR(__xludf.DUMMYFUNCTION("""COMPUTED_VALUE"""),159.986642)</f>
        <v>159.98664199999999</v>
      </c>
      <c r="BL34" s="78">
        <f ca="1">IFERROR(__xludf.DUMMYFUNCTION("""COMPUTED_VALUE"""),0.260532484925308)</f>
        <v>0.26053248492530801</v>
      </c>
      <c r="BM34" s="78">
        <f ca="1">IFERROR(__xludf.DUMMYFUNCTION("""COMPUTED_VALUE"""),159.986642)</f>
        <v>159.98664199999999</v>
      </c>
      <c r="BN34" s="78">
        <f ca="1">IFERROR(__xludf.DUMMYFUNCTION("""COMPUTED_VALUE"""),0.260532484925308)</f>
        <v>0.26053248492530801</v>
      </c>
      <c r="BO34" s="66"/>
      <c r="BP34" s="66"/>
    </row>
    <row r="35" spans="1:68" ht="79.2">
      <c r="A35" s="66"/>
      <c r="B35" s="67" t="str">
        <f ca="1">IFERROR(__xludf.DUMMYFUNCTION("""COMPUTED_VALUE"""),"Забайкальский край")</f>
        <v>Забайкальский край</v>
      </c>
      <c r="C35" s="67" t="str">
        <f ca="1">IFERROR(__xludf.DUMMYFUNCTION("""COMPUTED_VALUE"""),"Чита")</f>
        <v>Чита</v>
      </c>
      <c r="D35" s="68" t="str">
        <f ca="1">IFERROR(__xludf.DUMMYFUNCTION("""COMPUTED_VALUE"""),"ОАО ""РЖД""")</f>
        <v>ОАО "РЖД"</v>
      </c>
      <c r="E35" s="69" t="str">
        <f ca="1">IFERROR(__xludf.DUMMYFUNCTION("""COMPUTED_VALUE"""),"3.2.10.")</f>
        <v>3.2.10.</v>
      </c>
      <c r="F35" s="84" t="str">
        <f ca="1">IFERROR(__xludf.DUMMYFUNCTION("""COMPUTED_VALUE"""),"Мероприятие ЮЛ/ИП")</f>
        <v>Мероприятие ЮЛ/ИП</v>
      </c>
      <c r="G35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71">
        <f ca="1">IFERROR(__xludf.DUMMYFUNCTION("""COMPUTED_VALUE"""),44927)</f>
        <v>44927</v>
      </c>
      <c r="I35" s="71">
        <f ca="1">IFERROR(__xludf.DUMMYFUNCTION("""COMPUTED_VALUE"""),45291)</f>
        <v>45291</v>
      </c>
      <c r="J3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>
        <f ca="1">IFERROR(__xludf.DUMMYFUNCTION("""COMPUTED_VALUE"""),45291)</f>
        <v>45291</v>
      </c>
      <c r="AJ35" s="72"/>
      <c r="AK35" s="73"/>
      <c r="AL3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35" s="73" t="str">
        <f ca="1">IFERROR(__xludf.DUMMYFUNCTION("""COMPUTED_VALUE"""),"Осуществляется режимная наладка вентилятора подачи воздуха")</f>
        <v>Осуществляется режимная наладка вентилятора подачи воздуха</v>
      </c>
      <c r="AN35" s="73" t="str">
        <f ca="1">IFERROR(__xludf.DUMMYFUNCTION("""COMPUTED_VALUE"""),"Нет")</f>
        <v>Нет</v>
      </c>
      <c r="AO35" s="73"/>
      <c r="AP35" s="75">
        <f ca="1">IFERROR(__xludf.DUMMYFUNCTION("""COMPUTED_VALUE"""),1400)</f>
        <v>1400</v>
      </c>
      <c r="AQ35" s="75">
        <f ca="1">IFERROR(__xludf.DUMMYFUNCTION("""COMPUTED_VALUE"""),0)</f>
        <v>0</v>
      </c>
      <c r="AR35" s="75">
        <f ca="1">IFERROR(__xludf.DUMMYFUNCTION("""COMPUTED_VALUE"""),0)</f>
        <v>0</v>
      </c>
      <c r="AS35" s="75">
        <f ca="1">IFERROR(__xludf.DUMMYFUNCTION("""COMPUTED_VALUE"""),0)</f>
        <v>0</v>
      </c>
      <c r="AT35" s="75">
        <f ca="1">IFERROR(__xludf.DUMMYFUNCTION("""COMPUTED_VALUE"""),0)</f>
        <v>0</v>
      </c>
      <c r="AU35" s="75">
        <f ca="1">IFERROR(__xludf.DUMMYFUNCTION("""COMPUTED_VALUE"""),0)</f>
        <v>0</v>
      </c>
      <c r="AV35" s="75">
        <f ca="1">IFERROR(__xludf.DUMMYFUNCTION("""COMPUTED_VALUE"""),1400)</f>
        <v>1400</v>
      </c>
      <c r="AW35" s="75">
        <f ca="1">IFERROR(__xludf.DUMMYFUNCTION("""COMPUTED_VALUE"""),0)</f>
        <v>0</v>
      </c>
      <c r="AX35" s="75">
        <f ca="1">IFERROR(__xludf.DUMMYFUNCTION("""COMPUTED_VALUE"""),25.43)</f>
        <v>25.43</v>
      </c>
      <c r="AY35" s="77">
        <f ca="1">IFERROR(__xludf.DUMMYFUNCTION("""COMPUTED_VALUE"""),0.0341195270225848)</f>
        <v>3.4119527022584799E-2</v>
      </c>
      <c r="AZ35" s="75">
        <f ca="1">IFERROR(__xludf.DUMMYFUNCTION("""COMPUTED_VALUE"""),0)</f>
        <v>0</v>
      </c>
      <c r="BA35" s="77">
        <f ca="1">IFERROR(__xludf.DUMMYFUNCTION("""COMPUTED_VALUE"""),0)</f>
        <v>0</v>
      </c>
      <c r="BB35" s="66"/>
      <c r="BC35" s="4"/>
      <c r="BD35" s="67" t="str">
        <f ca="1">IFERROR(__xludf.DUMMYFUNCTION("""COMPUTED_VALUE"""),"Забайкальский край")</f>
        <v>Забайкальский край</v>
      </c>
      <c r="BE35" s="67" t="str">
        <f ca="1">IFERROR(__xludf.DUMMYFUNCTION("""COMPUTED_VALUE"""),"Чита")</f>
        <v>Чита</v>
      </c>
      <c r="BF3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5" s="69" t="str">
        <f ca="1">IFERROR(__xludf.DUMMYFUNCTION("""COMPUTED_VALUE"""),"2.1.2.")</f>
        <v>2.1.2.</v>
      </c>
      <c r="BH35" s="68" t="str">
        <f ca="1">IFERROR(__xludf.DUMMYFUNCTION("""COMPUTED_VALUE"""),"Объекты коммунальной инфраструктуры")</f>
        <v>Объекты коммунальной инфраструктуры</v>
      </c>
      <c r="BI35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5" s="73" t="str">
        <f ca="1">IFERROR(__xludf.DUMMYFUNCTION("""COMPUTED_VALUE"""),"Углерод")</f>
        <v>Углерод</v>
      </c>
      <c r="BK35" s="78">
        <f ca="1">IFERROR(__xludf.DUMMYFUNCTION("""COMPUTED_VALUE"""),10.376442)</f>
        <v>10.376442000000001</v>
      </c>
      <c r="BL35" s="78">
        <f ca="1">IFERROR(__xludf.DUMMYFUNCTION("""COMPUTED_VALUE"""),0.0168976621119614)</f>
        <v>1.6897662111961399E-2</v>
      </c>
      <c r="BM35" s="78">
        <f ca="1">IFERROR(__xludf.DUMMYFUNCTION("""COMPUTED_VALUE"""),10.376442)</f>
        <v>10.376442000000001</v>
      </c>
      <c r="BN35" s="78">
        <f ca="1">IFERROR(__xludf.DUMMYFUNCTION("""COMPUTED_VALUE"""),0.0168976621119614)</f>
        <v>1.6897662111961399E-2</v>
      </c>
      <c r="BO35" s="66"/>
      <c r="BP35" s="66"/>
    </row>
    <row r="36" spans="1:68" ht="66">
      <c r="A36" s="66"/>
      <c r="B36" s="67" t="str">
        <f ca="1">IFERROR(__xludf.DUMMYFUNCTION("""COMPUTED_VALUE"""),"Забайкальский край")</f>
        <v>Забайкальский край</v>
      </c>
      <c r="C36" s="67" t="str">
        <f ca="1">IFERROR(__xludf.DUMMYFUNCTION("""COMPUTED_VALUE"""),"Чита")</f>
        <v>Чита</v>
      </c>
      <c r="D36" s="68" t="str">
        <f ca="1">IFERROR(__xludf.DUMMYFUNCTION("""COMPUTED_VALUE"""),"ОАО ""РЖД""")</f>
        <v>ОАО "РЖД"</v>
      </c>
      <c r="E36" s="69" t="str">
        <f ca="1">IFERROR(__xludf.DUMMYFUNCTION("""COMPUTED_VALUE"""),"3.2.11.")</f>
        <v>3.2.11.</v>
      </c>
      <c r="F36" s="84" t="str">
        <f ca="1">IFERROR(__xludf.DUMMYFUNCTION("""COMPUTED_VALUE"""),"Мероприятие ЮЛ/ИП")</f>
        <v>Мероприятие ЮЛ/ИП</v>
      </c>
      <c r="G36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71">
        <f ca="1">IFERROR(__xludf.DUMMYFUNCTION("""COMPUTED_VALUE"""),43466)</f>
        <v>43466</v>
      </c>
      <c r="I36" s="71">
        <f ca="1">IFERROR(__xludf.DUMMYFUNCTION("""COMPUTED_VALUE"""),43830)</f>
        <v>43830</v>
      </c>
      <c r="J36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>
        <f ca="1">IFERROR(__xludf.DUMMYFUNCTION("""COMPUTED_VALUE"""),43830)</f>
        <v>43830</v>
      </c>
      <c r="AJ36" s="72">
        <f ca="1">IFERROR(__xludf.DUMMYFUNCTION("""COMPUTED_VALUE"""),43830)</f>
        <v>43830</v>
      </c>
      <c r="AK36" s="73"/>
      <c r="AL36" s="68" t="str">
        <f ca="1">IFERROR(__xludf.DUMMYFUNCTION("""COMPUTED_VALUE"""),"Работы завершены")</f>
        <v>Работы завершены</v>
      </c>
      <c r="AM36" s="73" t="str">
        <f ca="1">IFERROR(__xludf.DUMMYFUNCTION("""COMPUTED_VALUE"""),"Установлено 2 циклона марки БЦ-7")</f>
        <v>Установлено 2 циклона марки БЦ-7</v>
      </c>
      <c r="AN36" s="73" t="str">
        <f ca="1">IFERROR(__xludf.DUMMYFUNCTION("""COMPUTED_VALUE"""),"Нет")</f>
        <v>Нет</v>
      </c>
      <c r="AO36" s="73"/>
      <c r="AP36" s="75">
        <f ca="1">IFERROR(__xludf.DUMMYFUNCTION("""COMPUTED_VALUE"""),1990)</f>
        <v>1990</v>
      </c>
      <c r="AQ36" s="75">
        <f ca="1">IFERROR(__xludf.DUMMYFUNCTION("""COMPUTED_VALUE"""),1990)</f>
        <v>1990</v>
      </c>
      <c r="AR36" s="75">
        <f ca="1">IFERROR(__xludf.DUMMYFUNCTION("""COMPUTED_VALUE"""),0)</f>
        <v>0</v>
      </c>
      <c r="AS36" s="75">
        <f ca="1">IFERROR(__xludf.DUMMYFUNCTION("""COMPUTED_VALUE"""),0)</f>
        <v>0</v>
      </c>
      <c r="AT36" s="75">
        <f ca="1">IFERROR(__xludf.DUMMYFUNCTION("""COMPUTED_VALUE"""),0)</f>
        <v>0</v>
      </c>
      <c r="AU36" s="75">
        <f ca="1">IFERROR(__xludf.DUMMYFUNCTION("""COMPUTED_VALUE"""),0)</f>
        <v>0</v>
      </c>
      <c r="AV36" s="75">
        <f ca="1">IFERROR(__xludf.DUMMYFUNCTION("""COMPUTED_VALUE"""),1990)</f>
        <v>1990</v>
      </c>
      <c r="AW36" s="75">
        <f ca="1">IFERROR(__xludf.DUMMYFUNCTION("""COMPUTED_VALUE"""),1990)</f>
        <v>1990</v>
      </c>
      <c r="AX36" s="75">
        <f ca="1">IFERROR(__xludf.DUMMYFUNCTION("""COMPUTED_VALUE"""),12.25)</f>
        <v>12.25</v>
      </c>
      <c r="AY36" s="77">
        <f ca="1">IFERROR(__xludf.DUMMYFUNCTION("""COMPUTED_VALUE"""),0.0164358712554724)</f>
        <v>1.6435871255472401E-2</v>
      </c>
      <c r="AZ36" s="75">
        <f ca="1">IFERROR(__xludf.DUMMYFUNCTION("""COMPUTED_VALUE"""),12.25)</f>
        <v>12.25</v>
      </c>
      <c r="BA36" s="77">
        <f ca="1">IFERROR(__xludf.DUMMYFUNCTION("""COMPUTED_VALUE"""),0.0164358712554724)</f>
        <v>1.6435871255472401E-2</v>
      </c>
      <c r="BB36" s="66"/>
      <c r="BC36" s="4"/>
      <c r="BD36" s="67" t="str">
        <f ca="1">IFERROR(__xludf.DUMMYFUNCTION("""COMPUTED_VALUE"""),"Забайкальский край")</f>
        <v>Забайкальский край</v>
      </c>
      <c r="BE36" s="67" t="str">
        <f ca="1">IFERROR(__xludf.DUMMYFUNCTION("""COMPUTED_VALUE"""),"Чита")</f>
        <v>Чита</v>
      </c>
      <c r="BF3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6" s="69" t="str">
        <f ca="1">IFERROR(__xludf.DUMMYFUNCTION("""COMPUTED_VALUE"""),"2.1.3.")</f>
        <v>2.1.3.</v>
      </c>
      <c r="BH36" s="68" t="str">
        <f ca="1">IFERROR(__xludf.DUMMYFUNCTION("""COMPUTED_VALUE"""),"Объекты коммунальной инфраструктуры")</f>
        <v>Объекты коммунальной инфраструктуры</v>
      </c>
      <c r="BI36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6" s="73" t="str">
        <f ca="1">IFERROR(__xludf.DUMMYFUNCTION("""COMPUTED_VALUE"""),"Азота диоксид")</f>
        <v>Азота диоксид</v>
      </c>
      <c r="BK36" s="78">
        <f ca="1">IFERROR(__xludf.DUMMYFUNCTION("""COMPUTED_VALUE"""),3.515835)</f>
        <v>3.515835</v>
      </c>
      <c r="BL36" s="78">
        <f ca="1">IFERROR(__xludf.DUMMYFUNCTION("""COMPUTED_VALUE"""),0.00572541068233292)</f>
        <v>5.7254106823329204E-3</v>
      </c>
      <c r="BM36" s="78">
        <f ca="1">IFERROR(__xludf.DUMMYFUNCTION("""COMPUTED_VALUE"""),3.515835)</f>
        <v>3.515835</v>
      </c>
      <c r="BN36" s="78">
        <f ca="1">IFERROR(__xludf.DUMMYFUNCTION("""COMPUTED_VALUE"""),0.00572541068233292)</f>
        <v>5.7254106823329204E-3</v>
      </c>
      <c r="BO36" s="66"/>
      <c r="BP36" s="66"/>
    </row>
    <row r="37" spans="1:68" ht="66">
      <c r="A37" s="66"/>
      <c r="B37" s="67" t="str">
        <f ca="1">IFERROR(__xludf.DUMMYFUNCTION("""COMPUTED_VALUE"""),"Забайкальский край")</f>
        <v>Забайкальский край</v>
      </c>
      <c r="C37" s="67" t="str">
        <f ca="1">IFERROR(__xludf.DUMMYFUNCTION("""COMPUTED_VALUE"""),"Чита")</f>
        <v>Чита</v>
      </c>
      <c r="D37" s="68" t="str">
        <f ca="1">IFERROR(__xludf.DUMMYFUNCTION("""COMPUTED_VALUE"""),"ОАО ""РЖД""")</f>
        <v>ОАО "РЖД"</v>
      </c>
      <c r="E37" s="69" t="str">
        <f ca="1">IFERROR(__xludf.DUMMYFUNCTION("""COMPUTED_VALUE"""),"3.2.12.")</f>
        <v>3.2.12.</v>
      </c>
      <c r="F37" s="84" t="str">
        <f ca="1">IFERROR(__xludf.DUMMYFUNCTION("""COMPUTED_VALUE"""),"Мероприятие ЮЛ/ИП")</f>
        <v>Мероприятие ЮЛ/ИП</v>
      </c>
      <c r="G37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71">
        <f ca="1">IFERROR(__xludf.DUMMYFUNCTION("""COMPUTED_VALUE"""),44197)</f>
        <v>44197</v>
      </c>
      <c r="I37" s="71">
        <f ca="1">IFERROR(__xludf.DUMMYFUNCTION("""COMPUTED_VALUE"""),44530)</f>
        <v>44530</v>
      </c>
      <c r="J37" s="68" t="str">
        <f ca="1">IFERROR(__xludf.DUMMYFUNCTION("""COMPUTED_VALUE"""),"Уменьшение тетрахлорэтилен (перхлорэтилена) на 160 кг/год 
")</f>
        <v xml:space="preserve">Уменьшение тетрахлорэтилен (перхлорэтилена) на 160 кг/год 
</v>
      </c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>
        <f ca="1">IFERROR(__xludf.DUMMYFUNCTION("""COMPUTED_VALUE"""),44530)</f>
        <v>44530</v>
      </c>
      <c r="AJ37" s="72">
        <f ca="1">IFERROR(__xludf.DUMMYFUNCTION("""COMPUTED_VALUE"""),44530)</f>
        <v>44530</v>
      </c>
      <c r="AK37" s="73"/>
      <c r="AL37" s="68" t="str">
        <f ca="1">IFERROR(__xludf.DUMMYFUNCTION("""COMPUTED_VALUE"""),"Работы завершены")</f>
        <v>Работы завершены</v>
      </c>
      <c r="AM37" s="73"/>
      <c r="AN37" s="73" t="str">
        <f ca="1">IFERROR(__xludf.DUMMYFUNCTION("""COMPUTED_VALUE"""),"Нет")</f>
        <v>Нет</v>
      </c>
      <c r="AO37" s="73"/>
      <c r="AP37" s="75">
        <f ca="1">IFERROR(__xludf.DUMMYFUNCTION("""COMPUTED_VALUE"""),0)</f>
        <v>0</v>
      </c>
      <c r="AQ37" s="75">
        <f ca="1">IFERROR(__xludf.DUMMYFUNCTION("""COMPUTED_VALUE"""),0)</f>
        <v>0</v>
      </c>
      <c r="AR37" s="75">
        <f ca="1">IFERROR(__xludf.DUMMYFUNCTION("""COMPUTED_VALUE"""),0)</f>
        <v>0</v>
      </c>
      <c r="AS37" s="75">
        <f ca="1">IFERROR(__xludf.DUMMYFUNCTION("""COMPUTED_VALUE"""),0)</f>
        <v>0</v>
      </c>
      <c r="AT37" s="75">
        <f ca="1">IFERROR(__xludf.DUMMYFUNCTION("""COMPUTED_VALUE"""),0)</f>
        <v>0</v>
      </c>
      <c r="AU37" s="75">
        <f ca="1">IFERROR(__xludf.DUMMYFUNCTION("""COMPUTED_VALUE"""),0)</f>
        <v>0</v>
      </c>
      <c r="AV37" s="75">
        <f ca="1">IFERROR(__xludf.DUMMYFUNCTION("""COMPUTED_VALUE"""),0)</f>
        <v>0</v>
      </c>
      <c r="AW37" s="75">
        <f ca="1">IFERROR(__xludf.DUMMYFUNCTION("""COMPUTED_VALUE"""),0)</f>
        <v>0</v>
      </c>
      <c r="AX37" s="75">
        <f ca="1">IFERROR(__xludf.DUMMYFUNCTION("""COMPUTED_VALUE"""),0.14)</f>
        <v>0.14000000000000001</v>
      </c>
      <c r="AY37" s="77">
        <f ca="1">IFERROR(__xludf.DUMMYFUNCTION("""COMPUTED_VALUE"""),0.000187838528633971)</f>
        <v>1.87838528633971E-4</v>
      </c>
      <c r="AZ37" s="75">
        <f ca="1">IFERROR(__xludf.DUMMYFUNCTION("""COMPUTED_VALUE"""),0.174)</f>
        <v>0.17399999999999999</v>
      </c>
      <c r="BA37" s="77">
        <f ca="1">IFERROR(__xludf.DUMMYFUNCTION("""COMPUTED_VALUE"""),0.000233456457016506)</f>
        <v>2.3345645701650599E-4</v>
      </c>
      <c r="BB37" s="66"/>
      <c r="BC37" s="4"/>
      <c r="BD37" s="67" t="str">
        <f ca="1">IFERROR(__xludf.DUMMYFUNCTION("""COMPUTED_VALUE"""),"Забайкальский край")</f>
        <v>Забайкальский край</v>
      </c>
      <c r="BE37" s="67" t="str">
        <f ca="1">IFERROR(__xludf.DUMMYFUNCTION("""COMPUTED_VALUE"""),"Чита")</f>
        <v>Чита</v>
      </c>
      <c r="BF3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7" s="69" t="str">
        <f ca="1">IFERROR(__xludf.DUMMYFUNCTION("""COMPUTED_VALUE"""),"2.1.3.")</f>
        <v>2.1.3.</v>
      </c>
      <c r="BH37" s="68" t="str">
        <f ca="1">IFERROR(__xludf.DUMMYFUNCTION("""COMPUTED_VALUE"""),"Объекты коммунальной инфраструктуры")</f>
        <v>Объекты коммунальной инфраструктуры</v>
      </c>
      <c r="BI37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7" s="73" t="str">
        <f ca="1">IFERROR(__xludf.DUMMYFUNCTION("""COMPUTED_VALUE"""),"Азот (II) оксид")</f>
        <v>Азот (II) оксид</v>
      </c>
      <c r="BK37" s="78">
        <f ca="1">IFERROR(__xludf.DUMMYFUNCTION("""COMPUTED_VALUE"""),0.571323)</f>
        <v>0.57132300000000003</v>
      </c>
      <c r="BL37" s="78">
        <f ca="1">IFERROR(__xludf.DUMMYFUNCTION("""COMPUTED_VALUE"""),0.000930378930542102)</f>
        <v>9.3037893054210197E-4</v>
      </c>
      <c r="BM37" s="78">
        <f ca="1">IFERROR(__xludf.DUMMYFUNCTION("""COMPUTED_VALUE"""),0.571323)</f>
        <v>0.57132300000000003</v>
      </c>
      <c r="BN37" s="78">
        <f ca="1">IFERROR(__xludf.DUMMYFUNCTION("""COMPUTED_VALUE"""),0.000930378930542102)</f>
        <v>9.3037893054210197E-4</v>
      </c>
      <c r="BO37" s="66"/>
      <c r="BP37" s="66"/>
    </row>
    <row r="38" spans="1:68" ht="66">
      <c r="A38" s="66"/>
      <c r="B38" s="67" t="str">
        <f ca="1">IFERROR(__xludf.DUMMYFUNCTION("""COMPUTED_VALUE"""),"Забайкальский край")</f>
        <v>Забайкальский край</v>
      </c>
      <c r="C38" s="67" t="str">
        <f ca="1">IFERROR(__xludf.DUMMYFUNCTION("""COMPUTED_VALUE"""),"Чита")</f>
        <v>Чита</v>
      </c>
      <c r="D38" s="68" t="str">
        <f ca="1">IFERROR(__xludf.DUMMYFUNCTION("""COMPUTED_VALUE"""),"ОАО ""РЖД""")</f>
        <v>ОАО "РЖД"</v>
      </c>
      <c r="E38" s="69" t="str">
        <f ca="1">IFERROR(__xludf.DUMMYFUNCTION("""COMPUTED_VALUE"""),"3.2.13.")</f>
        <v>3.2.13.</v>
      </c>
      <c r="F38" s="84" t="str">
        <f ca="1">IFERROR(__xludf.DUMMYFUNCTION("""COMPUTED_VALUE"""),"Мероприятие ЮЛ/ИП")</f>
        <v>Мероприятие ЮЛ/ИП</v>
      </c>
      <c r="G3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71">
        <f ca="1">IFERROR(__xludf.DUMMYFUNCTION("""COMPUTED_VALUE"""),44256)</f>
        <v>44256</v>
      </c>
      <c r="I38" s="71">
        <f ca="1">IFERROR(__xludf.DUMMYFUNCTION("""COMPUTED_VALUE"""),44500)</f>
        <v>44500</v>
      </c>
      <c r="J38" s="68" t="str">
        <f ca="1"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 xml:space="preserve"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>
        <f ca="1">IFERROR(__xludf.DUMMYFUNCTION("""COMPUTED_VALUE"""),44500)</f>
        <v>44500</v>
      </c>
      <c r="AJ38" s="72">
        <f ca="1">IFERROR(__xludf.DUMMYFUNCTION("""COMPUTED_VALUE"""),44500)</f>
        <v>44500</v>
      </c>
      <c r="AK38" s="73"/>
      <c r="AL38" s="68" t="str">
        <f ca="1">IFERROR(__xludf.DUMMYFUNCTION("""COMPUTED_VALUE"""),"Работы завершены")</f>
        <v>Работы завершены</v>
      </c>
      <c r="AM38" s="73"/>
      <c r="AN38" s="73" t="str">
        <f ca="1">IFERROR(__xludf.DUMMYFUNCTION("""COMPUTED_VALUE"""),"Нет")</f>
        <v>Нет</v>
      </c>
      <c r="AO38" s="73"/>
      <c r="AP38" s="75">
        <f ca="1">IFERROR(__xludf.DUMMYFUNCTION("""COMPUTED_VALUE"""),76.8)</f>
        <v>76.8</v>
      </c>
      <c r="AQ38" s="75">
        <f ca="1">IFERROR(__xludf.DUMMYFUNCTION("""COMPUTED_VALUE"""),76.8)</f>
        <v>76.8</v>
      </c>
      <c r="AR38" s="75">
        <f ca="1">IFERROR(__xludf.DUMMYFUNCTION("""COMPUTED_VALUE"""),0)</f>
        <v>0</v>
      </c>
      <c r="AS38" s="75">
        <f ca="1">IFERROR(__xludf.DUMMYFUNCTION("""COMPUTED_VALUE"""),0)</f>
        <v>0</v>
      </c>
      <c r="AT38" s="75">
        <f ca="1">IFERROR(__xludf.DUMMYFUNCTION("""COMPUTED_VALUE"""),0)</f>
        <v>0</v>
      </c>
      <c r="AU38" s="75">
        <f ca="1">IFERROR(__xludf.DUMMYFUNCTION("""COMPUTED_VALUE"""),0)</f>
        <v>0</v>
      </c>
      <c r="AV38" s="75">
        <f ca="1">IFERROR(__xludf.DUMMYFUNCTION("""COMPUTED_VALUE"""),76.8)</f>
        <v>76.8</v>
      </c>
      <c r="AW38" s="75">
        <f ca="1">IFERROR(__xludf.DUMMYFUNCTION("""COMPUTED_VALUE"""),76.8)</f>
        <v>76.8</v>
      </c>
      <c r="AX38" s="75">
        <f ca="1">IFERROR(__xludf.DUMMYFUNCTION("""COMPUTED_VALUE"""),3.26)</f>
        <v>3.26</v>
      </c>
      <c r="AY38" s="77">
        <f ca="1">IFERROR(__xludf.DUMMYFUNCTION("""COMPUTED_VALUE"""),0.00437395430961961)</f>
        <v>4.3739543096196097E-3</v>
      </c>
      <c r="AZ38" s="75">
        <f ca="1">IFERROR(__xludf.DUMMYFUNCTION("""COMPUTED_VALUE"""),14.35)</f>
        <v>14.35</v>
      </c>
      <c r="BA38" s="77">
        <f ca="1">IFERROR(__xludf.DUMMYFUNCTION("""COMPUTED_VALUE"""),0.019253449184982)</f>
        <v>1.9253449184982001E-2</v>
      </c>
      <c r="BB38" s="66"/>
      <c r="BC38" s="4"/>
      <c r="BD38" s="67" t="str">
        <f ca="1">IFERROR(__xludf.DUMMYFUNCTION("""COMPUTED_VALUE"""),"Забайкальский край")</f>
        <v>Забайкальский край</v>
      </c>
      <c r="BE38" s="67" t="str">
        <f ca="1">IFERROR(__xludf.DUMMYFUNCTION("""COMPUTED_VALUE"""),"Чита")</f>
        <v>Чита</v>
      </c>
      <c r="BF3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8" s="69" t="str">
        <f ca="1">IFERROR(__xludf.DUMMYFUNCTION("""COMPUTED_VALUE"""),"2.1.3.")</f>
        <v>2.1.3.</v>
      </c>
      <c r="BH38" s="68" t="str">
        <f ca="1">IFERROR(__xludf.DUMMYFUNCTION("""COMPUTED_VALUE"""),"Объекты коммунальной инфраструктуры")</f>
        <v>Объекты коммунальной инфраструктуры</v>
      </c>
      <c r="BI3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8" s="73" t="str">
        <f ca="1">IFERROR(__xludf.DUMMYFUNCTION("""COMPUTED_VALUE"""),"Бенз/а/пирен")</f>
        <v>Бенз/а/пирен</v>
      </c>
      <c r="BK38" s="78">
        <f ca="1">IFERROR(__xludf.DUMMYFUNCTION("""COMPUTED_VALUE"""),0.000168)</f>
        <v>1.6799999999999999E-4</v>
      </c>
      <c r="BL38" s="78">
        <f ca="1">IFERROR(__xludf.DUMMYFUNCTION("""COMPUTED_VALUE"""),2.73581949844612E-07)</f>
        <v>2.7358194984461199E-7</v>
      </c>
      <c r="BM38" s="78">
        <f ca="1">IFERROR(__xludf.DUMMYFUNCTION("""COMPUTED_VALUE"""),0.000168)</f>
        <v>1.6799999999999999E-4</v>
      </c>
      <c r="BN38" s="78">
        <f ca="1">IFERROR(__xludf.DUMMYFUNCTION("""COMPUTED_VALUE"""),2.73581949844612E-07)</f>
        <v>2.7358194984461199E-7</v>
      </c>
      <c r="BO38" s="66"/>
      <c r="BP38" s="66"/>
    </row>
    <row r="39" spans="1:68" ht="132">
      <c r="A39" s="66"/>
      <c r="B39" s="67" t="str">
        <f ca="1">IFERROR(__xludf.DUMMYFUNCTION("""COMPUTED_VALUE"""),"Забайкальский край")</f>
        <v>Забайкальский край</v>
      </c>
      <c r="C39" s="67" t="str">
        <f ca="1">IFERROR(__xludf.DUMMYFUNCTION("""COMPUTED_VALUE"""),"Чита")</f>
        <v>Чита</v>
      </c>
      <c r="D39" s="68" t="str">
        <f ca="1">IFERROR(__xludf.DUMMYFUNCTION("""COMPUTED_VALUE"""),"ОАО ""РЖД""")</f>
        <v>ОАО "РЖД"</v>
      </c>
      <c r="E39" s="69" t="str">
        <f ca="1">IFERROR(__xludf.DUMMYFUNCTION("""COMPUTED_VALUE"""),"3.2.14.")</f>
        <v>3.2.14.</v>
      </c>
      <c r="F39" s="84" t="str">
        <f ca="1">IFERROR(__xludf.DUMMYFUNCTION("""COMPUTED_VALUE"""),"Мероприятие ЮЛ/ИП")</f>
        <v>Мероприятие ЮЛ/ИП</v>
      </c>
      <c r="G3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71">
        <f ca="1">IFERROR(__xludf.DUMMYFUNCTION("""COMPUTED_VALUE"""),44287)</f>
        <v>44287</v>
      </c>
      <c r="I39" s="71">
        <f ca="1">IFERROR(__xludf.DUMMYFUNCTION("""COMPUTED_VALUE"""),44561)</f>
        <v>44561</v>
      </c>
      <c r="J39" s="68" t="str">
        <f ca="1"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 xml:space="preserve"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>
        <f ca="1">IFERROR(__xludf.DUMMYFUNCTION("""COMPUTED_VALUE"""),44561)</f>
        <v>44561</v>
      </c>
      <c r="AJ39" s="72">
        <f ca="1">IFERROR(__xludf.DUMMYFUNCTION("""COMPUTED_VALUE"""),44561)</f>
        <v>44561</v>
      </c>
      <c r="AK39" s="73"/>
      <c r="AL39" s="68" t="str">
        <f ca="1">IFERROR(__xludf.DUMMYFUNCTION("""COMPUTED_VALUE"""),"Работы завершены")</f>
        <v>Работы завершены</v>
      </c>
      <c r="AM39" s="73"/>
      <c r="AN39" s="73" t="str">
        <f ca="1">IFERROR(__xludf.DUMMYFUNCTION("""COMPUTED_VALUE"""),"Нет")</f>
        <v>Нет</v>
      </c>
      <c r="AO39" s="73"/>
      <c r="AP39" s="75">
        <f ca="1">IFERROR(__xludf.DUMMYFUNCTION("""COMPUTED_VALUE"""),10.12)</f>
        <v>10.119999999999999</v>
      </c>
      <c r="AQ39" s="75">
        <f ca="1">IFERROR(__xludf.DUMMYFUNCTION("""COMPUTED_VALUE"""),10.12)</f>
        <v>10.119999999999999</v>
      </c>
      <c r="AR39" s="75">
        <f ca="1">IFERROR(__xludf.DUMMYFUNCTION("""COMPUTED_VALUE"""),0)</f>
        <v>0</v>
      </c>
      <c r="AS39" s="75">
        <f ca="1">IFERROR(__xludf.DUMMYFUNCTION("""COMPUTED_VALUE"""),0)</f>
        <v>0</v>
      </c>
      <c r="AT39" s="75">
        <f ca="1">IFERROR(__xludf.DUMMYFUNCTION("""COMPUTED_VALUE"""),0)</f>
        <v>0</v>
      </c>
      <c r="AU39" s="75">
        <f ca="1">IFERROR(__xludf.DUMMYFUNCTION("""COMPUTED_VALUE"""),0)</f>
        <v>0</v>
      </c>
      <c r="AV39" s="75">
        <f ca="1">IFERROR(__xludf.DUMMYFUNCTION("""COMPUTED_VALUE"""),10.12)</f>
        <v>10.119999999999999</v>
      </c>
      <c r="AW39" s="75">
        <f ca="1">IFERROR(__xludf.DUMMYFUNCTION("""COMPUTED_VALUE"""),10.12)</f>
        <v>10.119999999999999</v>
      </c>
      <c r="AX39" s="75">
        <f ca="1">IFERROR(__xludf.DUMMYFUNCTION("""COMPUTED_VALUE"""),0.86)</f>
        <v>0.86</v>
      </c>
      <c r="AY39" s="77">
        <f ca="1">IFERROR(__xludf.DUMMYFUNCTION("""COMPUTED_VALUE"""),0.00115386524732296)</f>
        <v>1.1538652473229601E-3</v>
      </c>
      <c r="AZ39" s="75">
        <f ca="1">IFERROR(__xludf.DUMMYFUNCTION("""COMPUTED_VALUE"""),3.57)</f>
        <v>3.57</v>
      </c>
      <c r="BA39" s="77">
        <f ca="1">IFERROR(__xludf.DUMMYFUNCTION("""COMPUTED_VALUE"""),0.00478988248016626)</f>
        <v>4.7898824801662597E-3</v>
      </c>
      <c r="BB39" s="66"/>
      <c r="BC39" s="4"/>
      <c r="BD39" s="67" t="str">
        <f ca="1">IFERROR(__xludf.DUMMYFUNCTION("""COMPUTED_VALUE"""),"Забайкальский край")</f>
        <v>Забайкальский край</v>
      </c>
      <c r="BE39" s="67" t="str">
        <f ca="1">IFERROR(__xludf.DUMMYFUNCTION("""COMPUTED_VALUE"""),"Чита")</f>
        <v>Чита</v>
      </c>
      <c r="BF3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9" s="69" t="str">
        <f ca="1">IFERROR(__xludf.DUMMYFUNCTION("""COMPUTED_VALUE"""),"2.1.3.")</f>
        <v>2.1.3.</v>
      </c>
      <c r="BH39" s="68" t="str">
        <f ca="1">IFERROR(__xludf.DUMMYFUNCTION("""COMPUTED_VALUE"""),"Объекты коммунальной инфраструктуры")</f>
        <v>Объекты коммунальной инфраструктуры</v>
      </c>
      <c r="BI39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39" s="78">
        <f ca="1">IFERROR(__xludf.DUMMYFUNCTION("""COMPUTED_VALUE"""),4.746481)</f>
        <v>4.7464810000000002</v>
      </c>
      <c r="BL39" s="78">
        <f ca="1">IFERROR(__xludf.DUMMYFUNCTION("""COMPUTED_VALUE"""),0.00772947337428811)</f>
        <v>7.7294733742881098E-3</v>
      </c>
      <c r="BM39" s="78">
        <f ca="1">IFERROR(__xludf.DUMMYFUNCTION("""COMPUTED_VALUE"""),4.746481)</f>
        <v>4.7464810000000002</v>
      </c>
      <c r="BN39" s="78">
        <f ca="1">IFERROR(__xludf.DUMMYFUNCTION("""COMPUTED_VALUE"""),0.00772947337428811)</f>
        <v>7.7294733742881098E-3</v>
      </c>
      <c r="BO39" s="66"/>
      <c r="BP39" s="66"/>
    </row>
    <row r="40" spans="1:68" ht="66">
      <c r="A40" s="66"/>
      <c r="B40" s="67" t="str">
        <f ca="1">IFERROR(__xludf.DUMMYFUNCTION("""COMPUTED_VALUE"""),"Забайкальский край")</f>
        <v>Забайкальский край</v>
      </c>
      <c r="C40" s="67" t="str">
        <f ca="1">IFERROR(__xludf.DUMMYFUNCTION("""COMPUTED_VALUE"""),"Чита")</f>
        <v>Чита</v>
      </c>
      <c r="D40" s="68" t="str">
        <f ca="1">IFERROR(__xludf.DUMMYFUNCTION("""COMPUTED_VALUE"""),"ОАО ""РЖД""")</f>
        <v>ОАО "РЖД"</v>
      </c>
      <c r="E40" s="69" t="str">
        <f ca="1">IFERROR(__xludf.DUMMYFUNCTION("""COMPUTED_VALUE"""),"3.2.15.")</f>
        <v>3.2.15.</v>
      </c>
      <c r="F40" s="84" t="str">
        <f ca="1">IFERROR(__xludf.DUMMYFUNCTION("""COMPUTED_VALUE"""),"Мероприятие ЮЛ/ИП")</f>
        <v>Мероприятие ЮЛ/ИП</v>
      </c>
      <c r="G40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71">
        <f ca="1">IFERROR(__xludf.DUMMYFUNCTION("""COMPUTED_VALUE"""),43466)</f>
        <v>43466</v>
      </c>
      <c r="I40" s="71">
        <f ca="1">IFERROR(__xludf.DUMMYFUNCTION("""COMPUTED_VALUE"""),44196)</f>
        <v>44196</v>
      </c>
      <c r="J40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>
        <f ca="1">IFERROR(__xludf.DUMMYFUNCTION("""COMPUTED_VALUE"""),44196)</f>
        <v>44196</v>
      </c>
      <c r="AJ40" s="72">
        <f ca="1">IFERROR(__xludf.DUMMYFUNCTION("""COMPUTED_VALUE"""),44196)</f>
        <v>44196</v>
      </c>
      <c r="AK40" s="73"/>
      <c r="AL40" s="68" t="str">
        <f ca="1">IFERROR(__xludf.DUMMYFUNCTION("""COMPUTED_VALUE"""),"Работы завершены")</f>
        <v>Работы завершены</v>
      </c>
      <c r="AM40" s="73" t="str">
        <f ca="1"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AN40" s="73" t="str">
        <f ca="1">IFERROR(__xludf.DUMMYFUNCTION("""COMPUTED_VALUE"""),"Нет")</f>
        <v>Нет</v>
      </c>
      <c r="AO40" s="73"/>
      <c r="AP40" s="75">
        <f ca="1">IFERROR(__xludf.DUMMYFUNCTION("""COMPUTED_VALUE"""),1080)</f>
        <v>1080</v>
      </c>
      <c r="AQ40" s="75">
        <f ca="1">IFERROR(__xludf.DUMMYFUNCTION("""COMPUTED_VALUE"""),1060)</f>
        <v>1060</v>
      </c>
      <c r="AR40" s="75">
        <f ca="1">IFERROR(__xludf.DUMMYFUNCTION("""COMPUTED_VALUE"""),0)</f>
        <v>0</v>
      </c>
      <c r="AS40" s="75">
        <f ca="1">IFERROR(__xludf.DUMMYFUNCTION("""COMPUTED_VALUE"""),0)</f>
        <v>0</v>
      </c>
      <c r="AT40" s="75">
        <f ca="1">IFERROR(__xludf.DUMMYFUNCTION("""COMPUTED_VALUE"""),0)</f>
        <v>0</v>
      </c>
      <c r="AU40" s="75">
        <f ca="1">IFERROR(__xludf.DUMMYFUNCTION("""COMPUTED_VALUE"""),0)</f>
        <v>0</v>
      </c>
      <c r="AV40" s="75">
        <f ca="1">IFERROR(__xludf.DUMMYFUNCTION("""COMPUTED_VALUE"""),1080)</f>
        <v>1080</v>
      </c>
      <c r="AW40" s="75">
        <f ca="1">IFERROR(__xludf.DUMMYFUNCTION("""COMPUTED_VALUE"""),1060)</f>
        <v>1060</v>
      </c>
      <c r="AX40" s="75">
        <f ca="1">IFERROR(__xludf.DUMMYFUNCTION("""COMPUTED_VALUE"""),140.23)</f>
        <v>140.22999999999999</v>
      </c>
      <c r="AY40" s="77">
        <f ca="1">IFERROR(__xludf.DUMMYFUNCTION("""COMPUTED_VALUE"""),0.188147120502441)</f>
        <v>0.18814712050244101</v>
      </c>
      <c r="AZ40" s="75">
        <f ca="1">IFERROR(__xludf.DUMMYFUNCTION("""COMPUTED_VALUE"""),140.23)</f>
        <v>140.22999999999999</v>
      </c>
      <c r="BA40" s="77">
        <f ca="1">IFERROR(__xludf.DUMMYFUNCTION("""COMPUTED_VALUE"""),0.188147120502441)</f>
        <v>0.18814712050244101</v>
      </c>
      <c r="BB40" s="66"/>
      <c r="BC40" s="4"/>
      <c r="BD40" s="67" t="str">
        <f ca="1">IFERROR(__xludf.DUMMYFUNCTION("""COMPUTED_VALUE"""),"Забайкальский край")</f>
        <v>Забайкальский край</v>
      </c>
      <c r="BE40" s="67" t="str">
        <f ca="1">IFERROR(__xludf.DUMMYFUNCTION("""COMPUTED_VALUE"""),"Чита")</f>
        <v>Чита</v>
      </c>
      <c r="BF4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0" s="69" t="str">
        <f ca="1">IFERROR(__xludf.DUMMYFUNCTION("""COMPUTED_VALUE"""),"2.1.3.")</f>
        <v>2.1.3.</v>
      </c>
      <c r="BH40" s="68" t="str">
        <f ca="1">IFERROR(__xludf.DUMMYFUNCTION("""COMPUTED_VALUE"""),"Объекты коммунальной инфраструктуры")</f>
        <v>Объекты коммунальной инфраструктуры</v>
      </c>
      <c r="BI40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0" s="73" t="str">
        <f ca="1">IFERROR(__xludf.DUMMYFUNCTION("""COMPUTED_VALUE"""),"Сера диоксид")</f>
        <v>Сера диоксид</v>
      </c>
      <c r="BK40" s="78">
        <f ca="1">IFERROR(__xludf.DUMMYFUNCTION("""COMPUTED_VALUE"""),6.418224)</f>
        <v>6.4182240000000004</v>
      </c>
      <c r="BL40" s="78">
        <f ca="1">IFERROR(__xludf.DUMMYFUNCTION("""COMPUTED_VALUE"""),0.0104518466455921)</f>
        <v>1.04518466455921E-2</v>
      </c>
      <c r="BM40" s="78">
        <f ca="1">IFERROR(__xludf.DUMMYFUNCTION("""COMPUTED_VALUE"""),6.418224)</f>
        <v>6.4182240000000004</v>
      </c>
      <c r="BN40" s="78">
        <f ca="1">IFERROR(__xludf.DUMMYFUNCTION("""COMPUTED_VALUE"""),0.0104518466455921)</f>
        <v>1.04518466455921E-2</v>
      </c>
      <c r="BO40" s="66"/>
      <c r="BP40" s="66"/>
    </row>
    <row r="41" spans="1:68" ht="66">
      <c r="A41" s="66"/>
      <c r="B41" s="67" t="str">
        <f ca="1">IFERROR(__xludf.DUMMYFUNCTION("""COMPUTED_VALUE"""),"Забайкальский край")</f>
        <v>Забайкальский край</v>
      </c>
      <c r="C41" s="67" t="str">
        <f ca="1">IFERROR(__xludf.DUMMYFUNCTION("""COMPUTED_VALUE"""),"Чита")</f>
        <v>Чита</v>
      </c>
      <c r="D41" s="68" t="str">
        <f ca="1">IFERROR(__xludf.DUMMYFUNCTION("""COMPUTED_VALUE"""),"ОАО ""РЖД""")</f>
        <v>ОАО "РЖД"</v>
      </c>
      <c r="E41" s="69" t="str">
        <f ca="1">IFERROR(__xludf.DUMMYFUNCTION("""COMPUTED_VALUE"""),"3.2.2.")</f>
        <v>3.2.2.</v>
      </c>
      <c r="F41" s="84" t="str">
        <f ca="1">IFERROR(__xludf.DUMMYFUNCTION("""COMPUTED_VALUE"""),"Мероприятие ЮЛ/ИП")</f>
        <v>Мероприятие ЮЛ/ИП</v>
      </c>
      <c r="G41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71">
        <f ca="1">IFERROR(__xludf.DUMMYFUNCTION("""COMPUTED_VALUE"""),44927)</f>
        <v>44927</v>
      </c>
      <c r="I41" s="71">
        <f ca="1">IFERROR(__xludf.DUMMYFUNCTION("""COMPUTED_VALUE"""),45291)</f>
        <v>45291</v>
      </c>
      <c r="J41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>
        <f ca="1">IFERROR(__xludf.DUMMYFUNCTION("""COMPUTED_VALUE"""),45291)</f>
        <v>45291</v>
      </c>
      <c r="AJ41" s="72"/>
      <c r="AK41" s="73"/>
      <c r="AL41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1" s="73" t="str">
        <f ca="1">IFERROR(__xludf.DUMMYFUNCTION("""COMPUTED_VALUE"""),"Ведется монтаж отбойников дымовых газов")</f>
        <v>Ведется монтаж отбойников дымовых газов</v>
      </c>
      <c r="AN41" s="73" t="str">
        <f ca="1">IFERROR(__xludf.DUMMYFUNCTION("""COMPUTED_VALUE"""),"Нет")</f>
        <v>Нет</v>
      </c>
      <c r="AO41" s="73"/>
      <c r="AP41" s="75">
        <f ca="1">IFERROR(__xludf.DUMMYFUNCTION("""COMPUTED_VALUE"""),200)</f>
        <v>200</v>
      </c>
      <c r="AQ41" s="75">
        <f ca="1">IFERROR(__xludf.DUMMYFUNCTION("""COMPUTED_VALUE"""),0)</f>
        <v>0</v>
      </c>
      <c r="AR41" s="75">
        <f ca="1">IFERROR(__xludf.DUMMYFUNCTION("""COMPUTED_VALUE"""),0)</f>
        <v>0</v>
      </c>
      <c r="AS41" s="75">
        <f ca="1">IFERROR(__xludf.DUMMYFUNCTION("""COMPUTED_VALUE"""),0)</f>
        <v>0</v>
      </c>
      <c r="AT41" s="75">
        <f ca="1">IFERROR(__xludf.DUMMYFUNCTION("""COMPUTED_VALUE"""),0)</f>
        <v>0</v>
      </c>
      <c r="AU41" s="75">
        <f ca="1">IFERROR(__xludf.DUMMYFUNCTION("""COMPUTED_VALUE"""),0)</f>
        <v>0</v>
      </c>
      <c r="AV41" s="75">
        <f ca="1">IFERROR(__xludf.DUMMYFUNCTION("""COMPUTED_VALUE"""),200)</f>
        <v>200</v>
      </c>
      <c r="AW41" s="75">
        <f ca="1">IFERROR(__xludf.DUMMYFUNCTION("""COMPUTED_VALUE"""),0)</f>
        <v>0</v>
      </c>
      <c r="AX41" s="75">
        <f ca="1">IFERROR(__xludf.DUMMYFUNCTION("""COMPUTED_VALUE"""),0)</f>
        <v>0</v>
      </c>
      <c r="AY41" s="77">
        <f ca="1">IFERROR(__xludf.DUMMYFUNCTION("""COMPUTED_VALUE"""),0)</f>
        <v>0</v>
      </c>
      <c r="AZ41" s="75">
        <f ca="1">IFERROR(__xludf.DUMMYFUNCTION("""COMPUTED_VALUE"""),0)</f>
        <v>0</v>
      </c>
      <c r="BA41" s="77">
        <f ca="1">IFERROR(__xludf.DUMMYFUNCTION("""COMPUTED_VALUE"""),0)</f>
        <v>0</v>
      </c>
      <c r="BB41" s="66"/>
      <c r="BC41" s="4"/>
      <c r="BD41" s="67" t="str">
        <f ca="1">IFERROR(__xludf.DUMMYFUNCTION("""COMPUTED_VALUE"""),"Забайкальский край")</f>
        <v>Забайкальский край</v>
      </c>
      <c r="BE41" s="67" t="str">
        <f ca="1">IFERROR(__xludf.DUMMYFUNCTION("""COMPUTED_VALUE"""),"Чита")</f>
        <v>Чита</v>
      </c>
      <c r="BF4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1" s="69" t="str">
        <f ca="1">IFERROR(__xludf.DUMMYFUNCTION("""COMPUTED_VALUE"""),"2.1.3.")</f>
        <v>2.1.3.</v>
      </c>
      <c r="BH41" s="68" t="str">
        <f ca="1">IFERROR(__xludf.DUMMYFUNCTION("""COMPUTED_VALUE"""),"Объекты коммунальной инфраструктуры")</f>
        <v>Объекты коммунальной инфраструктуры</v>
      </c>
      <c r="BI41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1" s="73" t="str">
        <f ca="1">IFERROR(__xludf.DUMMYFUNCTION("""COMPUTED_VALUE"""),"Углерода оксид")</f>
        <v>Углерода оксид</v>
      </c>
      <c r="BK41" s="78">
        <f ca="1">IFERROR(__xludf.DUMMYFUNCTION("""COMPUTED_VALUE"""),40.404)</f>
        <v>40.404000000000003</v>
      </c>
      <c r="BL41" s="78">
        <f ca="1">IFERROR(__xludf.DUMMYFUNCTION("""COMPUTED_VALUE"""),0.0657964589376291)</f>
        <v>6.5796458937629101E-2</v>
      </c>
      <c r="BM41" s="78">
        <f ca="1">IFERROR(__xludf.DUMMYFUNCTION("""COMPUTED_VALUE"""),40.404)</f>
        <v>40.404000000000003</v>
      </c>
      <c r="BN41" s="78">
        <f ca="1">IFERROR(__xludf.DUMMYFUNCTION("""COMPUTED_VALUE"""),0.0657964589376291)</f>
        <v>6.5796458937629101E-2</v>
      </c>
      <c r="BO41" s="66"/>
      <c r="BP41" s="66"/>
    </row>
    <row r="42" spans="1:68" ht="66">
      <c r="A42" s="66"/>
      <c r="B42" s="67" t="str">
        <f ca="1">IFERROR(__xludf.DUMMYFUNCTION("""COMPUTED_VALUE"""),"Забайкальский край")</f>
        <v>Забайкальский край</v>
      </c>
      <c r="C42" s="67" t="str">
        <f ca="1">IFERROR(__xludf.DUMMYFUNCTION("""COMPUTED_VALUE"""),"Чита")</f>
        <v>Чита</v>
      </c>
      <c r="D42" s="68" t="str">
        <f ca="1">IFERROR(__xludf.DUMMYFUNCTION("""COMPUTED_VALUE"""),"ОАО ""РЖД""")</f>
        <v>ОАО "РЖД"</v>
      </c>
      <c r="E42" s="69" t="str">
        <f ca="1">IFERROR(__xludf.DUMMYFUNCTION("""COMPUTED_VALUE"""),"3.2.3.")</f>
        <v>3.2.3.</v>
      </c>
      <c r="F42" s="84" t="str">
        <f ca="1">IFERROR(__xludf.DUMMYFUNCTION("""COMPUTED_VALUE"""),"Мероприятие ЮЛ/ИП")</f>
        <v>Мероприятие ЮЛ/ИП</v>
      </c>
      <c r="G42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71">
        <f ca="1">IFERROR(__xludf.DUMMYFUNCTION("""COMPUTED_VALUE"""),43466)</f>
        <v>43466</v>
      </c>
      <c r="I42" s="71">
        <f ca="1">IFERROR(__xludf.DUMMYFUNCTION("""COMPUTED_VALUE"""),45291)</f>
        <v>45291</v>
      </c>
      <c r="J42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>
        <f ca="1">IFERROR(__xludf.DUMMYFUNCTION("""COMPUTED_VALUE"""),45291)</f>
        <v>45291</v>
      </c>
      <c r="AJ42" s="72"/>
      <c r="AK42" s="73"/>
      <c r="AL42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2" s="73" t="str">
        <f ca="1">IFERROR(__xludf.DUMMYFUNCTION("""COMPUTED_VALUE"""),"Осуществляется режимная наладка вентилятора подачи воздуха")</f>
        <v>Осуществляется режимная наладка вентилятора подачи воздуха</v>
      </c>
      <c r="AN42" s="73" t="str">
        <f ca="1">IFERROR(__xludf.DUMMYFUNCTION("""COMPUTED_VALUE"""),"Нет")</f>
        <v>Нет</v>
      </c>
      <c r="AO42" s="73"/>
      <c r="AP42" s="75">
        <f ca="1">IFERROR(__xludf.DUMMYFUNCTION("""COMPUTED_VALUE"""),300)</f>
        <v>300</v>
      </c>
      <c r="AQ42" s="75">
        <f ca="1">IFERROR(__xludf.DUMMYFUNCTION("""COMPUTED_VALUE"""),0)</f>
        <v>0</v>
      </c>
      <c r="AR42" s="75">
        <f ca="1">IFERROR(__xludf.DUMMYFUNCTION("""COMPUTED_VALUE"""),0)</f>
        <v>0</v>
      </c>
      <c r="AS42" s="75">
        <f ca="1">IFERROR(__xludf.DUMMYFUNCTION("""COMPUTED_VALUE"""),0)</f>
        <v>0</v>
      </c>
      <c r="AT42" s="75">
        <f ca="1">IFERROR(__xludf.DUMMYFUNCTION("""COMPUTED_VALUE"""),0)</f>
        <v>0</v>
      </c>
      <c r="AU42" s="75">
        <f ca="1">IFERROR(__xludf.DUMMYFUNCTION("""COMPUTED_VALUE"""),0)</f>
        <v>0</v>
      </c>
      <c r="AV42" s="75">
        <f ca="1">IFERROR(__xludf.DUMMYFUNCTION("""COMPUTED_VALUE"""),300)</f>
        <v>300</v>
      </c>
      <c r="AW42" s="75">
        <f ca="1">IFERROR(__xludf.DUMMYFUNCTION("""COMPUTED_VALUE"""),0)</f>
        <v>0</v>
      </c>
      <c r="AX42" s="75">
        <f ca="1">IFERROR(__xludf.DUMMYFUNCTION("""COMPUTED_VALUE"""),0)</f>
        <v>0</v>
      </c>
      <c r="AY42" s="77">
        <f ca="1">IFERROR(__xludf.DUMMYFUNCTION("""COMPUTED_VALUE"""),0)</f>
        <v>0</v>
      </c>
      <c r="AZ42" s="75">
        <f ca="1">IFERROR(__xludf.DUMMYFUNCTION("""COMPUTED_VALUE"""),0)</f>
        <v>0</v>
      </c>
      <c r="BA42" s="77">
        <f ca="1">IFERROR(__xludf.DUMMYFUNCTION("""COMPUTED_VALUE"""),0)</f>
        <v>0</v>
      </c>
      <c r="BB42" s="66"/>
      <c r="BC42" s="4"/>
      <c r="BD42" s="67" t="str">
        <f ca="1">IFERROR(__xludf.DUMMYFUNCTION("""COMPUTED_VALUE"""),"Забайкальский край")</f>
        <v>Забайкальский край</v>
      </c>
      <c r="BE42" s="67" t="str">
        <f ca="1">IFERROR(__xludf.DUMMYFUNCTION("""COMPUTED_VALUE"""),"Чита")</f>
        <v>Чита</v>
      </c>
      <c r="BF4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2" s="69" t="str">
        <f ca="1">IFERROR(__xludf.DUMMYFUNCTION("""COMPUTED_VALUE"""),"2.1.3.")</f>
        <v>2.1.3.</v>
      </c>
      <c r="BH42" s="68" t="str">
        <f ca="1">IFERROR(__xludf.DUMMYFUNCTION("""COMPUTED_VALUE"""),"Объекты коммунальной инфраструктуры")</f>
        <v>Объекты коммунальной инфраструктуры</v>
      </c>
      <c r="BI42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2" s="73" t="str">
        <f ca="1">IFERROR(__xludf.DUMMYFUNCTION("""COMPUTED_VALUE"""),"Углерод")</f>
        <v>Углерод</v>
      </c>
      <c r="BK42" s="78">
        <f ca="1">IFERROR(__xludf.DUMMYFUNCTION("""COMPUTED_VALUE"""),4.031575)</f>
        <v>4.0315750000000001</v>
      </c>
      <c r="BL42" s="78">
        <f ca="1">IFERROR(__xludf.DUMMYFUNCTION("""COMPUTED_VALUE"""),0.00656527469907614)</f>
        <v>6.5652746990761401E-3</v>
      </c>
      <c r="BM42" s="78">
        <f ca="1">IFERROR(__xludf.DUMMYFUNCTION("""COMPUTED_VALUE"""),4.031575)</f>
        <v>4.0315750000000001</v>
      </c>
      <c r="BN42" s="78">
        <f ca="1">IFERROR(__xludf.DUMMYFUNCTION("""COMPUTED_VALUE"""),0.00656527469907614)</f>
        <v>6.5652746990761401E-3</v>
      </c>
      <c r="BO42" s="66"/>
      <c r="BP42" s="66"/>
    </row>
    <row r="43" spans="1:68" ht="66">
      <c r="A43" s="66"/>
      <c r="B43" s="67" t="str">
        <f ca="1">IFERROR(__xludf.DUMMYFUNCTION("""COMPUTED_VALUE"""),"Забайкальский край")</f>
        <v>Забайкальский край</v>
      </c>
      <c r="C43" s="67" t="str">
        <f ca="1">IFERROR(__xludf.DUMMYFUNCTION("""COMPUTED_VALUE"""),"Чита")</f>
        <v>Чита</v>
      </c>
      <c r="D43" s="68" t="str">
        <f ca="1">IFERROR(__xludf.DUMMYFUNCTION("""COMPUTED_VALUE"""),"ОАО ""РЖД""")</f>
        <v>ОАО "РЖД"</v>
      </c>
      <c r="E43" s="69" t="str">
        <f ca="1">IFERROR(__xludf.DUMMYFUNCTION("""COMPUTED_VALUE"""),"3.2.4.")</f>
        <v>3.2.4.</v>
      </c>
      <c r="F43" s="84" t="str">
        <f ca="1">IFERROR(__xludf.DUMMYFUNCTION("""COMPUTED_VALUE"""),"Мероприятие ЮЛ/ИП")</f>
        <v>Мероприятие ЮЛ/ИП</v>
      </c>
      <c r="G43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71">
        <f ca="1">IFERROR(__xludf.DUMMYFUNCTION("""COMPUTED_VALUE"""),43466)</f>
        <v>43466</v>
      </c>
      <c r="I43" s="71">
        <f ca="1">IFERROR(__xludf.DUMMYFUNCTION("""COMPUTED_VALUE"""),43829)</f>
        <v>43829</v>
      </c>
      <c r="J43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>
        <f ca="1">IFERROR(__xludf.DUMMYFUNCTION("""COMPUTED_VALUE"""),43829)</f>
        <v>43829</v>
      </c>
      <c r="AJ43" s="72">
        <f ca="1">IFERROR(__xludf.DUMMYFUNCTION("""COMPUTED_VALUE"""),43829)</f>
        <v>43829</v>
      </c>
      <c r="AK43" s="73"/>
      <c r="AL43" s="68" t="str">
        <f ca="1">IFERROR(__xludf.DUMMYFUNCTION("""COMPUTED_VALUE"""),"Работы завершены")</f>
        <v>Работы завершены</v>
      </c>
      <c r="AM43" s="73" t="str">
        <f ca="1">IFERROR(__xludf.DUMMYFUNCTION("""COMPUTED_VALUE"""),"Установлен циклон марки ЦН-15*500*4 УП
")</f>
        <v xml:space="preserve">Установлен циклон марки ЦН-15*500*4 УП
</v>
      </c>
      <c r="AN43" s="73" t="str">
        <f ca="1">IFERROR(__xludf.DUMMYFUNCTION("""COMPUTED_VALUE"""),"Нет")</f>
        <v>Нет</v>
      </c>
      <c r="AO43" s="73"/>
      <c r="AP43" s="75">
        <f ca="1">IFERROR(__xludf.DUMMYFUNCTION("""COMPUTED_VALUE"""),130)</f>
        <v>130</v>
      </c>
      <c r="AQ43" s="75">
        <f ca="1">IFERROR(__xludf.DUMMYFUNCTION("""COMPUTED_VALUE"""),140)</f>
        <v>140</v>
      </c>
      <c r="AR43" s="75">
        <f ca="1">IFERROR(__xludf.DUMMYFUNCTION("""COMPUTED_VALUE"""),0)</f>
        <v>0</v>
      </c>
      <c r="AS43" s="75">
        <f ca="1">IFERROR(__xludf.DUMMYFUNCTION("""COMPUTED_VALUE"""),0)</f>
        <v>0</v>
      </c>
      <c r="AT43" s="75">
        <f ca="1">IFERROR(__xludf.DUMMYFUNCTION("""COMPUTED_VALUE"""),0)</f>
        <v>0</v>
      </c>
      <c r="AU43" s="75">
        <f ca="1">IFERROR(__xludf.DUMMYFUNCTION("""COMPUTED_VALUE"""),0)</f>
        <v>0</v>
      </c>
      <c r="AV43" s="75">
        <f ca="1">IFERROR(__xludf.DUMMYFUNCTION("""COMPUTED_VALUE"""),130)</f>
        <v>130</v>
      </c>
      <c r="AW43" s="75">
        <f ca="1">IFERROR(__xludf.DUMMYFUNCTION("""COMPUTED_VALUE"""),140)</f>
        <v>140</v>
      </c>
      <c r="AX43" s="75">
        <f ca="1">IFERROR(__xludf.DUMMYFUNCTION("""COMPUTED_VALUE"""),0)</f>
        <v>0</v>
      </c>
      <c r="AY43" s="77">
        <f ca="1">IFERROR(__xludf.DUMMYFUNCTION("""COMPUTED_VALUE"""),0)</f>
        <v>0</v>
      </c>
      <c r="AZ43" s="75">
        <f ca="1">IFERROR(__xludf.DUMMYFUNCTION("""COMPUTED_VALUE"""),0)</f>
        <v>0</v>
      </c>
      <c r="BA43" s="77">
        <f ca="1">IFERROR(__xludf.DUMMYFUNCTION("""COMPUTED_VALUE"""),0)</f>
        <v>0</v>
      </c>
      <c r="BB43" s="66"/>
      <c r="BC43" s="4"/>
      <c r="BD43" s="67" t="str">
        <f ca="1">IFERROR(__xludf.DUMMYFUNCTION("""COMPUTED_VALUE"""),"Забайкальский край")</f>
        <v>Забайкальский край</v>
      </c>
      <c r="BE43" s="67" t="str">
        <f ca="1">IFERROR(__xludf.DUMMYFUNCTION("""COMPUTED_VALUE"""),"Чита")</f>
        <v>Чита</v>
      </c>
      <c r="BF4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3" s="69" t="str">
        <f ca="1">IFERROR(__xludf.DUMMYFUNCTION("""COMPUTED_VALUE"""),"2.1.4.")</f>
        <v>2.1.4.</v>
      </c>
      <c r="BH43" s="68" t="str">
        <f ca="1">IFERROR(__xludf.DUMMYFUNCTION("""COMPUTED_VALUE"""),"Объекты коммунальной инфраструктуры")</f>
        <v>Объекты коммунальной инфраструктуры</v>
      </c>
      <c r="BI43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3" s="73" t="str">
        <f ca="1">IFERROR(__xludf.DUMMYFUNCTION("""COMPUTED_VALUE"""),"Азота диоксид")</f>
        <v>Азота диоксид</v>
      </c>
      <c r="BK43" s="78">
        <f ca="1">IFERROR(__xludf.DUMMYFUNCTION("""COMPUTED_VALUE"""),0.3047)</f>
        <v>0.30470000000000003</v>
      </c>
      <c r="BL43" s="78">
        <f ca="1">IFERROR(__xludf.DUMMYFUNCTION("""COMPUTED_VALUE"""),0.000496192976890793)</f>
        <v>4.9619297689079299E-4</v>
      </c>
      <c r="BM43" s="78">
        <f ca="1">IFERROR(__xludf.DUMMYFUNCTION("""COMPUTED_VALUE"""),0)</f>
        <v>0</v>
      </c>
      <c r="BN43" s="78">
        <f ca="1">IFERROR(__xludf.DUMMYFUNCTION("""COMPUTED_VALUE"""),0)</f>
        <v>0</v>
      </c>
      <c r="BO43" s="66"/>
      <c r="BP43" s="66"/>
    </row>
    <row r="44" spans="1:68" ht="118.8">
      <c r="A44" s="66"/>
      <c r="B44" s="67" t="str">
        <f ca="1">IFERROR(__xludf.DUMMYFUNCTION("""COMPUTED_VALUE"""),"Забайкальский край")</f>
        <v>Забайкальский край</v>
      </c>
      <c r="C44" s="67" t="str">
        <f ca="1">IFERROR(__xludf.DUMMYFUNCTION("""COMPUTED_VALUE"""),"Чита")</f>
        <v>Чита</v>
      </c>
      <c r="D44" s="68" t="str">
        <f ca="1">IFERROR(__xludf.DUMMYFUNCTION("""COMPUTED_VALUE"""),"ОАО ""РЖД""")</f>
        <v>ОАО "РЖД"</v>
      </c>
      <c r="E44" s="69" t="str">
        <f ca="1">IFERROR(__xludf.DUMMYFUNCTION("""COMPUTED_VALUE"""),"3.2.5.")</f>
        <v>3.2.5.</v>
      </c>
      <c r="F44" s="84" t="str">
        <f ca="1">IFERROR(__xludf.DUMMYFUNCTION("""COMPUTED_VALUE"""),"Мероприятие ЮЛ/ИП")</f>
        <v>Мероприятие ЮЛ/ИП</v>
      </c>
      <c r="G44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71">
        <f ca="1">IFERROR(__xludf.DUMMYFUNCTION("""COMPUTED_VALUE"""),45292)</f>
        <v>45292</v>
      </c>
      <c r="I44" s="71">
        <f ca="1">IFERROR(__xludf.DUMMYFUNCTION("""COMPUTED_VALUE"""),45657)</f>
        <v>45657</v>
      </c>
      <c r="J4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>
        <f ca="1">IFERROR(__xludf.DUMMYFUNCTION("""COMPUTED_VALUE"""),45657)</f>
        <v>45657</v>
      </c>
      <c r="AJ44" s="72"/>
      <c r="AK44" s="73"/>
      <c r="AL44" s="68" t="str">
        <f ca="1">IFERROR(__xludf.DUMMYFUNCTION("""COMPUTED_VALUE"""),"Срок выполнения работ не наступил")</f>
        <v>Срок выполнения работ не наступил</v>
      </c>
      <c r="AM44" s="73"/>
      <c r="AN44" s="73" t="str">
        <f ca="1">IFERROR(__xludf.DUMMYFUNCTION("""COMPUTED_VALUE"""),"Нет")</f>
        <v>Нет</v>
      </c>
      <c r="AO44" s="73"/>
      <c r="AP44" s="75">
        <f ca="1">IFERROR(__xludf.DUMMYFUNCTION("""COMPUTED_VALUE"""),1400)</f>
        <v>1400</v>
      </c>
      <c r="AQ44" s="75">
        <f ca="1">IFERROR(__xludf.DUMMYFUNCTION("""COMPUTED_VALUE"""),0)</f>
        <v>0</v>
      </c>
      <c r="AR44" s="75">
        <f ca="1">IFERROR(__xludf.DUMMYFUNCTION("""COMPUTED_VALUE"""),0)</f>
        <v>0</v>
      </c>
      <c r="AS44" s="75">
        <f ca="1">IFERROR(__xludf.DUMMYFUNCTION("""COMPUTED_VALUE"""),0)</f>
        <v>0</v>
      </c>
      <c r="AT44" s="75">
        <f ca="1">IFERROR(__xludf.DUMMYFUNCTION("""COMPUTED_VALUE"""),0)</f>
        <v>0</v>
      </c>
      <c r="AU44" s="75">
        <f ca="1">IFERROR(__xludf.DUMMYFUNCTION("""COMPUTED_VALUE"""),0)</f>
        <v>0</v>
      </c>
      <c r="AV44" s="75">
        <f ca="1">IFERROR(__xludf.DUMMYFUNCTION("""COMPUTED_VALUE"""),1400)</f>
        <v>1400</v>
      </c>
      <c r="AW44" s="75">
        <f ca="1">IFERROR(__xludf.DUMMYFUNCTION("""COMPUTED_VALUE"""),0)</f>
        <v>0</v>
      </c>
      <c r="AX44" s="75">
        <f ca="1">IFERROR(__xludf.DUMMYFUNCTION("""COMPUTED_VALUE"""),0)</f>
        <v>0</v>
      </c>
      <c r="AY44" s="77">
        <f ca="1">IFERROR(__xludf.DUMMYFUNCTION("""COMPUTED_VALUE"""),0)</f>
        <v>0</v>
      </c>
      <c r="AZ44" s="75">
        <f ca="1">IFERROR(__xludf.DUMMYFUNCTION("""COMPUTED_VALUE"""),0)</f>
        <v>0</v>
      </c>
      <c r="BA44" s="77">
        <f ca="1">IFERROR(__xludf.DUMMYFUNCTION("""COMPUTED_VALUE"""),0)</f>
        <v>0</v>
      </c>
      <c r="BB44" s="66"/>
      <c r="BC44" s="4"/>
      <c r="BD44" s="67" t="str">
        <f ca="1">IFERROR(__xludf.DUMMYFUNCTION("""COMPUTED_VALUE"""),"Забайкальский край")</f>
        <v>Забайкальский край</v>
      </c>
      <c r="BE44" s="67" t="str">
        <f ca="1">IFERROR(__xludf.DUMMYFUNCTION("""COMPUTED_VALUE"""),"Чита")</f>
        <v>Чита</v>
      </c>
      <c r="BF4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4" s="69" t="str">
        <f ca="1">IFERROR(__xludf.DUMMYFUNCTION("""COMPUTED_VALUE"""),"2.1.4.")</f>
        <v>2.1.4.</v>
      </c>
      <c r="BH44" s="68" t="str">
        <f ca="1">IFERROR(__xludf.DUMMYFUNCTION("""COMPUTED_VALUE"""),"Объекты коммунальной инфраструктуры")</f>
        <v>Объекты коммунальной инфраструктуры</v>
      </c>
      <c r="BI44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4" s="73" t="str">
        <f ca="1">IFERROR(__xludf.DUMMYFUNCTION("""COMPUTED_VALUE"""),"Азот (II) оксид")</f>
        <v>Азот (II) оксид</v>
      </c>
      <c r="BK44" s="78">
        <f ca="1">IFERROR(__xludf.DUMMYFUNCTION("""COMPUTED_VALUE"""),0.0501)</f>
        <v>5.0099999999999999E-2</v>
      </c>
      <c r="BL44" s="78">
        <f ca="1">IFERROR(__xludf.DUMMYFUNCTION("""COMPUTED_VALUE"""),0.0000815860457572324)</f>
        <v>8.1586045757232396E-5</v>
      </c>
      <c r="BM44" s="78">
        <f ca="1">IFERROR(__xludf.DUMMYFUNCTION("""COMPUTED_VALUE"""),0)</f>
        <v>0</v>
      </c>
      <c r="BN44" s="78">
        <f ca="1">IFERROR(__xludf.DUMMYFUNCTION("""COMPUTED_VALUE"""),0)</f>
        <v>0</v>
      </c>
      <c r="BO44" s="66"/>
      <c r="BP44" s="66"/>
    </row>
    <row r="45" spans="1:68" ht="66">
      <c r="A45" s="66"/>
      <c r="B45" s="67" t="str">
        <f ca="1">IFERROR(__xludf.DUMMYFUNCTION("""COMPUTED_VALUE"""),"Забайкальский край")</f>
        <v>Забайкальский край</v>
      </c>
      <c r="C45" s="67" t="str">
        <f ca="1">IFERROR(__xludf.DUMMYFUNCTION("""COMPUTED_VALUE"""),"Чита")</f>
        <v>Чита</v>
      </c>
      <c r="D45" s="68" t="str">
        <f ca="1">IFERROR(__xludf.DUMMYFUNCTION("""COMPUTED_VALUE"""),"ОАО ""РЖД""")</f>
        <v>ОАО "РЖД"</v>
      </c>
      <c r="E45" s="69" t="str">
        <f ca="1">IFERROR(__xludf.DUMMYFUNCTION("""COMPUTED_VALUE"""),"3.2.7.")</f>
        <v>3.2.7.</v>
      </c>
      <c r="F45" s="84" t="str">
        <f ca="1">IFERROR(__xludf.DUMMYFUNCTION("""COMPUTED_VALUE"""),"Мероприятие ЮЛ/ИП")</f>
        <v>Мероприятие ЮЛ/ИП</v>
      </c>
      <c r="G45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71">
        <f ca="1">IFERROR(__xludf.DUMMYFUNCTION("""COMPUTED_VALUE"""),44927)</f>
        <v>44927</v>
      </c>
      <c r="I45" s="71">
        <f ca="1">IFERROR(__xludf.DUMMYFUNCTION("""COMPUTED_VALUE"""),45291)</f>
        <v>45291</v>
      </c>
      <c r="J4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>
        <f ca="1">IFERROR(__xludf.DUMMYFUNCTION("""COMPUTED_VALUE"""),45291)</f>
        <v>45291</v>
      </c>
      <c r="AJ45" s="72"/>
      <c r="AK45" s="73"/>
      <c r="AL4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5" s="73" t="str">
        <f ca="1">IFERROR(__xludf.DUMMYFUNCTION("""COMPUTED_VALUE"""),"Осуществляется режимная наладка вентилятора подачи воздуха")</f>
        <v>Осуществляется режимная наладка вентилятора подачи воздуха</v>
      </c>
      <c r="AN45" s="73" t="str">
        <f ca="1">IFERROR(__xludf.DUMMYFUNCTION("""COMPUTED_VALUE"""),"Нет")</f>
        <v>Нет</v>
      </c>
      <c r="AO45" s="73"/>
      <c r="AP45" s="75">
        <f ca="1">IFERROR(__xludf.DUMMYFUNCTION("""COMPUTED_VALUE"""),400)</f>
        <v>400</v>
      </c>
      <c r="AQ45" s="75">
        <f ca="1">IFERROR(__xludf.DUMMYFUNCTION("""COMPUTED_VALUE"""),0)</f>
        <v>0</v>
      </c>
      <c r="AR45" s="75">
        <f ca="1">IFERROR(__xludf.DUMMYFUNCTION("""COMPUTED_VALUE"""),0)</f>
        <v>0</v>
      </c>
      <c r="AS45" s="75">
        <f ca="1">IFERROR(__xludf.DUMMYFUNCTION("""COMPUTED_VALUE"""),0)</f>
        <v>0</v>
      </c>
      <c r="AT45" s="75">
        <f ca="1">IFERROR(__xludf.DUMMYFUNCTION("""COMPUTED_VALUE"""),0)</f>
        <v>0</v>
      </c>
      <c r="AU45" s="75">
        <f ca="1">IFERROR(__xludf.DUMMYFUNCTION("""COMPUTED_VALUE"""),0)</f>
        <v>0</v>
      </c>
      <c r="AV45" s="75">
        <f ca="1">IFERROR(__xludf.DUMMYFUNCTION("""COMPUTED_VALUE"""),400)</f>
        <v>400</v>
      </c>
      <c r="AW45" s="75">
        <f ca="1">IFERROR(__xludf.DUMMYFUNCTION("""COMPUTED_VALUE"""),0)</f>
        <v>0</v>
      </c>
      <c r="AX45" s="75">
        <f ca="1">IFERROR(__xludf.DUMMYFUNCTION("""COMPUTED_VALUE"""),0)</f>
        <v>0</v>
      </c>
      <c r="AY45" s="77">
        <f ca="1">IFERROR(__xludf.DUMMYFUNCTION("""COMPUTED_VALUE"""),0)</f>
        <v>0</v>
      </c>
      <c r="AZ45" s="75">
        <f ca="1">IFERROR(__xludf.DUMMYFUNCTION("""COMPUTED_VALUE"""),0)</f>
        <v>0</v>
      </c>
      <c r="BA45" s="77">
        <f ca="1">IFERROR(__xludf.DUMMYFUNCTION("""COMPUTED_VALUE"""),0)</f>
        <v>0</v>
      </c>
      <c r="BB45" s="66"/>
      <c r="BC45" s="4"/>
      <c r="BD45" s="67" t="str">
        <f ca="1">IFERROR(__xludf.DUMMYFUNCTION("""COMPUTED_VALUE"""),"Забайкальский край")</f>
        <v>Забайкальский край</v>
      </c>
      <c r="BE45" s="67" t="str">
        <f ca="1">IFERROR(__xludf.DUMMYFUNCTION("""COMPUTED_VALUE"""),"Чита")</f>
        <v>Чита</v>
      </c>
      <c r="BF4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5" s="69" t="str">
        <f ca="1">IFERROR(__xludf.DUMMYFUNCTION("""COMPUTED_VALUE"""),"2.1.4.")</f>
        <v>2.1.4.</v>
      </c>
      <c r="BH45" s="68" t="str">
        <f ca="1">IFERROR(__xludf.DUMMYFUNCTION("""COMPUTED_VALUE"""),"Объекты коммунальной инфраструктуры")</f>
        <v>Объекты коммунальной инфраструктуры</v>
      </c>
      <c r="BI45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5" s="73" t="str">
        <f ca="1">IFERROR(__xludf.DUMMYFUNCTION("""COMPUTED_VALUE"""),"Бенз/а/пирен")</f>
        <v>Бенз/а/пирен</v>
      </c>
      <c r="BK45" s="78">
        <f ca="1">IFERROR(__xludf.DUMMYFUNCTION("""COMPUTED_VALUE"""),0.000008)</f>
        <v>7.9999999999999996E-6</v>
      </c>
      <c r="BL45" s="78">
        <f ca="1">IFERROR(__xludf.DUMMYFUNCTION("""COMPUTED_VALUE"""),1.30277118973624E-08)</f>
        <v>1.3027711897362401E-8</v>
      </c>
      <c r="BM45" s="78">
        <f ca="1">IFERROR(__xludf.DUMMYFUNCTION("""COMPUTED_VALUE"""),0)</f>
        <v>0</v>
      </c>
      <c r="BN45" s="78">
        <f ca="1">IFERROR(__xludf.DUMMYFUNCTION("""COMPUTED_VALUE"""),0)</f>
        <v>0</v>
      </c>
      <c r="BO45" s="66"/>
      <c r="BP45" s="66"/>
    </row>
    <row r="46" spans="1:68" ht="118.8">
      <c r="A46" s="66"/>
      <c r="B46" s="67" t="str">
        <f ca="1">IFERROR(__xludf.DUMMYFUNCTION("""COMPUTED_VALUE"""),"Забайкальский край")</f>
        <v>Забайкальский край</v>
      </c>
      <c r="C46" s="67" t="str">
        <f ca="1">IFERROR(__xludf.DUMMYFUNCTION("""COMPUTED_VALUE"""),"Чита")</f>
        <v>Чита</v>
      </c>
      <c r="D46" s="68" t="str">
        <f ca="1">IFERROR(__xludf.DUMMYFUNCTION("""COMPUTED_VALUE"""),"ОАО ""РЖД""")</f>
        <v>ОАО "РЖД"</v>
      </c>
      <c r="E46" s="69" t="str">
        <f ca="1">IFERROR(__xludf.DUMMYFUNCTION("""COMPUTED_VALUE"""),"3.2.8.")</f>
        <v>3.2.8.</v>
      </c>
      <c r="F46" s="84" t="str">
        <f ca="1">IFERROR(__xludf.DUMMYFUNCTION("""COMPUTED_VALUE"""),"Мероприятие ЮЛ/ИП")</f>
        <v>Мероприятие ЮЛ/ИП</v>
      </c>
      <c r="G46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71">
        <f ca="1">IFERROR(__xludf.DUMMYFUNCTION("""COMPUTED_VALUE"""),45292)</f>
        <v>45292</v>
      </c>
      <c r="I46" s="71">
        <f ca="1">IFERROR(__xludf.DUMMYFUNCTION("""COMPUTED_VALUE"""),45657)</f>
        <v>45657</v>
      </c>
      <c r="J46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>
        <f ca="1">IFERROR(__xludf.DUMMYFUNCTION("""COMPUTED_VALUE"""),45657)</f>
        <v>45657</v>
      </c>
      <c r="AJ46" s="72"/>
      <c r="AK46" s="73"/>
      <c r="AL46" s="68" t="str">
        <f ca="1">IFERROR(__xludf.DUMMYFUNCTION("""COMPUTED_VALUE"""),"Срок выполнения работ не наступил")</f>
        <v>Срок выполнения работ не наступил</v>
      </c>
      <c r="AM46" s="73"/>
      <c r="AN46" s="73" t="str">
        <f ca="1">IFERROR(__xludf.DUMMYFUNCTION("""COMPUTED_VALUE"""),"Нет")</f>
        <v>Нет</v>
      </c>
      <c r="AO46" s="73"/>
      <c r="AP46" s="75">
        <f ca="1">IFERROR(__xludf.DUMMYFUNCTION("""COMPUTED_VALUE"""),2200)</f>
        <v>2200</v>
      </c>
      <c r="AQ46" s="75">
        <f ca="1">IFERROR(__xludf.DUMMYFUNCTION("""COMPUTED_VALUE"""),0)</f>
        <v>0</v>
      </c>
      <c r="AR46" s="75">
        <f ca="1">IFERROR(__xludf.DUMMYFUNCTION("""COMPUTED_VALUE"""),0)</f>
        <v>0</v>
      </c>
      <c r="AS46" s="75">
        <f ca="1">IFERROR(__xludf.DUMMYFUNCTION("""COMPUTED_VALUE"""),0)</f>
        <v>0</v>
      </c>
      <c r="AT46" s="75">
        <f ca="1">IFERROR(__xludf.DUMMYFUNCTION("""COMPUTED_VALUE"""),0)</f>
        <v>0</v>
      </c>
      <c r="AU46" s="75">
        <f ca="1">IFERROR(__xludf.DUMMYFUNCTION("""COMPUTED_VALUE"""),0)</f>
        <v>0</v>
      </c>
      <c r="AV46" s="75">
        <f ca="1">IFERROR(__xludf.DUMMYFUNCTION("""COMPUTED_VALUE"""),2200)</f>
        <v>2200</v>
      </c>
      <c r="AW46" s="75">
        <f ca="1">IFERROR(__xludf.DUMMYFUNCTION("""COMPUTED_VALUE"""),0)</f>
        <v>0</v>
      </c>
      <c r="AX46" s="75">
        <f ca="1">IFERROR(__xludf.DUMMYFUNCTION("""COMPUTED_VALUE"""),14.43)</f>
        <v>14.43</v>
      </c>
      <c r="AY46" s="77">
        <f ca="1">IFERROR(__xludf.DUMMYFUNCTION("""COMPUTED_VALUE"""),0.0193607854870585)</f>
        <v>1.93607854870585E-2</v>
      </c>
      <c r="AZ46" s="75">
        <f ca="1">IFERROR(__xludf.DUMMYFUNCTION("""COMPUTED_VALUE"""),0)</f>
        <v>0</v>
      </c>
      <c r="BA46" s="77">
        <f ca="1">IFERROR(__xludf.DUMMYFUNCTION("""COMPUTED_VALUE"""),0)</f>
        <v>0</v>
      </c>
      <c r="BB46" s="66"/>
      <c r="BC46" s="4"/>
      <c r="BD46" s="67" t="str">
        <f ca="1">IFERROR(__xludf.DUMMYFUNCTION("""COMPUTED_VALUE"""),"Забайкальский край")</f>
        <v>Забайкальский край</v>
      </c>
      <c r="BE46" s="67" t="str">
        <f ca="1">IFERROR(__xludf.DUMMYFUNCTION("""COMPUTED_VALUE"""),"Чита")</f>
        <v>Чита</v>
      </c>
      <c r="BF4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6" s="69" t="str">
        <f ca="1">IFERROR(__xludf.DUMMYFUNCTION("""COMPUTED_VALUE"""),"2.1.4.")</f>
        <v>2.1.4.</v>
      </c>
      <c r="BH46" s="68" t="str">
        <f ca="1">IFERROR(__xludf.DUMMYFUNCTION("""COMPUTED_VALUE"""),"Объекты коммунальной инфраструктуры")</f>
        <v>Объекты коммунальной инфраструктуры</v>
      </c>
      <c r="BI46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46" s="78">
        <f ca="1">IFERROR(__xludf.DUMMYFUNCTION("""COMPUTED_VALUE"""),10.519116)</f>
        <v>10.519116</v>
      </c>
      <c r="BL46" s="78">
        <f ca="1">IFERROR(__xludf.DUMMYFUNCTION("""COMPUTED_VALUE"""),0.0171300015828669)</f>
        <v>1.7130001582866899E-2</v>
      </c>
      <c r="BM46" s="78">
        <f ca="1">IFERROR(__xludf.DUMMYFUNCTION("""COMPUTED_VALUE"""),0)</f>
        <v>0</v>
      </c>
      <c r="BN46" s="78">
        <f ca="1">IFERROR(__xludf.DUMMYFUNCTION("""COMPUTED_VALUE"""),0)</f>
        <v>0</v>
      </c>
      <c r="BO46" s="66"/>
      <c r="BP46" s="66"/>
    </row>
    <row r="47" spans="1:68" ht="66">
      <c r="A47" s="66"/>
      <c r="B47" s="67" t="str">
        <f ca="1">IFERROR(__xludf.DUMMYFUNCTION("""COMPUTED_VALUE"""),"Забайкальский край")</f>
        <v>Забайкальский край</v>
      </c>
      <c r="C47" s="67" t="str">
        <f ca="1">IFERROR(__xludf.DUMMYFUNCTION("""COMPUTED_VALUE"""),"Чита")</f>
        <v>Чита</v>
      </c>
      <c r="D47" s="68" t="str">
        <f ca="1">IFERROR(__xludf.DUMMYFUNCTION("""COMPUTED_VALUE"""),"ОАО ""РЖД""")</f>
        <v>ОАО "РЖД"</v>
      </c>
      <c r="E47" s="69" t="str">
        <f ca="1">IFERROR(__xludf.DUMMYFUNCTION("""COMPUTED_VALUE"""),"3.2.9.")</f>
        <v>3.2.9.</v>
      </c>
      <c r="F47" s="84" t="str">
        <f ca="1">IFERROR(__xludf.DUMMYFUNCTION("""COMPUTED_VALUE"""),"Мероприятие ЮЛ/ИП")</f>
        <v>Мероприятие ЮЛ/ИП</v>
      </c>
      <c r="G47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71">
        <f ca="1">IFERROR(__xludf.DUMMYFUNCTION("""COMPUTED_VALUE"""),44927)</f>
        <v>44927</v>
      </c>
      <c r="I47" s="71">
        <f ca="1">IFERROR(__xludf.DUMMYFUNCTION("""COMPUTED_VALUE"""),45291)</f>
        <v>45291</v>
      </c>
      <c r="J47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>
        <f ca="1">IFERROR(__xludf.DUMMYFUNCTION("""COMPUTED_VALUE"""),45291)</f>
        <v>45291</v>
      </c>
      <c r="AJ47" s="72"/>
      <c r="AK47" s="73"/>
      <c r="AL47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7" s="73" t="str">
        <f ca="1">IFERROR(__xludf.DUMMYFUNCTION("""COMPUTED_VALUE"""),"Ведется монтаж отбойников дымовых газов")</f>
        <v>Ведется монтаж отбойников дымовых газов</v>
      </c>
      <c r="AN47" s="73" t="str">
        <f ca="1">IFERROR(__xludf.DUMMYFUNCTION("""COMPUTED_VALUE"""),"Нет")</f>
        <v>Нет</v>
      </c>
      <c r="AO47" s="73"/>
      <c r="AP47" s="75">
        <f ca="1">IFERROR(__xludf.DUMMYFUNCTION("""COMPUTED_VALUE"""),500)</f>
        <v>500</v>
      </c>
      <c r="AQ47" s="75">
        <f ca="1">IFERROR(__xludf.DUMMYFUNCTION("""COMPUTED_VALUE"""),0)</f>
        <v>0</v>
      </c>
      <c r="AR47" s="75">
        <f ca="1">IFERROR(__xludf.DUMMYFUNCTION("""COMPUTED_VALUE"""),0)</f>
        <v>0</v>
      </c>
      <c r="AS47" s="75">
        <f ca="1">IFERROR(__xludf.DUMMYFUNCTION("""COMPUTED_VALUE"""),0)</f>
        <v>0</v>
      </c>
      <c r="AT47" s="75">
        <f ca="1">IFERROR(__xludf.DUMMYFUNCTION("""COMPUTED_VALUE"""),0)</f>
        <v>0</v>
      </c>
      <c r="AU47" s="75">
        <f ca="1">IFERROR(__xludf.DUMMYFUNCTION("""COMPUTED_VALUE"""),0)</f>
        <v>0</v>
      </c>
      <c r="AV47" s="75">
        <f ca="1">IFERROR(__xludf.DUMMYFUNCTION("""COMPUTED_VALUE"""),500)</f>
        <v>500</v>
      </c>
      <c r="AW47" s="75">
        <f ca="1">IFERROR(__xludf.DUMMYFUNCTION("""COMPUTED_VALUE"""),0)</f>
        <v>0</v>
      </c>
      <c r="AX47" s="75">
        <f ca="1">IFERROR(__xludf.DUMMYFUNCTION("""COMPUTED_VALUE"""),25.43)</f>
        <v>25.43</v>
      </c>
      <c r="AY47" s="77">
        <f ca="1">IFERROR(__xludf.DUMMYFUNCTION("""COMPUTED_VALUE"""),0.0341195270225848)</f>
        <v>3.4119527022584799E-2</v>
      </c>
      <c r="AZ47" s="75">
        <f ca="1">IFERROR(__xludf.DUMMYFUNCTION("""COMPUTED_VALUE"""),0)</f>
        <v>0</v>
      </c>
      <c r="BA47" s="77">
        <f ca="1">IFERROR(__xludf.DUMMYFUNCTION("""COMPUTED_VALUE"""),0)</f>
        <v>0</v>
      </c>
      <c r="BB47" s="66"/>
      <c r="BC47" s="4"/>
      <c r="BD47" s="67" t="str">
        <f ca="1">IFERROR(__xludf.DUMMYFUNCTION("""COMPUTED_VALUE"""),"Забайкальский край")</f>
        <v>Забайкальский край</v>
      </c>
      <c r="BE47" s="67" t="str">
        <f ca="1">IFERROR(__xludf.DUMMYFUNCTION("""COMPUTED_VALUE"""),"Чита")</f>
        <v>Чита</v>
      </c>
      <c r="BF4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7" s="69" t="str">
        <f ca="1">IFERROR(__xludf.DUMMYFUNCTION("""COMPUTED_VALUE"""),"2.1.4.")</f>
        <v>2.1.4.</v>
      </c>
      <c r="BH47" s="68" t="str">
        <f ca="1">IFERROR(__xludf.DUMMYFUNCTION("""COMPUTED_VALUE"""),"Объекты коммунальной инфраструктуры")</f>
        <v>Объекты коммунальной инфраструктуры</v>
      </c>
      <c r="BI47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7" s="73" t="str">
        <f ca="1">IFERROR(__xludf.DUMMYFUNCTION("""COMPUTED_VALUE"""),"Углерода оксид")</f>
        <v>Углерода оксид</v>
      </c>
      <c r="BK47" s="78">
        <f ca="1">IFERROR(__xludf.DUMMYFUNCTION("""COMPUTED_VALUE"""),9.107986)</f>
        <v>9.1079860000000004</v>
      </c>
      <c r="BL47" s="78">
        <f ca="1">IFERROR(__xludf.DUMMYFUNCTION("""COMPUTED_VALUE"""),0.0148320271966513)</f>
        <v>1.4832027196651301E-2</v>
      </c>
      <c r="BM47" s="78">
        <f ca="1">IFERROR(__xludf.DUMMYFUNCTION("""COMPUTED_VALUE"""),0)</f>
        <v>0</v>
      </c>
      <c r="BN47" s="78">
        <f ca="1">IFERROR(__xludf.DUMMYFUNCTION("""COMPUTED_VALUE"""),0)</f>
        <v>0</v>
      </c>
      <c r="BO47" s="66"/>
      <c r="BP47" s="66"/>
    </row>
    <row r="48" spans="1:68" ht="66">
      <c r="A48" s="66"/>
      <c r="B48" s="67" t="str">
        <f ca="1">IFERROR(__xludf.DUMMYFUNCTION("""COMPUTED_VALUE"""),"Забайкальский край")</f>
        <v>Забайкальский край</v>
      </c>
      <c r="C48" s="67" t="str">
        <f ca="1">IFERROR(__xludf.DUMMYFUNCTION("""COMPUTED_VALUE"""),"Чита")</f>
        <v>Чита</v>
      </c>
      <c r="D48" s="68" t="str">
        <f ca="1">IFERROR(__xludf.DUMMYFUNCTION("""COMPUTED_VALUE"""),"ООО ""СибавиаТЭК""")</f>
        <v>ООО "СибавиаТЭК"</v>
      </c>
      <c r="E48" s="69" t="str">
        <f ca="1">IFERROR(__xludf.DUMMYFUNCTION("""COMPUTED_VALUE"""),"3.3.1.")</f>
        <v>3.3.1.</v>
      </c>
      <c r="F48" s="84" t="str">
        <f ca="1">IFERROR(__xludf.DUMMYFUNCTION("""COMPUTED_VALUE"""),"Мероприятие ЮЛ/ИП")</f>
        <v>Мероприятие ЮЛ/ИП</v>
      </c>
      <c r="G4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71">
        <f ca="1">IFERROR(__xludf.DUMMYFUNCTION("""COMPUTED_VALUE"""),44531)</f>
        <v>44531</v>
      </c>
      <c r="I48" s="71">
        <f ca="1">IFERROR(__xludf.DUMMYFUNCTION("""COMPUTED_VALUE"""),44560)</f>
        <v>44560</v>
      </c>
      <c r="J48" s="68" t="str">
        <f ca="1">IFERROR(__xludf.DUMMYFUNCTION("""COMPUTED_VALUE"""),"Уменьшено время работы оборудования на 20%")</f>
        <v>Уменьшено время работы оборудования на 20%</v>
      </c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>
        <f ca="1">IFERROR(__xludf.DUMMYFUNCTION("""COMPUTED_VALUE"""),44560)</f>
        <v>44560</v>
      </c>
      <c r="AJ48" s="72">
        <f ca="1">IFERROR(__xludf.DUMMYFUNCTION("""COMPUTED_VALUE"""),44560)</f>
        <v>44560</v>
      </c>
      <c r="AK48" s="73"/>
      <c r="AL48" s="68" t="str">
        <f ca="1">IFERROR(__xludf.DUMMYFUNCTION("""COMPUTED_VALUE"""),"Работы завершены")</f>
        <v>Работы завершены</v>
      </c>
      <c r="AM48" s="73" t="str">
        <f ca="1">IFERROR(__xludf.DUMMYFUNCTION("""COMPUTED_VALUE"""),"Время работы оборудования уменьшено на 20%")</f>
        <v>Время работы оборудования уменьшено на 20%</v>
      </c>
      <c r="AN48" s="73" t="str">
        <f ca="1">IFERROR(__xludf.DUMMYFUNCTION("""COMPUTED_VALUE"""),"Нет")</f>
        <v>Нет</v>
      </c>
      <c r="AO48" s="73"/>
      <c r="AP48" s="75">
        <f ca="1">IFERROR(__xludf.DUMMYFUNCTION("""COMPUTED_VALUE"""),500)</f>
        <v>500</v>
      </c>
      <c r="AQ48" s="75">
        <f ca="1">IFERROR(__xludf.DUMMYFUNCTION("""COMPUTED_VALUE"""),500)</f>
        <v>500</v>
      </c>
      <c r="AR48" s="75">
        <f ca="1">IFERROR(__xludf.DUMMYFUNCTION("""COMPUTED_VALUE"""),0)</f>
        <v>0</v>
      </c>
      <c r="AS48" s="75">
        <f ca="1">IFERROR(__xludf.DUMMYFUNCTION("""COMPUTED_VALUE"""),0)</f>
        <v>0</v>
      </c>
      <c r="AT48" s="75">
        <f ca="1">IFERROR(__xludf.DUMMYFUNCTION("""COMPUTED_VALUE"""),0)</f>
        <v>0</v>
      </c>
      <c r="AU48" s="75">
        <f ca="1">IFERROR(__xludf.DUMMYFUNCTION("""COMPUTED_VALUE"""),0)</f>
        <v>0</v>
      </c>
      <c r="AV48" s="75">
        <f ca="1">IFERROR(__xludf.DUMMYFUNCTION("""COMPUTED_VALUE"""),500)</f>
        <v>500</v>
      </c>
      <c r="AW48" s="75">
        <f ca="1">IFERROR(__xludf.DUMMYFUNCTION("""COMPUTED_VALUE"""),500)</f>
        <v>500</v>
      </c>
      <c r="AX48" s="75">
        <f ca="1">IFERROR(__xludf.DUMMYFUNCTION("""COMPUTED_VALUE"""),26.1)</f>
        <v>26.1</v>
      </c>
      <c r="AY48" s="77">
        <f ca="1">IFERROR(__xludf.DUMMYFUNCTION("""COMPUTED_VALUE"""),0.035018468552476)</f>
        <v>3.5018468552475999E-2</v>
      </c>
      <c r="AZ48" s="75">
        <f ca="1">IFERROR(__xludf.DUMMYFUNCTION("""COMPUTED_VALUE"""),26.1)</f>
        <v>26.1</v>
      </c>
      <c r="BA48" s="77">
        <f ca="1">IFERROR(__xludf.DUMMYFUNCTION("""COMPUTED_VALUE"""),0.035018468552476)</f>
        <v>3.5018468552475999E-2</v>
      </c>
      <c r="BB48" s="66"/>
      <c r="BC48" s="4"/>
      <c r="BD48" s="67" t="str">
        <f ca="1">IFERROR(__xludf.DUMMYFUNCTION("""COMPUTED_VALUE"""),"Забайкальский край")</f>
        <v>Забайкальский край</v>
      </c>
      <c r="BE48" s="67" t="str">
        <f ca="1">IFERROR(__xludf.DUMMYFUNCTION("""COMPUTED_VALUE"""),"Чита")</f>
        <v>Чита</v>
      </c>
      <c r="BF4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8" s="69" t="str">
        <f ca="1">IFERROR(__xludf.DUMMYFUNCTION("""COMPUTED_VALUE"""),"2.1.4.")</f>
        <v>2.1.4.</v>
      </c>
      <c r="BH48" s="68" t="str">
        <f ca="1">IFERROR(__xludf.DUMMYFUNCTION("""COMPUTED_VALUE"""),"Объекты коммунальной инфраструктуры")</f>
        <v>Объекты коммунальной инфраструктуры</v>
      </c>
      <c r="BI48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8" s="73" t="str">
        <f ca="1">IFERROR(__xludf.DUMMYFUNCTION("""COMPUTED_VALUE"""),"Сера диоксид")</f>
        <v>Сера диоксид</v>
      </c>
      <c r="BK48" s="78">
        <f ca="1">IFERROR(__xludf.DUMMYFUNCTION("""COMPUTED_VALUE"""),5.99409)</f>
        <v>5.9940899999999999</v>
      </c>
      <c r="BL48" s="78">
        <f ca="1">IFERROR(__xludf.DUMMYFUNCTION("""COMPUTED_VALUE"""),0.00976115970085768)</f>
        <v>9.7611597008576793E-3</v>
      </c>
      <c r="BM48" s="78">
        <f ca="1">IFERROR(__xludf.DUMMYFUNCTION("""COMPUTED_VALUE"""),0)</f>
        <v>0</v>
      </c>
      <c r="BN48" s="78">
        <f ca="1">IFERROR(__xludf.DUMMYFUNCTION("""COMPUTED_VALUE"""),0)</f>
        <v>0</v>
      </c>
      <c r="BO48" s="66"/>
      <c r="BP48" s="66"/>
    </row>
    <row r="49" spans="1:68" ht="66">
      <c r="A49" s="66"/>
      <c r="B49" s="67" t="str">
        <f ca="1">IFERROR(__xludf.DUMMYFUNCTION("""COMPUTED_VALUE"""),"Забайкальский край")</f>
        <v>Забайкальский край</v>
      </c>
      <c r="C49" s="67" t="str">
        <f ca="1">IFERROR(__xludf.DUMMYFUNCTION("""COMPUTED_VALUE"""),"Чита")</f>
        <v>Чита</v>
      </c>
      <c r="D49" s="68" t="str">
        <f ca="1">IFERROR(__xludf.DUMMYFUNCTION("""COMPUTED_VALUE"""),"ООО ""СибавиаТЭК""")</f>
        <v>ООО "СибавиаТЭК"</v>
      </c>
      <c r="E49" s="69" t="str">
        <f ca="1">IFERROR(__xludf.DUMMYFUNCTION("""COMPUTED_VALUE"""),"3.3.2")</f>
        <v>3.3.2</v>
      </c>
      <c r="F49" s="84" t="str">
        <f ca="1">IFERROR(__xludf.DUMMYFUNCTION("""COMPUTED_VALUE"""),"Мероприятие ЮЛ/ИП")</f>
        <v>Мероприятие ЮЛ/ИП</v>
      </c>
      <c r="G49" s="68" t="str">
        <f ca="1">IFERROR(__xludf.DUMMYFUNCTION("""COMPUTED_VALUE"""),"Полное закрытие стоянки")</f>
        <v>Полное закрытие стоянки</v>
      </c>
      <c r="H49" s="71">
        <f ca="1">IFERROR(__xludf.DUMMYFUNCTION("""COMPUTED_VALUE"""),44531)</f>
        <v>44531</v>
      </c>
      <c r="I49" s="71">
        <f ca="1">IFERROR(__xludf.DUMMYFUNCTION("""COMPUTED_VALUE"""),44560)</f>
        <v>44560</v>
      </c>
      <c r="J49" s="68" t="str">
        <f ca="1">IFERROR(__xludf.DUMMYFUNCTION("""COMPUTED_VALUE"""),"Стоянка полностью закрыта")</f>
        <v>Стоянка полностью закрыта</v>
      </c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>
        <f ca="1">IFERROR(__xludf.DUMMYFUNCTION("""COMPUTED_VALUE"""),44560)</f>
        <v>44560</v>
      </c>
      <c r="AJ49" s="72">
        <f ca="1">IFERROR(__xludf.DUMMYFUNCTION("""COMPUTED_VALUE"""),44560)</f>
        <v>44560</v>
      </c>
      <c r="AK49" s="73"/>
      <c r="AL49" s="68" t="str">
        <f ca="1">IFERROR(__xludf.DUMMYFUNCTION("""COMPUTED_VALUE"""),"Работы завершены")</f>
        <v>Работы завершены</v>
      </c>
      <c r="AM49" s="73" t="str">
        <f ca="1">IFERROR(__xludf.DUMMYFUNCTION("""COMPUTED_VALUE"""),"Работы по полному закрытию стоянки завершены")</f>
        <v>Работы по полному закрытию стоянки завершены</v>
      </c>
      <c r="AN49" s="73" t="str">
        <f ca="1">IFERROR(__xludf.DUMMYFUNCTION("""COMPUTED_VALUE"""),"Нет")</f>
        <v>Нет</v>
      </c>
      <c r="AO49" s="73"/>
      <c r="AP49" s="75">
        <f ca="1">IFERROR(__xludf.DUMMYFUNCTION("""COMPUTED_VALUE"""),100)</f>
        <v>100</v>
      </c>
      <c r="AQ49" s="75">
        <f ca="1">IFERROR(__xludf.DUMMYFUNCTION("""COMPUTED_VALUE"""),100)</f>
        <v>100</v>
      </c>
      <c r="AR49" s="75">
        <f ca="1">IFERROR(__xludf.DUMMYFUNCTION("""COMPUTED_VALUE"""),0)</f>
        <v>0</v>
      </c>
      <c r="AS49" s="75">
        <f ca="1">IFERROR(__xludf.DUMMYFUNCTION("""COMPUTED_VALUE"""),0)</f>
        <v>0</v>
      </c>
      <c r="AT49" s="75">
        <f ca="1">IFERROR(__xludf.DUMMYFUNCTION("""COMPUTED_VALUE"""),0)</f>
        <v>0</v>
      </c>
      <c r="AU49" s="75">
        <f ca="1">IFERROR(__xludf.DUMMYFUNCTION("""COMPUTED_VALUE"""),0)</f>
        <v>0</v>
      </c>
      <c r="AV49" s="75">
        <f ca="1">IFERROR(__xludf.DUMMYFUNCTION("""COMPUTED_VALUE"""),100)</f>
        <v>100</v>
      </c>
      <c r="AW49" s="75">
        <f ca="1">IFERROR(__xludf.DUMMYFUNCTION("""COMPUTED_VALUE"""),100)</f>
        <v>100</v>
      </c>
      <c r="AX49" s="75">
        <f ca="1">IFERROR(__xludf.DUMMYFUNCTION("""COMPUTED_VALUE"""),0.04)</f>
        <v>0.04</v>
      </c>
      <c r="AY49" s="77">
        <f ca="1">IFERROR(__xludf.DUMMYFUNCTION("""COMPUTED_VALUE"""),0.0000536681510382774)</f>
        <v>5.36681510382774E-5</v>
      </c>
      <c r="AZ49" s="75">
        <f ca="1">IFERROR(__xludf.DUMMYFUNCTION("""COMPUTED_VALUE"""),0.04)</f>
        <v>0.04</v>
      </c>
      <c r="BA49" s="77">
        <f ca="1">IFERROR(__xludf.DUMMYFUNCTION("""COMPUTED_VALUE"""),0.0000536681510382774)</f>
        <v>5.36681510382774E-5</v>
      </c>
      <c r="BB49" s="66"/>
      <c r="BC49" s="4"/>
      <c r="BD49" s="67" t="str">
        <f ca="1">IFERROR(__xludf.DUMMYFUNCTION("""COMPUTED_VALUE"""),"Забайкальский край")</f>
        <v>Забайкальский край</v>
      </c>
      <c r="BE49" s="67" t="str">
        <f ca="1">IFERROR(__xludf.DUMMYFUNCTION("""COMPUTED_VALUE"""),"Чита")</f>
        <v>Чита</v>
      </c>
      <c r="BF4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9" s="69" t="str">
        <f ca="1">IFERROR(__xludf.DUMMYFUNCTION("""COMPUTED_VALUE"""),"2.1.4.")</f>
        <v>2.1.4.</v>
      </c>
      <c r="BH49" s="68" t="str">
        <f ca="1">IFERROR(__xludf.DUMMYFUNCTION("""COMPUTED_VALUE"""),"Объекты коммунальной инфраструктуры")</f>
        <v>Объекты коммунальной инфраструктуры</v>
      </c>
      <c r="BI4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9" s="73" t="str">
        <f ca="1">IFERROR(__xludf.DUMMYFUNCTION("""COMPUTED_VALUE"""),"Углерод")</f>
        <v>Углерод</v>
      </c>
      <c r="BK49" s="78">
        <f ca="1">IFERROR(__xludf.DUMMYFUNCTION("""COMPUTED_VALUE"""),4.024)</f>
        <v>4.024</v>
      </c>
      <c r="BL49" s="78">
        <f ca="1">IFERROR(__xludf.DUMMYFUNCTION("""COMPUTED_VALUE"""),0.00655293908437332)</f>
        <v>6.5529390843733198E-3</v>
      </c>
      <c r="BM49" s="78">
        <f ca="1">IFERROR(__xludf.DUMMYFUNCTION("""COMPUTED_VALUE"""),0)</f>
        <v>0</v>
      </c>
      <c r="BN49" s="78">
        <f ca="1">IFERROR(__xludf.DUMMYFUNCTION("""COMPUTED_VALUE"""),0)</f>
        <v>0</v>
      </c>
      <c r="BO49" s="66"/>
      <c r="BP49" s="66"/>
    </row>
    <row r="50" spans="1:68" ht="39.6">
      <c r="A50" s="66"/>
      <c r="B50" s="67" t="str">
        <f ca="1">IFERROR(__xludf.DUMMYFUNCTION("""COMPUTED_VALUE"""),"Забайкальский край")</f>
        <v>Забайкальский край</v>
      </c>
      <c r="C50" s="67" t="str">
        <f ca="1">IFERROR(__xludf.DUMMYFUNCTION("""COMPUTED_VALUE"""),"Чита")</f>
        <v>Чита</v>
      </c>
      <c r="D50" s="68" t="str">
        <f ca="1">IFERROR(__xludf.DUMMYFUNCTION("""COMPUTED_VALUE"""),"ОАО ""ЧМДК Даурия""")</f>
        <v>ОАО "ЧМДК Даурия"</v>
      </c>
      <c r="E50" s="69" t="str">
        <f ca="1">IFERROR(__xludf.DUMMYFUNCTION("""COMPUTED_VALUE"""),"3.4.1.")</f>
        <v>3.4.1.</v>
      </c>
      <c r="F50" s="84" t="str">
        <f ca="1">IFERROR(__xludf.DUMMYFUNCTION("""COMPUTED_VALUE"""),"Мероприятие ЮЛ/ИП")</f>
        <v>Мероприятие ЮЛ/ИП</v>
      </c>
      <c r="G5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71">
        <f ca="1">IFERROR(__xludf.DUMMYFUNCTION("""COMPUTED_VALUE"""),44713)</f>
        <v>44713</v>
      </c>
      <c r="I50" s="71">
        <f ca="1">IFERROR(__xludf.DUMMYFUNCTION("""COMPUTED_VALUE"""),44834)</f>
        <v>44834</v>
      </c>
      <c r="J50" s="68" t="str">
        <f ca="1">IFERROR(__xludf.DUMMYFUNCTION("""COMPUTED_VALUE"""),"Реализовано 100%")</f>
        <v>Реализовано 100%</v>
      </c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>
        <f ca="1">IFERROR(__xludf.DUMMYFUNCTION("""COMPUTED_VALUE"""),44834)</f>
        <v>44834</v>
      </c>
      <c r="AJ50" s="72">
        <f ca="1">IFERROR(__xludf.DUMMYFUNCTION("""COMPUTED_VALUE"""),44834)</f>
        <v>44834</v>
      </c>
      <c r="AK50" s="73"/>
      <c r="AL50" s="68" t="str">
        <f ca="1">IFERROR(__xludf.DUMMYFUNCTION("""COMPUTED_VALUE"""),"Работы завершены")</f>
        <v>Работы завершены</v>
      </c>
      <c r="AM50" s="73"/>
      <c r="AN50" s="73" t="str">
        <f ca="1">IFERROR(__xludf.DUMMYFUNCTION("""COMPUTED_VALUE"""),"Нет")</f>
        <v>Нет</v>
      </c>
      <c r="AO50" s="73"/>
      <c r="AP50" s="75">
        <f ca="1">IFERROR(__xludf.DUMMYFUNCTION("""COMPUTED_VALUE"""),500)</f>
        <v>500</v>
      </c>
      <c r="AQ50" s="75">
        <f ca="1">IFERROR(__xludf.DUMMYFUNCTION("""COMPUTED_VALUE"""),500)</f>
        <v>500</v>
      </c>
      <c r="AR50" s="75">
        <f ca="1">IFERROR(__xludf.DUMMYFUNCTION("""COMPUTED_VALUE"""),0)</f>
        <v>0</v>
      </c>
      <c r="AS50" s="75">
        <f ca="1">IFERROR(__xludf.DUMMYFUNCTION("""COMPUTED_VALUE"""),0)</f>
        <v>0</v>
      </c>
      <c r="AT50" s="75">
        <f ca="1">IFERROR(__xludf.DUMMYFUNCTION("""COMPUTED_VALUE"""),0)</f>
        <v>0</v>
      </c>
      <c r="AU50" s="75">
        <f ca="1">IFERROR(__xludf.DUMMYFUNCTION("""COMPUTED_VALUE"""),0)</f>
        <v>0</v>
      </c>
      <c r="AV50" s="75">
        <f ca="1">IFERROR(__xludf.DUMMYFUNCTION("""COMPUTED_VALUE"""),500)</f>
        <v>500</v>
      </c>
      <c r="AW50" s="75">
        <f ca="1">IFERROR(__xludf.DUMMYFUNCTION("""COMPUTED_VALUE"""),500)</f>
        <v>500</v>
      </c>
      <c r="AX50" s="75">
        <f ca="1">IFERROR(__xludf.DUMMYFUNCTION("""COMPUTED_VALUE"""),22.3858)</f>
        <v>22.3858</v>
      </c>
      <c r="AY50" s="77">
        <f ca="1">IFERROR(__xludf.DUMMYFUNCTION("""COMPUTED_VALUE"""),0.0300351123878167)</f>
        <v>3.0035112387816702E-2</v>
      </c>
      <c r="AZ50" s="75">
        <f ca="1">IFERROR(__xludf.DUMMYFUNCTION("""COMPUTED_VALUE"""),22.3858)</f>
        <v>22.3858</v>
      </c>
      <c r="BA50" s="77">
        <f ca="1">IFERROR(__xludf.DUMMYFUNCTION("""COMPUTED_VALUE"""),0.0300351123878167)</f>
        <v>3.0035112387816702E-2</v>
      </c>
      <c r="BB50" s="66"/>
      <c r="BC50" s="4"/>
      <c r="BD50" s="67" t="str">
        <f ca="1">IFERROR(__xludf.DUMMYFUNCTION("""COMPUTED_VALUE"""),"Забайкальский край")</f>
        <v>Забайкальский край</v>
      </c>
      <c r="BE50" s="67" t="str">
        <f ca="1">IFERROR(__xludf.DUMMYFUNCTION("""COMPUTED_VALUE"""),"Чита")</f>
        <v>Чита</v>
      </c>
      <c r="BF5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0" s="69" t="str">
        <f ca="1">IFERROR(__xludf.DUMMYFUNCTION("""COMPUTED_VALUE"""),"2.1.5.")</f>
        <v>2.1.5.</v>
      </c>
      <c r="BH50" s="68" t="str">
        <f ca="1">IFERROR(__xludf.DUMMYFUNCTION("""COMPUTED_VALUE"""),"Объекты коммунальной инфраструктуры")</f>
        <v>Объекты коммунальной инфраструктуры</v>
      </c>
      <c r="BI50" s="68" t="str">
        <f ca="1">IFERROR(__xludf.DUMMYFUNCTION("""COMPUTED_VALUE"""),"Модернизация котельной МБДОУ №9")</f>
        <v>Модернизация котельной МБДОУ №9</v>
      </c>
      <c r="BJ50" s="73" t="str">
        <f ca="1">IFERROR(__xludf.DUMMYFUNCTION("""COMPUTED_VALUE"""),"Азота диоксид")</f>
        <v>Азота диоксид</v>
      </c>
      <c r="BK50" s="78">
        <f ca="1">IFERROR(__xludf.DUMMYFUNCTION("""COMPUTED_VALUE"""),0.529555)</f>
        <v>0.529555</v>
      </c>
      <c r="BL50" s="78">
        <f ca="1">IFERROR(__xludf.DUMMYFUNCTION("""COMPUTED_VALUE"""),0.000862361246725973)</f>
        <v>8.6236124672597295E-4</v>
      </c>
      <c r="BM50" s="78">
        <f ca="1">IFERROR(__xludf.DUMMYFUNCTION("""COMPUTED_VALUE"""),0.097096)</f>
        <v>9.7096000000000002E-2</v>
      </c>
      <c r="BN50" s="78">
        <f ca="1">IFERROR(__xludf.DUMMYFUNCTION("""COMPUTED_VALUE"""),0.000158117339298288)</f>
        <v>1.58117339298288E-4</v>
      </c>
      <c r="BO50" s="66"/>
      <c r="BP50" s="66"/>
    </row>
    <row r="51" spans="1:68" ht="26.4">
      <c r="A51" s="66"/>
      <c r="B51" s="67" t="str">
        <f ca="1">IFERROR(__xludf.DUMMYFUNCTION("""COMPUTED_VALUE"""),"Забайкальский край")</f>
        <v>Забайкальский край</v>
      </c>
      <c r="C51" s="67" t="str">
        <f ca="1">IFERROR(__xludf.DUMMYFUNCTION("""COMPUTED_VALUE"""),"Чита")</f>
        <v>Чита</v>
      </c>
      <c r="D51" s="68" t="str">
        <f ca="1">IFERROR(__xludf.DUMMYFUNCTION("""COMPUTED_VALUE"""),"ОАО ""ЧМДК Даурия""")</f>
        <v>ОАО "ЧМДК Даурия"</v>
      </c>
      <c r="E51" s="69" t="str">
        <f ca="1">IFERROR(__xludf.DUMMYFUNCTION("""COMPUTED_VALUE"""),"3.4.2.")</f>
        <v>3.4.2.</v>
      </c>
      <c r="F51" s="84" t="str">
        <f ca="1">IFERROR(__xludf.DUMMYFUNCTION("""COMPUTED_VALUE"""),"Мероприятие ЮЛ/ИП")</f>
        <v>Мероприятие ЮЛ/ИП</v>
      </c>
      <c r="G51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H51" s="71">
        <f ca="1">IFERROR(__xludf.DUMMYFUNCTION("""COMPUTED_VALUE"""),45078)</f>
        <v>45078</v>
      </c>
      <c r="I51" s="71">
        <f ca="1">IFERROR(__xludf.DUMMYFUNCTION("""COMPUTED_VALUE"""),45199)</f>
        <v>45199</v>
      </c>
      <c r="J51" s="68" t="str">
        <f ca="1">IFERROR(__xludf.DUMMYFUNCTION("""COMPUTED_VALUE"""),"Осуществлен ремонт и модернизация циклона ЦН-15-800х4УП")</f>
        <v>Осуществлен ремонт и модернизация циклона ЦН-15-800х4УП</v>
      </c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>
        <f ca="1">IFERROR(__xludf.DUMMYFUNCTION("""COMPUTED_VALUE"""),45199)</f>
        <v>45199</v>
      </c>
      <c r="AJ51" s="72">
        <f ca="1">IFERROR(__xludf.DUMMYFUNCTION("""COMPUTED_VALUE"""),44834)</f>
        <v>44834</v>
      </c>
      <c r="AK51" s="73"/>
      <c r="AL51" s="68" t="str">
        <f ca="1">IFERROR(__xludf.DUMMYFUNCTION("""COMPUTED_VALUE"""),"Работы завершены")</f>
        <v>Работы завершены</v>
      </c>
      <c r="AM51" s="73"/>
      <c r="AN51" s="73" t="str">
        <f ca="1">IFERROR(__xludf.DUMMYFUNCTION("""COMPUTED_VALUE"""),"Нет")</f>
        <v>Нет</v>
      </c>
      <c r="AO51" s="73"/>
      <c r="AP51" s="75">
        <f ca="1">IFERROR(__xludf.DUMMYFUNCTION("""COMPUTED_VALUE"""),700)</f>
        <v>700</v>
      </c>
      <c r="AQ51" s="75">
        <f ca="1">IFERROR(__xludf.DUMMYFUNCTION("""COMPUTED_VALUE"""),700)</f>
        <v>700</v>
      </c>
      <c r="AR51" s="75">
        <f ca="1">IFERROR(__xludf.DUMMYFUNCTION("""COMPUTED_VALUE"""),0)</f>
        <v>0</v>
      </c>
      <c r="AS51" s="75">
        <f ca="1">IFERROR(__xludf.DUMMYFUNCTION("""COMPUTED_VALUE"""),0)</f>
        <v>0</v>
      </c>
      <c r="AT51" s="75">
        <f ca="1">IFERROR(__xludf.DUMMYFUNCTION("""COMPUTED_VALUE"""),0)</f>
        <v>0</v>
      </c>
      <c r="AU51" s="75">
        <f ca="1">IFERROR(__xludf.DUMMYFUNCTION("""COMPUTED_VALUE"""),0)</f>
        <v>0</v>
      </c>
      <c r="AV51" s="75">
        <f ca="1">IFERROR(__xludf.DUMMYFUNCTION("""COMPUTED_VALUE"""),700)</f>
        <v>700</v>
      </c>
      <c r="AW51" s="75">
        <f ca="1">IFERROR(__xludf.DUMMYFUNCTION("""COMPUTED_VALUE"""),700)</f>
        <v>700</v>
      </c>
      <c r="AX51" s="75">
        <f ca="1">IFERROR(__xludf.DUMMYFUNCTION("""COMPUTED_VALUE"""),8.9054)</f>
        <v>8.9054000000000002</v>
      </c>
      <c r="AY51" s="77">
        <f ca="1">IFERROR(__xludf.DUMMYFUNCTION("""COMPUTED_VALUE"""),0.0119484088064069)</f>
        <v>1.19484088064069E-2</v>
      </c>
      <c r="AZ51" s="75">
        <f ca="1">IFERROR(__xludf.DUMMYFUNCTION("""COMPUTED_VALUE"""),8.9054)</f>
        <v>8.9054000000000002</v>
      </c>
      <c r="BA51" s="77">
        <f ca="1">IFERROR(__xludf.DUMMYFUNCTION("""COMPUTED_VALUE"""),0.0119484088064069)</f>
        <v>1.19484088064069E-2</v>
      </c>
      <c r="BB51" s="66"/>
      <c r="BC51" s="4"/>
      <c r="BD51" s="67" t="str">
        <f ca="1">IFERROR(__xludf.DUMMYFUNCTION("""COMPUTED_VALUE"""),"Забайкальский край")</f>
        <v>Забайкальский край</v>
      </c>
      <c r="BE51" s="67" t="str">
        <f ca="1">IFERROR(__xludf.DUMMYFUNCTION("""COMPUTED_VALUE"""),"Чита")</f>
        <v>Чита</v>
      </c>
      <c r="BF5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1" s="69" t="str">
        <f ca="1">IFERROR(__xludf.DUMMYFUNCTION("""COMPUTED_VALUE"""),"2.1.5.")</f>
        <v>2.1.5.</v>
      </c>
      <c r="BH51" s="68" t="str">
        <f ca="1">IFERROR(__xludf.DUMMYFUNCTION("""COMPUTED_VALUE"""),"Объекты коммунальной инфраструктуры")</f>
        <v>Объекты коммунальной инфраструктуры</v>
      </c>
      <c r="BI51" s="68" t="str">
        <f ca="1">IFERROR(__xludf.DUMMYFUNCTION("""COMPUTED_VALUE"""),"Модернизация котельной МБДОУ №9")</f>
        <v>Модернизация котельной МБДОУ №9</v>
      </c>
      <c r="BJ51" s="73" t="str">
        <f ca="1">IFERROR(__xludf.DUMMYFUNCTION("""COMPUTED_VALUE"""),"Азот (II) оксид")</f>
        <v>Азот (II) оксид</v>
      </c>
      <c r="BK51" s="78">
        <f ca="1">IFERROR(__xludf.DUMMYFUNCTION("""COMPUTED_VALUE"""),0.0086055)</f>
        <v>8.6055000000000003E-3</v>
      </c>
      <c r="BL51" s="78">
        <f ca="1">IFERROR(__xludf.DUMMYFUNCTION("""COMPUTED_VALUE"""),0.0000140137468415941)</f>
        <v>1.40137468415941E-5</v>
      </c>
      <c r="BM51" s="78">
        <f ca="1">IFERROR(__xludf.DUMMYFUNCTION("""COMPUTED_VALUE"""),0.015779)</f>
        <v>1.5779000000000001E-2</v>
      </c>
      <c r="BN51" s="78">
        <f ca="1">IFERROR(__xludf.DUMMYFUNCTION("""COMPUTED_VALUE"""),0.0000256955332535603)</f>
        <v>2.5695533253560301E-5</v>
      </c>
      <c r="BO51" s="66"/>
      <c r="BP51" s="66"/>
    </row>
    <row r="52" spans="1:68" ht="26.4">
      <c r="A52" s="66"/>
      <c r="B52" s="67" t="str">
        <f ca="1">IFERROR(__xludf.DUMMYFUNCTION("""COMPUTED_VALUE"""),"Забайкальский край")</f>
        <v>Забайкальский край</v>
      </c>
      <c r="C52" s="67" t="str">
        <f ca="1">IFERROR(__xludf.DUMMYFUNCTION("""COMPUTED_VALUE"""),"Чита")</f>
        <v>Чита</v>
      </c>
      <c r="D52" s="68" t="str">
        <f ca="1">IFERROR(__xludf.DUMMYFUNCTION("""COMPUTED_VALUE"""),"ОАО ""ЧМДК Даурия""")</f>
        <v>ОАО "ЧМДК Даурия"</v>
      </c>
      <c r="E52" s="69" t="str">
        <f ca="1">IFERROR(__xludf.DUMMYFUNCTION("""COMPUTED_VALUE"""),"3.4.3.")</f>
        <v>3.4.3.</v>
      </c>
      <c r="F52" s="84" t="str">
        <f ca="1">IFERROR(__xludf.DUMMYFUNCTION("""COMPUTED_VALUE"""),"Мероприятие ЮЛ/ИП")</f>
        <v>Мероприятие ЮЛ/ИП</v>
      </c>
      <c r="G5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H52" s="71">
        <f ca="1">IFERROR(__xludf.DUMMYFUNCTION("""COMPUTED_VALUE"""),45444)</f>
        <v>45444</v>
      </c>
      <c r="I52" s="71">
        <f ca="1">IFERROR(__xludf.DUMMYFUNCTION("""COMPUTED_VALUE"""),45565)</f>
        <v>45565</v>
      </c>
      <c r="J52" s="68" t="str">
        <f ca="1">IFERROR(__xludf.DUMMYFUNCTION("""COMPUTED_VALUE"""),"Планируется реализация")</f>
        <v>Планируется реализация</v>
      </c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>
        <f ca="1">IFERROR(__xludf.DUMMYFUNCTION("""COMPUTED_VALUE"""),45565)</f>
        <v>45565</v>
      </c>
      <c r="AJ52" s="72"/>
      <c r="AK52" s="73"/>
      <c r="AL52" s="68" t="str">
        <f ca="1">IFERROR(__xludf.DUMMYFUNCTION("""COMPUTED_VALUE"""),"Срок выполнения работ не наступил")</f>
        <v>Срок выполнения работ не наступил</v>
      </c>
      <c r="AM52" s="73"/>
      <c r="AN52" s="73" t="str">
        <f ca="1">IFERROR(__xludf.DUMMYFUNCTION("""COMPUTED_VALUE"""),"Нет")</f>
        <v>Нет</v>
      </c>
      <c r="AO52" s="73"/>
      <c r="AP52" s="75">
        <f ca="1">IFERROR(__xludf.DUMMYFUNCTION("""COMPUTED_VALUE"""),600)</f>
        <v>600</v>
      </c>
      <c r="AQ52" s="75">
        <f ca="1">IFERROR(__xludf.DUMMYFUNCTION("""COMPUTED_VALUE"""),0)</f>
        <v>0</v>
      </c>
      <c r="AR52" s="75">
        <f ca="1">IFERROR(__xludf.DUMMYFUNCTION("""COMPUTED_VALUE"""),0)</f>
        <v>0</v>
      </c>
      <c r="AS52" s="75">
        <f ca="1">IFERROR(__xludf.DUMMYFUNCTION("""COMPUTED_VALUE"""),0)</f>
        <v>0</v>
      </c>
      <c r="AT52" s="75">
        <f ca="1">IFERROR(__xludf.DUMMYFUNCTION("""COMPUTED_VALUE"""),0)</f>
        <v>0</v>
      </c>
      <c r="AU52" s="75">
        <f ca="1">IFERROR(__xludf.DUMMYFUNCTION("""COMPUTED_VALUE"""),0)</f>
        <v>0</v>
      </c>
      <c r="AV52" s="75">
        <f ca="1">IFERROR(__xludf.DUMMYFUNCTION("""COMPUTED_VALUE"""),600)</f>
        <v>600</v>
      </c>
      <c r="AW52" s="75">
        <f ca="1">IFERROR(__xludf.DUMMYFUNCTION("""COMPUTED_VALUE"""),0)</f>
        <v>0</v>
      </c>
      <c r="AX52" s="75">
        <f ca="1">IFERROR(__xludf.DUMMYFUNCTION("""COMPUTED_VALUE"""),4.4772)</f>
        <v>4.4771999999999998</v>
      </c>
      <c r="AY52" s="77">
        <f ca="1">IFERROR(__xludf.DUMMYFUNCTION("""COMPUTED_VALUE"""),0.00600707614571439)</f>
        <v>6.0070761457143903E-3</v>
      </c>
      <c r="AZ52" s="75">
        <f ca="1">IFERROR(__xludf.DUMMYFUNCTION("""COMPUTED_VALUE"""),0)</f>
        <v>0</v>
      </c>
      <c r="BA52" s="77">
        <f ca="1">IFERROR(__xludf.DUMMYFUNCTION("""COMPUTED_VALUE"""),0)</f>
        <v>0</v>
      </c>
      <c r="BB52" s="66"/>
      <c r="BC52" s="4"/>
      <c r="BD52" s="67" t="str">
        <f ca="1">IFERROR(__xludf.DUMMYFUNCTION("""COMPUTED_VALUE"""),"Забайкальский край")</f>
        <v>Забайкальский край</v>
      </c>
      <c r="BE52" s="67" t="str">
        <f ca="1">IFERROR(__xludf.DUMMYFUNCTION("""COMPUTED_VALUE"""),"Чита")</f>
        <v>Чита</v>
      </c>
      <c r="BF5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2" s="69" t="str">
        <f ca="1">IFERROR(__xludf.DUMMYFUNCTION("""COMPUTED_VALUE"""),"2.1.5.")</f>
        <v>2.1.5.</v>
      </c>
      <c r="BH52" s="68" t="str">
        <f ca="1">IFERROR(__xludf.DUMMYFUNCTION("""COMPUTED_VALUE"""),"Объекты коммунальной инфраструктуры")</f>
        <v>Объекты коммунальной инфраструктуры</v>
      </c>
      <c r="BI52" s="68" t="str">
        <f ca="1">IFERROR(__xludf.DUMMYFUNCTION("""COMPUTED_VALUE"""),"Модернизация котельной МБДОУ №9")</f>
        <v>Модернизация котельной МБДОУ №9</v>
      </c>
      <c r="BJ52" s="73" t="str">
        <f ca="1">IFERROR(__xludf.DUMMYFUNCTION("""COMPUTED_VALUE"""),"Углерод")</f>
        <v>Углерод</v>
      </c>
      <c r="BK52" s="78">
        <f ca="1">IFERROR(__xludf.DUMMYFUNCTION("""COMPUTED_VALUE"""),0.7192165)</f>
        <v>0.71921650000000004</v>
      </c>
      <c r="BL52" s="78">
        <f ca="1">IFERROR(__xludf.DUMMYFUNCTION("""COMPUTED_VALUE"""),0.00117121816922867)</f>
        <v>1.1712181692286701E-3</v>
      </c>
      <c r="BM52" s="78">
        <f ca="1">IFERROR(__xludf.DUMMYFUNCTION("""COMPUTED_VALUE"""),1.320122)</f>
        <v>1.320122</v>
      </c>
      <c r="BN52" s="78">
        <f ca="1">IFERROR(__xludf.DUMMYFUNCTION("""COMPUTED_VALUE"""),0.00214977113567124)</f>
        <v>2.1497711356712398E-3</v>
      </c>
      <c r="BO52" s="66"/>
      <c r="BP52" s="66"/>
    </row>
    <row r="53" spans="1:68" ht="79.2">
      <c r="A53" s="66"/>
      <c r="B53" s="67" t="str">
        <f ca="1">IFERROR(__xludf.DUMMYFUNCTION("""COMPUTED_VALUE"""),"Забайкальский край")</f>
        <v>Забайкальский край</v>
      </c>
      <c r="C53" s="67" t="str">
        <f ca="1">IFERROR(__xludf.DUMMYFUNCTION("""COMPUTED_VALUE"""),"Чита")</f>
        <v>Чита</v>
      </c>
      <c r="D53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69" t="str">
        <f ca="1">IFERROR(__xludf.DUMMYFUNCTION("""COMPUTED_VALUE"""),"3.5.1.")</f>
        <v>3.5.1.</v>
      </c>
      <c r="F53" s="84" t="str">
        <f ca="1">IFERROR(__xludf.DUMMYFUNCTION("""COMPUTED_VALUE"""),"Мероприятие ЮЛ/ИП")</f>
        <v>Мероприятие ЮЛ/ИП</v>
      </c>
      <c r="G53" s="68" t="str">
        <f ca="1">IFERROR(__xludf.DUMMYFUNCTION("""COMPUTED_VALUE"""),"Модернизация предприятия")</f>
        <v>Модернизация предприятия</v>
      </c>
      <c r="H53" s="71">
        <f ca="1">IFERROR(__xludf.DUMMYFUNCTION("""COMPUTED_VALUE"""),44593)</f>
        <v>44593</v>
      </c>
      <c r="I53" s="71">
        <f ca="1">IFERROR(__xludf.DUMMYFUNCTION("""COMPUTED_VALUE"""),44896)</f>
        <v>44896</v>
      </c>
      <c r="J53" s="68" t="str">
        <f ca="1">IFERROR(__xludf.DUMMYFUNCTION("""COMPUTED_VALUE"""),"модернизация производства")</f>
        <v>модернизация производства</v>
      </c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>
        <f ca="1">IFERROR(__xludf.DUMMYFUNCTION("""COMPUTED_VALUE"""),44896)</f>
        <v>44896</v>
      </c>
      <c r="AJ53" s="72">
        <f ca="1">IFERROR(__xludf.DUMMYFUNCTION("""COMPUTED_VALUE"""),44896)</f>
        <v>44896</v>
      </c>
      <c r="AK53" s="73"/>
      <c r="AL53" s="68" t="str">
        <f ca="1">IFERROR(__xludf.DUMMYFUNCTION("""COMPUTED_VALUE"""),"Работы завершены")</f>
        <v>Работы завершены</v>
      </c>
      <c r="AM53" s="73" t="str">
        <f ca="1"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AN53" s="73" t="str">
        <f ca="1">IFERROR(__xludf.DUMMYFUNCTION("""COMPUTED_VALUE"""),"Нет")</f>
        <v>Нет</v>
      </c>
      <c r="AO53" s="73"/>
      <c r="AP53" s="75">
        <f ca="1">IFERROR(__xludf.DUMMYFUNCTION("""COMPUTED_VALUE"""),0)</f>
        <v>0</v>
      </c>
      <c r="AQ53" s="75">
        <f ca="1">IFERROR(__xludf.DUMMYFUNCTION("""COMPUTED_VALUE"""),0)</f>
        <v>0</v>
      </c>
      <c r="AR53" s="75">
        <f ca="1">IFERROR(__xludf.DUMMYFUNCTION("""COMPUTED_VALUE"""),0)</f>
        <v>0</v>
      </c>
      <c r="AS53" s="75">
        <f ca="1">IFERROR(__xludf.DUMMYFUNCTION("""COMPUTED_VALUE"""),0)</f>
        <v>0</v>
      </c>
      <c r="AT53" s="75">
        <f ca="1">IFERROR(__xludf.DUMMYFUNCTION("""COMPUTED_VALUE"""),0)</f>
        <v>0</v>
      </c>
      <c r="AU53" s="75">
        <f ca="1">IFERROR(__xludf.DUMMYFUNCTION("""COMPUTED_VALUE"""),0)</f>
        <v>0</v>
      </c>
      <c r="AV53" s="75">
        <f ca="1">IFERROR(__xludf.DUMMYFUNCTION("""COMPUTED_VALUE"""),0)</f>
        <v>0</v>
      </c>
      <c r="AW53" s="75">
        <f ca="1">IFERROR(__xludf.DUMMYFUNCTION("""COMPUTED_VALUE"""),0)</f>
        <v>0</v>
      </c>
      <c r="AX53" s="75">
        <f ca="1">IFERROR(__xludf.DUMMYFUNCTION("""COMPUTED_VALUE"""),39.976614)</f>
        <v>39.976613999999998</v>
      </c>
      <c r="AY53" s="77">
        <f ca="1">IFERROR(__xludf.DUMMYFUNCTION("""COMPUTED_VALUE"""),0.0536367739537729)</f>
        <v>5.36367739537729E-2</v>
      </c>
      <c r="AZ53" s="75">
        <f ca="1">IFERROR(__xludf.DUMMYFUNCTION("""COMPUTED_VALUE"""),40.04)</f>
        <v>40.04</v>
      </c>
      <c r="BA53" s="77">
        <f ca="1">IFERROR(__xludf.DUMMYFUNCTION("""COMPUTED_VALUE"""),0.0537218191893157)</f>
        <v>5.3721819189315699E-2</v>
      </c>
      <c r="BB53" s="66"/>
      <c r="BC53" s="4"/>
      <c r="BD53" s="67" t="str">
        <f ca="1">IFERROR(__xludf.DUMMYFUNCTION("""COMPUTED_VALUE"""),"Забайкальский край")</f>
        <v>Забайкальский край</v>
      </c>
      <c r="BE53" s="67" t="str">
        <f ca="1">IFERROR(__xludf.DUMMYFUNCTION("""COMPUTED_VALUE"""),"Чита")</f>
        <v>Чита</v>
      </c>
      <c r="BF5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3" s="69" t="str">
        <f ca="1">IFERROR(__xludf.DUMMYFUNCTION("""COMPUTED_VALUE"""),"2.1.5.")</f>
        <v>2.1.5.</v>
      </c>
      <c r="BH53" s="68" t="str">
        <f ca="1">IFERROR(__xludf.DUMMYFUNCTION("""COMPUTED_VALUE"""),"Объекты коммунальной инфраструктуры")</f>
        <v>Объекты коммунальной инфраструктуры</v>
      </c>
      <c r="BI53" s="68" t="str">
        <f ca="1">IFERROR(__xludf.DUMMYFUNCTION("""COMPUTED_VALUE"""),"Модернизация котельной МБДОУ №9")</f>
        <v>Модернизация котельной МБДОУ №9</v>
      </c>
      <c r="BJ53" s="73" t="str">
        <f ca="1">IFERROR(__xludf.DUMMYFUNCTION("""COMPUTED_VALUE"""),"Сера диоксид")</f>
        <v>Сера диоксид</v>
      </c>
      <c r="BK53" s="78">
        <f ca="1">IFERROR(__xludf.DUMMYFUNCTION("""COMPUTED_VALUE"""),0.144)</f>
        <v>0.14399999999999999</v>
      </c>
      <c r="BL53" s="78">
        <f ca="1">IFERROR(__xludf.DUMMYFUNCTION("""COMPUTED_VALUE"""),0.000234498814152524)</f>
        <v>2.3449881415252399E-4</v>
      </c>
      <c r="BM53" s="78">
        <f ca="1">IFERROR(__xludf.DUMMYFUNCTION("""COMPUTED_VALUE"""),0.24912)</f>
        <v>0.24912000000000001</v>
      </c>
      <c r="BN53" s="78">
        <f ca="1">IFERROR(__xludf.DUMMYFUNCTION("""COMPUTED_VALUE"""),0.000405682948483867)</f>
        <v>4.05682948483867E-4</v>
      </c>
      <c r="BO53" s="66"/>
      <c r="BP53" s="66"/>
    </row>
    <row r="54" spans="1:68" ht="26.4">
      <c r="A54" s="66"/>
      <c r="B54" s="67" t="str">
        <f ca="1">IFERROR(__xludf.DUMMYFUNCTION("""COMPUTED_VALUE"""),"Забайкальский край")</f>
        <v>Забайкальский край</v>
      </c>
      <c r="C54" s="67" t="str">
        <f ca="1">IFERROR(__xludf.DUMMYFUNCTION("""COMPUTED_VALUE"""),"Чита")</f>
        <v>Чита</v>
      </c>
      <c r="D54" s="68" t="str">
        <f ca="1">IFERROR(__xludf.DUMMYFUNCTION("""COMPUTED_VALUE"""),"ООО ""Теплоснабжение""")</f>
        <v>ООО "Теплоснабжение"</v>
      </c>
      <c r="E54" s="69" t="str">
        <f ca="1">IFERROR(__xludf.DUMMYFUNCTION("""COMPUTED_VALUE"""),"3.6.1.")</f>
        <v>3.6.1.</v>
      </c>
      <c r="F54" s="84" t="str">
        <f ca="1">IFERROR(__xludf.DUMMYFUNCTION("""COMPUTED_VALUE"""),"Мероприятие ЮЛ/ИП")</f>
        <v>Мероприятие ЮЛ/ИП</v>
      </c>
      <c r="G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H54" s="71">
        <f ca="1">IFERROR(__xludf.DUMMYFUNCTION("""COMPUTED_VALUE"""),45292)</f>
        <v>45292</v>
      </c>
      <c r="I54" s="71">
        <f ca="1">IFERROR(__xludf.DUMMYFUNCTION("""COMPUTED_VALUE"""),45657)</f>
        <v>45657</v>
      </c>
      <c r="J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>
        <f ca="1">IFERROR(__xludf.DUMMYFUNCTION("""COMPUTED_VALUE"""),45657)</f>
        <v>45657</v>
      </c>
      <c r="AJ54" s="72">
        <f ca="1">IFERROR(__xludf.DUMMYFUNCTION("""COMPUTED_VALUE"""),44926)</f>
        <v>44926</v>
      </c>
      <c r="AK54" s="73"/>
      <c r="AL54" s="68" t="str">
        <f ca="1">IFERROR(__xludf.DUMMYFUNCTION("""COMPUTED_VALUE"""),"Работы завершены")</f>
        <v>Работы завершены</v>
      </c>
      <c r="AM54" s="73" t="str">
        <f ca="1"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AN54" s="73" t="str">
        <f ca="1">IFERROR(__xludf.DUMMYFUNCTION("""COMPUTED_VALUE"""),"Нет")</f>
        <v>Нет</v>
      </c>
      <c r="AO54" s="73"/>
      <c r="AP54" s="75">
        <f ca="1">IFERROR(__xludf.DUMMYFUNCTION("""COMPUTED_VALUE"""),0)</f>
        <v>0</v>
      </c>
      <c r="AQ54" s="75">
        <f ca="1">IFERROR(__xludf.DUMMYFUNCTION("""COMPUTED_VALUE"""),0)</f>
        <v>0</v>
      </c>
      <c r="AR54" s="75">
        <f ca="1">IFERROR(__xludf.DUMMYFUNCTION("""COMPUTED_VALUE"""),0)</f>
        <v>0</v>
      </c>
      <c r="AS54" s="75">
        <f ca="1">IFERROR(__xludf.DUMMYFUNCTION("""COMPUTED_VALUE"""),0)</f>
        <v>0</v>
      </c>
      <c r="AT54" s="75">
        <f ca="1">IFERROR(__xludf.DUMMYFUNCTION("""COMPUTED_VALUE"""),0)</f>
        <v>0</v>
      </c>
      <c r="AU54" s="75">
        <f ca="1">IFERROR(__xludf.DUMMYFUNCTION("""COMPUTED_VALUE"""),0)</f>
        <v>0</v>
      </c>
      <c r="AV54" s="75">
        <f ca="1">IFERROR(__xludf.DUMMYFUNCTION("""COMPUTED_VALUE"""),0)</f>
        <v>0</v>
      </c>
      <c r="AW54" s="75">
        <f ca="1">IFERROR(__xludf.DUMMYFUNCTION("""COMPUTED_VALUE"""),0)</f>
        <v>0</v>
      </c>
      <c r="AX54" s="75">
        <f ca="1">IFERROR(__xludf.DUMMYFUNCTION("""COMPUTED_VALUE"""),122.26)</f>
        <v>122.26</v>
      </c>
      <c r="AY54" s="77">
        <f ca="1">IFERROR(__xludf.DUMMYFUNCTION("""COMPUTED_VALUE"""),0.164036703648495)</f>
        <v>0.16403670364849501</v>
      </c>
      <c r="AZ54" s="75">
        <f ca="1">IFERROR(__xludf.DUMMYFUNCTION("""COMPUTED_VALUE"""),15.839115)</f>
        <v>15.839115</v>
      </c>
      <c r="BA54" s="77">
        <f ca="1">IFERROR(__xludf.DUMMYFUNCTION("""COMPUTED_VALUE"""),0.0212514004033161)</f>
        <v>2.1251400403316099E-2</v>
      </c>
      <c r="BB54" s="66"/>
      <c r="BC54" s="4"/>
      <c r="BD54" s="67" t="str">
        <f ca="1">IFERROR(__xludf.DUMMYFUNCTION("""COMPUTED_VALUE"""),"Забайкальский край")</f>
        <v>Забайкальский край</v>
      </c>
      <c r="BE54" s="67" t="str">
        <f ca="1">IFERROR(__xludf.DUMMYFUNCTION("""COMPUTED_VALUE"""),"Чита")</f>
        <v>Чита</v>
      </c>
      <c r="BF5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4" s="69" t="str">
        <f ca="1">IFERROR(__xludf.DUMMYFUNCTION("""COMPUTED_VALUE"""),"2.1.5.")</f>
        <v>2.1.5.</v>
      </c>
      <c r="BH54" s="68" t="str">
        <f ca="1">IFERROR(__xludf.DUMMYFUNCTION("""COMPUTED_VALUE"""),"Объекты коммунальной инфраструктуры")</f>
        <v>Объекты коммунальной инфраструктуры</v>
      </c>
      <c r="BI54" s="68" t="str">
        <f ca="1">IFERROR(__xludf.DUMMYFUNCTION("""COMPUTED_VALUE"""),"Модернизация котельной МБДОУ №9")</f>
        <v>Модернизация котельной МБДОУ №9</v>
      </c>
      <c r="BJ54" s="73" t="str">
        <f ca="1">IFERROR(__xludf.DUMMYFUNCTION("""COMPUTED_VALUE"""),"Углерода оксид")</f>
        <v>Углерода оксид</v>
      </c>
      <c r="BK54" s="78">
        <f ca="1">IFERROR(__xludf.DUMMYFUNCTION("""COMPUTED_VALUE"""),1.081184)</f>
        <v>1.0811839999999999</v>
      </c>
      <c r="BL54" s="78">
        <f ca="1">IFERROR(__xludf.DUMMYFUNCTION("""COMPUTED_VALUE"""),0.00176066920750474)</f>
        <v>1.76066920750474E-3</v>
      </c>
      <c r="BM54" s="78">
        <f ca="1">IFERROR(__xludf.DUMMYFUNCTION("""COMPUTED_VALUE"""),1.979681)</f>
        <v>1.979681</v>
      </c>
      <c r="BN54" s="78">
        <f ca="1">IFERROR(__xludf.DUMMYFUNCTION("""COMPUTED_VALUE"""),0.0032238392145853)</f>
        <v>3.2238392145853001E-3</v>
      </c>
      <c r="BO54" s="66"/>
      <c r="BP54" s="66"/>
    </row>
    <row r="55" spans="1:68" ht="26.4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/>
      <c r="AQ55" s="75"/>
      <c r="AR55" s="75"/>
      <c r="AS55" s="75"/>
      <c r="AT55" s="75"/>
      <c r="AU55" s="75"/>
      <c r="AV55" s="75"/>
      <c r="AW55" s="75"/>
      <c r="AX55" s="75"/>
      <c r="AY55" s="77"/>
      <c r="AZ55" s="75"/>
      <c r="BA55" s="77"/>
      <c r="BB55" s="66"/>
      <c r="BC55" s="4"/>
      <c r="BD55" s="67" t="str">
        <f ca="1">IFERROR(__xludf.DUMMYFUNCTION("""COMPUTED_VALUE"""),"Забайкальский край")</f>
        <v>Забайкальский край</v>
      </c>
      <c r="BE55" s="67" t="str">
        <f ca="1">IFERROR(__xludf.DUMMYFUNCTION("""COMPUTED_VALUE"""),"Чита")</f>
        <v>Чита</v>
      </c>
      <c r="BF5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5" s="69" t="str">
        <f ca="1">IFERROR(__xludf.DUMMYFUNCTION("""COMPUTED_VALUE"""),"2.1.5.")</f>
        <v>2.1.5.</v>
      </c>
      <c r="BH55" s="68" t="str">
        <f ca="1">IFERROR(__xludf.DUMMYFUNCTION("""COMPUTED_VALUE"""),"Объекты коммунальной инфраструктуры")</f>
        <v>Объекты коммунальной инфраструктуры</v>
      </c>
      <c r="BI55" s="68" t="str">
        <f ca="1">IFERROR(__xludf.DUMMYFUNCTION("""COMPUTED_VALUE"""),"Модернизация котельной МБДОУ №9")</f>
        <v>Модернизация котельной МБДОУ №9</v>
      </c>
      <c r="BJ55" s="73" t="str">
        <f ca="1">IFERROR(__xludf.DUMMYFUNCTION("""COMPUTED_VALUE"""),"Бенз/а/пирен")</f>
        <v>Бенз/а/пирен</v>
      </c>
      <c r="BK55" s="78">
        <f ca="1">IFERROR(__xludf.DUMMYFUNCTION("""COMPUTED_VALUE"""),0.0000005)</f>
        <v>4.9999999999999998E-7</v>
      </c>
      <c r="BL55" s="78">
        <f ca="1">IFERROR(__xludf.DUMMYFUNCTION("""COMPUTED_VALUE"""),8.14231993585154E-10)</f>
        <v>8.1423199358515397E-10</v>
      </c>
      <c r="BM55" s="78">
        <f ca="1">IFERROR(__xludf.DUMMYFUNCTION("""COMPUTED_VALUE"""),0.0000007)</f>
        <v>6.9999999999999997E-7</v>
      </c>
      <c r="BN55" s="78">
        <f ca="1">IFERROR(__xludf.DUMMYFUNCTION("""COMPUTED_VALUE"""),1.13992479101921E-09)</f>
        <v>1.1399247910192099E-9</v>
      </c>
      <c r="BO55" s="66"/>
      <c r="BP55" s="66"/>
    </row>
    <row r="56" spans="1:68" ht="26.4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/>
      <c r="AQ56" s="75"/>
      <c r="AR56" s="75"/>
      <c r="AS56" s="75"/>
      <c r="AT56" s="75"/>
      <c r="AU56" s="75"/>
      <c r="AV56" s="75"/>
      <c r="AW56" s="75"/>
      <c r="AX56" s="75"/>
      <c r="AY56" s="77"/>
      <c r="AZ56" s="75"/>
      <c r="BA56" s="77"/>
      <c r="BB56" s="66"/>
      <c r="BC56" s="4"/>
      <c r="BD56" s="67" t="str">
        <f ca="1">IFERROR(__xludf.DUMMYFUNCTION("""COMPUTED_VALUE"""),"Забайкальский край")</f>
        <v>Забайкальский край</v>
      </c>
      <c r="BE56" s="67" t="str">
        <f ca="1">IFERROR(__xludf.DUMMYFUNCTION("""COMPUTED_VALUE"""),"Чита")</f>
        <v>Чита</v>
      </c>
      <c r="BF5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6" s="69" t="str">
        <f ca="1">IFERROR(__xludf.DUMMYFUNCTION("""COMPUTED_VALUE"""),"2.1.5.")</f>
        <v>2.1.5.</v>
      </c>
      <c r="BH56" s="68" t="str">
        <f ca="1">IFERROR(__xludf.DUMMYFUNCTION("""COMPUTED_VALUE"""),"Объекты коммунальной инфраструктуры")</f>
        <v>Объекты коммунальной инфраструктуры</v>
      </c>
      <c r="BI56" s="68" t="str">
        <f ca="1">IFERROR(__xludf.DUMMYFUNCTION("""COMPUTED_VALUE"""),"Модернизация котельной МБДОУ №9")</f>
        <v>Модернизация котельной МБДОУ №9</v>
      </c>
      <c r="BJ5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56" s="78">
        <f ca="1">IFERROR(__xludf.DUMMYFUNCTION("""COMPUTED_VALUE"""),1.5851851851)</f>
        <v>1.5851851851000001</v>
      </c>
      <c r="BL56" s="78">
        <f ca="1">IFERROR(__xludf.DUMMYFUNCTION("""COMPUTED_VALUE"""),0.00258141698693125)</f>
        <v>2.5814169869312498E-3</v>
      </c>
      <c r="BM56" s="78">
        <f ca="1">IFERROR(__xludf.DUMMYFUNCTION("""COMPUTED_VALUE"""),4.074981)</f>
        <v>4.0749810000000002</v>
      </c>
      <c r="BN56" s="78">
        <f ca="1">IFERROR(__xludf.DUMMYFUNCTION("""COMPUTED_VALUE"""),0.00663595980690325)</f>
        <v>6.6359598069032502E-3</v>
      </c>
      <c r="BO56" s="66"/>
      <c r="BP56" s="66"/>
    </row>
    <row r="57" spans="1:68" ht="26.4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/>
      <c r="AQ57" s="75"/>
      <c r="AR57" s="75"/>
      <c r="AS57" s="75"/>
      <c r="AT57" s="75"/>
      <c r="AU57" s="75"/>
      <c r="AV57" s="75"/>
      <c r="AW57" s="75"/>
      <c r="AX57" s="75"/>
      <c r="AY57" s="77"/>
      <c r="AZ57" s="75"/>
      <c r="BA57" s="77"/>
      <c r="BB57" s="66"/>
      <c r="BC57" s="4"/>
      <c r="BD57" s="67" t="str">
        <f ca="1">IFERROR(__xludf.DUMMYFUNCTION("""COMPUTED_VALUE"""),"Забайкальский край")</f>
        <v>Забайкальский край</v>
      </c>
      <c r="BE57" s="67" t="str">
        <f ca="1">IFERROR(__xludf.DUMMYFUNCTION("""COMPUTED_VALUE"""),"Чита")</f>
        <v>Чита</v>
      </c>
      <c r="BF5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7" s="69" t="str">
        <f ca="1">IFERROR(__xludf.DUMMYFUNCTION("""COMPUTED_VALUE"""),"2.1.6.")</f>
        <v>2.1.6.</v>
      </c>
      <c r="BH57" s="68" t="str">
        <f ca="1">IFERROR(__xludf.DUMMYFUNCTION("""COMPUTED_VALUE"""),"Объекты коммунальной инфраструктуры")</f>
        <v>Объекты коммунальной инфраструктуры</v>
      </c>
      <c r="BI57" s="68" t="str">
        <f ca="1">IFERROR(__xludf.DUMMYFUNCTION("""COMPUTED_VALUE"""),"Модернизация котельной МБДОУ №14")</f>
        <v>Модернизация котельной МБДОУ №14</v>
      </c>
      <c r="BJ57" s="73" t="str">
        <f ca="1">IFERROR(__xludf.DUMMYFUNCTION("""COMPUTED_VALUE"""),"Азота диоксид")</f>
        <v>Азота диоксид</v>
      </c>
      <c r="BK57" s="78">
        <f ca="1">IFERROR(__xludf.DUMMYFUNCTION("""COMPUTED_VALUE"""),0.024492)</f>
        <v>2.4492E-2</v>
      </c>
      <c r="BL57" s="78">
        <f ca="1">IFERROR(__xludf.DUMMYFUNCTION("""COMPUTED_VALUE"""),0.0000398843399737752)</f>
        <v>3.9884339973775199E-5</v>
      </c>
      <c r="BM57" s="78">
        <f ca="1">IFERROR(__xludf.DUMMYFUNCTION("""COMPUTED_VALUE"""),0.040169)</f>
        <v>4.0169000000000003E-2</v>
      </c>
      <c r="BN57" s="78">
        <f ca="1">IFERROR(__xludf.DUMMYFUNCTION("""COMPUTED_VALUE"""),0.0000654137699006441)</f>
        <v>6.5413769900644097E-5</v>
      </c>
      <c r="BO57" s="66"/>
      <c r="BP57" s="66"/>
    </row>
    <row r="58" spans="1:68" ht="26.4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/>
      <c r="AQ58" s="75"/>
      <c r="AR58" s="75"/>
      <c r="AS58" s="75"/>
      <c r="AT58" s="75"/>
      <c r="AU58" s="75"/>
      <c r="AV58" s="75"/>
      <c r="AW58" s="75"/>
      <c r="AX58" s="75"/>
      <c r="AY58" s="77"/>
      <c r="AZ58" s="75"/>
      <c r="BA58" s="77"/>
      <c r="BB58" s="66"/>
      <c r="BC58" s="4"/>
      <c r="BD58" s="67" t="str">
        <f ca="1">IFERROR(__xludf.DUMMYFUNCTION("""COMPUTED_VALUE"""),"Забайкальский край")</f>
        <v>Забайкальский край</v>
      </c>
      <c r="BE58" s="67" t="str">
        <f ca="1">IFERROR(__xludf.DUMMYFUNCTION("""COMPUTED_VALUE"""),"Чита")</f>
        <v>Чита</v>
      </c>
      <c r="BF5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8" s="69" t="str">
        <f ca="1">IFERROR(__xludf.DUMMYFUNCTION("""COMPUTED_VALUE"""),"2.1.6.")</f>
        <v>2.1.6.</v>
      </c>
      <c r="BH58" s="68" t="str">
        <f ca="1">IFERROR(__xludf.DUMMYFUNCTION("""COMPUTED_VALUE"""),"Объекты коммунальной инфраструктуры")</f>
        <v>Объекты коммунальной инфраструктуры</v>
      </c>
      <c r="BI58" s="68" t="str">
        <f ca="1">IFERROR(__xludf.DUMMYFUNCTION("""COMPUTED_VALUE"""),"Модернизация котельной МБДОУ №14")</f>
        <v>Модернизация котельной МБДОУ №14</v>
      </c>
      <c r="BJ58" s="73" t="str">
        <f ca="1">IFERROR(__xludf.DUMMYFUNCTION("""COMPUTED_VALUE"""),"Азот (II) оксид")</f>
        <v>Азот (II) оксид</v>
      </c>
      <c r="BK58" s="78">
        <f ca="1">IFERROR(__xludf.DUMMYFUNCTION("""COMPUTED_VALUE"""),0.00398)</f>
        <v>3.98E-3</v>
      </c>
      <c r="BL58" s="78">
        <f ca="1">IFERROR(__xludf.DUMMYFUNCTION("""COMPUTED_VALUE"""),6.48128666893783E-06)</f>
        <v>6.4812866689378302E-6</v>
      </c>
      <c r="BM58" s="78">
        <f ca="1">IFERROR(__xludf.DUMMYFUNCTION("""COMPUTED_VALUE"""),0.006528)</f>
        <v>6.5279999999999999E-3</v>
      </c>
      <c r="BN58" s="78">
        <f ca="1">IFERROR(__xludf.DUMMYFUNCTION("""COMPUTED_VALUE"""),0.0000106306129082477)</f>
        <v>1.0630612908247701E-5</v>
      </c>
      <c r="BO58" s="66"/>
      <c r="BP58" s="66"/>
    </row>
    <row r="59" spans="1:68" ht="26.4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/>
      <c r="AQ59" s="75"/>
      <c r="AR59" s="75"/>
      <c r="AS59" s="75"/>
      <c r="AT59" s="75"/>
      <c r="AU59" s="75"/>
      <c r="AV59" s="75"/>
      <c r="AW59" s="75"/>
      <c r="AX59" s="75"/>
      <c r="AY59" s="77"/>
      <c r="AZ59" s="75"/>
      <c r="BA59" s="77"/>
      <c r="BB59" s="66"/>
      <c r="BC59" s="4"/>
      <c r="BD59" s="67" t="str">
        <f ca="1">IFERROR(__xludf.DUMMYFUNCTION("""COMPUTED_VALUE"""),"Забайкальский край")</f>
        <v>Забайкальский край</v>
      </c>
      <c r="BE59" s="67" t="str">
        <f ca="1">IFERROR(__xludf.DUMMYFUNCTION("""COMPUTED_VALUE"""),"Чита")</f>
        <v>Чита</v>
      </c>
      <c r="BF5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9" s="69" t="str">
        <f ca="1">IFERROR(__xludf.DUMMYFUNCTION("""COMPUTED_VALUE"""),"2.1.6.")</f>
        <v>2.1.6.</v>
      </c>
      <c r="BH59" s="68" t="str">
        <f ca="1">IFERROR(__xludf.DUMMYFUNCTION("""COMPUTED_VALUE"""),"Объекты коммунальной инфраструктуры")</f>
        <v>Объекты коммунальной инфраструктуры</v>
      </c>
      <c r="BI59" s="68" t="str">
        <f ca="1">IFERROR(__xludf.DUMMYFUNCTION("""COMPUTED_VALUE"""),"Модернизация котельной МБДОУ №14")</f>
        <v>Модернизация котельной МБДОУ №14</v>
      </c>
      <c r="BJ59" s="73" t="str">
        <f ca="1">IFERROR(__xludf.DUMMYFUNCTION("""COMPUTED_VALUE"""),"Углерод")</f>
        <v>Углерод</v>
      </c>
      <c r="BK59" s="78">
        <f ca="1">IFERROR(__xludf.DUMMYFUNCTION("""COMPUTED_VALUE"""),0.3326375)</f>
        <v>0.33263749999999997</v>
      </c>
      <c r="BL59" s="78">
        <f ca="1">IFERROR(__xludf.DUMMYFUNCTION("""COMPUTED_VALUE"""),0.000541688189532363)</f>
        <v>5.4168818953236302E-4</v>
      </c>
      <c r="BM59" s="78">
        <f ca="1">IFERROR(__xludf.DUMMYFUNCTION("""COMPUTED_VALUE"""),0.546964)</f>
        <v>0.54696400000000001</v>
      </c>
      <c r="BN59" s="78">
        <f ca="1">IFERROR(__xludf.DUMMYFUNCTION("""COMPUTED_VALUE"""),0.000890711176278621)</f>
        <v>8.9071117627862102E-4</v>
      </c>
      <c r="BO59" s="66"/>
      <c r="BP59" s="66"/>
    </row>
    <row r="60" spans="1:68" ht="26.4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/>
      <c r="AQ60" s="75"/>
      <c r="AR60" s="75"/>
      <c r="AS60" s="75"/>
      <c r="AT60" s="75"/>
      <c r="AU60" s="75"/>
      <c r="AV60" s="75"/>
      <c r="AW60" s="75"/>
      <c r="AX60" s="75"/>
      <c r="AY60" s="77"/>
      <c r="AZ60" s="75"/>
      <c r="BA60" s="77"/>
      <c r="BB60" s="66"/>
      <c r="BC60" s="4"/>
      <c r="BD60" s="67" t="str">
        <f ca="1">IFERROR(__xludf.DUMMYFUNCTION("""COMPUTED_VALUE"""),"Забайкальский край")</f>
        <v>Забайкальский край</v>
      </c>
      <c r="BE60" s="67" t="str">
        <f ca="1">IFERROR(__xludf.DUMMYFUNCTION("""COMPUTED_VALUE"""),"Чита")</f>
        <v>Чита</v>
      </c>
      <c r="BF6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0" s="69" t="str">
        <f ca="1">IFERROR(__xludf.DUMMYFUNCTION("""COMPUTED_VALUE"""),"2.1.6.")</f>
        <v>2.1.6.</v>
      </c>
      <c r="BH60" s="68" t="str">
        <f ca="1">IFERROR(__xludf.DUMMYFUNCTION("""COMPUTED_VALUE"""),"Объекты коммунальной инфраструктуры")</f>
        <v>Объекты коммунальной инфраструктуры</v>
      </c>
      <c r="BI60" s="68" t="str">
        <f ca="1">IFERROR(__xludf.DUMMYFUNCTION("""COMPUTED_VALUE"""),"Модернизация котельной МБДОУ №14")</f>
        <v>Модернизация котельной МБДОУ №14</v>
      </c>
      <c r="BJ60" s="73" t="str">
        <f ca="1">IFERROR(__xludf.DUMMYFUNCTION("""COMPUTED_VALUE"""),"Сера диоксид")</f>
        <v>Сера диоксид</v>
      </c>
      <c r="BK60" s="78">
        <f ca="1">IFERROR(__xludf.DUMMYFUNCTION("""COMPUTED_VALUE"""),0.05328)</f>
        <v>5.3280000000000001E-2</v>
      </c>
      <c r="BL60" s="78">
        <f ca="1">IFERROR(__xludf.DUMMYFUNCTION("""COMPUTED_VALUE"""),0.000086764561236434)</f>
        <v>8.6764561236434007E-5</v>
      </c>
      <c r="BM60" s="78">
        <f ca="1">IFERROR(__xludf.DUMMYFUNCTION("""COMPUTED_VALUE"""),0.09432)</f>
        <v>9.4320000000000001E-2</v>
      </c>
      <c r="BN60" s="78">
        <f ca="1">IFERROR(__xludf.DUMMYFUNCTION("""COMPUTED_VALUE"""),0.000153596723269903)</f>
        <v>1.5359672326990299E-4</v>
      </c>
      <c r="BO60" s="66"/>
      <c r="BP60" s="66"/>
    </row>
    <row r="61" spans="1:68" ht="26.4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/>
      <c r="AQ61" s="75"/>
      <c r="AR61" s="75"/>
      <c r="AS61" s="75"/>
      <c r="AT61" s="75"/>
      <c r="AU61" s="75"/>
      <c r="AV61" s="75"/>
      <c r="AW61" s="75"/>
      <c r="AX61" s="75"/>
      <c r="AY61" s="77"/>
      <c r="AZ61" s="75"/>
      <c r="BA61" s="77"/>
      <c r="BB61" s="66"/>
      <c r="BC61" s="4"/>
      <c r="BD61" s="67" t="str">
        <f ca="1">IFERROR(__xludf.DUMMYFUNCTION("""COMPUTED_VALUE"""),"Забайкальский край")</f>
        <v>Забайкальский край</v>
      </c>
      <c r="BE61" s="67" t="str">
        <f ca="1">IFERROR(__xludf.DUMMYFUNCTION("""COMPUTED_VALUE"""),"Чита")</f>
        <v>Чита</v>
      </c>
      <c r="BF6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1" s="69" t="str">
        <f ca="1">IFERROR(__xludf.DUMMYFUNCTION("""COMPUTED_VALUE"""),"2.1.6.")</f>
        <v>2.1.6.</v>
      </c>
      <c r="BH61" s="68" t="str">
        <f ca="1">IFERROR(__xludf.DUMMYFUNCTION("""COMPUTED_VALUE"""),"Объекты коммунальной инфраструктуры")</f>
        <v>Объекты коммунальной инфраструктуры</v>
      </c>
      <c r="BI61" s="68" t="str">
        <f ca="1">IFERROR(__xludf.DUMMYFUNCTION("""COMPUTED_VALUE"""),"Модернизация котельной МБДОУ №14")</f>
        <v>Модернизация котельной МБДОУ №14</v>
      </c>
      <c r="BJ61" s="73" t="str">
        <f ca="1">IFERROR(__xludf.DUMMYFUNCTION("""COMPUTED_VALUE"""),"Углерода оксид")</f>
        <v>Углерода оксид</v>
      </c>
      <c r="BK61" s="78">
        <f ca="1">IFERROR(__xludf.DUMMYFUNCTION("""COMPUTED_VALUE"""),0.5000475)</f>
        <v>0.50004749999999998</v>
      </c>
      <c r="BL61" s="78">
        <f ca="1">IFERROR(__xludf.DUMMYFUNCTION("""COMPUTED_VALUE"""),0.000814309345624545)</f>
        <v>8.1430934562454497E-4</v>
      </c>
      <c r="BM61" s="78">
        <f ca="1">IFERROR(__xludf.DUMMYFUNCTION("""COMPUTED_VALUE"""),0.817408)</f>
        <v>0.81740800000000002</v>
      </c>
      <c r="BN61" s="78">
        <f ca="1">IFERROR(__xludf.DUMMYFUNCTION("""COMPUTED_VALUE"""),0.0013311194908249)</f>
        <v>1.3311194908249E-3</v>
      </c>
      <c r="BO61" s="66"/>
      <c r="BP61" s="66"/>
    </row>
    <row r="62" spans="1:68" ht="26.4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/>
      <c r="AQ62" s="75"/>
      <c r="AR62" s="75"/>
      <c r="AS62" s="75"/>
      <c r="AT62" s="75"/>
      <c r="AU62" s="75"/>
      <c r="AV62" s="75"/>
      <c r="AW62" s="75"/>
      <c r="AX62" s="75"/>
      <c r="AY62" s="77"/>
      <c r="AZ62" s="75"/>
      <c r="BA62" s="77"/>
      <c r="BB62" s="66"/>
      <c r="BC62" s="4"/>
      <c r="BD62" s="67" t="str">
        <f ca="1">IFERROR(__xludf.DUMMYFUNCTION("""COMPUTED_VALUE"""),"Забайкальский край")</f>
        <v>Забайкальский край</v>
      </c>
      <c r="BE62" s="67" t="str">
        <f ca="1">IFERROR(__xludf.DUMMYFUNCTION("""COMPUTED_VALUE"""),"Чита")</f>
        <v>Чита</v>
      </c>
      <c r="BF6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2" s="69" t="str">
        <f ca="1">IFERROR(__xludf.DUMMYFUNCTION("""COMPUTED_VALUE"""),"2.1.6.")</f>
        <v>2.1.6.</v>
      </c>
      <c r="BH62" s="68" t="str">
        <f ca="1">IFERROR(__xludf.DUMMYFUNCTION("""COMPUTED_VALUE"""),"Объекты коммунальной инфраструктуры")</f>
        <v>Объекты коммунальной инфраструктуры</v>
      </c>
      <c r="BI62" s="68" t="str">
        <f ca="1">IFERROR(__xludf.DUMMYFUNCTION("""COMPUTED_VALUE"""),"Модернизация котельной МБДОУ №14")</f>
        <v>Модернизация котельной МБДОУ №14</v>
      </c>
      <c r="BJ62" s="73" t="str">
        <f ca="1">IFERROR(__xludf.DUMMYFUNCTION("""COMPUTED_VALUE"""),"Бенз/а/пирен")</f>
        <v>Бенз/а/пирен</v>
      </c>
      <c r="BK62" s="78">
        <f ca="1">IFERROR(__xludf.DUMMYFUNCTION("""COMPUTED_VALUE"""),0.0000005)</f>
        <v>4.9999999999999998E-7</v>
      </c>
      <c r="BL62" s="78">
        <f ca="1">IFERROR(__xludf.DUMMYFUNCTION("""COMPUTED_VALUE"""),8.14231993585154E-10)</f>
        <v>8.1423199358515397E-10</v>
      </c>
      <c r="BM62" s="78">
        <f ca="1">IFERROR(__xludf.DUMMYFUNCTION("""COMPUTED_VALUE"""),0.0000007)</f>
        <v>6.9999999999999997E-7</v>
      </c>
      <c r="BN62" s="78">
        <f ca="1">IFERROR(__xludf.DUMMYFUNCTION("""COMPUTED_VALUE"""),1.13992479101921E-09)</f>
        <v>1.1399247910192099E-9</v>
      </c>
      <c r="BO62" s="66"/>
      <c r="BP62" s="66"/>
    </row>
    <row r="63" spans="1:68" ht="26.4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/>
      <c r="AQ63" s="75"/>
      <c r="AR63" s="75"/>
      <c r="AS63" s="75"/>
      <c r="AT63" s="75"/>
      <c r="AU63" s="75"/>
      <c r="AV63" s="75"/>
      <c r="AW63" s="75"/>
      <c r="AX63" s="75"/>
      <c r="AY63" s="77"/>
      <c r="AZ63" s="75"/>
      <c r="BA63" s="77"/>
      <c r="BB63" s="66"/>
      <c r="BC63" s="4"/>
      <c r="BD63" s="67" t="str">
        <f ca="1">IFERROR(__xludf.DUMMYFUNCTION("""COMPUTED_VALUE"""),"Забайкальский край")</f>
        <v>Забайкальский край</v>
      </c>
      <c r="BE63" s="67" t="str">
        <f ca="1">IFERROR(__xludf.DUMMYFUNCTION("""COMPUTED_VALUE"""),"Чита")</f>
        <v>Чита</v>
      </c>
      <c r="BF6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3" s="69" t="str">
        <f ca="1">IFERROR(__xludf.DUMMYFUNCTION("""COMPUTED_VALUE"""),"2.1.6.")</f>
        <v>2.1.6.</v>
      </c>
      <c r="BH63" s="68" t="str">
        <f ca="1">IFERROR(__xludf.DUMMYFUNCTION("""COMPUTED_VALUE"""),"Объекты коммунальной инфраструктуры")</f>
        <v>Объекты коммунальной инфраструктуры</v>
      </c>
      <c r="BI63" s="68" t="str">
        <f ca="1">IFERROR(__xludf.DUMMYFUNCTION("""COMPUTED_VALUE"""),"Модернизация котельной МБДОУ №14")</f>
        <v>Модернизация котельной МБДОУ №14</v>
      </c>
      <c r="BJ6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63" s="78">
        <f ca="1">IFERROR(__xludf.DUMMYFUNCTION("""COMPUTED_VALUE"""),0.7918)</f>
        <v>0.79179999999999995</v>
      </c>
      <c r="BL63" s="78">
        <f ca="1">IFERROR(__xludf.DUMMYFUNCTION("""COMPUTED_VALUE"""),0.00128941778504145)</f>
        <v>1.28941778504145E-3</v>
      </c>
      <c r="BM63" s="78">
        <f ca="1">IFERROR(__xludf.DUMMYFUNCTION("""COMPUTED_VALUE"""),1.7692)</f>
        <v>1.7692000000000001</v>
      </c>
      <c r="BN63" s="78">
        <f ca="1">IFERROR(__xludf.DUMMYFUNCTION("""COMPUTED_VALUE"""),0.00288107848610171)</f>
        <v>2.8810784861017101E-3</v>
      </c>
      <c r="BO63" s="66"/>
      <c r="BP63" s="66"/>
    </row>
    <row r="64" spans="1:68" ht="26.4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/>
      <c r="AQ64" s="75"/>
      <c r="AR64" s="75"/>
      <c r="AS64" s="75"/>
      <c r="AT64" s="75"/>
      <c r="AU64" s="75"/>
      <c r="AV64" s="75"/>
      <c r="AW64" s="75"/>
      <c r="AX64" s="75"/>
      <c r="AY64" s="77"/>
      <c r="AZ64" s="75"/>
      <c r="BA64" s="77"/>
      <c r="BB64" s="66"/>
      <c r="BC64" s="4"/>
      <c r="BD64" s="67" t="str">
        <f ca="1">IFERROR(__xludf.DUMMYFUNCTION("""COMPUTED_VALUE"""),"Забайкальский край")</f>
        <v>Забайкальский край</v>
      </c>
      <c r="BE64" s="67" t="str">
        <f ca="1">IFERROR(__xludf.DUMMYFUNCTION("""COMPUTED_VALUE"""),"Чита")</f>
        <v>Чита</v>
      </c>
      <c r="BF6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4" s="69" t="str">
        <f ca="1">IFERROR(__xludf.DUMMYFUNCTION("""COMPUTED_VALUE"""),"2.1.7.")</f>
        <v>2.1.7.</v>
      </c>
      <c r="BH64" s="68" t="str">
        <f ca="1">IFERROR(__xludf.DUMMYFUNCTION("""COMPUTED_VALUE"""),"Объекты коммунальной инфраструктуры")</f>
        <v>Объекты коммунальной инфраструктуры</v>
      </c>
      <c r="BI64" s="68" t="str">
        <f ca="1">IFERROR(__xludf.DUMMYFUNCTION("""COMPUTED_VALUE"""),"Модернизация котельной МБДОУ №30")</f>
        <v>Модернизация котельной МБДОУ №30</v>
      </c>
      <c r="BJ64" s="73" t="str">
        <f ca="1">IFERROR(__xludf.DUMMYFUNCTION("""COMPUTED_VALUE"""),"Азота диоксид")</f>
        <v>Азота диоксид</v>
      </c>
      <c r="BK64" s="78">
        <f ca="1">IFERROR(__xludf.DUMMYFUNCTION("""COMPUTED_VALUE"""),0.034421)</f>
        <v>3.4421E-2</v>
      </c>
      <c r="BL64" s="78">
        <f ca="1">IFERROR(__xludf.DUMMYFUNCTION("""COMPUTED_VALUE"""),0.0000560533589023892)</f>
        <v>5.6053358902389199E-5</v>
      </c>
      <c r="BM64" s="78">
        <f ca="1">IFERROR(__xludf.DUMMYFUNCTION("""COMPUTED_VALUE"""),0.057823)</f>
        <v>5.7822999999999999E-2</v>
      </c>
      <c r="BN64" s="78">
        <f ca="1">IFERROR(__xludf.DUMMYFUNCTION("""COMPUTED_VALUE"""),0.0000941626731301488)</f>
        <v>9.4162673130148799E-5</v>
      </c>
      <c r="BO64" s="66"/>
      <c r="BP64" s="66"/>
    </row>
    <row r="65" spans="1:68" ht="26.4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/>
      <c r="AQ65" s="75"/>
      <c r="AR65" s="75"/>
      <c r="AS65" s="75"/>
      <c r="AT65" s="75"/>
      <c r="AU65" s="75"/>
      <c r="AV65" s="75"/>
      <c r="AW65" s="75"/>
      <c r="AX65" s="75"/>
      <c r="AY65" s="77"/>
      <c r="AZ65" s="75"/>
      <c r="BA65" s="77"/>
      <c r="BB65" s="66"/>
      <c r="BC65" s="4"/>
      <c r="BD65" s="67" t="str">
        <f ca="1">IFERROR(__xludf.DUMMYFUNCTION("""COMPUTED_VALUE"""),"Забайкальский край")</f>
        <v>Забайкальский край</v>
      </c>
      <c r="BE65" s="67" t="str">
        <f ca="1">IFERROR(__xludf.DUMMYFUNCTION("""COMPUTED_VALUE"""),"Чита")</f>
        <v>Чита</v>
      </c>
      <c r="BF6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5" s="69" t="str">
        <f ca="1">IFERROR(__xludf.DUMMYFUNCTION("""COMPUTED_VALUE"""),"2.1.7.")</f>
        <v>2.1.7.</v>
      </c>
      <c r="BH65" s="68" t="str">
        <f ca="1">IFERROR(__xludf.DUMMYFUNCTION("""COMPUTED_VALUE"""),"Объекты коммунальной инфраструктуры")</f>
        <v>Объекты коммунальной инфраструктуры</v>
      </c>
      <c r="BI65" s="68" t="str">
        <f ca="1">IFERROR(__xludf.DUMMYFUNCTION("""COMPUTED_VALUE"""),"Модернизация котельной МБДОУ №30")</f>
        <v>Модернизация котельной МБДОУ №30</v>
      </c>
      <c r="BJ65" s="73" t="str">
        <f ca="1">IFERROR(__xludf.DUMMYFUNCTION("""COMPUTED_VALUE"""),"Азот (II) оксид")</f>
        <v>Азот (II) оксид</v>
      </c>
      <c r="BK65" s="78">
        <f ca="1">IFERROR(__xludf.DUMMYFUNCTION("""COMPUTED_VALUE"""),0.0055935)</f>
        <v>5.5935000000000004E-3</v>
      </c>
      <c r="BL65" s="78">
        <f ca="1">IFERROR(__xludf.DUMMYFUNCTION("""COMPUTED_VALUE"""),9.10881331223712E-06)</f>
        <v>9.1088133122371192E-6</v>
      </c>
      <c r="BM65" s="78">
        <f ca="1">IFERROR(__xludf.DUMMYFUNCTION("""COMPUTED_VALUE"""),0.009396)</f>
        <v>9.3959999999999998E-3</v>
      </c>
      <c r="BN65" s="78">
        <f ca="1">IFERROR(__xludf.DUMMYFUNCTION("""COMPUTED_VALUE"""),0.0000153010476234522)</f>
        <v>1.5301047623452201E-5</v>
      </c>
      <c r="BO65" s="66"/>
      <c r="BP65" s="66"/>
    </row>
    <row r="66" spans="1:68" ht="26.4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/>
      <c r="AQ66" s="75"/>
      <c r="AR66" s="75"/>
      <c r="AS66" s="75"/>
      <c r="AT66" s="75"/>
      <c r="AU66" s="75"/>
      <c r="AV66" s="75"/>
      <c r="AW66" s="75"/>
      <c r="AX66" s="75"/>
      <c r="AY66" s="77"/>
      <c r="AZ66" s="75"/>
      <c r="BA66" s="77"/>
      <c r="BB66" s="66"/>
      <c r="BC66" s="4"/>
      <c r="BD66" s="67" t="str">
        <f ca="1">IFERROR(__xludf.DUMMYFUNCTION("""COMPUTED_VALUE"""),"Забайкальский край")</f>
        <v>Забайкальский край</v>
      </c>
      <c r="BE66" s="67" t="str">
        <f ca="1">IFERROR(__xludf.DUMMYFUNCTION("""COMPUTED_VALUE"""),"Чита")</f>
        <v>Чита</v>
      </c>
      <c r="BF6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6" s="69" t="str">
        <f ca="1">IFERROR(__xludf.DUMMYFUNCTION("""COMPUTED_VALUE"""),"2.1.7.")</f>
        <v>2.1.7.</v>
      </c>
      <c r="BH66" s="68" t="str">
        <f ca="1">IFERROR(__xludf.DUMMYFUNCTION("""COMPUTED_VALUE"""),"Объекты коммунальной инфраструктуры")</f>
        <v>Объекты коммунальной инфраструктуры</v>
      </c>
      <c r="BI66" s="68" t="str">
        <f ca="1">IFERROR(__xludf.DUMMYFUNCTION("""COMPUTED_VALUE"""),"Модернизация котельной МБДОУ №30")</f>
        <v>Модернизация котельной МБДОУ №30</v>
      </c>
      <c r="BJ66" s="73" t="str">
        <f ca="1">IFERROR(__xludf.DUMMYFUNCTION("""COMPUTED_VALUE"""),"Углерод")</f>
        <v>Углерод</v>
      </c>
      <c r="BK66" s="78">
        <f ca="1">IFERROR(__xludf.DUMMYFUNCTION("""COMPUTED_VALUE"""),0.467491)</f>
        <v>0.46749099999999999</v>
      </c>
      <c r="BL66" s="78">
        <f ca="1">IFERROR(__xludf.DUMMYFUNCTION("""COMPUTED_VALUE"""),0.000761292257826235)</f>
        <v>7.6129225782623497E-4</v>
      </c>
      <c r="BM66" s="78">
        <f ca="1">IFERROR(__xludf.DUMMYFUNCTION("""COMPUTED_VALUE"""),0.787093)</f>
        <v>0.78709300000000004</v>
      </c>
      <c r="BN66" s="78">
        <f ca="1">IFERROR(__xludf.DUMMYFUNCTION("""COMPUTED_VALUE"""),0.00128175260505384)</f>
        <v>1.2817526050538401E-3</v>
      </c>
      <c r="BO66" s="66"/>
      <c r="BP66" s="66"/>
    </row>
    <row r="67" spans="1:68" ht="26.4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/>
      <c r="AQ67" s="75"/>
      <c r="AR67" s="75"/>
      <c r="AS67" s="75"/>
      <c r="AT67" s="75"/>
      <c r="AU67" s="75"/>
      <c r="AV67" s="75"/>
      <c r="AW67" s="75"/>
      <c r="AX67" s="75"/>
      <c r="AY67" s="77"/>
      <c r="AZ67" s="75"/>
      <c r="BA67" s="77"/>
      <c r="BB67" s="66"/>
      <c r="BC67" s="4"/>
      <c r="BD67" s="67" t="str">
        <f ca="1">IFERROR(__xludf.DUMMYFUNCTION("""COMPUTED_VALUE"""),"Забайкальский край")</f>
        <v>Забайкальский край</v>
      </c>
      <c r="BE67" s="67" t="str">
        <f ca="1">IFERROR(__xludf.DUMMYFUNCTION("""COMPUTED_VALUE"""),"Чита")</f>
        <v>Чита</v>
      </c>
      <c r="BF6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7" s="69" t="str">
        <f ca="1">IFERROR(__xludf.DUMMYFUNCTION("""COMPUTED_VALUE"""),"2.1.7.")</f>
        <v>2.1.7.</v>
      </c>
      <c r="BH67" s="68" t="str">
        <f ca="1">IFERROR(__xludf.DUMMYFUNCTION("""COMPUTED_VALUE"""),"Объекты коммунальной инфраструктуры")</f>
        <v>Объекты коммунальной инфраструктуры</v>
      </c>
      <c r="BI67" s="68" t="str">
        <f ca="1">IFERROR(__xludf.DUMMYFUNCTION("""COMPUTED_VALUE"""),"Модернизация котельной МБДОУ №30")</f>
        <v>Модернизация котельной МБДОУ №30</v>
      </c>
      <c r="BJ67" s="73" t="str">
        <f ca="1">IFERROR(__xludf.DUMMYFUNCTION("""COMPUTED_VALUE"""),"Сера диоксид")</f>
        <v>Сера диоксид</v>
      </c>
      <c r="BK67" s="78">
        <f ca="1">IFERROR(__xludf.DUMMYFUNCTION("""COMPUTED_VALUE"""),0.0936)</f>
        <v>9.3600000000000003E-2</v>
      </c>
      <c r="BL67" s="78">
        <f ca="1">IFERROR(__xludf.DUMMYFUNCTION("""COMPUTED_VALUE"""),0.00015242422919914)</f>
        <v>1.5242422919913999E-4</v>
      </c>
      <c r="BM67" s="78">
        <f ca="1">IFERROR(__xludf.DUMMYFUNCTION("""COMPUTED_VALUE"""),0.1386)</f>
        <v>0.1386</v>
      </c>
      <c r="BN67" s="78">
        <f ca="1">IFERROR(__xludf.DUMMYFUNCTION("""COMPUTED_VALUE"""),0.000225705108621804)</f>
        <v>2.25705108621804E-4</v>
      </c>
      <c r="BO67" s="66"/>
      <c r="BP67" s="66"/>
    </row>
    <row r="68" spans="1:68" ht="26.4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/>
      <c r="AQ68" s="75"/>
      <c r="AR68" s="75"/>
      <c r="AS68" s="75"/>
      <c r="AT68" s="75"/>
      <c r="AU68" s="75"/>
      <c r="AV68" s="75"/>
      <c r="AW68" s="75"/>
      <c r="AX68" s="75"/>
      <c r="AY68" s="77"/>
      <c r="AZ68" s="75"/>
      <c r="BA68" s="77"/>
      <c r="BB68" s="66"/>
      <c r="BC68" s="4"/>
      <c r="BD68" s="67" t="str">
        <f ca="1">IFERROR(__xludf.DUMMYFUNCTION("""COMPUTED_VALUE"""),"Забайкальский край")</f>
        <v>Забайкальский край</v>
      </c>
      <c r="BE68" s="67" t="str">
        <f ca="1">IFERROR(__xludf.DUMMYFUNCTION("""COMPUTED_VALUE"""),"Чита")</f>
        <v>Чита</v>
      </c>
      <c r="BF6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8" s="69" t="str">
        <f ca="1">IFERROR(__xludf.DUMMYFUNCTION("""COMPUTED_VALUE"""),"2.1.7.")</f>
        <v>2.1.7.</v>
      </c>
      <c r="BH68" s="68" t="str">
        <f ca="1">IFERROR(__xludf.DUMMYFUNCTION("""COMPUTED_VALUE"""),"Объекты коммунальной инфраструктуры")</f>
        <v>Объекты коммунальной инфраструктуры</v>
      </c>
      <c r="BI68" s="68" t="str">
        <f ca="1">IFERROR(__xludf.DUMMYFUNCTION("""COMPUTED_VALUE"""),"Модернизация котельной МБДОУ №30")</f>
        <v>Модернизация котельной МБДОУ №30</v>
      </c>
      <c r="BJ68" s="73" t="str">
        <f ca="1">IFERROR(__xludf.DUMMYFUNCTION("""COMPUTED_VALUE"""),"Углерода оксид")</f>
        <v>Углерода оксид</v>
      </c>
      <c r="BK68" s="78">
        <f ca="1">IFERROR(__xludf.DUMMYFUNCTION("""COMPUTED_VALUE"""),0.7027695)</f>
        <v>0.70276950000000005</v>
      </c>
      <c r="BL68" s="78">
        <f ca="1">IFERROR(__xludf.DUMMYFUNCTION("""COMPUTED_VALUE"""),0.00114443482203168)</f>
        <v>1.1444348220316801E-3</v>
      </c>
      <c r="BM68" s="78">
        <f ca="1">IFERROR(__xludf.DUMMYFUNCTION("""COMPUTED_VALUE"""),1.17718)</f>
        <v>1.1771799999999999</v>
      </c>
      <c r="BN68" s="78">
        <f ca="1">IFERROR(__xludf.DUMMYFUNCTION("""COMPUTED_VALUE"""),0.00191699523641714)</f>
        <v>1.9169952364171401E-3</v>
      </c>
      <c r="BO68" s="66"/>
      <c r="BP68" s="66"/>
    </row>
    <row r="69" spans="1:68" ht="26.4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/>
      <c r="AQ69" s="75"/>
      <c r="AR69" s="75"/>
      <c r="AS69" s="75"/>
      <c r="AT69" s="75"/>
      <c r="AU69" s="75"/>
      <c r="AV69" s="75"/>
      <c r="AW69" s="75"/>
      <c r="AX69" s="75"/>
      <c r="AY69" s="77"/>
      <c r="AZ69" s="75"/>
      <c r="BA69" s="77"/>
      <c r="BB69" s="66"/>
      <c r="BC69" s="4"/>
      <c r="BD69" s="67" t="str">
        <f ca="1">IFERROR(__xludf.DUMMYFUNCTION("""COMPUTED_VALUE"""),"Забайкальский край")</f>
        <v>Забайкальский край</v>
      </c>
      <c r="BE69" s="67" t="str">
        <f ca="1">IFERROR(__xludf.DUMMYFUNCTION("""COMPUTED_VALUE"""),"Чита")</f>
        <v>Чита</v>
      </c>
      <c r="BF6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9" s="69" t="str">
        <f ca="1">IFERROR(__xludf.DUMMYFUNCTION("""COMPUTED_VALUE"""),"2.1.7.")</f>
        <v>2.1.7.</v>
      </c>
      <c r="BH69" s="68" t="str">
        <f ca="1">IFERROR(__xludf.DUMMYFUNCTION("""COMPUTED_VALUE"""),"Объекты коммунальной инфраструктуры")</f>
        <v>Объекты коммунальной инфраструктуры</v>
      </c>
      <c r="BI69" s="68" t="str">
        <f ca="1">IFERROR(__xludf.DUMMYFUNCTION("""COMPUTED_VALUE"""),"Модернизация котельной МБДОУ №30")</f>
        <v>Модернизация котельной МБДОУ №30</v>
      </c>
      <c r="BJ69" s="73" t="str">
        <f ca="1">IFERROR(__xludf.DUMMYFUNCTION("""COMPUTED_VALUE"""),"Бенз/а/пирен")</f>
        <v>Бенз/а/пирен</v>
      </c>
      <c r="BK69" s="78">
        <f ca="1">IFERROR(__xludf.DUMMYFUNCTION("""COMPUTED_VALUE"""),0.0000005)</f>
        <v>4.9999999999999998E-7</v>
      </c>
      <c r="BL69" s="78">
        <f ca="1">IFERROR(__xludf.DUMMYFUNCTION("""COMPUTED_VALUE"""),8.14231993585154E-10)</f>
        <v>8.1423199358515397E-10</v>
      </c>
      <c r="BM69" s="78">
        <f ca="1">IFERROR(__xludf.DUMMYFUNCTION("""COMPUTED_VALUE"""),0.0000007)</f>
        <v>6.9999999999999997E-7</v>
      </c>
      <c r="BN69" s="78">
        <f ca="1">IFERROR(__xludf.DUMMYFUNCTION("""COMPUTED_VALUE"""),1.13992479101921E-09)</f>
        <v>1.1399247910192099E-9</v>
      </c>
      <c r="BO69" s="66"/>
      <c r="BP69" s="66"/>
    </row>
    <row r="70" spans="1:68" ht="26.4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/>
      <c r="AQ70" s="75"/>
      <c r="AR70" s="75"/>
      <c r="AS70" s="75"/>
      <c r="AT70" s="75"/>
      <c r="AU70" s="75"/>
      <c r="AV70" s="75"/>
      <c r="AW70" s="75"/>
      <c r="AX70" s="75"/>
      <c r="AY70" s="77"/>
      <c r="AZ70" s="75"/>
      <c r="BA70" s="77"/>
      <c r="BB70" s="66"/>
      <c r="BC70" s="4"/>
      <c r="BD70" s="67" t="str">
        <f ca="1">IFERROR(__xludf.DUMMYFUNCTION("""COMPUTED_VALUE"""),"Забайкальский край")</f>
        <v>Забайкальский край</v>
      </c>
      <c r="BE70" s="67" t="str">
        <f ca="1">IFERROR(__xludf.DUMMYFUNCTION("""COMPUTED_VALUE"""),"Чита")</f>
        <v>Чита</v>
      </c>
      <c r="BF7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0" s="69" t="str">
        <f ca="1">IFERROR(__xludf.DUMMYFUNCTION("""COMPUTED_VALUE"""),"2.1.7.")</f>
        <v>2.1.7.</v>
      </c>
      <c r="BH70" s="68" t="str">
        <f ca="1">IFERROR(__xludf.DUMMYFUNCTION("""COMPUTED_VALUE"""),"Объекты коммунальной инфраструктуры")</f>
        <v>Объекты коммунальной инфраструктуры</v>
      </c>
      <c r="BI70" s="68" t="str">
        <f ca="1">IFERROR(__xludf.DUMMYFUNCTION("""COMPUTED_VALUE"""),"Модернизация котельной МБДОУ №30")</f>
        <v>Модернизация котельной МБДОУ №30</v>
      </c>
      <c r="BJ7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0" s="78">
        <f ca="1">IFERROR(__xludf.DUMMYFUNCTION("""COMPUTED_VALUE"""),1.391)</f>
        <v>1.391</v>
      </c>
      <c r="BL70" s="78">
        <f ca="1">IFERROR(__xludf.DUMMYFUNCTION("""COMPUTED_VALUE"""),0.0022651934061539)</f>
        <v>2.2651934061539E-3</v>
      </c>
      <c r="BM70" s="78">
        <f ca="1">IFERROR(__xludf.DUMMYFUNCTION("""COMPUTED_VALUE"""),0.787093)</f>
        <v>0.78709300000000004</v>
      </c>
      <c r="BN70" s="78">
        <f ca="1">IFERROR(__xludf.DUMMYFUNCTION("""COMPUTED_VALUE"""),0.00128175260505384)</f>
        <v>1.2817526050538401E-3</v>
      </c>
      <c r="BO70" s="66"/>
      <c r="BP70" s="66"/>
    </row>
    <row r="71" spans="1:68" ht="26.4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/>
      <c r="AQ71" s="75"/>
      <c r="AR71" s="75"/>
      <c r="AS71" s="75"/>
      <c r="AT71" s="75"/>
      <c r="AU71" s="75"/>
      <c r="AV71" s="75"/>
      <c r="AW71" s="75"/>
      <c r="AX71" s="75"/>
      <c r="AY71" s="77"/>
      <c r="AZ71" s="75"/>
      <c r="BA71" s="77"/>
      <c r="BB71" s="66"/>
      <c r="BC71" s="4"/>
      <c r="BD71" s="67" t="str">
        <f ca="1">IFERROR(__xludf.DUMMYFUNCTION("""COMPUTED_VALUE"""),"Забайкальский край")</f>
        <v>Забайкальский край</v>
      </c>
      <c r="BE71" s="67" t="str">
        <f ca="1">IFERROR(__xludf.DUMMYFUNCTION("""COMPUTED_VALUE"""),"Чита")</f>
        <v>Чита</v>
      </c>
      <c r="BF7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1" s="69" t="str">
        <f ca="1">IFERROR(__xludf.DUMMYFUNCTION("""COMPUTED_VALUE"""),"2.1.8.")</f>
        <v>2.1.8.</v>
      </c>
      <c r="BH71" s="68" t="str">
        <f ca="1">IFERROR(__xludf.DUMMYFUNCTION("""COMPUTED_VALUE"""),"Объекты коммунальной инфраструктуры")</f>
        <v>Объекты коммунальной инфраструктуры</v>
      </c>
      <c r="BI71" s="68" t="str">
        <f ca="1">IFERROR(__xludf.DUMMYFUNCTION("""COMPUTED_VALUE"""),"Модернизация котельной МБДОУ №31")</f>
        <v>Модернизация котельной МБДОУ №31</v>
      </c>
      <c r="BJ71" s="73" t="str">
        <f ca="1">IFERROR(__xludf.DUMMYFUNCTION("""COMPUTED_VALUE"""),"Азота диоксид")</f>
        <v>Азота диоксид</v>
      </c>
      <c r="BK71" s="78">
        <f ca="1">IFERROR(__xludf.DUMMYFUNCTION("""COMPUTED_VALUE"""),0.036039)</f>
        <v>3.6039000000000002E-2</v>
      </c>
      <c r="BL71" s="78">
        <f ca="1">IFERROR(__xludf.DUMMYFUNCTION("""COMPUTED_VALUE"""),0.0000586882136336307)</f>
        <v>5.8688213633630701E-5</v>
      </c>
      <c r="BM71" s="78">
        <f ca="1">IFERROR(__xludf.DUMMYFUNCTION("""COMPUTED_VALUE"""),0.053851)</f>
        <v>5.3851000000000003E-2</v>
      </c>
      <c r="BN71" s="78">
        <f ca="1">IFERROR(__xludf.DUMMYFUNCTION("""COMPUTED_VALUE"""),0.0000876944141731083)</f>
        <v>8.7694414173108303E-5</v>
      </c>
      <c r="BO71" s="66"/>
      <c r="BP71" s="66"/>
    </row>
    <row r="72" spans="1:68" ht="26.4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/>
      <c r="AQ72" s="75"/>
      <c r="AR72" s="75"/>
      <c r="AS72" s="75"/>
      <c r="AT72" s="75"/>
      <c r="AU72" s="75"/>
      <c r="AV72" s="75"/>
      <c r="AW72" s="75"/>
      <c r="AX72" s="75"/>
      <c r="AY72" s="77"/>
      <c r="AZ72" s="75"/>
      <c r="BA72" s="77"/>
      <c r="BB72" s="66"/>
      <c r="BC72" s="4"/>
      <c r="BD72" s="67" t="str">
        <f ca="1">IFERROR(__xludf.DUMMYFUNCTION("""COMPUTED_VALUE"""),"Забайкальский край")</f>
        <v>Забайкальский край</v>
      </c>
      <c r="BE72" s="67" t="str">
        <f ca="1">IFERROR(__xludf.DUMMYFUNCTION("""COMPUTED_VALUE"""),"Чита")</f>
        <v>Чита</v>
      </c>
      <c r="BF7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2" s="69" t="str">
        <f ca="1">IFERROR(__xludf.DUMMYFUNCTION("""COMPUTED_VALUE"""),"2.1.8.")</f>
        <v>2.1.8.</v>
      </c>
      <c r="BH72" s="68" t="str">
        <f ca="1">IFERROR(__xludf.DUMMYFUNCTION("""COMPUTED_VALUE"""),"Объекты коммунальной инфраструктуры")</f>
        <v>Объекты коммунальной инфраструктуры</v>
      </c>
      <c r="BI72" s="68" t="str">
        <f ca="1">IFERROR(__xludf.DUMMYFUNCTION("""COMPUTED_VALUE"""),"Модернизация котельной МБДОУ №31")</f>
        <v>Модернизация котельной МБДОУ №31</v>
      </c>
      <c r="BJ72" s="73" t="str">
        <f ca="1">IFERROR(__xludf.DUMMYFUNCTION("""COMPUTED_VALUE"""),"Азот (II) оксид")</f>
        <v>Азот (II) оксид</v>
      </c>
      <c r="BK72" s="78">
        <f ca="1">IFERROR(__xludf.DUMMYFUNCTION("""COMPUTED_VALUE"""),0.0052705)</f>
        <v>5.2705E-3</v>
      </c>
      <c r="BL72" s="78">
        <f ca="1">IFERROR(__xludf.DUMMYFUNCTION("""COMPUTED_VALUE"""),8.58281944438111E-06)</f>
        <v>8.5828194443811098E-6</v>
      </c>
      <c r="BM72" s="78">
        <f ca="1">IFERROR(__xludf.DUMMYFUNCTION("""COMPUTED_VALUE"""),0.00875)</f>
        <v>8.7500000000000008E-3</v>
      </c>
      <c r="BN72" s="78">
        <f ca="1">IFERROR(__xludf.DUMMYFUNCTION("""COMPUTED_VALUE"""),0.0000142490598877402)</f>
        <v>1.42490598877402E-5</v>
      </c>
      <c r="BO72" s="66"/>
      <c r="BP72" s="66"/>
    </row>
    <row r="73" spans="1:68" ht="26.4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/>
      <c r="AQ73" s="75"/>
      <c r="AR73" s="75"/>
      <c r="AS73" s="75"/>
      <c r="AT73" s="75"/>
      <c r="AU73" s="75"/>
      <c r="AV73" s="75"/>
      <c r="AW73" s="75"/>
      <c r="AX73" s="75"/>
      <c r="AY73" s="77"/>
      <c r="AZ73" s="75"/>
      <c r="BA73" s="77"/>
      <c r="BB73" s="66"/>
      <c r="BC73" s="4"/>
      <c r="BD73" s="67" t="str">
        <f ca="1">IFERROR(__xludf.DUMMYFUNCTION("""COMPUTED_VALUE"""),"Забайкальский край")</f>
        <v>Забайкальский край</v>
      </c>
      <c r="BE73" s="67" t="str">
        <f ca="1">IFERROR(__xludf.DUMMYFUNCTION("""COMPUTED_VALUE"""),"Чита")</f>
        <v>Чита</v>
      </c>
      <c r="BF7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3" s="69" t="str">
        <f ca="1">IFERROR(__xludf.DUMMYFUNCTION("""COMPUTED_VALUE"""),"2.1.8.")</f>
        <v>2.1.8.</v>
      </c>
      <c r="BH73" s="68" t="str">
        <f ca="1">IFERROR(__xludf.DUMMYFUNCTION("""COMPUTED_VALUE"""),"Объекты коммунальной инфраструктуры")</f>
        <v>Объекты коммунальной инфраструктуры</v>
      </c>
      <c r="BI73" s="68" t="str">
        <f ca="1">IFERROR(__xludf.DUMMYFUNCTION("""COMPUTED_VALUE"""),"Модернизация котельной МБДОУ №31")</f>
        <v>Модернизация котельной МБДОУ №31</v>
      </c>
      <c r="BJ73" s="73" t="str">
        <f ca="1">IFERROR(__xludf.DUMMYFUNCTION("""COMPUTED_VALUE"""),"Углерод")</f>
        <v>Углерод</v>
      </c>
      <c r="BK73" s="78">
        <f ca="1">IFERROR(__xludf.DUMMYFUNCTION("""COMPUTED_VALUE"""),0.44052)</f>
        <v>0.44052000000000002</v>
      </c>
      <c r="BL73" s="78">
        <f ca="1">IFERROR(__xludf.DUMMYFUNCTION("""COMPUTED_VALUE"""),0.000717370955628264)</f>
        <v>7.1737095562826396E-4</v>
      </c>
      <c r="BM73" s="78">
        <f ca="1">IFERROR(__xludf.DUMMYFUNCTION("""COMPUTED_VALUE"""),0.733151)</f>
        <v>0.733151</v>
      </c>
      <c r="BN73" s="78">
        <f ca="1">IFERROR(__xludf.DUMMYFUNCTION("""COMPUTED_VALUE"""),0.00119391000065789)</f>
        <v>1.19391000065789E-3</v>
      </c>
      <c r="BO73" s="66"/>
      <c r="BP73" s="66"/>
    </row>
    <row r="74" spans="1:68" ht="26.4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/>
      <c r="AQ74" s="75"/>
      <c r="AR74" s="75"/>
      <c r="AS74" s="75"/>
      <c r="AT74" s="75"/>
      <c r="AU74" s="75"/>
      <c r="AV74" s="75"/>
      <c r="AW74" s="75"/>
      <c r="AX74" s="75"/>
      <c r="AY74" s="77"/>
      <c r="AZ74" s="75"/>
      <c r="BA74" s="77"/>
      <c r="BB74" s="66"/>
      <c r="BC74" s="4"/>
      <c r="BD74" s="67" t="str">
        <f ca="1">IFERROR(__xludf.DUMMYFUNCTION("""COMPUTED_VALUE"""),"Забайкальский край")</f>
        <v>Забайкальский край</v>
      </c>
      <c r="BE74" s="67" t="str">
        <f ca="1">IFERROR(__xludf.DUMMYFUNCTION("""COMPUTED_VALUE"""),"Чита")</f>
        <v>Чита</v>
      </c>
      <c r="BF7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4" s="69" t="str">
        <f ca="1">IFERROR(__xludf.DUMMYFUNCTION("""COMPUTED_VALUE"""),"2.1.8.")</f>
        <v>2.1.8.</v>
      </c>
      <c r="BH74" s="68" t="str">
        <f ca="1">IFERROR(__xludf.DUMMYFUNCTION("""COMPUTED_VALUE"""),"Объекты коммунальной инфраструктуры")</f>
        <v>Объекты коммунальной инфраструктуры</v>
      </c>
      <c r="BI74" s="68" t="str">
        <f ca="1">IFERROR(__xludf.DUMMYFUNCTION("""COMPUTED_VALUE"""),"Модернизация котельной МБДОУ №31")</f>
        <v>Модернизация котельной МБДОУ №31</v>
      </c>
      <c r="BJ74" s="73" t="str">
        <f ca="1">IFERROR(__xludf.DUMMYFUNCTION("""COMPUTED_VALUE"""),"Сера диоксид")</f>
        <v>Сера диоксид</v>
      </c>
      <c r="BK74" s="78">
        <f ca="1">IFERROR(__xludf.DUMMYFUNCTION("""COMPUTED_VALUE"""),0.0882)</f>
        <v>8.8200000000000001E-2</v>
      </c>
      <c r="BL74" s="78">
        <f ca="1">IFERROR(__xludf.DUMMYFUNCTION("""COMPUTED_VALUE"""),0.000143630523668421)</f>
        <v>1.43630523668421E-4</v>
      </c>
      <c r="BM74" s="78">
        <f ca="1">IFERROR(__xludf.DUMMYFUNCTION("""COMPUTED_VALUE"""),0.1278)</f>
        <v>0.1278</v>
      </c>
      <c r="BN74" s="78">
        <f ca="1">IFERROR(__xludf.DUMMYFUNCTION("""COMPUTED_VALUE"""),0.000208117697560365)</f>
        <v>2.0811769756036501E-4</v>
      </c>
      <c r="BO74" s="66"/>
      <c r="BP74" s="66"/>
    </row>
    <row r="75" spans="1:68" ht="26.4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/>
      <c r="AQ75" s="75"/>
      <c r="AR75" s="75"/>
      <c r="AS75" s="75"/>
      <c r="AT75" s="75"/>
      <c r="AU75" s="75"/>
      <c r="AV75" s="75"/>
      <c r="AW75" s="75"/>
      <c r="AX75" s="75"/>
      <c r="AY75" s="77"/>
      <c r="AZ75" s="75"/>
      <c r="BA75" s="77"/>
      <c r="BB75" s="66"/>
      <c r="BC75" s="4"/>
      <c r="BD75" s="67" t="str">
        <f ca="1">IFERROR(__xludf.DUMMYFUNCTION("""COMPUTED_VALUE"""),"Забайкальский край")</f>
        <v>Забайкальский край</v>
      </c>
      <c r="BE75" s="67" t="str">
        <f ca="1">IFERROR(__xludf.DUMMYFUNCTION("""COMPUTED_VALUE"""),"Чита")</f>
        <v>Чита</v>
      </c>
      <c r="BF7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5" s="69" t="str">
        <f ca="1">IFERROR(__xludf.DUMMYFUNCTION("""COMPUTED_VALUE"""),"2.1.8.")</f>
        <v>2.1.8.</v>
      </c>
      <c r="BH75" s="68" t="str">
        <f ca="1">IFERROR(__xludf.DUMMYFUNCTION("""COMPUTED_VALUE"""),"Объекты коммунальной инфраструктуры")</f>
        <v>Объекты коммунальной инфраструктуры</v>
      </c>
      <c r="BI75" s="68" t="str">
        <f ca="1">IFERROR(__xludf.DUMMYFUNCTION("""COMPUTED_VALUE"""),"Модернизация котельной МБДОУ №31")</f>
        <v>Модернизация котельной МБДОУ №31</v>
      </c>
      <c r="BJ75" s="73" t="str">
        <f ca="1">IFERROR(__xludf.DUMMYFUNCTION("""COMPUTED_VALUE"""),"Углерода оксид")</f>
        <v>Углерода оксид</v>
      </c>
      <c r="BK75" s="78">
        <f ca="1">IFERROR(__xludf.DUMMYFUNCTION("""COMPUTED_VALUE"""),0.662225)</f>
        <v>0.66222499999999995</v>
      </c>
      <c r="BL75" s="78">
        <f ca="1">IFERROR(__xludf.DUMMYFUNCTION("""COMPUTED_VALUE"""),0.00107840956390385)</f>
        <v>1.0784095639038501E-3</v>
      </c>
      <c r="BM75" s="78">
        <f ca="1">IFERROR(__xludf.DUMMYFUNCTION("""COMPUTED_VALUE"""),1.096091)</f>
        <v>1.0960909999999999</v>
      </c>
      <c r="BN75" s="78">
        <f ca="1">IFERROR(__xludf.DUMMYFUNCTION("""COMPUTED_VALUE"""),0.00178494472016149)</f>
        <v>1.78494472016149E-3</v>
      </c>
      <c r="BO75" s="66"/>
      <c r="BP75" s="66"/>
    </row>
    <row r="76" spans="1:68" ht="26.4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/>
      <c r="AQ76" s="75"/>
      <c r="AR76" s="75"/>
      <c r="AS76" s="75"/>
      <c r="AT76" s="75"/>
      <c r="AU76" s="75"/>
      <c r="AV76" s="75"/>
      <c r="AW76" s="75"/>
      <c r="AX76" s="75"/>
      <c r="AY76" s="77"/>
      <c r="AZ76" s="75"/>
      <c r="BA76" s="77"/>
      <c r="BB76" s="66"/>
      <c r="BC76" s="4"/>
      <c r="BD76" s="67" t="str">
        <f ca="1">IFERROR(__xludf.DUMMYFUNCTION("""COMPUTED_VALUE"""),"Забайкальский край")</f>
        <v>Забайкальский край</v>
      </c>
      <c r="BE76" s="67" t="str">
        <f ca="1">IFERROR(__xludf.DUMMYFUNCTION("""COMPUTED_VALUE"""),"Чита")</f>
        <v>Чита</v>
      </c>
      <c r="BF7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6" s="69" t="str">
        <f ca="1">IFERROR(__xludf.DUMMYFUNCTION("""COMPUTED_VALUE"""),"2.1.8.")</f>
        <v>2.1.8.</v>
      </c>
      <c r="BH76" s="68" t="str">
        <f ca="1">IFERROR(__xludf.DUMMYFUNCTION("""COMPUTED_VALUE"""),"Объекты коммунальной инфраструктуры")</f>
        <v>Объекты коммунальной инфраструктуры</v>
      </c>
      <c r="BI76" s="68" t="str">
        <f ca="1">IFERROR(__xludf.DUMMYFUNCTION("""COMPUTED_VALUE"""),"Модернизация котельной МБДОУ №31")</f>
        <v>Модернизация котельной МБДОУ №31</v>
      </c>
      <c r="BJ76" s="73" t="str">
        <f ca="1">IFERROR(__xludf.DUMMYFUNCTION("""COMPUTED_VALUE"""),"Бенз/а/пирен")</f>
        <v>Бенз/а/пирен</v>
      </c>
      <c r="BK76" s="78">
        <f ca="1">IFERROR(__xludf.DUMMYFUNCTION("""COMPUTED_VALUE"""),0.0000005)</f>
        <v>4.9999999999999998E-7</v>
      </c>
      <c r="BL76" s="78">
        <f ca="1">IFERROR(__xludf.DUMMYFUNCTION("""COMPUTED_VALUE"""),8.14231993585154E-10)</f>
        <v>8.1423199358515397E-10</v>
      </c>
      <c r="BM76" s="78">
        <f ca="1">IFERROR(__xludf.DUMMYFUNCTION("""COMPUTED_VALUE"""),0.0000007)</f>
        <v>6.9999999999999997E-7</v>
      </c>
      <c r="BN76" s="78">
        <f ca="1">IFERROR(__xludf.DUMMYFUNCTION("""COMPUTED_VALUE"""),1.13992479101921E-09)</f>
        <v>1.1399247910192099E-9</v>
      </c>
      <c r="BO76" s="66"/>
      <c r="BP76" s="66"/>
    </row>
    <row r="77" spans="1:68" ht="26.4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/>
      <c r="AQ77" s="75"/>
      <c r="AR77" s="75"/>
      <c r="AS77" s="75"/>
      <c r="AT77" s="75"/>
      <c r="AU77" s="75"/>
      <c r="AV77" s="75"/>
      <c r="AW77" s="75"/>
      <c r="AX77" s="75"/>
      <c r="AY77" s="77"/>
      <c r="AZ77" s="75"/>
      <c r="BA77" s="77"/>
      <c r="BB77" s="66"/>
      <c r="BC77" s="4"/>
      <c r="BD77" s="67" t="str">
        <f ca="1">IFERROR(__xludf.DUMMYFUNCTION("""COMPUTED_VALUE"""),"Забайкальский край")</f>
        <v>Забайкальский край</v>
      </c>
      <c r="BE77" s="67" t="str">
        <f ca="1">IFERROR(__xludf.DUMMYFUNCTION("""COMPUTED_VALUE"""),"Чита")</f>
        <v>Чита</v>
      </c>
      <c r="BF7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7" s="69" t="str">
        <f ca="1">IFERROR(__xludf.DUMMYFUNCTION("""COMPUTED_VALUE"""),"2.1.8.")</f>
        <v>2.1.8.</v>
      </c>
      <c r="BH77" s="68" t="str">
        <f ca="1">IFERROR(__xludf.DUMMYFUNCTION("""COMPUTED_VALUE"""),"Объекты коммунальной инфраструктуры")</f>
        <v>Объекты коммунальной инфраструктуры</v>
      </c>
      <c r="BI77" s="68" t="str">
        <f ca="1">IFERROR(__xludf.DUMMYFUNCTION("""COMPUTED_VALUE"""),"Модернизация котельной МБДОУ №31")</f>
        <v>Модернизация котельной МБДОУ №31</v>
      </c>
      <c r="BJ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7" s="78">
        <f ca="1">IFERROR(__xludf.DUMMYFUNCTION("""COMPUTED_VALUE"""),1.1397826)</f>
        <v>1.1397826</v>
      </c>
      <c r="BL77" s="78">
        <f ca="1">IFERROR(__xludf.DUMMYFUNCTION("""COMPUTED_VALUE"""),0.00185609491730334)</f>
        <v>1.85609491730334E-3</v>
      </c>
      <c r="BM77" s="78">
        <f ca="1">IFERROR(__xludf.DUMMYFUNCTION("""COMPUTED_VALUE"""),2.368525)</f>
        <v>2.368525</v>
      </c>
      <c r="BN77" s="78">
        <f ca="1">IFERROR(__xludf.DUMMYFUNCTION("""COMPUTED_VALUE"""),0.00385705766521255)</f>
        <v>3.8570576652125501E-3</v>
      </c>
      <c r="BO77" s="66"/>
      <c r="BP77" s="66"/>
    </row>
    <row r="78" spans="1:68" ht="66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/>
      <c r="AQ78" s="75"/>
      <c r="AR78" s="75"/>
      <c r="AS78" s="75"/>
      <c r="AT78" s="75"/>
      <c r="AU78" s="75"/>
      <c r="AV78" s="75"/>
      <c r="AW78" s="75"/>
      <c r="AX78" s="75"/>
      <c r="AY78" s="77"/>
      <c r="AZ78" s="75"/>
      <c r="BA78" s="77"/>
      <c r="BB78" s="66"/>
      <c r="BC78" s="4"/>
      <c r="BD78" s="67" t="str">
        <f ca="1">IFERROR(__xludf.DUMMYFUNCTION("""COMPUTED_VALUE"""),"Забайкальский край")</f>
        <v>Забайкальский край</v>
      </c>
      <c r="BE78" s="67" t="str">
        <f ca="1">IFERROR(__xludf.DUMMYFUNCTION("""COMPUTED_VALUE"""),"Чита")</f>
        <v>Чита</v>
      </c>
      <c r="BF7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8" s="69" t="str">
        <f ca="1">IFERROR(__xludf.DUMMYFUNCTION("""COMPUTED_VALUE"""),"2.2.")</f>
        <v>2.2.</v>
      </c>
      <c r="BH78" s="68" t="str">
        <f ca="1">IFERROR(__xludf.DUMMYFUNCTION("""COMPUTED_VALUE"""),"Объекты коммунальной инфраструктуры")</f>
        <v>Объекты коммунальной инфраструктуры</v>
      </c>
      <c r="BI78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8" s="73" t="str">
        <f ca="1">IFERROR(__xludf.DUMMYFUNCTION("""COMPUTED_VALUE"""),"Азота диоксид")</f>
        <v>Азота диоксид</v>
      </c>
      <c r="BK78" s="78">
        <f ca="1">IFERROR(__xludf.DUMMYFUNCTION("""COMPUTED_VALUE"""),-3.73026)</f>
        <v>-3.7302599999999999</v>
      </c>
      <c r="BL78" s="78">
        <f ca="1">IFERROR(__xludf.DUMMYFUNCTION("""COMPUTED_VALUE"""),-0.00607459407278191)</f>
        <v>-6.0745940727819098E-3</v>
      </c>
      <c r="BM78" s="78">
        <f ca="1">IFERROR(__xludf.DUMMYFUNCTION("""COMPUTED_VALUE"""),0)</f>
        <v>0</v>
      </c>
      <c r="BN78" s="78">
        <f ca="1">IFERROR(__xludf.DUMMYFUNCTION("""COMPUTED_VALUE"""),0)</f>
        <v>0</v>
      </c>
      <c r="BO78" s="66"/>
      <c r="BP78" s="66"/>
    </row>
    <row r="79" spans="1:68" ht="66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/>
      <c r="AQ79" s="75"/>
      <c r="AR79" s="75"/>
      <c r="AS79" s="75"/>
      <c r="AT79" s="75"/>
      <c r="AU79" s="75"/>
      <c r="AV79" s="75"/>
      <c r="AW79" s="75"/>
      <c r="AX79" s="75"/>
      <c r="AY79" s="77"/>
      <c r="AZ79" s="75"/>
      <c r="BA79" s="77"/>
      <c r="BB79" s="66"/>
      <c r="BC79" s="4"/>
      <c r="BD79" s="67" t="str">
        <f ca="1">IFERROR(__xludf.DUMMYFUNCTION("""COMPUTED_VALUE"""),"Забайкальский край")</f>
        <v>Забайкальский край</v>
      </c>
      <c r="BE79" s="67" t="str">
        <f ca="1">IFERROR(__xludf.DUMMYFUNCTION("""COMPUTED_VALUE"""),"Чита")</f>
        <v>Чита</v>
      </c>
      <c r="BF7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9" s="69" t="str">
        <f ca="1">IFERROR(__xludf.DUMMYFUNCTION("""COMPUTED_VALUE"""),"2.2.")</f>
        <v>2.2.</v>
      </c>
      <c r="BH79" s="68" t="str">
        <f ca="1">IFERROR(__xludf.DUMMYFUNCTION("""COMPUTED_VALUE"""),"Объекты коммунальной инфраструктуры")</f>
        <v>Объекты коммунальной инфраструктуры</v>
      </c>
      <c r="BI79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9" s="73" t="str">
        <f ca="1">IFERROR(__xludf.DUMMYFUNCTION("""COMPUTED_VALUE"""),"Азот (II) оксид")</f>
        <v>Азот (II) оксид</v>
      </c>
      <c r="BK79" s="78">
        <f ca="1">IFERROR(__xludf.DUMMYFUNCTION("""COMPUTED_VALUE"""),-0.606361)</f>
        <v>-0.60636100000000004</v>
      </c>
      <c r="BL79" s="78">
        <f ca="1">IFERROR(__xludf.DUMMYFUNCTION("""COMPUTED_VALUE"""),-0.000987437051724576)</f>
        <v>-9.8743705172457609E-4</v>
      </c>
      <c r="BM79" s="78">
        <f ca="1">IFERROR(__xludf.DUMMYFUNCTION("""COMPUTED_VALUE"""),0)</f>
        <v>0</v>
      </c>
      <c r="BN79" s="78">
        <f ca="1">IFERROR(__xludf.DUMMYFUNCTION("""COMPUTED_VALUE"""),0)</f>
        <v>0</v>
      </c>
      <c r="BO79" s="66"/>
      <c r="BP79" s="66"/>
    </row>
    <row r="80" spans="1:68" ht="66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/>
      <c r="AQ80" s="75"/>
      <c r="AR80" s="75"/>
      <c r="AS80" s="75"/>
      <c r="AT80" s="75"/>
      <c r="AU80" s="75"/>
      <c r="AV80" s="75"/>
      <c r="AW80" s="75"/>
      <c r="AX80" s="75"/>
      <c r="AY80" s="77"/>
      <c r="AZ80" s="75"/>
      <c r="BA80" s="77"/>
      <c r="BB80" s="66"/>
      <c r="BC80" s="4"/>
      <c r="BD80" s="67" t="str">
        <f ca="1">IFERROR(__xludf.DUMMYFUNCTION("""COMPUTED_VALUE"""),"Забайкальский край")</f>
        <v>Забайкальский край</v>
      </c>
      <c r="BE80" s="67" t="str">
        <f ca="1">IFERROR(__xludf.DUMMYFUNCTION("""COMPUTED_VALUE"""),"Чита")</f>
        <v>Чита</v>
      </c>
      <c r="BF8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0" s="69" t="str">
        <f ca="1">IFERROR(__xludf.DUMMYFUNCTION("""COMPUTED_VALUE"""),"2.2.")</f>
        <v>2.2.</v>
      </c>
      <c r="BH80" s="68" t="str">
        <f ca="1">IFERROR(__xludf.DUMMYFUNCTION("""COMPUTED_VALUE"""),"Объекты коммунальной инфраструктуры")</f>
        <v>Объекты коммунальной инфраструктуры</v>
      </c>
      <c r="BI80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0" s="73" t="str">
        <f ca="1">IFERROR(__xludf.DUMMYFUNCTION("""COMPUTED_VALUE"""),"Сера диоксид")</f>
        <v>Сера диоксид</v>
      </c>
      <c r="BK80" s="78">
        <f ca="1">IFERROR(__xludf.DUMMYFUNCTION("""COMPUTED_VALUE"""),920.235)</f>
        <v>920.23500000000001</v>
      </c>
      <c r="BL80" s="78">
        <f ca="1">IFERROR(__xludf.DUMMYFUNCTION("""COMPUTED_VALUE"""),1.49856955723366)</f>
        <v>1.4985695572336599</v>
      </c>
      <c r="BM80" s="78">
        <f ca="1">IFERROR(__xludf.DUMMYFUNCTION("""COMPUTED_VALUE"""),0)</f>
        <v>0</v>
      </c>
      <c r="BN80" s="78">
        <f ca="1">IFERROR(__xludf.DUMMYFUNCTION("""COMPUTED_VALUE"""),0)</f>
        <v>0</v>
      </c>
      <c r="BO80" s="66"/>
      <c r="BP80" s="66"/>
    </row>
    <row r="81" spans="1:68" ht="66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/>
      <c r="AQ81" s="75"/>
      <c r="AR81" s="75"/>
      <c r="AS81" s="75"/>
      <c r="AT81" s="75"/>
      <c r="AU81" s="75"/>
      <c r="AV81" s="75"/>
      <c r="AW81" s="75"/>
      <c r="AX81" s="75"/>
      <c r="AY81" s="77"/>
      <c r="AZ81" s="75"/>
      <c r="BA81" s="77"/>
      <c r="BB81" s="66"/>
      <c r="BC81" s="4"/>
      <c r="BD81" s="67" t="str">
        <f ca="1">IFERROR(__xludf.DUMMYFUNCTION("""COMPUTED_VALUE"""),"Забайкальский край")</f>
        <v>Забайкальский край</v>
      </c>
      <c r="BE81" s="67" t="str">
        <f ca="1">IFERROR(__xludf.DUMMYFUNCTION("""COMPUTED_VALUE"""),"Чита")</f>
        <v>Чита</v>
      </c>
      <c r="BF8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1" s="69" t="str">
        <f ca="1">IFERROR(__xludf.DUMMYFUNCTION("""COMPUTED_VALUE"""),"2.2.")</f>
        <v>2.2.</v>
      </c>
      <c r="BH81" s="68" t="str">
        <f ca="1">IFERROR(__xludf.DUMMYFUNCTION("""COMPUTED_VALUE"""),"Объекты коммунальной инфраструктуры")</f>
        <v>Объекты коммунальной инфраструктуры</v>
      </c>
      <c r="BI81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1" s="73" t="str">
        <f ca="1">IFERROR(__xludf.DUMMYFUNCTION("""COMPUTED_VALUE"""),"Бенз/а/пирен")</f>
        <v>Бенз/а/пирен</v>
      </c>
      <c r="BK81" s="78">
        <f ca="1">IFERROR(__xludf.DUMMYFUNCTION("""COMPUTED_VALUE"""),0.242850122)</f>
        <v>0.242850122</v>
      </c>
      <c r="BL81" s="78">
        <f ca="1">IFERROR(__xludf.DUMMYFUNCTION("""COMPUTED_VALUE"""),0.000395472677956916)</f>
        <v>3.9547267795691599E-4</v>
      </c>
      <c r="BM81" s="78">
        <f ca="1">IFERROR(__xludf.DUMMYFUNCTION("""COMPUTED_VALUE"""),0.0000099)</f>
        <v>9.9000000000000001E-6</v>
      </c>
      <c r="BN81" s="78">
        <f ca="1">IFERROR(__xludf.DUMMYFUNCTION("""COMPUTED_VALUE"""),1.6121793472986E-08)</f>
        <v>1.6121793472986001E-8</v>
      </c>
      <c r="BO81" s="66"/>
      <c r="BP81" s="66"/>
    </row>
    <row r="82" spans="1:68" ht="66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/>
      <c r="AQ82" s="75"/>
      <c r="AR82" s="75"/>
      <c r="AS82" s="75"/>
      <c r="AT82" s="75"/>
      <c r="AU82" s="75"/>
      <c r="AV82" s="75"/>
      <c r="AW82" s="75"/>
      <c r="AX82" s="75"/>
      <c r="AY82" s="77"/>
      <c r="AZ82" s="75"/>
      <c r="BA82" s="77"/>
      <c r="BB82" s="66"/>
      <c r="BC82" s="4"/>
      <c r="BD82" s="67" t="str">
        <f ca="1">IFERROR(__xludf.DUMMYFUNCTION("""COMPUTED_VALUE"""),"Забайкальский край")</f>
        <v>Забайкальский край</v>
      </c>
      <c r="BE82" s="67" t="str">
        <f ca="1">IFERROR(__xludf.DUMMYFUNCTION("""COMPUTED_VALUE"""),"Чита")</f>
        <v>Чита</v>
      </c>
      <c r="BF8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2" s="69" t="str">
        <f ca="1">IFERROR(__xludf.DUMMYFUNCTION("""COMPUTED_VALUE"""),"2.2.")</f>
        <v>2.2.</v>
      </c>
      <c r="BH82" s="68" t="str">
        <f ca="1">IFERROR(__xludf.DUMMYFUNCTION("""COMPUTED_VALUE"""),"Объекты коммунальной инфраструктуры")</f>
        <v>Объекты коммунальной инфраструктуры</v>
      </c>
      <c r="BI82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2" s="73" t="str">
        <f ca="1">IFERROR(__xludf.DUMMYFUNCTION("""COMPUTED_VALUE"""),"Углерода оксид")</f>
        <v>Углерода оксид</v>
      </c>
      <c r="BK82" s="78">
        <f ca="1">IFERROR(__xludf.DUMMYFUNCTION("""COMPUTED_VALUE"""),10103.9431)</f>
        <v>10103.9431</v>
      </c>
      <c r="BL82" s="78">
        <f ca="1">IFERROR(__xludf.DUMMYFUNCTION("""COMPUTED_VALUE"""),16.4539074667679)</f>
        <v>16.453907466767902</v>
      </c>
      <c r="BM82" s="78">
        <f ca="1">IFERROR(__xludf.DUMMYFUNCTION("""COMPUTED_VALUE"""),0)</f>
        <v>0</v>
      </c>
      <c r="BN82" s="78">
        <f ca="1">IFERROR(__xludf.DUMMYFUNCTION("""COMPUTED_VALUE"""),0)</f>
        <v>0</v>
      </c>
      <c r="BO82" s="66"/>
      <c r="BP82" s="66"/>
    </row>
    <row r="83" spans="1:68" ht="66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/>
      <c r="AQ83" s="75"/>
      <c r="AR83" s="75"/>
      <c r="AS83" s="75"/>
      <c r="AT83" s="75"/>
      <c r="AU83" s="75"/>
      <c r="AV83" s="75"/>
      <c r="AW83" s="75"/>
      <c r="AX83" s="75"/>
      <c r="AY83" s="77"/>
      <c r="AZ83" s="75"/>
      <c r="BA83" s="77"/>
      <c r="BB83" s="66"/>
      <c r="BC83" s="4"/>
      <c r="BD83" s="67" t="str">
        <f ca="1">IFERROR(__xludf.DUMMYFUNCTION("""COMPUTED_VALUE"""),"Забайкальский край")</f>
        <v>Забайкальский край</v>
      </c>
      <c r="BE83" s="67" t="str">
        <f ca="1">IFERROR(__xludf.DUMMYFUNCTION("""COMPUTED_VALUE"""),"Чита")</f>
        <v>Чита</v>
      </c>
      <c r="BF8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3" s="69" t="str">
        <f ca="1">IFERROR(__xludf.DUMMYFUNCTION("""COMPUTED_VALUE"""),"2.2.")</f>
        <v>2.2.</v>
      </c>
      <c r="BH83" s="68" t="str">
        <f ca="1">IFERROR(__xludf.DUMMYFUNCTION("""COMPUTED_VALUE"""),"Объекты коммунальной инфраструктуры")</f>
        <v>Объекты коммунальной инфраструктуры</v>
      </c>
      <c r="BI83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3" s="73" t="str">
        <f ca="1">IFERROR(__xludf.DUMMYFUNCTION("""COMPUTED_VALUE"""),"Взвешенные вещества")</f>
        <v>Взвешенные вещества</v>
      </c>
      <c r="BK83" s="78">
        <f ca="1">IFERROR(__xludf.DUMMYFUNCTION("""COMPUTED_VALUE"""),2.638)</f>
        <v>2.6379999999999999</v>
      </c>
      <c r="BL83" s="78">
        <f ca="1">IFERROR(__xludf.DUMMYFUNCTION("""COMPUTED_VALUE"""),0.00429588799815527)</f>
        <v>4.2958879981552702E-3</v>
      </c>
      <c r="BM83" s="78">
        <f ca="1">IFERROR(__xludf.DUMMYFUNCTION("""COMPUTED_VALUE"""),0)</f>
        <v>0</v>
      </c>
      <c r="BN83" s="78">
        <f ca="1">IFERROR(__xludf.DUMMYFUNCTION("""COMPUTED_VALUE"""),0)</f>
        <v>0</v>
      </c>
      <c r="BO83" s="66"/>
      <c r="BP83" s="66"/>
    </row>
    <row r="84" spans="1:68" ht="66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/>
      <c r="AQ84" s="75"/>
      <c r="AR84" s="75"/>
      <c r="AS84" s="75"/>
      <c r="AT84" s="75"/>
      <c r="AU84" s="75"/>
      <c r="AV84" s="75"/>
      <c r="AW84" s="75"/>
      <c r="AX84" s="75"/>
      <c r="AY84" s="77"/>
      <c r="AZ84" s="75"/>
      <c r="BA84" s="77"/>
      <c r="BB84" s="66"/>
      <c r="BC84" s="4"/>
      <c r="BD84" s="67" t="str">
        <f ca="1">IFERROR(__xludf.DUMMYFUNCTION("""COMPUTED_VALUE"""),"Забайкальский край")</f>
        <v>Забайкальский край</v>
      </c>
      <c r="BE84" s="67" t="str">
        <f ca="1">IFERROR(__xludf.DUMMYFUNCTION("""COMPUTED_VALUE"""),"Чита")</f>
        <v>Чита</v>
      </c>
      <c r="BF8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4" s="69" t="str">
        <f ca="1">IFERROR(__xludf.DUMMYFUNCTION("""COMPUTED_VALUE"""),"2.2.")</f>
        <v>2.2.</v>
      </c>
      <c r="BH84" s="74" t="str">
        <f ca="1">IFERROR(__xludf.DUMMYFUNCTION("""COMPUTED_VALUE"""),"Объекты коммунальной инфраструктуры")</f>
        <v>Объекты коммунальной инфраструктуры</v>
      </c>
      <c r="BI8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4" s="78">
        <f ca="1">IFERROR(__xludf.DUMMYFUNCTION("""COMPUTED_VALUE"""),1876.092)</f>
        <v>1876.0920000000001</v>
      </c>
      <c r="BL84" s="78">
        <f ca="1">IFERROR(__xludf.DUMMYFUNCTION("""COMPUTED_VALUE"""),3.05514825861832)</f>
        <v>3.0551482586183201</v>
      </c>
      <c r="BM84" s="78">
        <f ca="1">IFERROR(__xludf.DUMMYFUNCTION("""COMPUTED_VALUE"""),0)</f>
        <v>0</v>
      </c>
      <c r="BN84" s="78">
        <f ca="1">IFERROR(__xludf.DUMMYFUNCTION("""COMPUTED_VALUE"""),0)</f>
        <v>0</v>
      </c>
      <c r="BO84" s="66"/>
      <c r="BP84" s="66"/>
    </row>
    <row r="85" spans="1:68" ht="39.6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/>
      <c r="AQ85" s="75"/>
      <c r="AR85" s="75"/>
      <c r="AS85" s="75"/>
      <c r="AT85" s="75"/>
      <c r="AU85" s="75"/>
      <c r="AV85" s="75"/>
      <c r="AW85" s="75"/>
      <c r="AX85" s="75"/>
      <c r="AY85" s="77"/>
      <c r="AZ85" s="75"/>
      <c r="BA85" s="77"/>
      <c r="BB85" s="66"/>
      <c r="BC85" s="4"/>
      <c r="BD85" s="67" t="str">
        <f ca="1">IFERROR(__xludf.DUMMYFUNCTION("""COMPUTED_VALUE"""),"Забайкальский край")</f>
        <v>Забайкальский край</v>
      </c>
      <c r="BE85" s="67" t="str">
        <f ca="1">IFERROR(__xludf.DUMMYFUNCTION("""COMPUTED_VALUE"""),"Чита")</f>
        <v>Чита</v>
      </c>
      <c r="BF85" s="68" t="str">
        <f ca="1">IFERROR(__xludf.DUMMYFUNCTION("""COMPUTED_VALUE"""),"ПАО ""ТГК-14""")</f>
        <v>ПАО "ТГК-14"</v>
      </c>
      <c r="BG85" s="69" t="str">
        <f ca="1">IFERROR(__xludf.DUMMYFUNCTION("""COMPUTED_VALUE"""),"3.1.1.")</f>
        <v>3.1.1.</v>
      </c>
      <c r="BH85" s="74" t="str">
        <f ca="1">IFERROR(__xludf.DUMMYFUNCTION("""COMPUTED_VALUE"""),"Мероприятие ЮЛ/ИП")</f>
        <v>Мероприятие ЮЛ/ИП</v>
      </c>
      <c r="BI8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5" s="73" t="str">
        <f ca="1">IFERROR(__xludf.DUMMYFUNCTION("""COMPUTED_VALUE"""),"Азота диоксид")</f>
        <v>Азота диоксид</v>
      </c>
      <c r="BK85" s="78">
        <f ca="1">IFERROR(__xludf.DUMMYFUNCTION("""COMPUTED_VALUE"""),404.573)</f>
        <v>404.57299999999998</v>
      </c>
      <c r="BL85" s="78">
        <f ca="1">IFERROR(__xludf.DUMMYFUNCTION("""COMPUTED_VALUE"""),0.658832560681453)</f>
        <v>0.65883256068145302</v>
      </c>
      <c r="BM85" s="78">
        <f ca="1">IFERROR(__xludf.DUMMYFUNCTION("""COMPUTED_VALUE"""),404.573)</f>
        <v>404.57299999999998</v>
      </c>
      <c r="BN85" s="78">
        <f ca="1">IFERROR(__xludf.DUMMYFUNCTION("""COMPUTED_VALUE"""),0.658832560681453)</f>
        <v>0.65883256068145302</v>
      </c>
      <c r="BO85" s="66"/>
      <c r="BP85" s="66"/>
    </row>
    <row r="86" spans="1:68" ht="39.6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/>
      <c r="AQ86" s="75"/>
      <c r="AR86" s="75"/>
      <c r="AS86" s="75"/>
      <c r="AT86" s="75"/>
      <c r="AU86" s="75"/>
      <c r="AV86" s="75"/>
      <c r="AW86" s="75"/>
      <c r="AX86" s="75"/>
      <c r="AY86" s="77"/>
      <c r="AZ86" s="75"/>
      <c r="BA86" s="77"/>
      <c r="BB86" s="66"/>
      <c r="BC86" s="4"/>
      <c r="BD86" s="67" t="str">
        <f ca="1">IFERROR(__xludf.DUMMYFUNCTION("""COMPUTED_VALUE"""),"Забайкальский край")</f>
        <v>Забайкальский край</v>
      </c>
      <c r="BE86" s="67" t="str">
        <f ca="1">IFERROR(__xludf.DUMMYFUNCTION("""COMPUTED_VALUE"""),"Чита")</f>
        <v>Чита</v>
      </c>
      <c r="BF86" s="68" t="str">
        <f ca="1">IFERROR(__xludf.DUMMYFUNCTION("""COMPUTED_VALUE"""),"ПАО ""ТГК-14""")</f>
        <v>ПАО "ТГК-14"</v>
      </c>
      <c r="BG86" s="69" t="str">
        <f ca="1">IFERROR(__xludf.DUMMYFUNCTION("""COMPUTED_VALUE"""),"3.1.1.")</f>
        <v>3.1.1.</v>
      </c>
      <c r="BH86" s="74" t="str">
        <f ca="1">IFERROR(__xludf.DUMMYFUNCTION("""COMPUTED_VALUE"""),"Мероприятие ЮЛ/ИП")</f>
        <v>Мероприятие ЮЛ/ИП</v>
      </c>
      <c r="BI86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6" s="73" t="str">
        <f ca="1">IFERROR(__xludf.DUMMYFUNCTION("""COMPUTED_VALUE"""),"Азот (II) оксид")</f>
        <v>Азот (II) оксид</v>
      </c>
      <c r="BK86" s="78">
        <f ca="1">IFERROR(__xludf.DUMMYFUNCTION("""COMPUTED_VALUE"""),127.28)</f>
        <v>127.28</v>
      </c>
      <c r="BL86" s="78">
        <f ca="1">IFERROR(__xludf.DUMMYFUNCTION("""COMPUTED_VALUE"""),0.207270896287037)</f>
        <v>0.20727089628703699</v>
      </c>
      <c r="BM86" s="78">
        <f ca="1">IFERROR(__xludf.DUMMYFUNCTION("""COMPUTED_VALUE"""),127.28)</f>
        <v>127.28</v>
      </c>
      <c r="BN86" s="78">
        <f ca="1">IFERROR(__xludf.DUMMYFUNCTION("""COMPUTED_VALUE"""),0.207270896287037)</f>
        <v>0.20727089628703699</v>
      </c>
      <c r="BO86" s="66"/>
      <c r="BP86" s="66"/>
    </row>
    <row r="87" spans="1:68" ht="39.6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/>
      <c r="AQ87" s="75"/>
      <c r="AR87" s="75"/>
      <c r="AS87" s="75"/>
      <c r="AT87" s="75"/>
      <c r="AU87" s="75"/>
      <c r="AV87" s="75"/>
      <c r="AW87" s="75"/>
      <c r="AX87" s="75"/>
      <c r="AY87" s="77"/>
      <c r="AZ87" s="75"/>
      <c r="BA87" s="77"/>
      <c r="BB87" s="66"/>
      <c r="BC87" s="4"/>
      <c r="BD87" s="67" t="str">
        <f ca="1">IFERROR(__xludf.DUMMYFUNCTION("""COMPUTED_VALUE"""),"Забайкальский край")</f>
        <v>Забайкальский край</v>
      </c>
      <c r="BE87" s="67" t="str">
        <f ca="1">IFERROR(__xludf.DUMMYFUNCTION("""COMPUTED_VALUE"""),"Чита")</f>
        <v>Чита</v>
      </c>
      <c r="BF87" s="68" t="str">
        <f ca="1">IFERROR(__xludf.DUMMYFUNCTION("""COMPUTED_VALUE"""),"ПАО ""ТГК-14""")</f>
        <v>ПАО "ТГК-14"</v>
      </c>
      <c r="BG87" s="69" t="str">
        <f ca="1">IFERROR(__xludf.DUMMYFUNCTION("""COMPUTED_VALUE"""),"3.1.1.")</f>
        <v>3.1.1.</v>
      </c>
      <c r="BH87" s="74" t="str">
        <f ca="1">IFERROR(__xludf.DUMMYFUNCTION("""COMPUTED_VALUE"""),"Мероприятие ЮЛ/ИП")</f>
        <v>Мероприятие ЮЛ/ИП</v>
      </c>
      <c r="BI87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7" s="73" t="str">
        <f ca="1">IFERROR(__xludf.DUMMYFUNCTION("""COMPUTED_VALUE"""),"Бенз/а/пирен")</f>
        <v>Бенз/а/пирен</v>
      </c>
      <c r="BK87" s="78">
        <f ca="1">IFERROR(__xludf.DUMMYFUNCTION("""COMPUTED_VALUE"""),0.0001)</f>
        <v>1E-4</v>
      </c>
      <c r="BL87" s="78">
        <f ca="1">IFERROR(__xludf.DUMMYFUNCTION("""COMPUTED_VALUE"""),1.6284639871703E-07)</f>
        <v>1.6284639871703E-7</v>
      </c>
      <c r="BM87" s="78">
        <f ca="1">IFERROR(__xludf.DUMMYFUNCTION("""COMPUTED_VALUE"""),0.0003)</f>
        <v>2.9999999999999997E-4</v>
      </c>
      <c r="BN87" s="78">
        <f ca="1">IFERROR(__xludf.DUMMYFUNCTION("""COMPUTED_VALUE"""),4.88539196151092E-07)</f>
        <v>4.8853919615109199E-7</v>
      </c>
      <c r="BO87" s="66"/>
      <c r="BP87" s="66"/>
    </row>
    <row r="88" spans="1:68" ht="39.6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/>
      <c r="AQ88" s="75"/>
      <c r="AR88" s="75"/>
      <c r="AS88" s="75"/>
      <c r="AT88" s="75"/>
      <c r="AU88" s="75"/>
      <c r="AV88" s="75"/>
      <c r="AW88" s="75"/>
      <c r="AX88" s="75"/>
      <c r="AY88" s="77"/>
      <c r="AZ88" s="75"/>
      <c r="BA88" s="77"/>
      <c r="BB88" s="66"/>
      <c r="BC88" s="4"/>
      <c r="BD88" s="67" t="str">
        <f ca="1">IFERROR(__xludf.DUMMYFUNCTION("""COMPUTED_VALUE"""),"Забайкальский край")</f>
        <v>Забайкальский край</v>
      </c>
      <c r="BE88" s="67" t="str">
        <f ca="1">IFERROR(__xludf.DUMMYFUNCTION("""COMPUTED_VALUE"""),"Чита")</f>
        <v>Чита</v>
      </c>
      <c r="BF88" s="68" t="str">
        <f ca="1">IFERROR(__xludf.DUMMYFUNCTION("""COMPUTED_VALUE"""),"ПАО ""ТГК-14""")</f>
        <v>ПАО "ТГК-14"</v>
      </c>
      <c r="BG88" s="69" t="str">
        <f ca="1">IFERROR(__xludf.DUMMYFUNCTION("""COMPUTED_VALUE"""),"3.1.1.")</f>
        <v>3.1.1.</v>
      </c>
      <c r="BH88" s="74" t="str">
        <f ca="1">IFERROR(__xludf.DUMMYFUNCTION("""COMPUTED_VALUE"""),"Мероприятие ЮЛ/ИП")</f>
        <v>Мероприятие ЮЛ/ИП</v>
      </c>
      <c r="BI88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8" s="78">
        <f ca="1">IFERROR(__xludf.DUMMYFUNCTION("""COMPUTED_VALUE"""),2020.768)</f>
        <v>2020.768</v>
      </c>
      <c r="BL88" s="78">
        <f ca="1">IFERROR(__xludf.DUMMYFUNCTION("""COMPUTED_VALUE"""),3.29074791442617)</f>
        <v>3.29074791442617</v>
      </c>
      <c r="BM88" s="78">
        <f ca="1">IFERROR(__xludf.DUMMYFUNCTION("""COMPUTED_VALUE"""),2020.768)</f>
        <v>2020.768</v>
      </c>
      <c r="BN88" s="78">
        <f ca="1">IFERROR(__xludf.DUMMYFUNCTION("""COMPUTED_VALUE"""),3.29074791442617)</f>
        <v>3.29074791442617</v>
      </c>
      <c r="BO88" s="66"/>
      <c r="BP88" s="66"/>
    </row>
    <row r="89" spans="1:68" ht="39.6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/>
      <c r="AQ89" s="75"/>
      <c r="AR89" s="75"/>
      <c r="AS89" s="75"/>
      <c r="AT89" s="75"/>
      <c r="AU89" s="75"/>
      <c r="AV89" s="75"/>
      <c r="AW89" s="75"/>
      <c r="AX89" s="75"/>
      <c r="AY89" s="77"/>
      <c r="AZ89" s="75"/>
      <c r="BA89" s="77"/>
      <c r="BB89" s="66"/>
      <c r="BC89" s="4"/>
      <c r="BD89" s="67" t="str">
        <f ca="1">IFERROR(__xludf.DUMMYFUNCTION("""COMPUTED_VALUE"""),"Забайкальский край")</f>
        <v>Забайкальский край</v>
      </c>
      <c r="BE89" s="67" t="str">
        <f ca="1">IFERROR(__xludf.DUMMYFUNCTION("""COMPUTED_VALUE"""),"Чита")</f>
        <v>Чита</v>
      </c>
      <c r="BF89" s="68" t="str">
        <f ca="1">IFERROR(__xludf.DUMMYFUNCTION("""COMPUTED_VALUE"""),"ПАО ""ТГК-14""")</f>
        <v>ПАО "ТГК-14"</v>
      </c>
      <c r="BG89" s="69" t="str">
        <f ca="1">IFERROR(__xludf.DUMMYFUNCTION("""COMPUTED_VALUE"""),"3.1.1.")</f>
        <v>3.1.1.</v>
      </c>
      <c r="BH89" s="74" t="str">
        <f ca="1">IFERROR(__xludf.DUMMYFUNCTION("""COMPUTED_VALUE"""),"Мероприятие ЮЛ/ИП")</f>
        <v>Мероприятие ЮЛ/ИП</v>
      </c>
      <c r="BI89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9" s="73" t="str">
        <f ca="1">IFERROR(__xludf.DUMMYFUNCTION("""COMPUTED_VALUE"""),"Углерод")</f>
        <v>Углерод</v>
      </c>
      <c r="BK89" s="78">
        <f ca="1">IFERROR(__xludf.DUMMYFUNCTION("""COMPUTED_VALUE"""),107.646)</f>
        <v>107.646</v>
      </c>
      <c r="BL89" s="78">
        <f ca="1">IFERROR(__xludf.DUMMYFUNCTION("""COMPUTED_VALUE"""),0.175297634362935)</f>
        <v>0.175297634362935</v>
      </c>
      <c r="BM89" s="78">
        <f ca="1">IFERROR(__xludf.DUMMYFUNCTION("""COMPUTED_VALUE"""),107.646)</f>
        <v>107.646</v>
      </c>
      <c r="BN89" s="78">
        <f ca="1">IFERROR(__xludf.DUMMYFUNCTION("""COMPUTED_VALUE"""),0.175297634362935)</f>
        <v>0.175297634362935</v>
      </c>
      <c r="BO89" s="66"/>
      <c r="BP89" s="66"/>
    </row>
    <row r="90" spans="1:68" ht="39.6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/>
      <c r="AQ90" s="75"/>
      <c r="AR90" s="75"/>
      <c r="AS90" s="75"/>
      <c r="AT90" s="75"/>
      <c r="AU90" s="75"/>
      <c r="AV90" s="75"/>
      <c r="AW90" s="75"/>
      <c r="AX90" s="75"/>
      <c r="AY90" s="77"/>
      <c r="AZ90" s="75"/>
      <c r="BA90" s="77"/>
      <c r="BB90" s="66"/>
      <c r="BC90" s="4"/>
      <c r="BD90" s="67" t="str">
        <f ca="1">IFERROR(__xludf.DUMMYFUNCTION("""COMPUTED_VALUE"""),"Забайкальский край")</f>
        <v>Забайкальский край</v>
      </c>
      <c r="BE90" s="67" t="str">
        <f ca="1">IFERROR(__xludf.DUMMYFUNCTION("""COMPUTED_VALUE"""),"Чита")</f>
        <v>Чита</v>
      </c>
      <c r="BF90" s="68" t="str">
        <f ca="1">IFERROR(__xludf.DUMMYFUNCTION("""COMPUTED_VALUE"""),"ПАО ""ТГК-14""")</f>
        <v>ПАО "ТГК-14"</v>
      </c>
      <c r="BG90" s="69" t="str">
        <f ca="1">IFERROR(__xludf.DUMMYFUNCTION("""COMPUTED_VALUE"""),"3.1.1.")</f>
        <v>3.1.1.</v>
      </c>
      <c r="BH90" s="74" t="str">
        <f ca="1">IFERROR(__xludf.DUMMYFUNCTION("""COMPUTED_VALUE"""),"Мероприятие ЮЛ/ИП")</f>
        <v>Мероприятие ЮЛ/ИП</v>
      </c>
      <c r="BI90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0" s="73" t="str">
        <f ca="1">IFERROR(__xludf.DUMMYFUNCTION("""COMPUTED_VALUE"""),"Сера диоксид")</f>
        <v>Сера диоксид</v>
      </c>
      <c r="BK90" s="78">
        <f ca="1">IFERROR(__xludf.DUMMYFUNCTION("""COMPUTED_VALUE"""),1454.083)</f>
        <v>1454.0830000000001</v>
      </c>
      <c r="BL90" s="78">
        <f ca="1">IFERROR(__xludf.DUMMYFUNCTION("""COMPUTED_VALUE"""),2.36792179985656)</f>
        <v>2.36792179985656</v>
      </c>
      <c r="BM90" s="78">
        <f ca="1">IFERROR(__xludf.DUMMYFUNCTION("""COMPUTED_VALUE"""),1454.083)</f>
        <v>1454.0830000000001</v>
      </c>
      <c r="BN90" s="78">
        <f ca="1">IFERROR(__xludf.DUMMYFUNCTION("""COMPUTED_VALUE"""),2.36792179985656)</f>
        <v>2.36792179985656</v>
      </c>
      <c r="BO90" s="66"/>
      <c r="BP90" s="66"/>
    </row>
    <row r="91" spans="1:68" ht="39.6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/>
      <c r="AQ91" s="75"/>
      <c r="AR91" s="75"/>
      <c r="AS91" s="75"/>
      <c r="AT91" s="75"/>
      <c r="AU91" s="75"/>
      <c r="AV91" s="75"/>
      <c r="AW91" s="75"/>
      <c r="AX91" s="75"/>
      <c r="AY91" s="77"/>
      <c r="AZ91" s="75"/>
      <c r="BA91" s="77"/>
      <c r="BB91" s="66"/>
      <c r="BC91" s="4"/>
      <c r="BD91" s="67" t="str">
        <f ca="1">IFERROR(__xludf.DUMMYFUNCTION("""COMPUTED_VALUE"""),"Забайкальский край")</f>
        <v>Забайкальский край</v>
      </c>
      <c r="BE91" s="67" t="str">
        <f ca="1">IFERROR(__xludf.DUMMYFUNCTION("""COMPUTED_VALUE"""),"Чита")</f>
        <v>Чита</v>
      </c>
      <c r="BF91" s="68" t="str">
        <f ca="1">IFERROR(__xludf.DUMMYFUNCTION("""COMPUTED_VALUE"""),"ПАО ""ТГК-14""")</f>
        <v>ПАО "ТГК-14"</v>
      </c>
      <c r="BG91" s="69" t="str">
        <f ca="1">IFERROR(__xludf.DUMMYFUNCTION("""COMPUTED_VALUE"""),"3.1.1.")</f>
        <v>3.1.1.</v>
      </c>
      <c r="BH91" s="74" t="str">
        <f ca="1">IFERROR(__xludf.DUMMYFUNCTION("""COMPUTED_VALUE"""),"Мероприятие ЮЛ/ИП")</f>
        <v>Мероприятие ЮЛ/ИП</v>
      </c>
      <c r="BI91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1" s="73" t="str">
        <f ca="1">IFERROR(__xludf.DUMMYFUNCTION("""COMPUTED_VALUE"""),"Углерода оксид")</f>
        <v>Углерода оксид</v>
      </c>
      <c r="BK91" s="78">
        <f ca="1">IFERROR(__xludf.DUMMYFUNCTION("""COMPUTED_VALUE"""),128.51)</f>
        <v>128.51</v>
      </c>
      <c r="BL91" s="78">
        <f ca="1">IFERROR(__xludf.DUMMYFUNCTION("""COMPUTED_VALUE"""),0.209273906991256)</f>
        <v>0.209273906991256</v>
      </c>
      <c r="BM91" s="78">
        <f ca="1">IFERROR(__xludf.DUMMYFUNCTION("""COMPUTED_VALUE"""),128.51)</f>
        <v>128.51</v>
      </c>
      <c r="BN91" s="78">
        <f ca="1">IFERROR(__xludf.DUMMYFUNCTION("""COMPUTED_VALUE"""),0.209273906991256)</f>
        <v>0.209273906991256</v>
      </c>
      <c r="BO91" s="66"/>
      <c r="BP91" s="66"/>
    </row>
    <row r="92" spans="1:68" ht="39.6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/>
      <c r="AQ92" s="75"/>
      <c r="AR92" s="75"/>
      <c r="AS92" s="75"/>
      <c r="AT92" s="75"/>
      <c r="AU92" s="75"/>
      <c r="AV92" s="75"/>
      <c r="AW92" s="75"/>
      <c r="AX92" s="75"/>
      <c r="AY92" s="77"/>
      <c r="AZ92" s="75"/>
      <c r="BA92" s="77"/>
      <c r="BB92" s="66"/>
      <c r="BC92" s="4"/>
      <c r="BD92" s="67" t="str">
        <f ca="1">IFERROR(__xludf.DUMMYFUNCTION("""COMPUTED_VALUE"""),"Забайкальский край")</f>
        <v>Забайкальский край</v>
      </c>
      <c r="BE92" s="67" t="str">
        <f ca="1">IFERROR(__xludf.DUMMYFUNCTION("""COMPUTED_VALUE"""),"Чита")</f>
        <v>Чита</v>
      </c>
      <c r="BF92" s="68" t="str">
        <f ca="1">IFERROR(__xludf.DUMMYFUNCTION("""COMPUTED_VALUE"""),"ПАО ""ТГК-14""")</f>
        <v>ПАО "ТГК-14"</v>
      </c>
      <c r="BG92" s="69" t="str">
        <f ca="1">IFERROR(__xludf.DUMMYFUNCTION("""COMPUTED_VALUE"""),"3.1.2.")</f>
        <v>3.1.2.</v>
      </c>
      <c r="BH92" s="74" t="str">
        <f ca="1">IFERROR(__xludf.DUMMYFUNCTION("""COMPUTED_VALUE"""),"Мероприятие ЮЛ/ИП")</f>
        <v>Мероприятие ЮЛ/ИП</v>
      </c>
      <c r="BI92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2" s="73" t="str">
        <f ca="1">IFERROR(__xludf.DUMMYFUNCTION("""COMPUTED_VALUE"""),"Азота диоксид")</f>
        <v>Азота диоксид</v>
      </c>
      <c r="BK92" s="78">
        <f ca="1">IFERROR(__xludf.DUMMYFUNCTION("""COMPUTED_VALUE"""),-9.84)</f>
        <v>-9.84</v>
      </c>
      <c r="BL92" s="78">
        <f ca="1">IFERROR(__xludf.DUMMYFUNCTION("""COMPUTED_VALUE"""),-0.0160240856337558)</f>
        <v>-1.6024085633755802E-2</v>
      </c>
      <c r="BM92" s="78">
        <f ca="1">IFERROR(__xludf.DUMMYFUNCTION("""COMPUTED_VALUE"""),-9.84)</f>
        <v>-9.84</v>
      </c>
      <c r="BN92" s="78">
        <f ca="1">IFERROR(__xludf.DUMMYFUNCTION("""COMPUTED_VALUE"""),-0.0160240856337558)</f>
        <v>-1.6024085633755802E-2</v>
      </c>
      <c r="BO92" s="66"/>
      <c r="BP92" s="66"/>
    </row>
    <row r="93" spans="1:68" ht="39.6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/>
      <c r="AQ93" s="75"/>
      <c r="AR93" s="75"/>
      <c r="AS93" s="75"/>
      <c r="AT93" s="75"/>
      <c r="AU93" s="75"/>
      <c r="AV93" s="75"/>
      <c r="AW93" s="75"/>
      <c r="AX93" s="75"/>
      <c r="AY93" s="77"/>
      <c r="AZ93" s="75"/>
      <c r="BA93" s="77"/>
      <c r="BB93" s="66"/>
      <c r="BC93" s="4"/>
      <c r="BD93" s="67" t="str">
        <f ca="1">IFERROR(__xludf.DUMMYFUNCTION("""COMPUTED_VALUE"""),"Забайкальский край")</f>
        <v>Забайкальский край</v>
      </c>
      <c r="BE93" s="67" t="str">
        <f ca="1">IFERROR(__xludf.DUMMYFUNCTION("""COMPUTED_VALUE"""),"Чита")</f>
        <v>Чита</v>
      </c>
      <c r="BF93" s="68" t="str">
        <f ca="1">IFERROR(__xludf.DUMMYFUNCTION("""COMPUTED_VALUE"""),"ПАО ""ТГК-14""")</f>
        <v>ПАО "ТГК-14"</v>
      </c>
      <c r="BG93" s="69" t="str">
        <f ca="1">IFERROR(__xludf.DUMMYFUNCTION("""COMPUTED_VALUE"""),"3.1.2.")</f>
        <v>3.1.2.</v>
      </c>
      <c r="BH93" s="74" t="str">
        <f ca="1">IFERROR(__xludf.DUMMYFUNCTION("""COMPUTED_VALUE"""),"Мероприятие ЮЛ/ИП")</f>
        <v>Мероприятие ЮЛ/ИП</v>
      </c>
      <c r="BI93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3" s="73" t="str">
        <f ca="1">IFERROR(__xludf.DUMMYFUNCTION("""COMPUTED_VALUE"""),"Азот (II) оксид")</f>
        <v>Азот (II) оксид</v>
      </c>
      <c r="BK93" s="78">
        <f ca="1">IFERROR(__xludf.DUMMYFUNCTION("""COMPUTED_VALUE"""),-1.05)</f>
        <v>-1.05</v>
      </c>
      <c r="BL93" s="78">
        <f ca="1">IFERROR(__xludf.DUMMYFUNCTION("""COMPUTED_VALUE"""),-0.00170988718652882)</f>
        <v>-1.7098871865288199E-3</v>
      </c>
      <c r="BM93" s="78">
        <f ca="1">IFERROR(__xludf.DUMMYFUNCTION("""COMPUTED_VALUE"""),-1.05)</f>
        <v>-1.05</v>
      </c>
      <c r="BN93" s="78">
        <f ca="1">IFERROR(__xludf.DUMMYFUNCTION("""COMPUTED_VALUE"""),-0.00170988718652882)</f>
        <v>-1.7098871865288199E-3</v>
      </c>
      <c r="BO93" s="66"/>
      <c r="BP93" s="66"/>
    </row>
    <row r="94" spans="1:68" ht="39.6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/>
      <c r="AQ94" s="75"/>
      <c r="AR94" s="75"/>
      <c r="AS94" s="75"/>
      <c r="AT94" s="75"/>
      <c r="AU94" s="75"/>
      <c r="AV94" s="75"/>
      <c r="AW94" s="75"/>
      <c r="AX94" s="75"/>
      <c r="AY94" s="77"/>
      <c r="AZ94" s="75"/>
      <c r="BA94" s="77"/>
      <c r="BB94" s="66"/>
      <c r="BC94" s="4"/>
      <c r="BD94" s="67" t="str">
        <f ca="1">IFERROR(__xludf.DUMMYFUNCTION("""COMPUTED_VALUE"""),"Забайкальский край")</f>
        <v>Забайкальский край</v>
      </c>
      <c r="BE94" s="67" t="str">
        <f ca="1">IFERROR(__xludf.DUMMYFUNCTION("""COMPUTED_VALUE"""),"Чита")</f>
        <v>Чита</v>
      </c>
      <c r="BF94" s="68" t="str">
        <f ca="1">IFERROR(__xludf.DUMMYFUNCTION("""COMPUTED_VALUE"""),"ПАО ""ТГК-14""")</f>
        <v>ПАО "ТГК-14"</v>
      </c>
      <c r="BG94" s="69" t="str">
        <f ca="1">IFERROR(__xludf.DUMMYFUNCTION("""COMPUTED_VALUE"""),"3.1.2.")</f>
        <v>3.1.2.</v>
      </c>
      <c r="BH94" s="74" t="str">
        <f ca="1">IFERROR(__xludf.DUMMYFUNCTION("""COMPUTED_VALUE"""),"Мероприятие ЮЛ/ИП")</f>
        <v>Мероприятие ЮЛ/ИП</v>
      </c>
      <c r="BI94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4" s="73" t="str">
        <f ca="1">IFERROR(__xludf.DUMMYFUNCTION("""COMPUTED_VALUE"""),"Бенз/а/пирен")</f>
        <v>Бенз/а/пирен</v>
      </c>
      <c r="BK94" s="78">
        <f ca="1">IFERROR(__xludf.DUMMYFUNCTION("""COMPUTED_VALUE"""),0)</f>
        <v>0</v>
      </c>
      <c r="BL94" s="78">
        <f ca="1">IFERROR(__xludf.DUMMYFUNCTION("""COMPUTED_VALUE"""),0)</f>
        <v>0</v>
      </c>
      <c r="BM94" s="78">
        <f ca="1">IFERROR(__xludf.DUMMYFUNCTION("""COMPUTED_VALUE"""),0)</f>
        <v>0</v>
      </c>
      <c r="BN94" s="78">
        <f ca="1">IFERROR(__xludf.DUMMYFUNCTION("""COMPUTED_VALUE"""),0)</f>
        <v>0</v>
      </c>
      <c r="BO94" s="66"/>
      <c r="BP94" s="66"/>
    </row>
    <row r="95" spans="1:68" ht="39.6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/>
      <c r="AQ95" s="75"/>
      <c r="AR95" s="75"/>
      <c r="AS95" s="75"/>
      <c r="AT95" s="75"/>
      <c r="AU95" s="75"/>
      <c r="AV95" s="75"/>
      <c r="AW95" s="75"/>
      <c r="AX95" s="75"/>
      <c r="AY95" s="77"/>
      <c r="AZ95" s="75"/>
      <c r="BA95" s="77"/>
      <c r="BB95" s="66"/>
      <c r="BC95" s="4"/>
      <c r="BD95" s="67" t="str">
        <f ca="1">IFERROR(__xludf.DUMMYFUNCTION("""COMPUTED_VALUE"""),"Забайкальский край")</f>
        <v>Забайкальский край</v>
      </c>
      <c r="BE95" s="67" t="str">
        <f ca="1">IFERROR(__xludf.DUMMYFUNCTION("""COMPUTED_VALUE"""),"Чита")</f>
        <v>Чита</v>
      </c>
      <c r="BF95" s="68" t="str">
        <f ca="1">IFERROR(__xludf.DUMMYFUNCTION("""COMPUTED_VALUE"""),"ПАО ""ТГК-14""")</f>
        <v>ПАО "ТГК-14"</v>
      </c>
      <c r="BG95" s="69" t="str">
        <f ca="1">IFERROR(__xludf.DUMMYFUNCTION("""COMPUTED_VALUE"""),"3.1.2.")</f>
        <v>3.1.2.</v>
      </c>
      <c r="BH95" s="74" t="str">
        <f ca="1">IFERROR(__xludf.DUMMYFUNCTION("""COMPUTED_VALUE"""),"Мероприятие ЮЛ/ИП")</f>
        <v>Мероприятие ЮЛ/ИП</v>
      </c>
      <c r="BI95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95" s="78">
        <f ca="1">IFERROR(__xludf.DUMMYFUNCTION("""COMPUTED_VALUE"""),-53.26)</f>
        <v>-53.26</v>
      </c>
      <c r="BL95" s="78">
        <f ca="1">IFERROR(__xludf.DUMMYFUNCTION("""COMPUTED_VALUE"""),-0.0867319919566906)</f>
        <v>-8.6731991956690596E-2</v>
      </c>
      <c r="BM95" s="78">
        <f ca="1">IFERROR(__xludf.DUMMYFUNCTION("""COMPUTED_VALUE"""),-53.26)</f>
        <v>-53.26</v>
      </c>
      <c r="BN95" s="78">
        <f ca="1">IFERROR(__xludf.DUMMYFUNCTION("""COMPUTED_VALUE"""),-0.0867319919566906)</f>
        <v>-8.6731991956690596E-2</v>
      </c>
      <c r="BO95" s="66"/>
      <c r="BP95" s="66"/>
    </row>
    <row r="96" spans="1:68" ht="39.6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/>
      <c r="AQ96" s="75"/>
      <c r="AR96" s="75"/>
      <c r="AS96" s="75"/>
      <c r="AT96" s="75"/>
      <c r="AU96" s="75"/>
      <c r="AV96" s="75"/>
      <c r="AW96" s="75"/>
      <c r="AX96" s="75"/>
      <c r="AY96" s="77"/>
      <c r="AZ96" s="75"/>
      <c r="BA96" s="77"/>
      <c r="BB96" s="66"/>
      <c r="BC96" s="4"/>
      <c r="BD96" s="67" t="str">
        <f ca="1">IFERROR(__xludf.DUMMYFUNCTION("""COMPUTED_VALUE"""),"Забайкальский край")</f>
        <v>Забайкальский край</v>
      </c>
      <c r="BE96" s="67" t="str">
        <f ca="1">IFERROR(__xludf.DUMMYFUNCTION("""COMPUTED_VALUE"""),"Чита")</f>
        <v>Чита</v>
      </c>
      <c r="BF96" s="68" t="str">
        <f ca="1">IFERROR(__xludf.DUMMYFUNCTION("""COMPUTED_VALUE"""),"ПАО ""ТГК-14""")</f>
        <v>ПАО "ТГК-14"</v>
      </c>
      <c r="BG96" s="69" t="str">
        <f ca="1">IFERROR(__xludf.DUMMYFUNCTION("""COMPUTED_VALUE"""),"3.1.2.")</f>
        <v>3.1.2.</v>
      </c>
      <c r="BH96" s="74" t="str">
        <f ca="1">IFERROR(__xludf.DUMMYFUNCTION("""COMPUTED_VALUE"""),"Мероприятие ЮЛ/ИП")</f>
        <v>Мероприятие ЮЛ/ИП</v>
      </c>
      <c r="BI9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6" s="73" t="str">
        <f ca="1">IFERROR(__xludf.DUMMYFUNCTION("""COMPUTED_VALUE"""),"Сера диоксид")</f>
        <v>Сера диоксид</v>
      </c>
      <c r="BK96" s="78">
        <f ca="1">IFERROR(__xludf.DUMMYFUNCTION("""COMPUTED_VALUE"""),-33.58)</f>
        <v>-33.58</v>
      </c>
      <c r="BL96" s="78">
        <f ca="1">IFERROR(__xludf.DUMMYFUNCTION("""COMPUTED_VALUE"""),-0.0546838206891789)</f>
        <v>-5.4683820689178902E-2</v>
      </c>
      <c r="BM96" s="78">
        <f ca="1">IFERROR(__xludf.DUMMYFUNCTION("""COMPUTED_VALUE"""),-33.58)</f>
        <v>-33.58</v>
      </c>
      <c r="BN96" s="78">
        <f ca="1">IFERROR(__xludf.DUMMYFUNCTION("""COMPUTED_VALUE"""),-0.0546838206891789)</f>
        <v>-5.4683820689178902E-2</v>
      </c>
      <c r="BO96" s="66"/>
      <c r="BP96" s="66"/>
    </row>
    <row r="97" spans="1:68" ht="39.6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/>
      <c r="AQ97" s="75"/>
      <c r="AR97" s="75"/>
      <c r="AS97" s="75"/>
      <c r="AT97" s="75"/>
      <c r="AU97" s="75"/>
      <c r="AV97" s="75"/>
      <c r="AW97" s="75"/>
      <c r="AX97" s="75"/>
      <c r="AY97" s="77"/>
      <c r="AZ97" s="75"/>
      <c r="BA97" s="77"/>
      <c r="BB97" s="66"/>
      <c r="BC97" s="4"/>
      <c r="BD97" s="67" t="str">
        <f ca="1">IFERROR(__xludf.DUMMYFUNCTION("""COMPUTED_VALUE"""),"Забайкальский край")</f>
        <v>Забайкальский край</v>
      </c>
      <c r="BE97" s="67" t="str">
        <f ca="1">IFERROR(__xludf.DUMMYFUNCTION("""COMPUTED_VALUE"""),"Чита")</f>
        <v>Чита</v>
      </c>
      <c r="BF97" s="68" t="str">
        <f ca="1">IFERROR(__xludf.DUMMYFUNCTION("""COMPUTED_VALUE"""),"ПАО ""ТГК-14""")</f>
        <v>ПАО "ТГК-14"</v>
      </c>
      <c r="BG97" s="69" t="str">
        <f ca="1">IFERROR(__xludf.DUMMYFUNCTION("""COMPUTED_VALUE"""),"3.1.2.")</f>
        <v>3.1.2.</v>
      </c>
      <c r="BH97" s="74" t="str">
        <f ca="1">IFERROR(__xludf.DUMMYFUNCTION("""COMPUTED_VALUE"""),"Мероприятие ЮЛ/ИП")</f>
        <v>Мероприятие ЮЛ/ИП</v>
      </c>
      <c r="BI97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7" s="73" t="str">
        <f ca="1">IFERROR(__xludf.DUMMYFUNCTION("""COMPUTED_VALUE"""),"Углерода оксид")</f>
        <v>Углерода оксид</v>
      </c>
      <c r="BK97" s="78">
        <f ca="1">IFERROR(__xludf.DUMMYFUNCTION("""COMPUTED_VALUE"""),-8.79)</f>
        <v>-8.7899999999999991</v>
      </c>
      <c r="BL97" s="78">
        <f ca="1">IFERROR(__xludf.DUMMYFUNCTION("""COMPUTED_VALUE"""),-0.014314198447227)</f>
        <v>-1.4314198447227E-2</v>
      </c>
      <c r="BM97" s="78">
        <f ca="1">IFERROR(__xludf.DUMMYFUNCTION("""COMPUTED_VALUE"""),-8.79)</f>
        <v>-8.7899999999999991</v>
      </c>
      <c r="BN97" s="78">
        <f ca="1">IFERROR(__xludf.DUMMYFUNCTION("""COMPUTED_VALUE"""),-0.014314198447227)</f>
        <v>-1.4314198447227E-2</v>
      </c>
      <c r="BO97" s="66"/>
      <c r="BP97" s="66"/>
    </row>
    <row r="98" spans="1:68" ht="39.6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/>
      <c r="AQ98" s="75"/>
      <c r="AR98" s="75"/>
      <c r="AS98" s="75"/>
      <c r="AT98" s="75"/>
      <c r="AU98" s="75"/>
      <c r="AV98" s="75"/>
      <c r="AW98" s="75"/>
      <c r="AX98" s="75"/>
      <c r="AY98" s="77"/>
      <c r="AZ98" s="75"/>
      <c r="BA98" s="77"/>
      <c r="BB98" s="66"/>
      <c r="BC98" s="4"/>
      <c r="BD98" s="67" t="str">
        <f ca="1">IFERROR(__xludf.DUMMYFUNCTION("""COMPUTED_VALUE"""),"Забайкальский край")</f>
        <v>Забайкальский край</v>
      </c>
      <c r="BE98" s="67" t="str">
        <f ca="1">IFERROR(__xludf.DUMMYFUNCTION("""COMPUTED_VALUE"""),"Чита")</f>
        <v>Чита</v>
      </c>
      <c r="BF98" s="68" t="str">
        <f ca="1">IFERROR(__xludf.DUMMYFUNCTION("""COMPUTED_VALUE"""),"ПАО ""ТГК-14""")</f>
        <v>ПАО "ТГК-14"</v>
      </c>
      <c r="BG98" s="69" t="str">
        <f ca="1">IFERROR(__xludf.DUMMYFUNCTION("""COMPUTED_VALUE"""),"3.1.2.")</f>
        <v>3.1.2.</v>
      </c>
      <c r="BH98" s="74" t="str">
        <f ca="1">IFERROR(__xludf.DUMMYFUNCTION("""COMPUTED_VALUE"""),"Мероприятие ЮЛ/ИП")</f>
        <v>Мероприятие ЮЛ/ИП</v>
      </c>
      <c r="BI98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8" s="73" t="str">
        <f ca="1">IFERROR(__xludf.DUMMYFUNCTION("""COMPUTED_VALUE"""),"Углерод")</f>
        <v>Углерод</v>
      </c>
      <c r="BK98" s="78">
        <f ca="1">IFERROR(__xludf.DUMMYFUNCTION("""COMPUTED_VALUE"""),0)</f>
        <v>0</v>
      </c>
      <c r="BL98" s="78">
        <f ca="1">IFERROR(__xludf.DUMMYFUNCTION("""COMPUTED_VALUE"""),0)</f>
        <v>0</v>
      </c>
      <c r="BM98" s="78">
        <f ca="1">IFERROR(__xludf.DUMMYFUNCTION("""COMPUTED_VALUE"""),0)</f>
        <v>0</v>
      </c>
      <c r="BN98" s="78">
        <f ca="1">IFERROR(__xludf.DUMMYFUNCTION("""COMPUTED_VALUE"""),0)</f>
        <v>0</v>
      </c>
      <c r="BO98" s="66"/>
      <c r="BP98" s="66"/>
    </row>
    <row r="99" spans="1:68" ht="52.8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/>
      <c r="AQ99" s="75"/>
      <c r="AR99" s="75"/>
      <c r="AS99" s="75"/>
      <c r="AT99" s="75"/>
      <c r="AU99" s="75"/>
      <c r="AV99" s="75"/>
      <c r="AW99" s="75"/>
      <c r="AX99" s="75"/>
      <c r="AY99" s="77"/>
      <c r="AZ99" s="75"/>
      <c r="BA99" s="77"/>
      <c r="BB99" s="66"/>
      <c r="BC99" s="4"/>
      <c r="BD99" s="67" t="str">
        <f ca="1">IFERROR(__xludf.DUMMYFUNCTION("""COMPUTED_VALUE"""),"Забайкальский край")</f>
        <v>Забайкальский край</v>
      </c>
      <c r="BE99" s="67" t="str">
        <f ca="1">IFERROR(__xludf.DUMMYFUNCTION("""COMPUTED_VALUE"""),"Чита")</f>
        <v>Чита</v>
      </c>
      <c r="BF99" s="68" t="str">
        <f ca="1">IFERROR(__xludf.DUMMYFUNCTION("""COMPUTED_VALUE"""),"ПАО ""ТГК-14""")</f>
        <v>ПАО "ТГК-14"</v>
      </c>
      <c r="BG99" s="69" t="str">
        <f ca="1">IFERROR(__xludf.DUMMYFUNCTION("""COMPUTED_VALUE"""),"3.1.3.")</f>
        <v>3.1.3.</v>
      </c>
      <c r="BH99" s="74" t="str">
        <f ca="1">IFERROR(__xludf.DUMMYFUNCTION("""COMPUTED_VALUE"""),"Мероприятие ЮЛ/ИП")</f>
        <v>Мероприятие ЮЛ/ИП</v>
      </c>
      <c r="BI99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99" s="73" t="str">
        <f ca="1">IFERROR(__xludf.DUMMYFUNCTION("""COMPUTED_VALUE"""),"Азота диоксид")</f>
        <v>Азота диоксид</v>
      </c>
      <c r="BK99" s="78">
        <f ca="1">IFERROR(__xludf.DUMMYFUNCTION("""COMPUTED_VALUE"""),16.7)</f>
        <v>16.7</v>
      </c>
      <c r="BL99" s="78">
        <f ca="1">IFERROR(__xludf.DUMMYFUNCTION("""COMPUTED_VALUE"""),0.0271953485857441)</f>
        <v>2.71953485857441E-2</v>
      </c>
      <c r="BM99" s="78">
        <f ca="1">IFERROR(__xludf.DUMMYFUNCTION("""COMPUTED_VALUE"""),16.7)</f>
        <v>16.7</v>
      </c>
      <c r="BN99" s="78">
        <f ca="1">IFERROR(__xludf.DUMMYFUNCTION("""COMPUTED_VALUE"""),0.0271953485857441)</f>
        <v>2.71953485857441E-2</v>
      </c>
      <c r="BO99" s="66"/>
      <c r="BP99" s="66"/>
    </row>
    <row r="100" spans="1:68" ht="52.8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/>
      <c r="AQ100" s="75"/>
      <c r="AR100" s="75"/>
      <c r="AS100" s="75"/>
      <c r="AT100" s="75"/>
      <c r="AU100" s="75"/>
      <c r="AV100" s="75"/>
      <c r="AW100" s="75"/>
      <c r="AX100" s="75"/>
      <c r="AY100" s="77"/>
      <c r="AZ100" s="75"/>
      <c r="BA100" s="77"/>
      <c r="BB100" s="66"/>
      <c r="BC100" s="4"/>
      <c r="BD100" s="67" t="str">
        <f ca="1">IFERROR(__xludf.DUMMYFUNCTION("""COMPUTED_VALUE"""),"Забайкальский край")</f>
        <v>Забайкальский край</v>
      </c>
      <c r="BE100" s="67" t="str">
        <f ca="1">IFERROR(__xludf.DUMMYFUNCTION("""COMPUTED_VALUE"""),"Чита")</f>
        <v>Чита</v>
      </c>
      <c r="BF100" s="68" t="str">
        <f ca="1">IFERROR(__xludf.DUMMYFUNCTION("""COMPUTED_VALUE"""),"ПАО ""ТГК-14""")</f>
        <v>ПАО "ТГК-14"</v>
      </c>
      <c r="BG100" s="69" t="str">
        <f ca="1">IFERROR(__xludf.DUMMYFUNCTION("""COMPUTED_VALUE"""),"3.1.3.")</f>
        <v>3.1.3.</v>
      </c>
      <c r="BH100" s="74" t="str">
        <f ca="1">IFERROR(__xludf.DUMMYFUNCTION("""COMPUTED_VALUE"""),"Мероприятие ЮЛ/ИП")</f>
        <v>Мероприятие ЮЛ/ИП</v>
      </c>
      <c r="BI100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0" s="73" t="str">
        <f ca="1">IFERROR(__xludf.DUMMYFUNCTION("""COMPUTED_VALUE"""),"Азот (II) оксид")</f>
        <v>Азот (II) оксид</v>
      </c>
      <c r="BK100" s="78">
        <f ca="1">IFERROR(__xludf.DUMMYFUNCTION("""COMPUTED_VALUE"""),2.505)</f>
        <v>2.5049999999999999</v>
      </c>
      <c r="BL100" s="78">
        <f ca="1">IFERROR(__xludf.DUMMYFUNCTION("""COMPUTED_VALUE"""),0.00407930228786162)</f>
        <v>4.0793022878616199E-3</v>
      </c>
      <c r="BM100" s="78">
        <f ca="1">IFERROR(__xludf.DUMMYFUNCTION("""COMPUTED_VALUE"""),2.505)</f>
        <v>2.5049999999999999</v>
      </c>
      <c r="BN100" s="78">
        <f ca="1">IFERROR(__xludf.DUMMYFUNCTION("""COMPUTED_VALUE"""),0.00407930228786162)</f>
        <v>4.0793022878616199E-3</v>
      </c>
      <c r="BO100" s="66"/>
      <c r="BP100" s="66"/>
    </row>
    <row r="101" spans="1:68" ht="52.8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/>
      <c r="AQ101" s="75"/>
      <c r="AR101" s="75"/>
      <c r="AS101" s="75"/>
      <c r="AT101" s="75"/>
      <c r="AU101" s="75"/>
      <c r="AV101" s="75"/>
      <c r="AW101" s="75"/>
      <c r="AX101" s="75"/>
      <c r="AY101" s="77"/>
      <c r="AZ101" s="75"/>
      <c r="BA101" s="77"/>
      <c r="BB101" s="66"/>
      <c r="BC101" s="4"/>
      <c r="BD101" s="67" t="str">
        <f ca="1">IFERROR(__xludf.DUMMYFUNCTION("""COMPUTED_VALUE"""),"Забайкальский край")</f>
        <v>Забайкальский край</v>
      </c>
      <c r="BE101" s="67" t="str">
        <f ca="1">IFERROR(__xludf.DUMMYFUNCTION("""COMPUTED_VALUE"""),"Чита")</f>
        <v>Чита</v>
      </c>
      <c r="BF101" s="68" t="str">
        <f ca="1">IFERROR(__xludf.DUMMYFUNCTION("""COMPUTED_VALUE"""),"ПАО ""ТГК-14""")</f>
        <v>ПАО "ТГК-14"</v>
      </c>
      <c r="BG101" s="69" t="str">
        <f ca="1">IFERROR(__xludf.DUMMYFUNCTION("""COMPUTED_VALUE"""),"3.1.3.")</f>
        <v>3.1.3.</v>
      </c>
      <c r="BH101" s="74" t="str">
        <f ca="1">IFERROR(__xludf.DUMMYFUNCTION("""COMPUTED_VALUE"""),"Мероприятие ЮЛ/ИП")</f>
        <v>Мероприятие ЮЛ/ИП</v>
      </c>
      <c r="BI101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1" s="73" t="str">
        <f ca="1">IFERROR(__xludf.DUMMYFUNCTION("""COMPUTED_VALUE"""),"Бенз/а/пирен")</f>
        <v>Бенз/а/пирен</v>
      </c>
      <c r="BK101" s="78">
        <f ca="1">IFERROR(__xludf.DUMMYFUNCTION("""COMPUTED_VALUE"""),0.00007)</f>
        <v>6.9999999999999994E-5</v>
      </c>
      <c r="BL101" s="78">
        <f ca="1">IFERROR(__xludf.DUMMYFUNCTION("""COMPUTED_VALUE"""),1.13992479101921E-07)</f>
        <v>1.13992479101921E-7</v>
      </c>
      <c r="BM101" s="78">
        <f ca="1">IFERROR(__xludf.DUMMYFUNCTION("""COMPUTED_VALUE"""),0.00007)</f>
        <v>6.9999999999999994E-5</v>
      </c>
      <c r="BN101" s="78">
        <f ca="1">IFERROR(__xludf.DUMMYFUNCTION("""COMPUTED_VALUE"""),1.13992479101921E-07)</f>
        <v>1.13992479101921E-7</v>
      </c>
      <c r="BO101" s="66"/>
      <c r="BP101" s="66"/>
    </row>
    <row r="102" spans="1:68" ht="52.8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/>
      <c r="AQ102" s="75"/>
      <c r="AR102" s="75"/>
      <c r="AS102" s="75"/>
      <c r="AT102" s="75"/>
      <c r="AU102" s="75"/>
      <c r="AV102" s="75"/>
      <c r="AW102" s="75"/>
      <c r="AX102" s="75"/>
      <c r="AY102" s="77"/>
      <c r="AZ102" s="75"/>
      <c r="BA102" s="77"/>
      <c r="BB102" s="66"/>
      <c r="BC102" s="4"/>
      <c r="BD102" s="67" t="str">
        <f ca="1">IFERROR(__xludf.DUMMYFUNCTION("""COMPUTED_VALUE"""),"Забайкальский край")</f>
        <v>Забайкальский край</v>
      </c>
      <c r="BE102" s="67" t="str">
        <f ca="1">IFERROR(__xludf.DUMMYFUNCTION("""COMPUTED_VALUE"""),"Чита")</f>
        <v>Чита</v>
      </c>
      <c r="BF102" s="68" t="str">
        <f ca="1">IFERROR(__xludf.DUMMYFUNCTION("""COMPUTED_VALUE"""),"ПАО ""ТГК-14""")</f>
        <v>ПАО "ТГК-14"</v>
      </c>
      <c r="BG102" s="69" t="str">
        <f ca="1">IFERROR(__xludf.DUMMYFUNCTION("""COMPUTED_VALUE"""),"3.1.3.")</f>
        <v>3.1.3.</v>
      </c>
      <c r="BH102" s="74" t="str">
        <f ca="1">IFERROR(__xludf.DUMMYFUNCTION("""COMPUTED_VALUE"""),"Мероприятие ЮЛ/ИП")</f>
        <v>Мероприятие ЮЛ/ИП</v>
      </c>
      <c r="BI102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2" s="78">
        <f ca="1">IFERROR(__xludf.DUMMYFUNCTION("""COMPUTED_VALUE"""),11.699)</f>
        <v>11.699</v>
      </c>
      <c r="BL102" s="78">
        <f ca="1">IFERROR(__xludf.DUMMYFUNCTION("""COMPUTED_VALUE"""),0.0190514001859054)</f>
        <v>1.9051400185905398E-2</v>
      </c>
      <c r="BM102" s="78">
        <f ca="1">IFERROR(__xludf.DUMMYFUNCTION("""COMPUTED_VALUE"""),11.699)</f>
        <v>11.699</v>
      </c>
      <c r="BN102" s="78">
        <f ca="1">IFERROR(__xludf.DUMMYFUNCTION("""COMPUTED_VALUE"""),0.0190514001859054)</f>
        <v>1.9051400185905398E-2</v>
      </c>
      <c r="BO102" s="66"/>
      <c r="BP102" s="66"/>
    </row>
    <row r="103" spans="1:68" ht="52.8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/>
      <c r="AQ103" s="75"/>
      <c r="AR103" s="75"/>
      <c r="AS103" s="75"/>
      <c r="AT103" s="75"/>
      <c r="AU103" s="75"/>
      <c r="AV103" s="75"/>
      <c r="AW103" s="75"/>
      <c r="AX103" s="75"/>
      <c r="AY103" s="77"/>
      <c r="AZ103" s="75"/>
      <c r="BA103" s="77"/>
      <c r="BB103" s="66"/>
      <c r="BC103" s="4"/>
      <c r="BD103" s="67" t="str">
        <f ca="1">IFERROR(__xludf.DUMMYFUNCTION("""COMPUTED_VALUE"""),"Забайкальский край")</f>
        <v>Забайкальский край</v>
      </c>
      <c r="BE103" s="67" t="str">
        <f ca="1">IFERROR(__xludf.DUMMYFUNCTION("""COMPUTED_VALUE"""),"Чита")</f>
        <v>Чита</v>
      </c>
      <c r="BF103" s="68" t="str">
        <f ca="1">IFERROR(__xludf.DUMMYFUNCTION("""COMPUTED_VALUE"""),"ПАО ""ТГК-14""")</f>
        <v>ПАО "ТГК-14"</v>
      </c>
      <c r="BG103" s="69" t="str">
        <f ca="1">IFERROR(__xludf.DUMMYFUNCTION("""COMPUTED_VALUE"""),"3.1.3.")</f>
        <v>3.1.3.</v>
      </c>
      <c r="BH103" s="74" t="str">
        <f ca="1">IFERROR(__xludf.DUMMYFUNCTION("""COMPUTED_VALUE"""),"Мероприятие ЮЛ/ИП")</f>
        <v>Мероприятие ЮЛ/ИП</v>
      </c>
      <c r="BI103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3" s="73" t="str">
        <f ca="1">IFERROR(__xludf.DUMMYFUNCTION("""COMPUTED_VALUE"""),"Сера диоксид")</f>
        <v>Сера диоксид</v>
      </c>
      <c r="BK103" s="78">
        <f ca="1">IFERROR(__xludf.DUMMYFUNCTION("""COMPUTED_VALUE"""),12.525)</f>
        <v>12.525</v>
      </c>
      <c r="BL103" s="78">
        <f ca="1">IFERROR(__xludf.DUMMYFUNCTION("""COMPUTED_VALUE"""),0.0203965114393081)</f>
        <v>2.0396511439308099E-2</v>
      </c>
      <c r="BM103" s="78">
        <f ca="1">IFERROR(__xludf.DUMMYFUNCTION("""COMPUTED_VALUE"""),12.525)</f>
        <v>12.525</v>
      </c>
      <c r="BN103" s="78">
        <f ca="1">IFERROR(__xludf.DUMMYFUNCTION("""COMPUTED_VALUE"""),0.0203965114393081)</f>
        <v>2.0396511439308099E-2</v>
      </c>
      <c r="BO103" s="66"/>
      <c r="BP103" s="66"/>
    </row>
    <row r="104" spans="1:68" ht="52.8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/>
      <c r="AQ104" s="75"/>
      <c r="AR104" s="75"/>
      <c r="AS104" s="75"/>
      <c r="AT104" s="75"/>
      <c r="AU104" s="75"/>
      <c r="AV104" s="75"/>
      <c r="AW104" s="75"/>
      <c r="AX104" s="75"/>
      <c r="AY104" s="77"/>
      <c r="AZ104" s="75"/>
      <c r="BA104" s="77"/>
      <c r="BB104" s="66"/>
      <c r="BC104" s="4"/>
      <c r="BD104" s="67" t="str">
        <f ca="1">IFERROR(__xludf.DUMMYFUNCTION("""COMPUTED_VALUE"""),"Забайкальский край")</f>
        <v>Забайкальский край</v>
      </c>
      <c r="BE104" s="67" t="str">
        <f ca="1">IFERROR(__xludf.DUMMYFUNCTION("""COMPUTED_VALUE"""),"Чита")</f>
        <v>Чита</v>
      </c>
      <c r="BF104" s="68" t="str">
        <f ca="1">IFERROR(__xludf.DUMMYFUNCTION("""COMPUTED_VALUE"""),"ПАО ""ТГК-14""")</f>
        <v>ПАО "ТГК-14"</v>
      </c>
      <c r="BG104" s="69" t="str">
        <f ca="1">IFERROR(__xludf.DUMMYFUNCTION("""COMPUTED_VALUE"""),"3.1.3.")</f>
        <v>3.1.3.</v>
      </c>
      <c r="BH104" s="74" t="str">
        <f ca="1">IFERROR(__xludf.DUMMYFUNCTION("""COMPUTED_VALUE"""),"Мероприятие ЮЛ/ИП")</f>
        <v>Мероприятие ЮЛ/ИП</v>
      </c>
      <c r="BI104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4" s="73" t="str">
        <f ca="1">IFERROR(__xludf.DUMMYFUNCTION("""COMPUTED_VALUE"""),"Углерода оксид")</f>
        <v>Углерода оксид</v>
      </c>
      <c r="BK104" s="78">
        <f ca="1">IFERROR(__xludf.DUMMYFUNCTION("""COMPUTED_VALUE"""),111.89)</f>
        <v>111.89</v>
      </c>
      <c r="BL104" s="78">
        <f ca="1">IFERROR(__xludf.DUMMYFUNCTION("""COMPUTED_VALUE"""),0.182208835524485)</f>
        <v>0.182208835524485</v>
      </c>
      <c r="BM104" s="78">
        <f ca="1">IFERROR(__xludf.DUMMYFUNCTION("""COMPUTED_VALUE"""),111.89)</f>
        <v>111.89</v>
      </c>
      <c r="BN104" s="78">
        <f ca="1">IFERROR(__xludf.DUMMYFUNCTION("""COMPUTED_VALUE"""),0.182208835524485)</f>
        <v>0.182208835524485</v>
      </c>
      <c r="BO104" s="66"/>
      <c r="BP104" s="66"/>
    </row>
    <row r="105" spans="1:68" ht="52.8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/>
      <c r="AQ105" s="75"/>
      <c r="AR105" s="75"/>
      <c r="AS105" s="75"/>
      <c r="AT105" s="75"/>
      <c r="AU105" s="75"/>
      <c r="AV105" s="75"/>
      <c r="AW105" s="75"/>
      <c r="AX105" s="75"/>
      <c r="AY105" s="77"/>
      <c r="AZ105" s="75"/>
      <c r="BA105" s="77"/>
      <c r="BB105" s="66"/>
      <c r="BC105" s="4"/>
      <c r="BD105" s="67" t="str">
        <f ca="1">IFERROR(__xludf.DUMMYFUNCTION("""COMPUTED_VALUE"""),"Забайкальский край")</f>
        <v>Забайкальский край</v>
      </c>
      <c r="BE105" s="67" t="str">
        <f ca="1">IFERROR(__xludf.DUMMYFUNCTION("""COMPUTED_VALUE"""),"Чита")</f>
        <v>Чита</v>
      </c>
      <c r="BF105" s="68" t="str">
        <f ca="1">IFERROR(__xludf.DUMMYFUNCTION("""COMPUTED_VALUE"""),"ПАО ""ТГК-14""")</f>
        <v>ПАО "ТГК-14"</v>
      </c>
      <c r="BG105" s="69" t="str">
        <f ca="1">IFERROR(__xludf.DUMMYFUNCTION("""COMPUTED_VALUE"""),"3.1.3.")</f>
        <v>3.1.3.</v>
      </c>
      <c r="BH105" s="74" t="str">
        <f ca="1">IFERROR(__xludf.DUMMYFUNCTION("""COMPUTED_VALUE"""),"Мероприятие ЮЛ/ИП")</f>
        <v>Мероприятие ЮЛ/ИП</v>
      </c>
      <c r="BI105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5" s="73" t="str">
        <f ca="1">IFERROR(__xludf.DUMMYFUNCTION("""COMPUTED_VALUE"""),"Углерод")</f>
        <v>Углерод</v>
      </c>
      <c r="BK105" s="78">
        <f ca="1">IFERROR(__xludf.DUMMYFUNCTION("""COMPUTED_VALUE"""),11.69)</f>
        <v>11.69</v>
      </c>
      <c r="BL105" s="78">
        <f ca="1">IFERROR(__xludf.DUMMYFUNCTION("""COMPUTED_VALUE"""),0.0190367440100209)</f>
        <v>1.9036744010020899E-2</v>
      </c>
      <c r="BM105" s="78">
        <f ca="1">IFERROR(__xludf.DUMMYFUNCTION("""COMPUTED_VALUE"""),11.69)</f>
        <v>11.69</v>
      </c>
      <c r="BN105" s="78">
        <f ca="1">IFERROR(__xludf.DUMMYFUNCTION("""COMPUTED_VALUE"""),0.0190367440100209)</f>
        <v>1.9036744010020899E-2</v>
      </c>
      <c r="BO105" s="66"/>
      <c r="BP105" s="66"/>
    </row>
    <row r="106" spans="1:68" ht="52.8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/>
      <c r="AQ106" s="75"/>
      <c r="AR106" s="75"/>
      <c r="AS106" s="75"/>
      <c r="AT106" s="75"/>
      <c r="AU106" s="75"/>
      <c r="AV106" s="75"/>
      <c r="AW106" s="75"/>
      <c r="AX106" s="75"/>
      <c r="AY106" s="77"/>
      <c r="AZ106" s="75"/>
      <c r="BA106" s="77"/>
      <c r="BB106" s="66"/>
      <c r="BC106" s="4"/>
      <c r="BD106" s="67" t="str">
        <f ca="1">IFERROR(__xludf.DUMMYFUNCTION("""COMPUTED_VALUE"""),"Забайкальский край")</f>
        <v>Забайкальский край</v>
      </c>
      <c r="BE106" s="67" t="str">
        <f ca="1">IFERROR(__xludf.DUMMYFUNCTION("""COMPUTED_VALUE"""),"Чита")</f>
        <v>Чита</v>
      </c>
      <c r="BF106" s="68" t="str">
        <f ca="1">IFERROR(__xludf.DUMMYFUNCTION("""COMPUTED_VALUE"""),"ПАО ""ТГК-14""")</f>
        <v>ПАО "ТГК-14"</v>
      </c>
      <c r="BG106" s="69" t="str">
        <f ca="1">IFERROR(__xludf.DUMMYFUNCTION("""COMPUTED_VALUE"""),"3.1.4.")</f>
        <v>3.1.4.</v>
      </c>
      <c r="BH106" s="74" t="str">
        <f ca="1">IFERROR(__xludf.DUMMYFUNCTION("""COMPUTED_VALUE"""),"Мероприятие ЮЛ/ИП")</f>
        <v>Мероприятие ЮЛ/ИП</v>
      </c>
      <c r="BI106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6" s="73" t="str">
        <f ca="1">IFERROR(__xludf.DUMMYFUNCTION("""COMPUTED_VALUE"""),"Азота диоксид")</f>
        <v>Азота диоксид</v>
      </c>
      <c r="BK106" s="78">
        <f ca="1">IFERROR(__xludf.DUMMYFUNCTION("""COMPUTED_VALUE"""),7.67)</f>
        <v>7.67</v>
      </c>
      <c r="BL106" s="78">
        <f ca="1">IFERROR(__xludf.DUMMYFUNCTION("""COMPUTED_VALUE"""),0.0124903187815962)</f>
        <v>1.2490318781596199E-2</v>
      </c>
      <c r="BM106" s="78">
        <f ca="1">IFERROR(__xludf.DUMMYFUNCTION("""COMPUTED_VALUE"""),7.67)</f>
        <v>7.67</v>
      </c>
      <c r="BN106" s="78">
        <f ca="1">IFERROR(__xludf.DUMMYFUNCTION("""COMPUTED_VALUE"""),0.0124903187815962)</f>
        <v>1.2490318781596199E-2</v>
      </c>
      <c r="BO106" s="66"/>
      <c r="BP106" s="66"/>
    </row>
    <row r="107" spans="1:68" ht="52.8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/>
      <c r="AQ107" s="75"/>
      <c r="AR107" s="75"/>
      <c r="AS107" s="75"/>
      <c r="AT107" s="75"/>
      <c r="AU107" s="75"/>
      <c r="AV107" s="75"/>
      <c r="AW107" s="75"/>
      <c r="AX107" s="75"/>
      <c r="AY107" s="77"/>
      <c r="AZ107" s="75"/>
      <c r="BA107" s="77"/>
      <c r="BB107" s="66"/>
      <c r="BC107" s="4"/>
      <c r="BD107" s="67" t="str">
        <f ca="1">IFERROR(__xludf.DUMMYFUNCTION("""COMPUTED_VALUE"""),"Забайкальский край")</f>
        <v>Забайкальский край</v>
      </c>
      <c r="BE107" s="67" t="str">
        <f ca="1">IFERROR(__xludf.DUMMYFUNCTION("""COMPUTED_VALUE"""),"Чита")</f>
        <v>Чита</v>
      </c>
      <c r="BF107" s="68" t="str">
        <f ca="1">IFERROR(__xludf.DUMMYFUNCTION("""COMPUTED_VALUE"""),"ПАО ""ТГК-14""")</f>
        <v>ПАО "ТГК-14"</v>
      </c>
      <c r="BG107" s="69" t="str">
        <f ca="1">IFERROR(__xludf.DUMMYFUNCTION("""COMPUTED_VALUE"""),"3.1.4.")</f>
        <v>3.1.4.</v>
      </c>
      <c r="BH107" s="74" t="str">
        <f ca="1">IFERROR(__xludf.DUMMYFUNCTION("""COMPUTED_VALUE"""),"Мероприятие ЮЛ/ИП")</f>
        <v>Мероприятие ЮЛ/ИП</v>
      </c>
      <c r="BI107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7" s="73" t="str">
        <f ca="1">IFERROR(__xludf.DUMMYFUNCTION("""COMPUTED_VALUE"""),"Азот (II) оксид")</f>
        <v>Азот (II) оксид</v>
      </c>
      <c r="BK107" s="78">
        <f ca="1">IFERROR(__xludf.DUMMYFUNCTION("""COMPUTED_VALUE"""),1.21)</f>
        <v>1.21</v>
      </c>
      <c r="BL107" s="78">
        <f ca="1">IFERROR(__xludf.DUMMYFUNCTION("""COMPUTED_VALUE"""),0.00197044142447607)</f>
        <v>1.97044142447607E-3</v>
      </c>
      <c r="BM107" s="78">
        <f ca="1">IFERROR(__xludf.DUMMYFUNCTION("""COMPUTED_VALUE"""),1.21)</f>
        <v>1.21</v>
      </c>
      <c r="BN107" s="78">
        <f ca="1">IFERROR(__xludf.DUMMYFUNCTION("""COMPUTED_VALUE"""),0.00197044142447607)</f>
        <v>1.97044142447607E-3</v>
      </c>
      <c r="BO107" s="66"/>
      <c r="BP107" s="66"/>
    </row>
    <row r="108" spans="1:68" ht="52.8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/>
      <c r="AQ108" s="75"/>
      <c r="AR108" s="75"/>
      <c r="AS108" s="75"/>
      <c r="AT108" s="75"/>
      <c r="AU108" s="75"/>
      <c r="AV108" s="75"/>
      <c r="AW108" s="75"/>
      <c r="AX108" s="75"/>
      <c r="AY108" s="77"/>
      <c r="AZ108" s="75"/>
      <c r="BA108" s="77"/>
      <c r="BB108" s="66"/>
      <c r="BC108" s="4"/>
      <c r="BD108" s="67" t="str">
        <f ca="1">IFERROR(__xludf.DUMMYFUNCTION("""COMPUTED_VALUE"""),"Забайкальский край")</f>
        <v>Забайкальский край</v>
      </c>
      <c r="BE108" s="67" t="str">
        <f ca="1">IFERROR(__xludf.DUMMYFUNCTION("""COMPUTED_VALUE"""),"Чита")</f>
        <v>Чита</v>
      </c>
      <c r="BF108" s="68" t="str">
        <f ca="1">IFERROR(__xludf.DUMMYFUNCTION("""COMPUTED_VALUE"""),"ПАО ""ТГК-14""")</f>
        <v>ПАО "ТГК-14"</v>
      </c>
      <c r="BG108" s="69" t="str">
        <f ca="1">IFERROR(__xludf.DUMMYFUNCTION("""COMPUTED_VALUE"""),"3.1.4.")</f>
        <v>3.1.4.</v>
      </c>
      <c r="BH108" s="74" t="str">
        <f ca="1">IFERROR(__xludf.DUMMYFUNCTION("""COMPUTED_VALUE"""),"Мероприятие ЮЛ/ИП")</f>
        <v>Мероприятие ЮЛ/ИП</v>
      </c>
      <c r="BI10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8" s="73" t="str">
        <f ca="1">IFERROR(__xludf.DUMMYFUNCTION("""COMPUTED_VALUE"""),"Бенз/а/пирен")</f>
        <v>Бенз/а/пирен</v>
      </c>
      <c r="BK108" s="78">
        <f ca="1">IFERROR(__xludf.DUMMYFUNCTION("""COMPUTED_VALUE"""),0.00007)</f>
        <v>6.9999999999999994E-5</v>
      </c>
      <c r="BL108" s="78">
        <f ca="1">IFERROR(__xludf.DUMMYFUNCTION("""COMPUTED_VALUE"""),1.13992479101921E-07)</f>
        <v>1.13992479101921E-7</v>
      </c>
      <c r="BM108" s="78">
        <f ca="1">IFERROR(__xludf.DUMMYFUNCTION("""COMPUTED_VALUE"""),0.00007)</f>
        <v>6.9999999999999994E-5</v>
      </c>
      <c r="BN108" s="78">
        <f ca="1">IFERROR(__xludf.DUMMYFUNCTION("""COMPUTED_VALUE"""),1.13992479101921E-07)</f>
        <v>1.13992479101921E-7</v>
      </c>
      <c r="BO108" s="66"/>
      <c r="BP108" s="66"/>
    </row>
    <row r="109" spans="1:68" ht="52.8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/>
      <c r="AQ109" s="75"/>
      <c r="AR109" s="75"/>
      <c r="AS109" s="75"/>
      <c r="AT109" s="75"/>
      <c r="AU109" s="75"/>
      <c r="AV109" s="75"/>
      <c r="AW109" s="75"/>
      <c r="AX109" s="75"/>
      <c r="AY109" s="77"/>
      <c r="AZ109" s="75"/>
      <c r="BA109" s="77"/>
      <c r="BB109" s="66"/>
      <c r="BC109" s="4"/>
      <c r="BD109" s="67" t="str">
        <f ca="1">IFERROR(__xludf.DUMMYFUNCTION("""COMPUTED_VALUE"""),"Забайкальский край")</f>
        <v>Забайкальский край</v>
      </c>
      <c r="BE109" s="67" t="str">
        <f ca="1">IFERROR(__xludf.DUMMYFUNCTION("""COMPUTED_VALUE"""),"Чита")</f>
        <v>Чита</v>
      </c>
      <c r="BF109" s="68" t="str">
        <f ca="1">IFERROR(__xludf.DUMMYFUNCTION("""COMPUTED_VALUE"""),"ПАО ""ТГК-14""")</f>
        <v>ПАО "ТГК-14"</v>
      </c>
      <c r="BG109" s="69" t="str">
        <f ca="1">IFERROR(__xludf.DUMMYFUNCTION("""COMPUTED_VALUE"""),"3.1.4.")</f>
        <v>3.1.4.</v>
      </c>
      <c r="BH109" s="74" t="str">
        <f ca="1">IFERROR(__xludf.DUMMYFUNCTION("""COMPUTED_VALUE"""),"Мероприятие ЮЛ/ИП")</f>
        <v>Мероприятие ЮЛ/ИП</v>
      </c>
      <c r="BI109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9" s="78">
        <f ca="1">IFERROR(__xludf.DUMMYFUNCTION("""COMPUTED_VALUE"""),7.289)</f>
        <v>7.2889999999999997</v>
      </c>
      <c r="BL109" s="78">
        <f ca="1">IFERROR(__xludf.DUMMYFUNCTION("""COMPUTED_VALUE"""),0.0118698740024843)</f>
        <v>1.18698740024843E-2</v>
      </c>
      <c r="BM109" s="78">
        <f ca="1">IFERROR(__xludf.DUMMYFUNCTION("""COMPUTED_VALUE"""),7.289)</f>
        <v>7.2889999999999997</v>
      </c>
      <c r="BN109" s="78">
        <f ca="1">IFERROR(__xludf.DUMMYFUNCTION("""COMPUTED_VALUE"""),0.0118698740024843)</f>
        <v>1.18698740024843E-2</v>
      </c>
      <c r="BO109" s="66"/>
      <c r="BP109" s="66"/>
    </row>
    <row r="110" spans="1:68" ht="52.8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/>
      <c r="AQ110" s="75"/>
      <c r="AR110" s="75"/>
      <c r="AS110" s="75"/>
      <c r="AT110" s="75"/>
      <c r="AU110" s="75"/>
      <c r="AV110" s="75"/>
      <c r="AW110" s="75"/>
      <c r="AX110" s="75"/>
      <c r="AY110" s="77"/>
      <c r="AZ110" s="75"/>
      <c r="BA110" s="77"/>
      <c r="BB110" s="66"/>
      <c r="BC110" s="4"/>
      <c r="BD110" s="67" t="str">
        <f ca="1">IFERROR(__xludf.DUMMYFUNCTION("""COMPUTED_VALUE"""),"Забайкальский край")</f>
        <v>Забайкальский край</v>
      </c>
      <c r="BE110" s="67" t="str">
        <f ca="1">IFERROR(__xludf.DUMMYFUNCTION("""COMPUTED_VALUE"""),"Чита")</f>
        <v>Чита</v>
      </c>
      <c r="BF110" s="68" t="str">
        <f ca="1">IFERROR(__xludf.DUMMYFUNCTION("""COMPUTED_VALUE"""),"ПАО ""ТГК-14""")</f>
        <v>ПАО "ТГК-14"</v>
      </c>
      <c r="BG110" s="69" t="str">
        <f ca="1">IFERROR(__xludf.DUMMYFUNCTION("""COMPUTED_VALUE"""),"3.1.4.")</f>
        <v>3.1.4.</v>
      </c>
      <c r="BH110" s="74" t="str">
        <f ca="1">IFERROR(__xludf.DUMMYFUNCTION("""COMPUTED_VALUE"""),"Мероприятие ЮЛ/ИП")</f>
        <v>Мероприятие ЮЛ/ИП</v>
      </c>
      <c r="BI110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0" s="73" t="str">
        <f ca="1">IFERROR(__xludf.DUMMYFUNCTION("""COMPUTED_VALUE"""),"Сера диоксид")</f>
        <v>Сера диоксид</v>
      </c>
      <c r="BK110" s="78">
        <f ca="1">IFERROR(__xludf.DUMMYFUNCTION("""COMPUTED_VALUE"""),7.26)</f>
        <v>7.26</v>
      </c>
      <c r="BL110" s="78">
        <f ca="1">IFERROR(__xludf.DUMMYFUNCTION("""COMPUTED_VALUE"""),0.0118226485468564)</f>
        <v>1.18226485468564E-2</v>
      </c>
      <c r="BM110" s="78">
        <f ca="1">IFERROR(__xludf.DUMMYFUNCTION("""COMPUTED_VALUE"""),7.26)</f>
        <v>7.26</v>
      </c>
      <c r="BN110" s="78">
        <f ca="1">IFERROR(__xludf.DUMMYFUNCTION("""COMPUTED_VALUE"""),0.0118226485468564)</f>
        <v>1.18226485468564E-2</v>
      </c>
      <c r="BO110" s="66"/>
      <c r="BP110" s="66"/>
    </row>
    <row r="111" spans="1:68" ht="52.8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/>
      <c r="AQ111" s="75"/>
      <c r="AR111" s="75"/>
      <c r="AS111" s="75"/>
      <c r="AT111" s="75"/>
      <c r="AU111" s="75"/>
      <c r="AV111" s="75"/>
      <c r="AW111" s="75"/>
      <c r="AX111" s="75"/>
      <c r="AY111" s="77"/>
      <c r="AZ111" s="75"/>
      <c r="BA111" s="77"/>
      <c r="BB111" s="66"/>
      <c r="BC111" s="4"/>
      <c r="BD111" s="67" t="str">
        <f ca="1">IFERROR(__xludf.DUMMYFUNCTION("""COMPUTED_VALUE"""),"Забайкальский край")</f>
        <v>Забайкальский край</v>
      </c>
      <c r="BE111" s="67" t="str">
        <f ca="1">IFERROR(__xludf.DUMMYFUNCTION("""COMPUTED_VALUE"""),"Чита")</f>
        <v>Чита</v>
      </c>
      <c r="BF111" s="68" t="str">
        <f ca="1">IFERROR(__xludf.DUMMYFUNCTION("""COMPUTED_VALUE"""),"ПАО ""ТГК-14""")</f>
        <v>ПАО "ТГК-14"</v>
      </c>
      <c r="BG111" s="69" t="str">
        <f ca="1">IFERROR(__xludf.DUMMYFUNCTION("""COMPUTED_VALUE"""),"3.1.4.")</f>
        <v>3.1.4.</v>
      </c>
      <c r="BH111" s="74" t="str">
        <f ca="1">IFERROR(__xludf.DUMMYFUNCTION("""COMPUTED_VALUE"""),"Мероприятие ЮЛ/ИП")</f>
        <v>Мероприятие ЮЛ/ИП</v>
      </c>
      <c r="BI111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1" s="73" t="str">
        <f ca="1">IFERROR(__xludf.DUMMYFUNCTION("""COMPUTED_VALUE"""),"Углерода оксид")</f>
        <v>Углерода оксид</v>
      </c>
      <c r="BK111" s="78">
        <f ca="1">IFERROR(__xludf.DUMMYFUNCTION("""COMPUTED_VALUE"""),52.5)</f>
        <v>52.5</v>
      </c>
      <c r="BL111" s="78">
        <f ca="1">IFERROR(__xludf.DUMMYFUNCTION("""COMPUTED_VALUE"""),0.0854943593264412)</f>
        <v>8.5494359326441199E-2</v>
      </c>
      <c r="BM111" s="78">
        <f ca="1">IFERROR(__xludf.DUMMYFUNCTION("""COMPUTED_VALUE"""),52.5)</f>
        <v>52.5</v>
      </c>
      <c r="BN111" s="78">
        <f ca="1">IFERROR(__xludf.DUMMYFUNCTION("""COMPUTED_VALUE"""),0.0854943593264412)</f>
        <v>8.5494359326441199E-2</v>
      </c>
      <c r="BO111" s="66"/>
      <c r="BP111" s="66"/>
    </row>
    <row r="112" spans="1:68" ht="52.8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/>
      <c r="AQ112" s="75"/>
      <c r="AR112" s="75"/>
      <c r="AS112" s="75"/>
      <c r="AT112" s="75"/>
      <c r="AU112" s="75"/>
      <c r="AV112" s="75"/>
      <c r="AW112" s="75"/>
      <c r="AX112" s="75"/>
      <c r="AY112" s="77"/>
      <c r="AZ112" s="75"/>
      <c r="BA112" s="77"/>
      <c r="BB112" s="66"/>
      <c r="BC112" s="4"/>
      <c r="BD112" s="67" t="str">
        <f ca="1">IFERROR(__xludf.DUMMYFUNCTION("""COMPUTED_VALUE"""),"Забайкальский край")</f>
        <v>Забайкальский край</v>
      </c>
      <c r="BE112" s="67" t="str">
        <f ca="1">IFERROR(__xludf.DUMMYFUNCTION("""COMPUTED_VALUE"""),"Чита")</f>
        <v>Чита</v>
      </c>
      <c r="BF112" s="68" t="str">
        <f ca="1">IFERROR(__xludf.DUMMYFUNCTION("""COMPUTED_VALUE"""),"ПАО ""ТГК-14""")</f>
        <v>ПАО "ТГК-14"</v>
      </c>
      <c r="BG112" s="69" t="str">
        <f ca="1">IFERROR(__xludf.DUMMYFUNCTION("""COMPUTED_VALUE"""),"3.1.4.")</f>
        <v>3.1.4.</v>
      </c>
      <c r="BH112" s="74" t="str">
        <f ca="1">IFERROR(__xludf.DUMMYFUNCTION("""COMPUTED_VALUE"""),"Мероприятие ЮЛ/ИП")</f>
        <v>Мероприятие ЮЛ/ИП</v>
      </c>
      <c r="BI112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2" s="73" t="str">
        <f ca="1">IFERROR(__xludf.DUMMYFUNCTION("""COMPUTED_VALUE"""),"Углерод")</f>
        <v>Углерод</v>
      </c>
      <c r="BK112" s="78">
        <f ca="1">IFERROR(__xludf.DUMMYFUNCTION("""COMPUTED_VALUE"""),4.84)</f>
        <v>4.84</v>
      </c>
      <c r="BL112" s="78">
        <f ca="1">IFERROR(__xludf.DUMMYFUNCTION("""COMPUTED_VALUE"""),0.00788176569790429)</f>
        <v>7.8817656979042906E-3</v>
      </c>
      <c r="BM112" s="78">
        <f ca="1">IFERROR(__xludf.DUMMYFUNCTION("""COMPUTED_VALUE"""),4.84)</f>
        <v>4.84</v>
      </c>
      <c r="BN112" s="78">
        <f ca="1">IFERROR(__xludf.DUMMYFUNCTION("""COMPUTED_VALUE"""),0.00788176569790429)</f>
        <v>7.8817656979042906E-3</v>
      </c>
      <c r="BO112" s="66"/>
      <c r="BP112" s="66"/>
    </row>
    <row r="113" spans="1:68" ht="52.8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/>
      <c r="AQ113" s="75"/>
      <c r="AR113" s="75"/>
      <c r="AS113" s="75"/>
      <c r="AT113" s="75"/>
      <c r="AU113" s="75"/>
      <c r="AV113" s="75"/>
      <c r="AW113" s="75"/>
      <c r="AX113" s="75"/>
      <c r="AY113" s="77"/>
      <c r="AZ113" s="75"/>
      <c r="BA113" s="77"/>
      <c r="BB113" s="66"/>
      <c r="BC113" s="4"/>
      <c r="BD113" s="67" t="str">
        <f ca="1">IFERROR(__xludf.DUMMYFUNCTION("""COMPUTED_VALUE"""),"Забайкальский край")</f>
        <v>Забайкальский край</v>
      </c>
      <c r="BE113" s="67" t="str">
        <f ca="1">IFERROR(__xludf.DUMMYFUNCTION("""COMPUTED_VALUE"""),"Чита")</f>
        <v>Чита</v>
      </c>
      <c r="BF113" s="68" t="str">
        <f ca="1">IFERROR(__xludf.DUMMYFUNCTION("""COMPUTED_VALUE"""),"ПАО ""ТГК-14""")</f>
        <v>ПАО "ТГК-14"</v>
      </c>
      <c r="BG113" s="69" t="str">
        <f ca="1">IFERROR(__xludf.DUMMYFUNCTION("""COMPUTED_VALUE"""),"3.1.5.")</f>
        <v>3.1.5.</v>
      </c>
      <c r="BH113" s="74" t="str">
        <f ca="1">IFERROR(__xludf.DUMMYFUNCTION("""COMPUTED_VALUE"""),"Мероприятие ЮЛ/ИП")</f>
        <v>Мероприятие ЮЛ/ИП</v>
      </c>
      <c r="BI113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3" s="73" t="str">
        <f ca="1">IFERROR(__xludf.DUMMYFUNCTION("""COMPUTED_VALUE"""),"Азота диоксид")</f>
        <v>Азота диоксид</v>
      </c>
      <c r="BK113" s="78">
        <f ca="1">IFERROR(__xludf.DUMMYFUNCTION("""COMPUTED_VALUE"""),1.023)</f>
        <v>1.0229999999999999</v>
      </c>
      <c r="BL113" s="78">
        <f ca="1">IFERROR(__xludf.DUMMYFUNCTION("""COMPUTED_VALUE"""),0.00166591865887522)</f>
        <v>1.66591865887522E-3</v>
      </c>
      <c r="BM113" s="78">
        <f ca="1">IFERROR(__xludf.DUMMYFUNCTION("""COMPUTED_VALUE"""),1.023)</f>
        <v>1.0229999999999999</v>
      </c>
      <c r="BN113" s="78">
        <f ca="1">IFERROR(__xludf.DUMMYFUNCTION("""COMPUTED_VALUE"""),0.00166591865887522)</f>
        <v>1.66591865887522E-3</v>
      </c>
      <c r="BO113" s="66"/>
      <c r="BP113" s="66"/>
    </row>
    <row r="114" spans="1:68" ht="52.8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/>
      <c r="AQ114" s="75"/>
      <c r="AR114" s="75"/>
      <c r="AS114" s="75"/>
      <c r="AT114" s="75"/>
      <c r="AU114" s="75"/>
      <c r="AV114" s="75"/>
      <c r="AW114" s="75"/>
      <c r="AX114" s="75"/>
      <c r="AY114" s="77"/>
      <c r="AZ114" s="75"/>
      <c r="BA114" s="77"/>
      <c r="BB114" s="66"/>
      <c r="BC114" s="4"/>
      <c r="BD114" s="67" t="str">
        <f ca="1">IFERROR(__xludf.DUMMYFUNCTION("""COMPUTED_VALUE"""),"Забайкальский край")</f>
        <v>Забайкальский край</v>
      </c>
      <c r="BE114" s="67" t="str">
        <f ca="1">IFERROR(__xludf.DUMMYFUNCTION("""COMPUTED_VALUE"""),"Чита")</f>
        <v>Чита</v>
      </c>
      <c r="BF114" s="68" t="str">
        <f ca="1">IFERROR(__xludf.DUMMYFUNCTION("""COMPUTED_VALUE"""),"ПАО ""ТГК-14""")</f>
        <v>ПАО "ТГК-14"</v>
      </c>
      <c r="BG114" s="69" t="str">
        <f ca="1">IFERROR(__xludf.DUMMYFUNCTION("""COMPUTED_VALUE"""),"3.1.5.")</f>
        <v>3.1.5.</v>
      </c>
      <c r="BH114" s="74" t="str">
        <f ca="1">IFERROR(__xludf.DUMMYFUNCTION("""COMPUTED_VALUE"""),"Мероприятие ЮЛ/ИП")</f>
        <v>Мероприятие ЮЛ/ИП</v>
      </c>
      <c r="BI114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4" s="73" t="str">
        <f ca="1">IFERROR(__xludf.DUMMYFUNCTION("""COMPUTED_VALUE"""),"Азот (II) оксид")</f>
        <v>Азот (II) оксид</v>
      </c>
      <c r="BK114" s="78">
        <f ca="1">IFERROR(__xludf.DUMMYFUNCTION("""COMPUTED_VALUE"""),0.176)</f>
        <v>0.17599999999999999</v>
      </c>
      <c r="BL114" s="78">
        <f ca="1">IFERROR(__xludf.DUMMYFUNCTION("""COMPUTED_VALUE"""),0.000286609661741974)</f>
        <v>2.86609661741974E-4</v>
      </c>
      <c r="BM114" s="78">
        <f ca="1">IFERROR(__xludf.DUMMYFUNCTION("""COMPUTED_VALUE"""),0.176)</f>
        <v>0.17599999999999999</v>
      </c>
      <c r="BN114" s="78">
        <f ca="1">IFERROR(__xludf.DUMMYFUNCTION("""COMPUTED_VALUE"""),0.000286609661741974)</f>
        <v>2.86609661741974E-4</v>
      </c>
      <c r="BO114" s="66"/>
      <c r="BP114" s="66"/>
    </row>
    <row r="115" spans="1:68" ht="52.8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/>
      <c r="AQ115" s="75"/>
      <c r="AR115" s="75"/>
      <c r="AS115" s="75"/>
      <c r="AT115" s="75"/>
      <c r="AU115" s="75"/>
      <c r="AV115" s="75"/>
      <c r="AW115" s="75"/>
      <c r="AX115" s="75"/>
      <c r="AY115" s="77"/>
      <c r="AZ115" s="75"/>
      <c r="BA115" s="77"/>
      <c r="BB115" s="66"/>
      <c r="BC115" s="4"/>
      <c r="BD115" s="67" t="str">
        <f ca="1">IFERROR(__xludf.DUMMYFUNCTION("""COMPUTED_VALUE"""),"Забайкальский край")</f>
        <v>Забайкальский край</v>
      </c>
      <c r="BE115" s="67" t="str">
        <f ca="1">IFERROR(__xludf.DUMMYFUNCTION("""COMPUTED_VALUE"""),"Чита")</f>
        <v>Чита</v>
      </c>
      <c r="BF115" s="68" t="str">
        <f ca="1">IFERROR(__xludf.DUMMYFUNCTION("""COMPUTED_VALUE"""),"ПАО ""ТГК-14""")</f>
        <v>ПАО "ТГК-14"</v>
      </c>
      <c r="BG115" s="69" t="str">
        <f ca="1">IFERROR(__xludf.DUMMYFUNCTION("""COMPUTED_VALUE"""),"3.1.5.")</f>
        <v>3.1.5.</v>
      </c>
      <c r="BH115" s="74" t="str">
        <f ca="1">IFERROR(__xludf.DUMMYFUNCTION("""COMPUTED_VALUE"""),"Мероприятие ЮЛ/ИП")</f>
        <v>Мероприятие ЮЛ/ИП</v>
      </c>
      <c r="BI115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5" s="73" t="str">
        <f ca="1">IFERROR(__xludf.DUMMYFUNCTION("""COMPUTED_VALUE"""),"Бенз/а/пирен")</f>
        <v>Бенз/а/пирен</v>
      </c>
      <c r="BK115" s="78">
        <f ca="1">IFERROR(__xludf.DUMMYFUNCTION("""COMPUTED_VALUE"""),0.035)</f>
        <v>3.5000000000000003E-2</v>
      </c>
      <c r="BL115" s="78">
        <f ca="1">IFERROR(__xludf.DUMMYFUNCTION("""COMPUTED_VALUE"""),0.0000569962395509608)</f>
        <v>5.6996239550960802E-5</v>
      </c>
      <c r="BM115" s="78">
        <f ca="1">IFERROR(__xludf.DUMMYFUNCTION("""COMPUTED_VALUE"""),0.035)</f>
        <v>3.5000000000000003E-2</v>
      </c>
      <c r="BN115" s="78">
        <f ca="1">IFERROR(__xludf.DUMMYFUNCTION("""COMPUTED_VALUE"""),0.0000569962395509608)</f>
        <v>5.6996239550960802E-5</v>
      </c>
      <c r="BO115" s="66"/>
      <c r="BP115" s="66"/>
    </row>
    <row r="116" spans="1:68" ht="52.8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/>
      <c r="AQ116" s="75"/>
      <c r="AR116" s="75"/>
      <c r="AS116" s="75"/>
      <c r="AT116" s="75"/>
      <c r="AU116" s="75"/>
      <c r="AV116" s="75"/>
      <c r="AW116" s="75"/>
      <c r="AX116" s="75"/>
      <c r="AY116" s="77"/>
      <c r="AZ116" s="75"/>
      <c r="BA116" s="77"/>
      <c r="BB116" s="66"/>
      <c r="BC116" s="4"/>
      <c r="BD116" s="67" t="str">
        <f ca="1">IFERROR(__xludf.DUMMYFUNCTION("""COMPUTED_VALUE"""),"Забайкальский край")</f>
        <v>Забайкальский край</v>
      </c>
      <c r="BE116" s="67" t="str">
        <f ca="1">IFERROR(__xludf.DUMMYFUNCTION("""COMPUTED_VALUE"""),"Чита")</f>
        <v>Чита</v>
      </c>
      <c r="BF116" s="68" t="str">
        <f ca="1">IFERROR(__xludf.DUMMYFUNCTION("""COMPUTED_VALUE"""),"ПАО ""ТГК-14""")</f>
        <v>ПАО "ТГК-14"</v>
      </c>
      <c r="BG116" s="69" t="str">
        <f ca="1">IFERROR(__xludf.DUMMYFUNCTION("""COMPUTED_VALUE"""),"3.1.5.")</f>
        <v>3.1.5.</v>
      </c>
      <c r="BH116" s="74" t="str">
        <f ca="1">IFERROR(__xludf.DUMMYFUNCTION("""COMPUTED_VALUE"""),"Мероприятие ЮЛ/ИП")</f>
        <v>Мероприятие ЮЛ/ИП</v>
      </c>
      <c r="BI116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16" s="78">
        <f ca="1">IFERROR(__xludf.DUMMYFUNCTION("""COMPUTED_VALUE"""),1.057)</f>
        <v>1.0569999999999999</v>
      </c>
      <c r="BL116" s="78">
        <f ca="1">IFERROR(__xludf.DUMMYFUNCTION("""COMPUTED_VALUE"""),0.00172128643443901)</f>
        <v>1.72128643443901E-3</v>
      </c>
      <c r="BM116" s="78">
        <f ca="1">IFERROR(__xludf.DUMMYFUNCTION("""COMPUTED_VALUE"""),1.057)</f>
        <v>1.0569999999999999</v>
      </c>
      <c r="BN116" s="78">
        <f ca="1">IFERROR(__xludf.DUMMYFUNCTION("""COMPUTED_VALUE"""),0.00172128643443901)</f>
        <v>1.72128643443901E-3</v>
      </c>
      <c r="BO116" s="66"/>
      <c r="BP116" s="66"/>
    </row>
    <row r="117" spans="1:68" ht="52.8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/>
      <c r="AQ117" s="75"/>
      <c r="AR117" s="75"/>
      <c r="AS117" s="75"/>
      <c r="AT117" s="75"/>
      <c r="AU117" s="75"/>
      <c r="AV117" s="75"/>
      <c r="AW117" s="75"/>
      <c r="AX117" s="75"/>
      <c r="AY117" s="77"/>
      <c r="AZ117" s="75"/>
      <c r="BA117" s="77"/>
      <c r="BB117" s="66"/>
      <c r="BC117" s="4"/>
      <c r="BD117" s="67" t="str">
        <f ca="1">IFERROR(__xludf.DUMMYFUNCTION("""COMPUTED_VALUE"""),"Забайкальский край")</f>
        <v>Забайкальский край</v>
      </c>
      <c r="BE117" s="67" t="str">
        <f ca="1">IFERROR(__xludf.DUMMYFUNCTION("""COMPUTED_VALUE"""),"Чита")</f>
        <v>Чита</v>
      </c>
      <c r="BF117" s="68" t="str">
        <f ca="1">IFERROR(__xludf.DUMMYFUNCTION("""COMPUTED_VALUE"""),"ПАО ""ТГК-14""")</f>
        <v>ПАО "ТГК-14"</v>
      </c>
      <c r="BG117" s="69" t="str">
        <f ca="1">IFERROR(__xludf.DUMMYFUNCTION("""COMPUTED_VALUE"""),"3.1.5.")</f>
        <v>3.1.5.</v>
      </c>
      <c r="BH117" s="74" t="str">
        <f ca="1">IFERROR(__xludf.DUMMYFUNCTION("""COMPUTED_VALUE"""),"Мероприятие ЮЛ/ИП")</f>
        <v>Мероприятие ЮЛ/ИП</v>
      </c>
      <c r="BI117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7" s="73" t="str">
        <f ca="1">IFERROR(__xludf.DUMMYFUNCTION("""COMPUTED_VALUE"""),"Сера диоксид")</f>
        <v>Сера диоксид</v>
      </c>
      <c r="BK117" s="78">
        <f ca="1">IFERROR(__xludf.DUMMYFUNCTION("""COMPUTED_VALUE"""),2.114)</f>
        <v>2.1139999999999999</v>
      </c>
      <c r="BL117" s="78">
        <f ca="1">IFERROR(__xludf.DUMMYFUNCTION("""COMPUTED_VALUE"""),0.00344257286887803)</f>
        <v>3.4425728688780299E-3</v>
      </c>
      <c r="BM117" s="78">
        <f ca="1">IFERROR(__xludf.DUMMYFUNCTION("""COMPUTED_VALUE"""),2.114)</f>
        <v>2.1139999999999999</v>
      </c>
      <c r="BN117" s="78">
        <f ca="1">IFERROR(__xludf.DUMMYFUNCTION("""COMPUTED_VALUE"""),0.00344257286887803)</f>
        <v>3.4425728688780299E-3</v>
      </c>
      <c r="BO117" s="66"/>
      <c r="BP117" s="66"/>
    </row>
    <row r="118" spans="1:68" ht="52.8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/>
      <c r="AQ118" s="75"/>
      <c r="AR118" s="75"/>
      <c r="AS118" s="75"/>
      <c r="AT118" s="75"/>
      <c r="AU118" s="75"/>
      <c r="AV118" s="75"/>
      <c r="AW118" s="75"/>
      <c r="AX118" s="75"/>
      <c r="AY118" s="77"/>
      <c r="AZ118" s="75"/>
      <c r="BA118" s="77"/>
      <c r="BB118" s="66"/>
      <c r="BC118" s="4"/>
      <c r="BD118" s="67" t="str">
        <f ca="1">IFERROR(__xludf.DUMMYFUNCTION("""COMPUTED_VALUE"""),"Забайкальский край")</f>
        <v>Забайкальский край</v>
      </c>
      <c r="BE118" s="67" t="str">
        <f ca="1">IFERROR(__xludf.DUMMYFUNCTION("""COMPUTED_VALUE"""),"Чита")</f>
        <v>Чита</v>
      </c>
      <c r="BF118" s="68" t="str">
        <f ca="1">IFERROR(__xludf.DUMMYFUNCTION("""COMPUTED_VALUE"""),"ПАО ""ТГК-14""")</f>
        <v>ПАО "ТГК-14"</v>
      </c>
      <c r="BG118" s="69" t="str">
        <f ca="1">IFERROR(__xludf.DUMMYFUNCTION("""COMPUTED_VALUE"""),"3.1.5.")</f>
        <v>3.1.5.</v>
      </c>
      <c r="BH118" s="74" t="str">
        <f ca="1">IFERROR(__xludf.DUMMYFUNCTION("""COMPUTED_VALUE"""),"Мероприятие ЮЛ/ИП")</f>
        <v>Мероприятие ЮЛ/ИП</v>
      </c>
      <c r="BI118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8" s="73" t="str">
        <f ca="1">IFERROR(__xludf.DUMMYFUNCTION("""COMPUTED_VALUE"""),"Углерода оксид")</f>
        <v>Углерода оксид</v>
      </c>
      <c r="BK118" s="78">
        <f ca="1">IFERROR(__xludf.DUMMYFUNCTION("""COMPUTED_VALUE"""),12.334)</f>
        <v>12.334</v>
      </c>
      <c r="BL118" s="78">
        <f ca="1">IFERROR(__xludf.DUMMYFUNCTION("""COMPUTED_VALUE"""),0.0200854748177585)</f>
        <v>2.0085474817758499E-2</v>
      </c>
      <c r="BM118" s="78">
        <f ca="1">IFERROR(__xludf.DUMMYFUNCTION("""COMPUTED_VALUE"""),12.334)</f>
        <v>12.334</v>
      </c>
      <c r="BN118" s="78">
        <f ca="1">IFERROR(__xludf.DUMMYFUNCTION("""COMPUTED_VALUE"""),0.0200854748177585)</f>
        <v>2.0085474817758499E-2</v>
      </c>
      <c r="BO118" s="66"/>
      <c r="BP118" s="66"/>
    </row>
    <row r="119" spans="1:68" ht="52.8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/>
      <c r="AQ119" s="75"/>
      <c r="AR119" s="75"/>
      <c r="AS119" s="75"/>
      <c r="AT119" s="75"/>
      <c r="AU119" s="75"/>
      <c r="AV119" s="75"/>
      <c r="AW119" s="75"/>
      <c r="AX119" s="75"/>
      <c r="AY119" s="77"/>
      <c r="AZ119" s="75"/>
      <c r="BA119" s="77"/>
      <c r="BB119" s="66"/>
      <c r="BC119" s="4"/>
      <c r="BD119" s="67" t="str">
        <f ca="1">IFERROR(__xludf.DUMMYFUNCTION("""COMPUTED_VALUE"""),"Забайкальский край")</f>
        <v>Забайкальский край</v>
      </c>
      <c r="BE119" s="67" t="str">
        <f ca="1">IFERROR(__xludf.DUMMYFUNCTION("""COMPUTED_VALUE"""),"Чита")</f>
        <v>Чита</v>
      </c>
      <c r="BF119" s="68" t="str">
        <f ca="1">IFERROR(__xludf.DUMMYFUNCTION("""COMPUTED_VALUE"""),"ПАО ""ТГК-14""")</f>
        <v>ПАО "ТГК-14"</v>
      </c>
      <c r="BG119" s="69" t="str">
        <f ca="1">IFERROR(__xludf.DUMMYFUNCTION("""COMPUTED_VALUE"""),"3.1.5.")</f>
        <v>3.1.5.</v>
      </c>
      <c r="BH119" s="74" t="str">
        <f ca="1">IFERROR(__xludf.DUMMYFUNCTION("""COMPUTED_VALUE"""),"Мероприятие ЮЛ/ИП")</f>
        <v>Мероприятие ЮЛ/ИП</v>
      </c>
      <c r="BI11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9" s="73" t="str">
        <f ca="1">IFERROR(__xludf.DUMMYFUNCTION("""COMPUTED_VALUE"""),"Углерод")</f>
        <v>Углерод</v>
      </c>
      <c r="BK119" s="78">
        <f ca="1">IFERROR(__xludf.DUMMYFUNCTION("""COMPUTED_VALUE"""),0.881)</f>
        <v>0.88100000000000001</v>
      </c>
      <c r="BL119" s="78">
        <f ca="1">IFERROR(__xludf.DUMMYFUNCTION("""COMPUTED_VALUE"""),0.00143467677269704)</f>
        <v>1.43467677269704E-3</v>
      </c>
      <c r="BM119" s="78">
        <f ca="1">IFERROR(__xludf.DUMMYFUNCTION("""COMPUTED_VALUE"""),0.881)</f>
        <v>0.88100000000000001</v>
      </c>
      <c r="BN119" s="78">
        <f ca="1">IFERROR(__xludf.DUMMYFUNCTION("""COMPUTED_VALUE"""),0.00143467677269704)</f>
        <v>1.43467677269704E-3</v>
      </c>
      <c r="BO119" s="66"/>
      <c r="BP119" s="66"/>
    </row>
    <row r="120" spans="1:68" ht="52.8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/>
      <c r="AQ120" s="75"/>
      <c r="AR120" s="75"/>
      <c r="AS120" s="75"/>
      <c r="AT120" s="75"/>
      <c r="AU120" s="75"/>
      <c r="AV120" s="75"/>
      <c r="AW120" s="75"/>
      <c r="AX120" s="75"/>
      <c r="AY120" s="77"/>
      <c r="AZ120" s="75"/>
      <c r="BA120" s="77"/>
      <c r="BB120" s="66"/>
      <c r="BC120" s="4"/>
      <c r="BD120" s="67" t="str">
        <f ca="1">IFERROR(__xludf.DUMMYFUNCTION("""COMPUTED_VALUE"""),"Забайкальский край")</f>
        <v>Забайкальский край</v>
      </c>
      <c r="BE120" s="67" t="str">
        <f ca="1">IFERROR(__xludf.DUMMYFUNCTION("""COMPUTED_VALUE"""),"Чита")</f>
        <v>Чита</v>
      </c>
      <c r="BF120" s="68" t="str">
        <f ca="1">IFERROR(__xludf.DUMMYFUNCTION("""COMPUTED_VALUE"""),"ПАО ""ТГК-14""")</f>
        <v>ПАО "ТГК-14"</v>
      </c>
      <c r="BG120" s="69" t="str">
        <f ca="1">IFERROR(__xludf.DUMMYFUNCTION("""COMPUTED_VALUE"""),"3.1.6")</f>
        <v>3.1.6</v>
      </c>
      <c r="BH120" s="74" t="str">
        <f ca="1">IFERROR(__xludf.DUMMYFUNCTION("""COMPUTED_VALUE"""),"Мероприятие ЮЛ/ИП")</f>
        <v>Мероприятие ЮЛ/ИП</v>
      </c>
      <c r="BI12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0" s="73" t="str">
        <f ca="1">IFERROR(__xludf.DUMMYFUNCTION("""COMPUTED_VALUE"""),"Азота диоксид")</f>
        <v>Азота диоксид</v>
      </c>
      <c r="BK120" s="78">
        <f ca="1">IFERROR(__xludf.DUMMYFUNCTION("""COMPUTED_VALUE"""),0.65)</f>
        <v>0.65</v>
      </c>
      <c r="BL120" s="78">
        <f ca="1">IFERROR(__xludf.DUMMYFUNCTION("""COMPUTED_VALUE"""),0.0010585015916607)</f>
        <v>1.0585015916606999E-3</v>
      </c>
      <c r="BM120" s="78">
        <f ca="1">IFERROR(__xludf.DUMMYFUNCTION("""COMPUTED_VALUE"""),0.65)</f>
        <v>0.65</v>
      </c>
      <c r="BN120" s="78">
        <f ca="1">IFERROR(__xludf.DUMMYFUNCTION("""COMPUTED_VALUE"""),0.0010585015916607)</f>
        <v>1.0585015916606999E-3</v>
      </c>
      <c r="BO120" s="66"/>
      <c r="BP120" s="66"/>
    </row>
    <row r="121" spans="1:68" ht="52.8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/>
      <c r="AQ121" s="75"/>
      <c r="AR121" s="75"/>
      <c r="AS121" s="75"/>
      <c r="AT121" s="75"/>
      <c r="AU121" s="75"/>
      <c r="AV121" s="75"/>
      <c r="AW121" s="75"/>
      <c r="AX121" s="75"/>
      <c r="AY121" s="77"/>
      <c r="AZ121" s="75"/>
      <c r="BA121" s="77"/>
      <c r="BB121" s="66"/>
      <c r="BC121" s="4"/>
      <c r="BD121" s="67" t="str">
        <f ca="1">IFERROR(__xludf.DUMMYFUNCTION("""COMPUTED_VALUE"""),"Забайкальский край")</f>
        <v>Забайкальский край</v>
      </c>
      <c r="BE121" s="67" t="str">
        <f ca="1">IFERROR(__xludf.DUMMYFUNCTION("""COMPUTED_VALUE"""),"Чита")</f>
        <v>Чита</v>
      </c>
      <c r="BF121" s="68" t="str">
        <f ca="1">IFERROR(__xludf.DUMMYFUNCTION("""COMPUTED_VALUE"""),"ПАО ""ТГК-14""")</f>
        <v>ПАО "ТГК-14"</v>
      </c>
      <c r="BG121" s="69" t="str">
        <f ca="1">IFERROR(__xludf.DUMMYFUNCTION("""COMPUTED_VALUE"""),"3.1.6")</f>
        <v>3.1.6</v>
      </c>
      <c r="BH121" s="74" t="str">
        <f ca="1">IFERROR(__xludf.DUMMYFUNCTION("""COMPUTED_VALUE"""),"Мероприятие ЮЛ/ИП")</f>
        <v>Мероприятие ЮЛ/ИП</v>
      </c>
      <c r="BI121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1" s="73" t="str">
        <f ca="1">IFERROR(__xludf.DUMMYFUNCTION("""COMPUTED_VALUE"""),"Азот (II) оксид")</f>
        <v>Азот (II) оксид</v>
      </c>
      <c r="BK121" s="78">
        <f ca="1">IFERROR(__xludf.DUMMYFUNCTION("""COMPUTED_VALUE"""),0.114)</f>
        <v>0.114</v>
      </c>
      <c r="BL121" s="78">
        <f ca="1">IFERROR(__xludf.DUMMYFUNCTION("""COMPUTED_VALUE"""),0.000185644894537415)</f>
        <v>1.8564489453741501E-4</v>
      </c>
      <c r="BM121" s="78">
        <f ca="1">IFERROR(__xludf.DUMMYFUNCTION("""COMPUTED_VALUE"""),0.114)</f>
        <v>0.114</v>
      </c>
      <c r="BN121" s="78">
        <f ca="1">IFERROR(__xludf.DUMMYFUNCTION("""COMPUTED_VALUE"""),0.000185644894537415)</f>
        <v>1.8564489453741501E-4</v>
      </c>
      <c r="BO121" s="66"/>
      <c r="BP121" s="66"/>
    </row>
    <row r="122" spans="1:68" ht="52.8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/>
      <c r="AQ122" s="75"/>
      <c r="AR122" s="75"/>
      <c r="AS122" s="75"/>
      <c r="AT122" s="75"/>
      <c r="AU122" s="75"/>
      <c r="AV122" s="75"/>
      <c r="AW122" s="75"/>
      <c r="AX122" s="75"/>
      <c r="AY122" s="77"/>
      <c r="AZ122" s="75"/>
      <c r="BA122" s="77"/>
      <c r="BB122" s="66"/>
      <c r="BC122" s="4"/>
      <c r="BD122" s="67" t="str">
        <f ca="1">IFERROR(__xludf.DUMMYFUNCTION("""COMPUTED_VALUE"""),"Забайкальский край")</f>
        <v>Забайкальский край</v>
      </c>
      <c r="BE122" s="67" t="str">
        <f ca="1">IFERROR(__xludf.DUMMYFUNCTION("""COMPUTED_VALUE"""),"Чита")</f>
        <v>Чита</v>
      </c>
      <c r="BF122" s="68" t="str">
        <f ca="1">IFERROR(__xludf.DUMMYFUNCTION("""COMPUTED_VALUE"""),"ПАО ""ТГК-14""")</f>
        <v>ПАО "ТГК-14"</v>
      </c>
      <c r="BG122" s="69" t="str">
        <f ca="1">IFERROR(__xludf.DUMMYFUNCTION("""COMPUTED_VALUE"""),"3.1.6")</f>
        <v>3.1.6</v>
      </c>
      <c r="BH122" s="74" t="str">
        <f ca="1">IFERROR(__xludf.DUMMYFUNCTION("""COMPUTED_VALUE"""),"Мероприятие ЮЛ/ИП")</f>
        <v>Мероприятие ЮЛ/ИП</v>
      </c>
      <c r="BI122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2" s="73" t="str">
        <f ca="1">IFERROR(__xludf.DUMMYFUNCTION("""COMPUTED_VALUE"""),"Бенз/а/пирен")</f>
        <v>Бенз/а/пирен</v>
      </c>
      <c r="BK122" s="78">
        <f ca="1">IFERROR(__xludf.DUMMYFUNCTION("""COMPUTED_VALUE"""),0.000002)</f>
        <v>1.9999999999999999E-6</v>
      </c>
      <c r="BL122" s="78">
        <f ca="1">IFERROR(__xludf.DUMMYFUNCTION("""COMPUTED_VALUE"""),3.25692797434061E-09)</f>
        <v>3.2569279743406101E-9</v>
      </c>
      <c r="BM122" s="78">
        <f ca="1">IFERROR(__xludf.DUMMYFUNCTION("""COMPUTED_VALUE"""),0.000002)</f>
        <v>1.9999999999999999E-6</v>
      </c>
      <c r="BN122" s="78">
        <f ca="1">IFERROR(__xludf.DUMMYFUNCTION("""COMPUTED_VALUE"""),3.25692797434061E-09)</f>
        <v>3.2569279743406101E-9</v>
      </c>
      <c r="BO122" s="66"/>
      <c r="BP122" s="66"/>
    </row>
    <row r="123" spans="1:68" ht="52.8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/>
      <c r="AQ123" s="75"/>
      <c r="AR123" s="75"/>
      <c r="AS123" s="75"/>
      <c r="AT123" s="75"/>
      <c r="AU123" s="75"/>
      <c r="AV123" s="75"/>
      <c r="AW123" s="75"/>
      <c r="AX123" s="75"/>
      <c r="AY123" s="77"/>
      <c r="AZ123" s="75"/>
      <c r="BA123" s="77"/>
      <c r="BB123" s="66"/>
      <c r="BC123" s="4"/>
      <c r="BD123" s="67" t="str">
        <f ca="1">IFERROR(__xludf.DUMMYFUNCTION("""COMPUTED_VALUE"""),"Забайкальский край")</f>
        <v>Забайкальский край</v>
      </c>
      <c r="BE123" s="67" t="str">
        <f ca="1">IFERROR(__xludf.DUMMYFUNCTION("""COMPUTED_VALUE"""),"Чита")</f>
        <v>Чита</v>
      </c>
      <c r="BF123" s="68" t="str">
        <f ca="1">IFERROR(__xludf.DUMMYFUNCTION("""COMPUTED_VALUE"""),"ПАО ""ТГК-14""")</f>
        <v>ПАО "ТГК-14"</v>
      </c>
      <c r="BG123" s="69" t="str">
        <f ca="1">IFERROR(__xludf.DUMMYFUNCTION("""COMPUTED_VALUE"""),"3.1.6")</f>
        <v>3.1.6</v>
      </c>
      <c r="BH123" s="74" t="str">
        <f ca="1">IFERROR(__xludf.DUMMYFUNCTION("""COMPUTED_VALUE"""),"Мероприятие ЮЛ/ИП")</f>
        <v>Мероприятие ЮЛ/ИП</v>
      </c>
      <c r="BI123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23" s="78">
        <f ca="1">IFERROR(__xludf.DUMMYFUNCTION("""COMPUTED_VALUE"""),0.66)</f>
        <v>0.66</v>
      </c>
      <c r="BL123" s="78">
        <f ca="1">IFERROR(__xludf.DUMMYFUNCTION("""COMPUTED_VALUE"""),0.0010747862315324)</f>
        <v>1.0747862315323999E-3</v>
      </c>
      <c r="BM123" s="78">
        <f ca="1">IFERROR(__xludf.DUMMYFUNCTION("""COMPUTED_VALUE"""),0.66)</f>
        <v>0.66</v>
      </c>
      <c r="BN123" s="78">
        <f ca="1">IFERROR(__xludf.DUMMYFUNCTION("""COMPUTED_VALUE"""),0.0010747862315324)</f>
        <v>1.0747862315323999E-3</v>
      </c>
      <c r="BO123" s="66"/>
      <c r="BP123" s="66"/>
    </row>
    <row r="124" spans="1:68" ht="52.8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/>
      <c r="AQ124" s="75"/>
      <c r="AR124" s="75"/>
      <c r="AS124" s="75"/>
      <c r="AT124" s="75"/>
      <c r="AU124" s="75"/>
      <c r="AV124" s="75"/>
      <c r="AW124" s="75"/>
      <c r="AX124" s="75"/>
      <c r="AY124" s="77"/>
      <c r="AZ124" s="75"/>
      <c r="BA124" s="77"/>
      <c r="BB124" s="66"/>
      <c r="BC124" s="4"/>
      <c r="BD124" s="67" t="str">
        <f ca="1">IFERROR(__xludf.DUMMYFUNCTION("""COMPUTED_VALUE"""),"Забайкальский край")</f>
        <v>Забайкальский край</v>
      </c>
      <c r="BE124" s="67" t="str">
        <f ca="1">IFERROR(__xludf.DUMMYFUNCTION("""COMPUTED_VALUE"""),"Чита")</f>
        <v>Чита</v>
      </c>
      <c r="BF124" s="68" t="str">
        <f ca="1">IFERROR(__xludf.DUMMYFUNCTION("""COMPUTED_VALUE"""),"ПАО ""ТГК-14""")</f>
        <v>ПАО "ТГК-14"</v>
      </c>
      <c r="BG124" s="69" t="str">
        <f ca="1">IFERROR(__xludf.DUMMYFUNCTION("""COMPUTED_VALUE"""),"3.1.6")</f>
        <v>3.1.6</v>
      </c>
      <c r="BH124" s="74" t="str">
        <f ca="1">IFERROR(__xludf.DUMMYFUNCTION("""COMPUTED_VALUE"""),"Мероприятие ЮЛ/ИП")</f>
        <v>Мероприятие ЮЛ/ИП</v>
      </c>
      <c r="BI124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4" s="73" t="str">
        <f ca="1">IFERROR(__xludf.DUMMYFUNCTION("""COMPUTED_VALUE"""),"Сера диоксид")</f>
        <v>Сера диоксид</v>
      </c>
      <c r="BK124" s="78">
        <f ca="1">IFERROR(__xludf.DUMMYFUNCTION("""COMPUTED_VALUE"""),0.861)</f>
        <v>0.86099999999999999</v>
      </c>
      <c r="BL124" s="78">
        <f ca="1">IFERROR(__xludf.DUMMYFUNCTION("""COMPUTED_VALUE"""),0.00140210749295363)</f>
        <v>1.40210749295363E-3</v>
      </c>
      <c r="BM124" s="78">
        <f ca="1">IFERROR(__xludf.DUMMYFUNCTION("""COMPUTED_VALUE"""),0.861)</f>
        <v>0.86099999999999999</v>
      </c>
      <c r="BN124" s="78">
        <f ca="1">IFERROR(__xludf.DUMMYFUNCTION("""COMPUTED_VALUE"""),0.00140210749295363)</f>
        <v>1.40210749295363E-3</v>
      </c>
      <c r="BO124" s="66"/>
      <c r="BP124" s="66"/>
    </row>
    <row r="125" spans="1:68" ht="52.8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/>
      <c r="AQ125" s="75"/>
      <c r="AR125" s="75"/>
      <c r="AS125" s="75"/>
      <c r="AT125" s="75"/>
      <c r="AU125" s="75"/>
      <c r="AV125" s="75"/>
      <c r="AW125" s="75"/>
      <c r="AX125" s="75"/>
      <c r="AY125" s="77"/>
      <c r="AZ125" s="75"/>
      <c r="BA125" s="77"/>
      <c r="BB125" s="66"/>
      <c r="BC125" s="4"/>
      <c r="BD125" s="67" t="str">
        <f ca="1">IFERROR(__xludf.DUMMYFUNCTION("""COMPUTED_VALUE"""),"Забайкальский край")</f>
        <v>Забайкальский край</v>
      </c>
      <c r="BE125" s="67" t="str">
        <f ca="1">IFERROR(__xludf.DUMMYFUNCTION("""COMPUTED_VALUE"""),"Чита")</f>
        <v>Чита</v>
      </c>
      <c r="BF125" s="68" t="str">
        <f ca="1">IFERROR(__xludf.DUMMYFUNCTION("""COMPUTED_VALUE"""),"ПАО ""ТГК-14""")</f>
        <v>ПАО "ТГК-14"</v>
      </c>
      <c r="BG125" s="69" t="str">
        <f ca="1">IFERROR(__xludf.DUMMYFUNCTION("""COMPUTED_VALUE"""),"3.1.6")</f>
        <v>3.1.6</v>
      </c>
      <c r="BH125" s="74" t="str">
        <f ca="1">IFERROR(__xludf.DUMMYFUNCTION("""COMPUTED_VALUE"""),"Мероприятие ЮЛ/ИП")</f>
        <v>Мероприятие ЮЛ/ИП</v>
      </c>
      <c r="BI125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5" s="73" t="str">
        <f ca="1">IFERROR(__xludf.DUMMYFUNCTION("""COMPUTED_VALUE"""),"Углерода оксид")</f>
        <v>Углерода оксид</v>
      </c>
      <c r="BK125" s="78">
        <f ca="1">IFERROR(__xludf.DUMMYFUNCTION("""COMPUTED_VALUE"""),6.93)</f>
        <v>6.93</v>
      </c>
      <c r="BL125" s="78">
        <f ca="1">IFERROR(__xludf.DUMMYFUNCTION("""COMPUTED_VALUE"""),0.0112852554310902)</f>
        <v>1.1285255431090199E-2</v>
      </c>
      <c r="BM125" s="78">
        <f ca="1">IFERROR(__xludf.DUMMYFUNCTION("""COMPUTED_VALUE"""),6.93)</f>
        <v>6.93</v>
      </c>
      <c r="BN125" s="78">
        <f ca="1">IFERROR(__xludf.DUMMYFUNCTION("""COMPUTED_VALUE"""),0.0112852554310902)</f>
        <v>1.1285255431090199E-2</v>
      </c>
      <c r="BO125" s="66"/>
      <c r="BP125" s="66"/>
    </row>
    <row r="126" spans="1:68" ht="52.8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/>
      <c r="AQ126" s="75"/>
      <c r="AR126" s="75"/>
      <c r="AS126" s="75"/>
      <c r="AT126" s="75"/>
      <c r="AU126" s="75"/>
      <c r="AV126" s="75"/>
      <c r="AW126" s="75"/>
      <c r="AX126" s="75"/>
      <c r="AY126" s="77"/>
      <c r="AZ126" s="75"/>
      <c r="BA126" s="77"/>
      <c r="BB126" s="66"/>
      <c r="BC126" s="4"/>
      <c r="BD126" s="67" t="str">
        <f ca="1">IFERROR(__xludf.DUMMYFUNCTION("""COMPUTED_VALUE"""),"Забайкальский край")</f>
        <v>Забайкальский край</v>
      </c>
      <c r="BE126" s="67" t="str">
        <f ca="1">IFERROR(__xludf.DUMMYFUNCTION("""COMPUTED_VALUE"""),"Чита")</f>
        <v>Чита</v>
      </c>
      <c r="BF126" s="68" t="str">
        <f ca="1">IFERROR(__xludf.DUMMYFUNCTION("""COMPUTED_VALUE"""),"ПАО ""ТГК-14""")</f>
        <v>ПАО "ТГК-14"</v>
      </c>
      <c r="BG126" s="69" t="str">
        <f ca="1">IFERROR(__xludf.DUMMYFUNCTION("""COMPUTED_VALUE"""),"3.1.6")</f>
        <v>3.1.6</v>
      </c>
      <c r="BH126" s="74" t="str">
        <f ca="1">IFERROR(__xludf.DUMMYFUNCTION("""COMPUTED_VALUE"""),"Мероприятие ЮЛ/ИП")</f>
        <v>Мероприятие ЮЛ/ИП</v>
      </c>
      <c r="BI126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6" s="73" t="str">
        <f ca="1">IFERROR(__xludf.DUMMYFUNCTION("""COMPUTED_VALUE"""),"Углерод")</f>
        <v>Углерод</v>
      </c>
      <c r="BK126" s="78">
        <f ca="1">IFERROR(__xludf.DUMMYFUNCTION("""COMPUTED_VALUE"""),0.354)</f>
        <v>0.35399999999999998</v>
      </c>
      <c r="BL126" s="78">
        <f ca="1">IFERROR(__xludf.DUMMYFUNCTION("""COMPUTED_VALUE"""),0.000576476251458289)</f>
        <v>5.7647625145828901E-4</v>
      </c>
      <c r="BM126" s="78">
        <f ca="1">IFERROR(__xludf.DUMMYFUNCTION("""COMPUTED_VALUE"""),0.354)</f>
        <v>0.35399999999999998</v>
      </c>
      <c r="BN126" s="78">
        <f ca="1">IFERROR(__xludf.DUMMYFUNCTION("""COMPUTED_VALUE"""),0.000576476251458289)</f>
        <v>5.7647625145828901E-4</v>
      </c>
      <c r="BO126" s="66"/>
      <c r="BP126" s="66"/>
    </row>
    <row r="127" spans="1:68" ht="52.8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/>
      <c r="AQ127" s="75"/>
      <c r="AR127" s="75"/>
      <c r="AS127" s="75"/>
      <c r="AT127" s="75"/>
      <c r="AU127" s="75"/>
      <c r="AV127" s="75"/>
      <c r="AW127" s="75"/>
      <c r="AX127" s="75"/>
      <c r="AY127" s="77"/>
      <c r="AZ127" s="75"/>
      <c r="BA127" s="77"/>
      <c r="BB127" s="66"/>
      <c r="BC127" s="4"/>
      <c r="BD127" s="67" t="str">
        <f ca="1">IFERROR(__xludf.DUMMYFUNCTION("""COMPUTED_VALUE"""),"Забайкальский край")</f>
        <v>Забайкальский край</v>
      </c>
      <c r="BE127" s="67" t="str">
        <f ca="1">IFERROR(__xludf.DUMMYFUNCTION("""COMPUTED_VALUE"""),"Чита")</f>
        <v>Чита</v>
      </c>
      <c r="BF127" s="68" t="str">
        <f ca="1">IFERROR(__xludf.DUMMYFUNCTION("""COMPUTED_VALUE"""),"ПАО ""ТГК-14""")</f>
        <v>ПАО "ТГК-14"</v>
      </c>
      <c r="BG127" s="69" t="str">
        <f ca="1">IFERROR(__xludf.DUMMYFUNCTION("""COMPUTED_VALUE"""),"3.1.7.")</f>
        <v>3.1.7.</v>
      </c>
      <c r="BH127" s="74" t="str">
        <f ca="1">IFERROR(__xludf.DUMMYFUNCTION("""COMPUTED_VALUE"""),"Мероприятие ЮЛ/ИП")</f>
        <v>Мероприятие ЮЛ/ИП</v>
      </c>
      <c r="BI127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7" s="73" t="str">
        <f ca="1">IFERROR(__xludf.DUMMYFUNCTION("""COMPUTED_VALUE"""),"Азота диоксид")</f>
        <v>Азота диоксид</v>
      </c>
      <c r="BK127" s="78">
        <f ca="1">IFERROR(__xludf.DUMMYFUNCTION("""COMPUTED_VALUE"""),0.387)</f>
        <v>0.38700000000000001</v>
      </c>
      <c r="BL127" s="78">
        <f ca="1">IFERROR(__xludf.DUMMYFUNCTION("""COMPUTED_VALUE"""),0.000630215563034909)</f>
        <v>6.30215563034909E-4</v>
      </c>
      <c r="BM127" s="78">
        <f ca="1">IFERROR(__xludf.DUMMYFUNCTION("""COMPUTED_VALUE"""),0.387)</f>
        <v>0.38700000000000001</v>
      </c>
      <c r="BN127" s="78">
        <f ca="1">IFERROR(__xludf.DUMMYFUNCTION("""COMPUTED_VALUE"""),0.000630215563034909)</f>
        <v>6.30215563034909E-4</v>
      </c>
      <c r="BO127" s="66"/>
      <c r="BP127" s="66"/>
    </row>
    <row r="128" spans="1:68" ht="52.8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/>
      <c r="AQ128" s="75"/>
      <c r="AR128" s="75"/>
      <c r="AS128" s="75"/>
      <c r="AT128" s="75"/>
      <c r="AU128" s="75"/>
      <c r="AV128" s="75"/>
      <c r="AW128" s="75"/>
      <c r="AX128" s="75"/>
      <c r="AY128" s="77"/>
      <c r="AZ128" s="75"/>
      <c r="BA128" s="77"/>
      <c r="BB128" s="66"/>
      <c r="BC128" s="4"/>
      <c r="BD128" s="67" t="str">
        <f ca="1">IFERROR(__xludf.DUMMYFUNCTION("""COMPUTED_VALUE"""),"Забайкальский край")</f>
        <v>Забайкальский край</v>
      </c>
      <c r="BE128" s="67" t="str">
        <f ca="1">IFERROR(__xludf.DUMMYFUNCTION("""COMPUTED_VALUE"""),"Чита")</f>
        <v>Чита</v>
      </c>
      <c r="BF128" s="68" t="str">
        <f ca="1">IFERROR(__xludf.DUMMYFUNCTION("""COMPUTED_VALUE"""),"ПАО ""ТГК-14""")</f>
        <v>ПАО "ТГК-14"</v>
      </c>
      <c r="BG128" s="69" t="str">
        <f ca="1">IFERROR(__xludf.DUMMYFUNCTION("""COMPUTED_VALUE"""),"3.1.7.")</f>
        <v>3.1.7.</v>
      </c>
      <c r="BH128" s="74" t="str">
        <f ca="1">IFERROR(__xludf.DUMMYFUNCTION("""COMPUTED_VALUE"""),"Мероприятие ЮЛ/ИП")</f>
        <v>Мероприятие ЮЛ/ИП</v>
      </c>
      <c r="BI128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8" s="73" t="str">
        <f ca="1">IFERROR(__xludf.DUMMYFUNCTION("""COMPUTED_VALUE"""),"Азот (II) оксид")</f>
        <v>Азот (II) оксид</v>
      </c>
      <c r="BK128" s="78">
        <f ca="1">IFERROR(__xludf.DUMMYFUNCTION("""COMPUTED_VALUE"""),0.096)</f>
        <v>9.6000000000000002E-2</v>
      </c>
      <c r="BL128" s="78">
        <f ca="1">IFERROR(__xludf.DUMMYFUNCTION("""COMPUTED_VALUE"""),0.000156332542768349)</f>
        <v>1.56332542768349E-4</v>
      </c>
      <c r="BM128" s="78">
        <f ca="1">IFERROR(__xludf.DUMMYFUNCTION("""COMPUTED_VALUE"""),0.096)</f>
        <v>9.6000000000000002E-2</v>
      </c>
      <c r="BN128" s="78">
        <f ca="1">IFERROR(__xludf.DUMMYFUNCTION("""COMPUTED_VALUE"""),0.000156332542768349)</f>
        <v>1.56332542768349E-4</v>
      </c>
      <c r="BO128" s="66"/>
      <c r="BP128" s="66"/>
    </row>
    <row r="129" spans="1:68" ht="52.8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/>
      <c r="AQ129" s="75"/>
      <c r="AR129" s="75"/>
      <c r="AS129" s="75"/>
      <c r="AT129" s="75"/>
      <c r="AU129" s="75"/>
      <c r="AV129" s="75"/>
      <c r="AW129" s="75"/>
      <c r="AX129" s="75"/>
      <c r="AY129" s="77"/>
      <c r="AZ129" s="75"/>
      <c r="BA129" s="77"/>
      <c r="BB129" s="66"/>
      <c r="BC129" s="4"/>
      <c r="BD129" s="67" t="str">
        <f ca="1">IFERROR(__xludf.DUMMYFUNCTION("""COMPUTED_VALUE"""),"Забайкальский край")</f>
        <v>Забайкальский край</v>
      </c>
      <c r="BE129" s="67" t="str">
        <f ca="1">IFERROR(__xludf.DUMMYFUNCTION("""COMPUTED_VALUE"""),"Чита")</f>
        <v>Чита</v>
      </c>
      <c r="BF129" s="68" t="str">
        <f ca="1">IFERROR(__xludf.DUMMYFUNCTION("""COMPUTED_VALUE"""),"ПАО ""ТГК-14""")</f>
        <v>ПАО "ТГК-14"</v>
      </c>
      <c r="BG129" s="69" t="str">
        <f ca="1">IFERROR(__xludf.DUMMYFUNCTION("""COMPUTED_VALUE"""),"3.1.7.")</f>
        <v>3.1.7.</v>
      </c>
      <c r="BH129" s="74" t="str">
        <f ca="1">IFERROR(__xludf.DUMMYFUNCTION("""COMPUTED_VALUE"""),"Мероприятие ЮЛ/ИП")</f>
        <v>Мероприятие ЮЛ/ИП</v>
      </c>
      <c r="BI129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9" s="73" t="str">
        <f ca="1">IFERROR(__xludf.DUMMYFUNCTION("""COMPUTED_VALUE"""),"Бенз/а/пирен")</f>
        <v>Бенз/а/пирен</v>
      </c>
      <c r="BK129" s="78">
        <f ca="1">IFERROR(__xludf.DUMMYFUNCTION("""COMPUTED_VALUE"""),0.000002)</f>
        <v>1.9999999999999999E-6</v>
      </c>
      <c r="BL129" s="78">
        <f ca="1">IFERROR(__xludf.DUMMYFUNCTION("""COMPUTED_VALUE"""),3.25692797434061E-09)</f>
        <v>3.2569279743406101E-9</v>
      </c>
      <c r="BM129" s="78">
        <f ca="1">IFERROR(__xludf.DUMMYFUNCTION("""COMPUTED_VALUE"""),0.000002)</f>
        <v>1.9999999999999999E-6</v>
      </c>
      <c r="BN129" s="78">
        <f ca="1">IFERROR(__xludf.DUMMYFUNCTION("""COMPUTED_VALUE"""),3.25692797434061E-09)</f>
        <v>3.2569279743406101E-9</v>
      </c>
      <c r="BO129" s="66"/>
      <c r="BP129" s="66"/>
    </row>
    <row r="130" spans="1:68" ht="52.8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/>
      <c r="AQ130" s="75"/>
      <c r="AR130" s="75"/>
      <c r="AS130" s="75"/>
      <c r="AT130" s="75"/>
      <c r="AU130" s="75"/>
      <c r="AV130" s="75"/>
      <c r="AW130" s="75"/>
      <c r="AX130" s="75"/>
      <c r="AY130" s="77"/>
      <c r="AZ130" s="75"/>
      <c r="BA130" s="77"/>
      <c r="BB130" s="66"/>
      <c r="BC130" s="4"/>
      <c r="BD130" s="67" t="str">
        <f ca="1">IFERROR(__xludf.DUMMYFUNCTION("""COMPUTED_VALUE"""),"Забайкальский край")</f>
        <v>Забайкальский край</v>
      </c>
      <c r="BE130" s="67" t="str">
        <f ca="1">IFERROR(__xludf.DUMMYFUNCTION("""COMPUTED_VALUE"""),"Чита")</f>
        <v>Чита</v>
      </c>
      <c r="BF130" s="68" t="str">
        <f ca="1">IFERROR(__xludf.DUMMYFUNCTION("""COMPUTED_VALUE"""),"ПАО ""ТГК-14""")</f>
        <v>ПАО "ТГК-14"</v>
      </c>
      <c r="BG130" s="69" t="str">
        <f ca="1">IFERROR(__xludf.DUMMYFUNCTION("""COMPUTED_VALUE"""),"3.1.7.")</f>
        <v>3.1.7.</v>
      </c>
      <c r="BH130" s="74" t="str">
        <f ca="1">IFERROR(__xludf.DUMMYFUNCTION("""COMPUTED_VALUE"""),"Мероприятие ЮЛ/ИП")</f>
        <v>Мероприятие ЮЛ/ИП</v>
      </c>
      <c r="BI130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0" s="78">
        <f ca="1">IFERROR(__xludf.DUMMYFUNCTION("""COMPUTED_VALUE"""),0.405)</f>
        <v>0.40500000000000003</v>
      </c>
      <c r="BL130" s="78">
        <f ca="1">IFERROR(__xludf.DUMMYFUNCTION("""COMPUTED_VALUE"""),0.000659527914803975)</f>
        <v>6.5952791480397501E-4</v>
      </c>
      <c r="BM130" s="78">
        <f ca="1">IFERROR(__xludf.DUMMYFUNCTION("""COMPUTED_VALUE"""),0.405)</f>
        <v>0.40500000000000003</v>
      </c>
      <c r="BN130" s="78">
        <f ca="1">IFERROR(__xludf.DUMMYFUNCTION("""COMPUTED_VALUE"""),0.000659527914803975)</f>
        <v>6.5952791480397501E-4</v>
      </c>
      <c r="BO130" s="66"/>
      <c r="BP130" s="66"/>
    </row>
    <row r="131" spans="1:68" ht="52.8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/>
      <c r="AQ131" s="75"/>
      <c r="AR131" s="75"/>
      <c r="AS131" s="75"/>
      <c r="AT131" s="75"/>
      <c r="AU131" s="75"/>
      <c r="AV131" s="75"/>
      <c r="AW131" s="75"/>
      <c r="AX131" s="75"/>
      <c r="AY131" s="77"/>
      <c r="AZ131" s="75"/>
      <c r="BA131" s="77"/>
      <c r="BB131" s="66"/>
      <c r="BC131" s="4"/>
      <c r="BD131" s="67" t="str">
        <f ca="1">IFERROR(__xludf.DUMMYFUNCTION("""COMPUTED_VALUE"""),"Забайкальский край")</f>
        <v>Забайкальский край</v>
      </c>
      <c r="BE131" s="67" t="str">
        <f ca="1">IFERROR(__xludf.DUMMYFUNCTION("""COMPUTED_VALUE"""),"Чита")</f>
        <v>Чита</v>
      </c>
      <c r="BF131" s="68" t="str">
        <f ca="1">IFERROR(__xludf.DUMMYFUNCTION("""COMPUTED_VALUE"""),"ПАО ""ТГК-14""")</f>
        <v>ПАО "ТГК-14"</v>
      </c>
      <c r="BG131" s="69" t="str">
        <f ca="1">IFERROR(__xludf.DUMMYFUNCTION("""COMPUTED_VALUE"""),"3.1.7.")</f>
        <v>3.1.7.</v>
      </c>
      <c r="BH131" s="74" t="str">
        <f ca="1">IFERROR(__xludf.DUMMYFUNCTION("""COMPUTED_VALUE"""),"Мероприятие ЮЛ/ИП")</f>
        <v>Мероприятие ЮЛ/ИП</v>
      </c>
      <c r="BI1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1" s="73" t="str">
        <f ca="1">IFERROR(__xludf.DUMMYFUNCTION("""COMPUTED_VALUE"""),"Сера диоксид")</f>
        <v>Сера диоксид</v>
      </c>
      <c r="BK131" s="78">
        <f ca="1">IFERROR(__xludf.DUMMYFUNCTION("""COMPUTED_VALUE"""),0.808)</f>
        <v>0.80800000000000005</v>
      </c>
      <c r="BL131" s="78">
        <f ca="1">IFERROR(__xludf.DUMMYFUNCTION("""COMPUTED_VALUE"""),0.00131579890163361)</f>
        <v>1.31579890163361E-3</v>
      </c>
      <c r="BM131" s="78">
        <f ca="1">IFERROR(__xludf.DUMMYFUNCTION("""COMPUTED_VALUE"""),0.808)</f>
        <v>0.80800000000000005</v>
      </c>
      <c r="BN131" s="78">
        <f ca="1">IFERROR(__xludf.DUMMYFUNCTION("""COMPUTED_VALUE"""),0.00131579890163361)</f>
        <v>1.31579890163361E-3</v>
      </c>
      <c r="BO131" s="66"/>
      <c r="BP131" s="66"/>
    </row>
    <row r="132" spans="1:68" ht="52.8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/>
      <c r="AQ132" s="75"/>
      <c r="AR132" s="75"/>
      <c r="AS132" s="75"/>
      <c r="AT132" s="75"/>
      <c r="AU132" s="75"/>
      <c r="AV132" s="75"/>
      <c r="AW132" s="75"/>
      <c r="AX132" s="75"/>
      <c r="AY132" s="77"/>
      <c r="AZ132" s="75"/>
      <c r="BA132" s="77"/>
      <c r="BB132" s="66"/>
      <c r="BC132" s="4"/>
      <c r="BD132" s="67" t="str">
        <f ca="1">IFERROR(__xludf.DUMMYFUNCTION("""COMPUTED_VALUE"""),"Забайкальский край")</f>
        <v>Забайкальский край</v>
      </c>
      <c r="BE132" s="67" t="str">
        <f ca="1">IFERROR(__xludf.DUMMYFUNCTION("""COMPUTED_VALUE"""),"Чита")</f>
        <v>Чита</v>
      </c>
      <c r="BF132" s="68" t="str">
        <f ca="1">IFERROR(__xludf.DUMMYFUNCTION("""COMPUTED_VALUE"""),"ПАО ""ТГК-14""")</f>
        <v>ПАО "ТГК-14"</v>
      </c>
      <c r="BG132" s="69" t="str">
        <f ca="1">IFERROR(__xludf.DUMMYFUNCTION("""COMPUTED_VALUE"""),"3.1.7.")</f>
        <v>3.1.7.</v>
      </c>
      <c r="BH132" s="74" t="str">
        <f ca="1">IFERROR(__xludf.DUMMYFUNCTION("""COMPUTED_VALUE"""),"Мероприятие ЮЛ/ИП")</f>
        <v>Мероприятие ЮЛ/ИП</v>
      </c>
      <c r="BI132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2" s="73" t="str">
        <f ca="1">IFERROR(__xludf.DUMMYFUNCTION("""COMPUTED_VALUE"""),"Углерода оксид")</f>
        <v>Углерода оксид</v>
      </c>
      <c r="BK132" s="78">
        <f ca="1">IFERROR(__xludf.DUMMYFUNCTION("""COMPUTED_VALUE"""),6.06)</f>
        <v>6.06</v>
      </c>
      <c r="BL132" s="78">
        <f ca="1">IFERROR(__xludf.DUMMYFUNCTION("""COMPUTED_VALUE"""),0.00986849176225207)</f>
        <v>9.8684917622520706E-3</v>
      </c>
      <c r="BM132" s="78">
        <f ca="1">IFERROR(__xludf.DUMMYFUNCTION("""COMPUTED_VALUE"""),6.06)</f>
        <v>6.06</v>
      </c>
      <c r="BN132" s="78">
        <f ca="1">IFERROR(__xludf.DUMMYFUNCTION("""COMPUTED_VALUE"""),0.00986849176225207)</f>
        <v>9.8684917622520706E-3</v>
      </c>
      <c r="BO132" s="66"/>
      <c r="BP132" s="66"/>
    </row>
    <row r="133" spans="1:68" ht="52.8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/>
      <c r="AQ133" s="75"/>
      <c r="AR133" s="75"/>
      <c r="AS133" s="75"/>
      <c r="AT133" s="75"/>
      <c r="AU133" s="75"/>
      <c r="AV133" s="75"/>
      <c r="AW133" s="75"/>
      <c r="AX133" s="75"/>
      <c r="AY133" s="77"/>
      <c r="AZ133" s="75"/>
      <c r="BA133" s="77"/>
      <c r="BB133" s="66"/>
      <c r="BC133" s="4"/>
      <c r="BD133" s="67" t="str">
        <f ca="1">IFERROR(__xludf.DUMMYFUNCTION("""COMPUTED_VALUE"""),"Забайкальский край")</f>
        <v>Забайкальский край</v>
      </c>
      <c r="BE133" s="67" t="str">
        <f ca="1">IFERROR(__xludf.DUMMYFUNCTION("""COMPUTED_VALUE"""),"Чита")</f>
        <v>Чита</v>
      </c>
      <c r="BF133" s="68" t="str">
        <f ca="1">IFERROR(__xludf.DUMMYFUNCTION("""COMPUTED_VALUE"""),"ПАО ""ТГК-14""")</f>
        <v>ПАО "ТГК-14"</v>
      </c>
      <c r="BG133" s="69" t="str">
        <f ca="1">IFERROR(__xludf.DUMMYFUNCTION("""COMPUTED_VALUE"""),"3.1.7.")</f>
        <v>3.1.7.</v>
      </c>
      <c r="BH133" s="74" t="str">
        <f ca="1">IFERROR(__xludf.DUMMYFUNCTION("""COMPUTED_VALUE"""),"Мероприятие ЮЛ/ИП")</f>
        <v>Мероприятие ЮЛ/ИП</v>
      </c>
      <c r="BI133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3" s="73" t="str">
        <f ca="1">IFERROR(__xludf.DUMMYFUNCTION("""COMPUTED_VALUE"""),"Углерод")</f>
        <v>Углерод</v>
      </c>
      <c r="BK133" s="78">
        <f ca="1">IFERROR(__xludf.DUMMYFUNCTION("""COMPUTED_VALUE"""),0.323)</f>
        <v>0.32300000000000001</v>
      </c>
      <c r="BL133" s="78">
        <f ca="1">IFERROR(__xludf.DUMMYFUNCTION("""COMPUTED_VALUE"""),0.00052599386785601)</f>
        <v>5.2599386785601003E-4</v>
      </c>
      <c r="BM133" s="78">
        <f ca="1">IFERROR(__xludf.DUMMYFUNCTION("""COMPUTED_VALUE"""),0.323)</f>
        <v>0.32300000000000001</v>
      </c>
      <c r="BN133" s="78">
        <f ca="1">IFERROR(__xludf.DUMMYFUNCTION("""COMPUTED_VALUE"""),0.00052599386785601)</f>
        <v>5.2599386785601003E-4</v>
      </c>
      <c r="BO133" s="66"/>
      <c r="BP133" s="66"/>
    </row>
    <row r="134" spans="1:68" ht="52.8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/>
      <c r="AQ134" s="75"/>
      <c r="AR134" s="75"/>
      <c r="AS134" s="75"/>
      <c r="AT134" s="75"/>
      <c r="AU134" s="75"/>
      <c r="AV134" s="75"/>
      <c r="AW134" s="75"/>
      <c r="AX134" s="75"/>
      <c r="AY134" s="77"/>
      <c r="AZ134" s="75"/>
      <c r="BA134" s="77"/>
      <c r="BB134" s="66"/>
      <c r="BC134" s="4"/>
      <c r="BD134" s="67" t="str">
        <f ca="1">IFERROR(__xludf.DUMMYFUNCTION("""COMPUTED_VALUE"""),"Забайкальский край")</f>
        <v>Забайкальский край</v>
      </c>
      <c r="BE134" s="67" t="str">
        <f ca="1">IFERROR(__xludf.DUMMYFUNCTION("""COMPUTED_VALUE"""),"Чита")</f>
        <v>Чита</v>
      </c>
      <c r="BF134" s="68" t="str">
        <f ca="1">IFERROR(__xludf.DUMMYFUNCTION("""COMPUTED_VALUE"""),"ПАО ""ТГК-14""")</f>
        <v>ПАО "ТГК-14"</v>
      </c>
      <c r="BG134" s="69" t="str">
        <f ca="1">IFERROR(__xludf.DUMMYFUNCTION("""COMPUTED_VALUE"""),"3.1.8.")</f>
        <v>3.1.8.</v>
      </c>
      <c r="BH134" s="74" t="str">
        <f ca="1">IFERROR(__xludf.DUMMYFUNCTION("""COMPUTED_VALUE"""),"Мероприятие ЮЛ/ИП")</f>
        <v>Мероприятие ЮЛ/ИП</v>
      </c>
      <c r="BI134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4" s="73" t="str">
        <f ca="1">IFERROR(__xludf.DUMMYFUNCTION("""COMPUTED_VALUE"""),"Азота диоксид")</f>
        <v>Азота диоксид</v>
      </c>
      <c r="BK134" s="78">
        <f ca="1">IFERROR(__xludf.DUMMYFUNCTION("""COMPUTED_VALUE"""),5.55)</f>
        <v>5.55</v>
      </c>
      <c r="BL134" s="78">
        <f ca="1">IFERROR(__xludf.DUMMYFUNCTION("""COMPUTED_VALUE"""),0.00903797512879521)</f>
        <v>9.0379751287952108E-3</v>
      </c>
      <c r="BM134" s="78">
        <f ca="1">IFERROR(__xludf.DUMMYFUNCTION("""COMPUTED_VALUE"""),5.55)</f>
        <v>5.55</v>
      </c>
      <c r="BN134" s="78">
        <f ca="1">IFERROR(__xludf.DUMMYFUNCTION("""COMPUTED_VALUE"""),0.00903797512879521)</f>
        <v>9.0379751287952108E-3</v>
      </c>
      <c r="BO134" s="66"/>
      <c r="BP134" s="66"/>
    </row>
    <row r="135" spans="1:68" ht="52.8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/>
      <c r="AQ135" s="75"/>
      <c r="AR135" s="75"/>
      <c r="AS135" s="75"/>
      <c r="AT135" s="75"/>
      <c r="AU135" s="75"/>
      <c r="AV135" s="75"/>
      <c r="AW135" s="75"/>
      <c r="AX135" s="75"/>
      <c r="AY135" s="77"/>
      <c r="AZ135" s="75"/>
      <c r="BA135" s="77"/>
      <c r="BB135" s="66"/>
      <c r="BC135" s="4"/>
      <c r="BD135" s="67" t="str">
        <f ca="1">IFERROR(__xludf.DUMMYFUNCTION("""COMPUTED_VALUE"""),"Забайкальский край")</f>
        <v>Забайкальский край</v>
      </c>
      <c r="BE135" s="67" t="str">
        <f ca="1">IFERROR(__xludf.DUMMYFUNCTION("""COMPUTED_VALUE"""),"Чита")</f>
        <v>Чита</v>
      </c>
      <c r="BF135" s="68" t="str">
        <f ca="1">IFERROR(__xludf.DUMMYFUNCTION("""COMPUTED_VALUE"""),"ПАО ""ТГК-14""")</f>
        <v>ПАО "ТГК-14"</v>
      </c>
      <c r="BG135" s="69" t="str">
        <f ca="1">IFERROR(__xludf.DUMMYFUNCTION("""COMPUTED_VALUE"""),"3.1.8.")</f>
        <v>3.1.8.</v>
      </c>
      <c r="BH135" s="74" t="str">
        <f ca="1">IFERROR(__xludf.DUMMYFUNCTION("""COMPUTED_VALUE"""),"Мероприятие ЮЛ/ИП")</f>
        <v>Мероприятие ЮЛ/ИП</v>
      </c>
      <c r="BI135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5" s="73" t="str">
        <f ca="1">IFERROR(__xludf.DUMMYFUNCTION("""COMPUTED_VALUE"""),"Азот (II) оксид")</f>
        <v>Азот (II) оксид</v>
      </c>
      <c r="BK135" s="78">
        <f ca="1">IFERROR(__xludf.DUMMYFUNCTION("""COMPUTED_VALUE"""),0.79)</f>
        <v>0.79</v>
      </c>
      <c r="BL135" s="78">
        <f ca="1">IFERROR(__xludf.DUMMYFUNCTION("""COMPUTED_VALUE"""),0.00128648654986454)</f>
        <v>1.2864865498645401E-3</v>
      </c>
      <c r="BM135" s="78">
        <f ca="1">IFERROR(__xludf.DUMMYFUNCTION("""COMPUTED_VALUE"""),0.79)</f>
        <v>0.79</v>
      </c>
      <c r="BN135" s="78">
        <f ca="1">IFERROR(__xludf.DUMMYFUNCTION("""COMPUTED_VALUE"""),0.00128648654986454)</f>
        <v>1.2864865498645401E-3</v>
      </c>
      <c r="BO135" s="66"/>
      <c r="BP135" s="66"/>
    </row>
    <row r="136" spans="1:68" ht="52.8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/>
      <c r="AQ136" s="75"/>
      <c r="AR136" s="75"/>
      <c r="AS136" s="75"/>
      <c r="AT136" s="75"/>
      <c r="AU136" s="75"/>
      <c r="AV136" s="75"/>
      <c r="AW136" s="75"/>
      <c r="AX136" s="75"/>
      <c r="AY136" s="77"/>
      <c r="AZ136" s="75"/>
      <c r="BA136" s="77"/>
      <c r="BB136" s="66"/>
      <c r="BC136" s="4"/>
      <c r="BD136" s="67" t="str">
        <f ca="1">IFERROR(__xludf.DUMMYFUNCTION("""COMPUTED_VALUE"""),"Забайкальский край")</f>
        <v>Забайкальский край</v>
      </c>
      <c r="BE136" s="67" t="str">
        <f ca="1">IFERROR(__xludf.DUMMYFUNCTION("""COMPUTED_VALUE"""),"Чита")</f>
        <v>Чита</v>
      </c>
      <c r="BF136" s="68" t="str">
        <f ca="1">IFERROR(__xludf.DUMMYFUNCTION("""COMPUTED_VALUE"""),"ПАО ""ТГК-14""")</f>
        <v>ПАО "ТГК-14"</v>
      </c>
      <c r="BG136" s="69" t="str">
        <f ca="1">IFERROR(__xludf.DUMMYFUNCTION("""COMPUTED_VALUE"""),"3.1.8.")</f>
        <v>3.1.8.</v>
      </c>
      <c r="BH136" s="74" t="str">
        <f ca="1">IFERROR(__xludf.DUMMYFUNCTION("""COMPUTED_VALUE"""),"Мероприятие ЮЛ/ИП")</f>
        <v>Мероприятие ЮЛ/ИП</v>
      </c>
      <c r="BI136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6" s="73" t="str">
        <f ca="1">IFERROR(__xludf.DUMMYFUNCTION("""COMPUTED_VALUE"""),"Бенз/а/пирен")</f>
        <v>Бенз/а/пирен</v>
      </c>
      <c r="BK136" s="78">
        <f ca="1">IFERROR(__xludf.DUMMYFUNCTION("""COMPUTED_VALUE"""),0.00007)</f>
        <v>6.9999999999999994E-5</v>
      </c>
      <c r="BL136" s="78">
        <f ca="1">IFERROR(__xludf.DUMMYFUNCTION("""COMPUTED_VALUE"""),1.13992479101921E-07)</f>
        <v>1.13992479101921E-7</v>
      </c>
      <c r="BM136" s="78">
        <f ca="1">IFERROR(__xludf.DUMMYFUNCTION("""COMPUTED_VALUE"""),0.00007)</f>
        <v>6.9999999999999994E-5</v>
      </c>
      <c r="BN136" s="78">
        <f ca="1">IFERROR(__xludf.DUMMYFUNCTION("""COMPUTED_VALUE"""),1.13992479101921E-07)</f>
        <v>1.13992479101921E-7</v>
      </c>
      <c r="BO136" s="66"/>
      <c r="BP136" s="66"/>
    </row>
    <row r="137" spans="1:68" ht="52.8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/>
      <c r="AQ137" s="75"/>
      <c r="AR137" s="75"/>
      <c r="AS137" s="75"/>
      <c r="AT137" s="75"/>
      <c r="AU137" s="75"/>
      <c r="AV137" s="75"/>
      <c r="AW137" s="75"/>
      <c r="AX137" s="75"/>
      <c r="AY137" s="77"/>
      <c r="AZ137" s="75"/>
      <c r="BA137" s="77"/>
      <c r="BB137" s="66"/>
      <c r="BC137" s="4"/>
      <c r="BD137" s="67" t="str">
        <f ca="1">IFERROR(__xludf.DUMMYFUNCTION("""COMPUTED_VALUE"""),"Забайкальский край")</f>
        <v>Забайкальский край</v>
      </c>
      <c r="BE137" s="67" t="str">
        <f ca="1">IFERROR(__xludf.DUMMYFUNCTION("""COMPUTED_VALUE"""),"Чита")</f>
        <v>Чита</v>
      </c>
      <c r="BF137" s="68" t="str">
        <f ca="1">IFERROR(__xludf.DUMMYFUNCTION("""COMPUTED_VALUE"""),"ПАО ""ТГК-14""")</f>
        <v>ПАО "ТГК-14"</v>
      </c>
      <c r="BG137" s="69" t="str">
        <f ca="1">IFERROR(__xludf.DUMMYFUNCTION("""COMPUTED_VALUE"""),"3.1.8.")</f>
        <v>3.1.8.</v>
      </c>
      <c r="BH137" s="74" t="str">
        <f ca="1">IFERROR(__xludf.DUMMYFUNCTION("""COMPUTED_VALUE"""),"Мероприятие ЮЛ/ИП")</f>
        <v>Мероприятие ЮЛ/ИП</v>
      </c>
      <c r="BI137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7" s="78">
        <f ca="1">IFERROR(__xludf.DUMMYFUNCTION("""COMPUTED_VALUE"""),6.336)</f>
        <v>6.3360000000000003</v>
      </c>
      <c r="BL137" s="78">
        <f ca="1">IFERROR(__xludf.DUMMYFUNCTION("""COMPUTED_VALUE"""),0.010317947822711)</f>
        <v>1.0317947822710999E-2</v>
      </c>
      <c r="BM137" s="78">
        <f ca="1">IFERROR(__xludf.DUMMYFUNCTION("""COMPUTED_VALUE"""),6.336)</f>
        <v>6.3360000000000003</v>
      </c>
      <c r="BN137" s="78">
        <f ca="1">IFERROR(__xludf.DUMMYFUNCTION("""COMPUTED_VALUE"""),0.010317947822711)</f>
        <v>1.0317947822710999E-2</v>
      </c>
      <c r="BO137" s="66"/>
      <c r="BP137" s="66"/>
    </row>
    <row r="138" spans="1:68" ht="52.8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/>
      <c r="AQ138" s="75"/>
      <c r="AR138" s="75"/>
      <c r="AS138" s="75"/>
      <c r="AT138" s="75"/>
      <c r="AU138" s="75"/>
      <c r="AV138" s="75"/>
      <c r="AW138" s="75"/>
      <c r="AX138" s="75"/>
      <c r="AY138" s="77"/>
      <c r="AZ138" s="75"/>
      <c r="BA138" s="77"/>
      <c r="BB138" s="66"/>
      <c r="BC138" s="4"/>
      <c r="BD138" s="67" t="str">
        <f ca="1">IFERROR(__xludf.DUMMYFUNCTION("""COMPUTED_VALUE"""),"Забайкальский край")</f>
        <v>Забайкальский край</v>
      </c>
      <c r="BE138" s="67" t="str">
        <f ca="1">IFERROR(__xludf.DUMMYFUNCTION("""COMPUTED_VALUE"""),"Чита")</f>
        <v>Чита</v>
      </c>
      <c r="BF138" s="68" t="str">
        <f ca="1">IFERROR(__xludf.DUMMYFUNCTION("""COMPUTED_VALUE"""),"ПАО ""ТГК-14""")</f>
        <v>ПАО "ТГК-14"</v>
      </c>
      <c r="BG138" s="69" t="str">
        <f ca="1">IFERROR(__xludf.DUMMYFUNCTION("""COMPUTED_VALUE"""),"3.1.8.")</f>
        <v>3.1.8.</v>
      </c>
      <c r="BH138" s="74" t="str">
        <f ca="1">IFERROR(__xludf.DUMMYFUNCTION("""COMPUTED_VALUE"""),"Мероприятие ЮЛ/ИП")</f>
        <v>Мероприятие ЮЛ/ИП</v>
      </c>
      <c r="BI138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8" s="73" t="str">
        <f ca="1">IFERROR(__xludf.DUMMYFUNCTION("""COMPUTED_VALUE"""),"Сера диоксид")</f>
        <v>Сера диоксид</v>
      </c>
      <c r="BK138" s="78">
        <f ca="1">IFERROR(__xludf.DUMMYFUNCTION("""COMPUTED_VALUE"""),6.336)</f>
        <v>6.3360000000000003</v>
      </c>
      <c r="BL138" s="78">
        <f ca="1">IFERROR(__xludf.DUMMYFUNCTION("""COMPUTED_VALUE"""),0.010317947822711)</f>
        <v>1.0317947822710999E-2</v>
      </c>
      <c r="BM138" s="78">
        <f ca="1">IFERROR(__xludf.DUMMYFUNCTION("""COMPUTED_VALUE"""),6.336)</f>
        <v>6.3360000000000003</v>
      </c>
      <c r="BN138" s="78">
        <f ca="1">IFERROR(__xludf.DUMMYFUNCTION("""COMPUTED_VALUE"""),0.010317947822711)</f>
        <v>1.0317947822710999E-2</v>
      </c>
      <c r="BO138" s="66"/>
      <c r="BP138" s="66"/>
    </row>
    <row r="139" spans="1:68" ht="52.8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/>
      <c r="AQ139" s="75"/>
      <c r="AR139" s="75"/>
      <c r="AS139" s="75"/>
      <c r="AT139" s="75"/>
      <c r="AU139" s="75"/>
      <c r="AV139" s="75"/>
      <c r="AW139" s="75"/>
      <c r="AX139" s="75"/>
      <c r="AY139" s="77"/>
      <c r="AZ139" s="75"/>
      <c r="BA139" s="77"/>
      <c r="BB139" s="66"/>
      <c r="BC139" s="4"/>
      <c r="BD139" s="67" t="str">
        <f ca="1">IFERROR(__xludf.DUMMYFUNCTION("""COMPUTED_VALUE"""),"Забайкальский край")</f>
        <v>Забайкальский край</v>
      </c>
      <c r="BE139" s="67" t="str">
        <f ca="1">IFERROR(__xludf.DUMMYFUNCTION("""COMPUTED_VALUE"""),"Чита")</f>
        <v>Чита</v>
      </c>
      <c r="BF139" s="68" t="str">
        <f ca="1">IFERROR(__xludf.DUMMYFUNCTION("""COMPUTED_VALUE"""),"ПАО ""ТГК-14""")</f>
        <v>ПАО "ТГК-14"</v>
      </c>
      <c r="BG139" s="69" t="str">
        <f ca="1">IFERROR(__xludf.DUMMYFUNCTION("""COMPUTED_VALUE"""),"3.1.8.")</f>
        <v>3.1.8.</v>
      </c>
      <c r="BH139" s="74" t="str">
        <f ca="1">IFERROR(__xludf.DUMMYFUNCTION("""COMPUTED_VALUE"""),"Мероприятие ЮЛ/ИП")</f>
        <v>Мероприятие ЮЛ/ИП</v>
      </c>
      <c r="BI139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9" s="73" t="str">
        <f ca="1">IFERROR(__xludf.DUMMYFUNCTION("""COMPUTED_VALUE"""),"Углерода оксид")</f>
        <v>Углерода оксид</v>
      </c>
      <c r="BK139" s="78">
        <f ca="1">IFERROR(__xludf.DUMMYFUNCTION("""COMPUTED_VALUE"""),57.031)</f>
        <v>57.030999999999999</v>
      </c>
      <c r="BL139" s="78">
        <f ca="1">IFERROR(__xludf.DUMMYFUNCTION("""COMPUTED_VALUE"""),0.0928729296523099)</f>
        <v>9.2872929652309894E-2</v>
      </c>
      <c r="BM139" s="78">
        <f ca="1">IFERROR(__xludf.DUMMYFUNCTION("""COMPUTED_VALUE"""),57.031)</f>
        <v>57.030999999999999</v>
      </c>
      <c r="BN139" s="78">
        <f ca="1">IFERROR(__xludf.DUMMYFUNCTION("""COMPUTED_VALUE"""),0.0928729296523099)</f>
        <v>9.2872929652309894E-2</v>
      </c>
      <c r="BO139" s="66"/>
      <c r="BP139" s="66"/>
    </row>
    <row r="140" spans="1:68" ht="52.8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/>
      <c r="AQ140" s="75"/>
      <c r="AR140" s="75"/>
      <c r="AS140" s="75"/>
      <c r="AT140" s="75"/>
      <c r="AU140" s="75"/>
      <c r="AV140" s="75"/>
      <c r="AW140" s="75"/>
      <c r="AX140" s="75"/>
      <c r="AY140" s="77"/>
      <c r="AZ140" s="75"/>
      <c r="BA140" s="77"/>
      <c r="BB140" s="66"/>
      <c r="BC140" s="4"/>
      <c r="BD140" s="67" t="str">
        <f ca="1">IFERROR(__xludf.DUMMYFUNCTION("""COMPUTED_VALUE"""),"Забайкальский край")</f>
        <v>Забайкальский край</v>
      </c>
      <c r="BE140" s="67" t="str">
        <f ca="1">IFERROR(__xludf.DUMMYFUNCTION("""COMPUTED_VALUE"""),"Чита")</f>
        <v>Чита</v>
      </c>
      <c r="BF140" s="68" t="str">
        <f ca="1">IFERROR(__xludf.DUMMYFUNCTION("""COMPUTED_VALUE"""),"ПАО ""ТГК-14""")</f>
        <v>ПАО "ТГК-14"</v>
      </c>
      <c r="BG140" s="69" t="str">
        <f ca="1">IFERROR(__xludf.DUMMYFUNCTION("""COMPUTED_VALUE"""),"3.1.8.")</f>
        <v>3.1.8.</v>
      </c>
      <c r="BH140" s="74" t="str">
        <f ca="1">IFERROR(__xludf.DUMMYFUNCTION("""COMPUTED_VALUE"""),"Мероприятие ЮЛ/ИП")</f>
        <v>Мероприятие ЮЛ/ИП</v>
      </c>
      <c r="BI140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40" s="73" t="str">
        <f ca="1">IFERROR(__xludf.DUMMYFUNCTION("""COMPUTED_VALUE"""),"Углерод")</f>
        <v>Углерод</v>
      </c>
      <c r="BK140" s="78">
        <f ca="1">IFERROR(__xludf.DUMMYFUNCTION("""COMPUTED_VALUE"""),3.168)</f>
        <v>3.1680000000000001</v>
      </c>
      <c r="BL140" s="78">
        <f ca="1">IFERROR(__xludf.DUMMYFUNCTION("""COMPUTED_VALUE"""),0.00515897391135554)</f>
        <v>5.1589739113555404E-3</v>
      </c>
      <c r="BM140" s="78">
        <f ca="1">IFERROR(__xludf.DUMMYFUNCTION("""COMPUTED_VALUE"""),3.168)</f>
        <v>3.1680000000000001</v>
      </c>
      <c r="BN140" s="78">
        <f ca="1">IFERROR(__xludf.DUMMYFUNCTION("""COMPUTED_VALUE"""),0.00515897391135554)</f>
        <v>5.1589739113555404E-3</v>
      </c>
      <c r="BO140" s="66"/>
      <c r="BP140" s="66"/>
    </row>
    <row r="141" spans="1:68" ht="66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/>
      <c r="AQ141" s="75"/>
      <c r="AR141" s="75"/>
      <c r="AS141" s="75"/>
      <c r="AT141" s="75"/>
      <c r="AU141" s="75"/>
      <c r="AV141" s="75"/>
      <c r="AW141" s="75"/>
      <c r="AX141" s="75"/>
      <c r="AY141" s="77"/>
      <c r="AZ141" s="75"/>
      <c r="BA141" s="77"/>
      <c r="BB141" s="66"/>
      <c r="BC141" s="4"/>
      <c r="BD141" s="67" t="str">
        <f ca="1">IFERROR(__xludf.DUMMYFUNCTION("""COMPUTED_VALUE"""),"Забайкальский край")</f>
        <v>Забайкальский край</v>
      </c>
      <c r="BE141" s="67" t="str">
        <f ca="1">IFERROR(__xludf.DUMMYFUNCTION("""COMPUTED_VALUE"""),"Чита")</f>
        <v>Чита</v>
      </c>
      <c r="BF141" s="68" t="str">
        <f ca="1">IFERROR(__xludf.DUMMYFUNCTION("""COMPUTED_VALUE"""),"ПАО ""ТГК-14""")</f>
        <v>ПАО "ТГК-14"</v>
      </c>
      <c r="BG141" s="69" t="str">
        <f ca="1">IFERROR(__xludf.DUMMYFUNCTION("""COMPUTED_VALUE"""),"3.1.9.")</f>
        <v>3.1.9.</v>
      </c>
      <c r="BH141" s="74" t="str">
        <f ca="1">IFERROR(__xludf.DUMMYFUNCTION("""COMPUTED_VALUE"""),"Мероприятие ЮЛ/ИП")</f>
        <v>Мероприятие ЮЛ/ИП</v>
      </c>
      <c r="BI141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1" s="73" t="str">
        <f ca="1">IFERROR(__xludf.DUMMYFUNCTION("""COMPUTED_VALUE"""),"Азота диоксид")</f>
        <v>Азота диоксид</v>
      </c>
      <c r="BK141" s="78">
        <f ca="1">IFERROR(__xludf.DUMMYFUNCTION("""COMPUTED_VALUE"""),15.328)</f>
        <v>15.327999999999999</v>
      </c>
      <c r="BL141" s="78">
        <f ca="1">IFERROR(__xludf.DUMMYFUNCTION("""COMPUTED_VALUE"""),0.0249610959953465)</f>
        <v>2.4961095995346499E-2</v>
      </c>
      <c r="BM141" s="78">
        <f ca="1">IFERROR(__xludf.DUMMYFUNCTION("""COMPUTED_VALUE"""),15.328)</f>
        <v>15.327999999999999</v>
      </c>
      <c r="BN141" s="78">
        <f ca="1">IFERROR(__xludf.DUMMYFUNCTION("""COMPUTED_VALUE"""),0.0249610959953465)</f>
        <v>2.4961095995346499E-2</v>
      </c>
      <c r="BO141" s="66"/>
      <c r="BP141" s="66"/>
    </row>
    <row r="142" spans="1:68" ht="66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/>
      <c r="AQ142" s="75"/>
      <c r="AR142" s="75"/>
      <c r="AS142" s="75"/>
      <c r="AT142" s="75"/>
      <c r="AU142" s="75"/>
      <c r="AV142" s="75"/>
      <c r="AW142" s="75"/>
      <c r="AX142" s="75"/>
      <c r="AY142" s="77"/>
      <c r="AZ142" s="75"/>
      <c r="BA142" s="77"/>
      <c r="BB142" s="66"/>
      <c r="BC142" s="4"/>
      <c r="BD142" s="67" t="str">
        <f ca="1">IFERROR(__xludf.DUMMYFUNCTION("""COMPUTED_VALUE"""),"Забайкальский край")</f>
        <v>Забайкальский край</v>
      </c>
      <c r="BE142" s="67" t="str">
        <f ca="1">IFERROR(__xludf.DUMMYFUNCTION("""COMPUTED_VALUE"""),"Чита")</f>
        <v>Чита</v>
      </c>
      <c r="BF142" s="68" t="str">
        <f ca="1">IFERROR(__xludf.DUMMYFUNCTION("""COMPUTED_VALUE"""),"ПАО ""ТГК-14""")</f>
        <v>ПАО "ТГК-14"</v>
      </c>
      <c r="BG142" s="69" t="str">
        <f ca="1">IFERROR(__xludf.DUMMYFUNCTION("""COMPUTED_VALUE"""),"3.1.9.")</f>
        <v>3.1.9.</v>
      </c>
      <c r="BH142" s="74" t="str">
        <f ca="1">IFERROR(__xludf.DUMMYFUNCTION("""COMPUTED_VALUE"""),"Мероприятие ЮЛ/ИП")</f>
        <v>Мероприятие ЮЛ/ИП</v>
      </c>
      <c r="BI142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2" s="73" t="str">
        <f ca="1">IFERROR(__xludf.DUMMYFUNCTION("""COMPUTED_VALUE"""),"Азот (II) оксид")</f>
        <v>Азот (II) оксид</v>
      </c>
      <c r="BK142" s="78">
        <f ca="1">IFERROR(__xludf.DUMMYFUNCTION("""COMPUTED_VALUE"""),2.358)</f>
        <v>2.3580000000000001</v>
      </c>
      <c r="BL142" s="78">
        <f ca="1">IFERROR(__xludf.DUMMYFUNCTION("""COMPUTED_VALUE"""),0.00383991808174759)</f>
        <v>3.8399180817475899E-3</v>
      </c>
      <c r="BM142" s="78">
        <f ca="1">IFERROR(__xludf.DUMMYFUNCTION("""COMPUTED_VALUE"""),2.358)</f>
        <v>2.3580000000000001</v>
      </c>
      <c r="BN142" s="78">
        <f ca="1">IFERROR(__xludf.DUMMYFUNCTION("""COMPUTED_VALUE"""),0.00383991808174759)</f>
        <v>3.8399180817475899E-3</v>
      </c>
      <c r="BO142" s="66"/>
      <c r="BP142" s="66"/>
    </row>
    <row r="143" spans="1:68" ht="66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/>
      <c r="AQ143" s="75"/>
      <c r="AR143" s="75"/>
      <c r="AS143" s="75"/>
      <c r="AT143" s="75"/>
      <c r="AU143" s="75"/>
      <c r="AV143" s="75"/>
      <c r="AW143" s="75"/>
      <c r="AX143" s="75"/>
      <c r="AY143" s="77"/>
      <c r="AZ143" s="75"/>
      <c r="BA143" s="77"/>
      <c r="BB143" s="66"/>
      <c r="BC143" s="4"/>
      <c r="BD143" s="67" t="str">
        <f ca="1">IFERROR(__xludf.DUMMYFUNCTION("""COMPUTED_VALUE"""),"Забайкальский край")</f>
        <v>Забайкальский край</v>
      </c>
      <c r="BE143" s="67" t="str">
        <f ca="1">IFERROR(__xludf.DUMMYFUNCTION("""COMPUTED_VALUE"""),"Чита")</f>
        <v>Чита</v>
      </c>
      <c r="BF143" s="68" t="str">
        <f ca="1">IFERROR(__xludf.DUMMYFUNCTION("""COMPUTED_VALUE"""),"ПАО ""ТГК-14""")</f>
        <v>ПАО "ТГК-14"</v>
      </c>
      <c r="BG143" s="69" t="str">
        <f ca="1">IFERROR(__xludf.DUMMYFUNCTION("""COMPUTED_VALUE"""),"3.1.9.")</f>
        <v>3.1.9.</v>
      </c>
      <c r="BH143" s="74" t="str">
        <f ca="1">IFERROR(__xludf.DUMMYFUNCTION("""COMPUTED_VALUE"""),"Мероприятие ЮЛ/ИП")</f>
        <v>Мероприятие ЮЛ/ИП</v>
      </c>
      <c r="BI14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3" s="73" t="str">
        <f ca="1">IFERROR(__xludf.DUMMYFUNCTION("""COMPUTED_VALUE"""),"Бенз/а/пирен")</f>
        <v>Бенз/а/пирен</v>
      </c>
      <c r="BK143" s="78">
        <f ca="1">IFERROR(__xludf.DUMMYFUNCTION("""COMPUTED_VALUE"""),0.719)</f>
        <v>0.71899999999999997</v>
      </c>
      <c r="BL143" s="78">
        <f ca="1">IFERROR(__xludf.DUMMYFUNCTION("""COMPUTED_VALUE"""),0.00117086560677545)</f>
        <v>1.1708656067754501E-3</v>
      </c>
      <c r="BM143" s="78">
        <f ca="1">IFERROR(__xludf.DUMMYFUNCTION("""COMPUTED_VALUE"""),0.719)</f>
        <v>0.71899999999999997</v>
      </c>
      <c r="BN143" s="78">
        <f ca="1">IFERROR(__xludf.DUMMYFUNCTION("""COMPUTED_VALUE"""),0.00117086560677545)</f>
        <v>1.1708656067754501E-3</v>
      </c>
      <c r="BO143" s="66"/>
      <c r="BP143" s="66"/>
    </row>
    <row r="144" spans="1:68" ht="66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/>
      <c r="AQ144" s="75"/>
      <c r="AR144" s="75"/>
      <c r="AS144" s="75"/>
      <c r="AT144" s="75"/>
      <c r="AU144" s="75"/>
      <c r="AV144" s="75"/>
      <c r="AW144" s="75"/>
      <c r="AX144" s="75"/>
      <c r="AY144" s="77"/>
      <c r="AZ144" s="75"/>
      <c r="BA144" s="77"/>
      <c r="BB144" s="66"/>
      <c r="BC144" s="4"/>
      <c r="BD144" s="67" t="str">
        <f ca="1">IFERROR(__xludf.DUMMYFUNCTION("""COMPUTED_VALUE"""),"Забайкальский край")</f>
        <v>Забайкальский край</v>
      </c>
      <c r="BE144" s="67" t="str">
        <f ca="1">IFERROR(__xludf.DUMMYFUNCTION("""COMPUTED_VALUE"""),"Чита")</f>
        <v>Чита</v>
      </c>
      <c r="BF144" s="68" t="str">
        <f ca="1">IFERROR(__xludf.DUMMYFUNCTION("""COMPUTED_VALUE"""),"ПАО ""ТГК-14""")</f>
        <v>ПАО "ТГК-14"</v>
      </c>
      <c r="BG144" s="69" t="str">
        <f ca="1">IFERROR(__xludf.DUMMYFUNCTION("""COMPUTED_VALUE"""),"3.1.9.")</f>
        <v>3.1.9.</v>
      </c>
      <c r="BH144" s="74" t="str">
        <f ca="1">IFERROR(__xludf.DUMMYFUNCTION("""COMPUTED_VALUE"""),"Мероприятие ЮЛ/ИП")</f>
        <v>Мероприятие ЮЛ/ИП</v>
      </c>
      <c r="BI144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4" s="78">
        <f ca="1">IFERROR(__xludf.DUMMYFUNCTION("""COMPUTED_VALUE"""),8.725)</f>
        <v>8.7249999999999996</v>
      </c>
      <c r="BL144" s="78">
        <f ca="1">IFERROR(__xludf.DUMMYFUNCTION("""COMPUTED_VALUE"""),0.0142083482880609)</f>
        <v>1.4208348288060901E-2</v>
      </c>
      <c r="BM144" s="78">
        <f ca="1">IFERROR(__xludf.DUMMYFUNCTION("""COMPUTED_VALUE"""),8.725)</f>
        <v>8.7249999999999996</v>
      </c>
      <c r="BN144" s="78">
        <f ca="1">IFERROR(__xludf.DUMMYFUNCTION("""COMPUTED_VALUE"""),0.0142083482880609)</f>
        <v>1.4208348288060901E-2</v>
      </c>
      <c r="BO144" s="66"/>
      <c r="BP144" s="66"/>
    </row>
    <row r="145" spans="1:68" ht="66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/>
      <c r="AQ145" s="75"/>
      <c r="AR145" s="75"/>
      <c r="AS145" s="75"/>
      <c r="AT145" s="75"/>
      <c r="AU145" s="75"/>
      <c r="AV145" s="75"/>
      <c r="AW145" s="75"/>
      <c r="AX145" s="75"/>
      <c r="AY145" s="77"/>
      <c r="AZ145" s="75"/>
      <c r="BA145" s="77"/>
      <c r="BB145" s="66"/>
      <c r="BC145" s="4"/>
      <c r="BD145" s="67" t="str">
        <f ca="1">IFERROR(__xludf.DUMMYFUNCTION("""COMPUTED_VALUE"""),"Забайкальский край")</f>
        <v>Забайкальский край</v>
      </c>
      <c r="BE145" s="67" t="str">
        <f ca="1">IFERROR(__xludf.DUMMYFUNCTION("""COMPUTED_VALUE"""),"Чита")</f>
        <v>Чита</v>
      </c>
      <c r="BF145" s="68" t="str">
        <f ca="1">IFERROR(__xludf.DUMMYFUNCTION("""COMPUTED_VALUE"""),"ПАО ""ТГК-14""")</f>
        <v>ПАО "ТГК-14"</v>
      </c>
      <c r="BG145" s="69" t="str">
        <f ca="1">IFERROR(__xludf.DUMMYFUNCTION("""COMPUTED_VALUE"""),"3.1.9.")</f>
        <v>3.1.9.</v>
      </c>
      <c r="BH145" s="74" t="str">
        <f ca="1">IFERROR(__xludf.DUMMYFUNCTION("""COMPUTED_VALUE"""),"Мероприятие ЮЛ/ИП")</f>
        <v>Мероприятие ЮЛ/ИП</v>
      </c>
      <c r="BI145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5" s="73" t="str">
        <f ca="1">IFERROR(__xludf.DUMMYFUNCTION("""COMPUTED_VALUE"""),"Сера диоксид")</f>
        <v>Сера диоксид</v>
      </c>
      <c r="BK145" s="78">
        <f ca="1">IFERROR(__xludf.DUMMYFUNCTION("""COMPUTED_VALUE"""),16.507)</f>
        <v>16.507000000000001</v>
      </c>
      <c r="BL145" s="78">
        <f ca="1">IFERROR(__xludf.DUMMYFUNCTION("""COMPUTED_VALUE"""),0.0268810550362203)</f>
        <v>2.6881055036220299E-2</v>
      </c>
      <c r="BM145" s="78">
        <f ca="1">IFERROR(__xludf.DUMMYFUNCTION("""COMPUTED_VALUE"""),16.507)</f>
        <v>16.507000000000001</v>
      </c>
      <c r="BN145" s="78">
        <f ca="1">IFERROR(__xludf.DUMMYFUNCTION("""COMPUTED_VALUE"""),0.0268810550362203)</f>
        <v>2.6881055036220299E-2</v>
      </c>
      <c r="BO145" s="66"/>
      <c r="BP145" s="66"/>
    </row>
    <row r="146" spans="1:68" ht="66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/>
      <c r="AQ146" s="75"/>
      <c r="AR146" s="75"/>
      <c r="AS146" s="75"/>
      <c r="AT146" s="75"/>
      <c r="AU146" s="75"/>
      <c r="AV146" s="75"/>
      <c r="AW146" s="75"/>
      <c r="AX146" s="75"/>
      <c r="AY146" s="77"/>
      <c r="AZ146" s="75"/>
      <c r="BA146" s="77"/>
      <c r="BB146" s="66"/>
      <c r="BC146" s="4"/>
      <c r="BD146" s="67" t="str">
        <f ca="1">IFERROR(__xludf.DUMMYFUNCTION("""COMPUTED_VALUE"""),"Забайкальский край")</f>
        <v>Забайкальский край</v>
      </c>
      <c r="BE146" s="67" t="str">
        <f ca="1">IFERROR(__xludf.DUMMYFUNCTION("""COMPUTED_VALUE"""),"Чита")</f>
        <v>Чита</v>
      </c>
      <c r="BF146" s="68" t="str">
        <f ca="1">IFERROR(__xludf.DUMMYFUNCTION("""COMPUTED_VALUE"""),"ПАО ""ТГК-14""")</f>
        <v>ПАО "ТГК-14"</v>
      </c>
      <c r="BG146" s="69" t="str">
        <f ca="1">IFERROR(__xludf.DUMMYFUNCTION("""COMPUTED_VALUE"""),"3.1.9.")</f>
        <v>3.1.9.</v>
      </c>
      <c r="BH146" s="74" t="str">
        <f ca="1">IFERROR(__xludf.DUMMYFUNCTION("""COMPUTED_VALUE"""),"Мероприятие ЮЛ/ИП")</f>
        <v>Мероприятие ЮЛ/ИП</v>
      </c>
      <c r="BI146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6" s="73" t="str">
        <f ca="1">IFERROR(__xludf.DUMMYFUNCTION("""COMPUTED_VALUE"""),"Углерода оксид")</f>
        <v>Углерода оксид</v>
      </c>
      <c r="BK146" s="78">
        <f ca="1">IFERROR(__xludf.DUMMYFUNCTION("""COMPUTED_VALUE"""),183.93)</f>
        <v>183.93</v>
      </c>
      <c r="BL146" s="78">
        <f ca="1">IFERROR(__xludf.DUMMYFUNCTION("""COMPUTED_VALUE"""),0.299523381160235)</f>
        <v>0.29952338116023502</v>
      </c>
      <c r="BM146" s="78">
        <f ca="1">IFERROR(__xludf.DUMMYFUNCTION("""COMPUTED_VALUE"""),183.93)</f>
        <v>183.93</v>
      </c>
      <c r="BN146" s="78">
        <f ca="1">IFERROR(__xludf.DUMMYFUNCTION("""COMPUTED_VALUE"""),0.299523381160235)</f>
        <v>0.29952338116023502</v>
      </c>
      <c r="BO146" s="66"/>
      <c r="BP146" s="66"/>
    </row>
    <row r="147" spans="1:68" ht="66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/>
      <c r="AQ147" s="75"/>
      <c r="AR147" s="75"/>
      <c r="AS147" s="75"/>
      <c r="AT147" s="75"/>
      <c r="AU147" s="75"/>
      <c r="AV147" s="75"/>
      <c r="AW147" s="75"/>
      <c r="AX147" s="75"/>
      <c r="AY147" s="77"/>
      <c r="AZ147" s="75"/>
      <c r="BA147" s="77"/>
      <c r="BB147" s="66"/>
      <c r="BC147" s="4"/>
      <c r="BD147" s="67" t="str">
        <f ca="1">IFERROR(__xludf.DUMMYFUNCTION("""COMPUTED_VALUE"""),"Забайкальский край")</f>
        <v>Забайкальский край</v>
      </c>
      <c r="BE147" s="67" t="str">
        <f ca="1">IFERROR(__xludf.DUMMYFUNCTION("""COMPUTED_VALUE"""),"Чита")</f>
        <v>Чита</v>
      </c>
      <c r="BF147" s="68" t="str">
        <f ca="1">IFERROR(__xludf.DUMMYFUNCTION("""COMPUTED_VALUE"""),"ПАО ""ТГК-14""")</f>
        <v>ПАО "ТГК-14"</v>
      </c>
      <c r="BG147" s="69" t="str">
        <f ca="1">IFERROR(__xludf.DUMMYFUNCTION("""COMPUTED_VALUE"""),"3.1.9.")</f>
        <v>3.1.9.</v>
      </c>
      <c r="BH147" s="74" t="str">
        <f ca="1">IFERROR(__xludf.DUMMYFUNCTION("""COMPUTED_VALUE"""),"Мероприятие ЮЛ/ИП")</f>
        <v>Мероприятие ЮЛ/ИП</v>
      </c>
      <c r="BI147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7" s="73" t="str">
        <f ca="1">IFERROR(__xludf.DUMMYFUNCTION("""COMPUTED_VALUE"""),"Углерод")</f>
        <v>Углерод</v>
      </c>
      <c r="BK147" s="78">
        <f ca="1">IFERROR(__xludf.DUMMYFUNCTION("""COMPUTED_VALUE"""),8.253)</f>
        <v>8.2530000000000001</v>
      </c>
      <c r="BL147" s="78">
        <f ca="1">IFERROR(__xludf.DUMMYFUNCTION("""COMPUTED_VALUE"""),0.0134397132861165)</f>
        <v>1.3439713286116499E-2</v>
      </c>
      <c r="BM147" s="78">
        <f ca="1">IFERROR(__xludf.DUMMYFUNCTION("""COMPUTED_VALUE"""),8.253)</f>
        <v>8.2530000000000001</v>
      </c>
      <c r="BN147" s="78">
        <f ca="1">IFERROR(__xludf.DUMMYFUNCTION("""COMPUTED_VALUE"""),0.0134397132861165)</f>
        <v>1.3439713286116499E-2</v>
      </c>
      <c r="BO147" s="66"/>
      <c r="BP147" s="66"/>
    </row>
    <row r="148" spans="1:68" ht="39.6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/>
      <c r="AQ148" s="75"/>
      <c r="AR148" s="75"/>
      <c r="AS148" s="75"/>
      <c r="AT148" s="75"/>
      <c r="AU148" s="75"/>
      <c r="AV148" s="75"/>
      <c r="AW148" s="75"/>
      <c r="AX148" s="75"/>
      <c r="AY148" s="77"/>
      <c r="AZ148" s="75"/>
      <c r="BA148" s="77"/>
      <c r="BB148" s="66"/>
      <c r="BC148" s="4"/>
      <c r="BD148" s="67" t="str">
        <f ca="1">IFERROR(__xludf.DUMMYFUNCTION("""COMPUTED_VALUE"""),"Забайкальский край")</f>
        <v>Забайкальский край</v>
      </c>
      <c r="BE148" s="67" t="str">
        <f ca="1">IFERROR(__xludf.DUMMYFUNCTION("""COMPUTED_VALUE"""),"Чита")</f>
        <v>Чита</v>
      </c>
      <c r="BF148" s="68" t="str">
        <f ca="1">IFERROR(__xludf.DUMMYFUNCTION("""COMPUTED_VALUE"""),"ОАО ""РЖД""")</f>
        <v>ОАО "РЖД"</v>
      </c>
      <c r="BG148" s="69" t="str">
        <f ca="1">IFERROR(__xludf.DUMMYFUNCTION("""COMPUTED_VALUE"""),"3.2.1.")</f>
        <v>3.2.1.</v>
      </c>
      <c r="BH148" s="74" t="str">
        <f ca="1">IFERROR(__xludf.DUMMYFUNCTION("""COMPUTED_VALUE"""),"Мероприятие ЮЛ/ИП")</f>
        <v>Мероприятие ЮЛ/ИП</v>
      </c>
      <c r="BI148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J148" s="73" t="str">
        <f ca="1">IFERROR(__xludf.DUMMYFUNCTION("""COMPUTED_VALUE"""),"Азот (II) оксид")</f>
        <v>Азот (II) оксид</v>
      </c>
      <c r="BK148" s="78">
        <f ca="1">IFERROR(__xludf.DUMMYFUNCTION("""COMPUTED_VALUE"""),0.00017185)</f>
        <v>1.7185E-4</v>
      </c>
      <c r="BL148" s="78">
        <f ca="1">IFERROR(__xludf.DUMMYFUNCTION("""COMPUTED_VALUE"""),2.79851536195217E-07)</f>
        <v>2.7985153619521697E-7</v>
      </c>
      <c r="BM148" s="78">
        <f ca="1">IFERROR(__xludf.DUMMYFUNCTION("""COMPUTED_VALUE"""),0)</f>
        <v>0</v>
      </c>
      <c r="BN148" s="78">
        <f ca="1">IFERROR(__xludf.DUMMYFUNCTION("""COMPUTED_VALUE"""),0)</f>
        <v>0</v>
      </c>
      <c r="BO148" s="66"/>
      <c r="BP148" s="66"/>
    </row>
    <row r="149" spans="1:68" ht="26.4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/>
      <c r="AQ149" s="75"/>
      <c r="AR149" s="75"/>
      <c r="AS149" s="75"/>
      <c r="AT149" s="75"/>
      <c r="AU149" s="75"/>
      <c r="AV149" s="75"/>
      <c r="AW149" s="75"/>
      <c r="AX149" s="75"/>
      <c r="AY149" s="77"/>
      <c r="AZ149" s="75"/>
      <c r="BA149" s="77"/>
      <c r="BB149" s="66"/>
      <c r="BC149" s="4"/>
      <c r="BD149" s="67" t="str">
        <f ca="1">IFERROR(__xludf.DUMMYFUNCTION("""COMPUTED_VALUE"""),"Забайкальский край")</f>
        <v>Забайкальский край</v>
      </c>
      <c r="BE149" s="67" t="str">
        <f ca="1">IFERROR(__xludf.DUMMYFUNCTION("""COMPUTED_VALUE"""),"Чита")</f>
        <v>Чита</v>
      </c>
      <c r="BF149" s="68" t="str">
        <f ca="1">IFERROR(__xludf.DUMMYFUNCTION("""COMPUTED_VALUE"""),"ОАО ""РЖД""")</f>
        <v>ОАО "РЖД"</v>
      </c>
      <c r="BG149" s="69" t="str">
        <f ca="1">IFERROR(__xludf.DUMMYFUNCTION("""COMPUTED_VALUE"""),"3.2.10.")</f>
        <v>3.2.10.</v>
      </c>
      <c r="BH149" s="74" t="str">
        <f ca="1">IFERROR(__xludf.DUMMYFUNCTION("""COMPUTED_VALUE"""),"Мероприятие ЮЛ/ИП")</f>
        <v>Мероприятие ЮЛ/ИП</v>
      </c>
      <c r="BI149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4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9" s="78">
        <f ca="1">IFERROR(__xludf.DUMMYFUNCTION("""COMPUTED_VALUE"""),12.24)</f>
        <v>12.24</v>
      </c>
      <c r="BL149" s="78">
        <f ca="1">IFERROR(__xludf.DUMMYFUNCTION("""COMPUTED_VALUE"""),0.0199323992029645)</f>
        <v>1.9932399202964499E-2</v>
      </c>
      <c r="BM149" s="78">
        <f ca="1">IFERROR(__xludf.DUMMYFUNCTION("""COMPUTED_VALUE"""),0)</f>
        <v>0</v>
      </c>
      <c r="BN149" s="78">
        <f ca="1">IFERROR(__xludf.DUMMYFUNCTION("""COMPUTED_VALUE"""),0)</f>
        <v>0</v>
      </c>
      <c r="BO149" s="66"/>
      <c r="BP149" s="66"/>
    </row>
    <row r="150" spans="1:68" ht="26.4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/>
      <c r="AQ150" s="75"/>
      <c r="AR150" s="75"/>
      <c r="AS150" s="75"/>
      <c r="AT150" s="75"/>
      <c r="AU150" s="75"/>
      <c r="AV150" s="75"/>
      <c r="AW150" s="75"/>
      <c r="AX150" s="75"/>
      <c r="AY150" s="77"/>
      <c r="AZ150" s="75"/>
      <c r="BA150" s="77"/>
      <c r="BB150" s="66"/>
      <c r="BC150" s="4"/>
      <c r="BD150" s="67" t="str">
        <f ca="1">IFERROR(__xludf.DUMMYFUNCTION("""COMPUTED_VALUE"""),"Забайкальский край")</f>
        <v>Забайкальский край</v>
      </c>
      <c r="BE150" s="67" t="str">
        <f ca="1">IFERROR(__xludf.DUMMYFUNCTION("""COMPUTED_VALUE"""),"Чита")</f>
        <v>Чита</v>
      </c>
      <c r="BF150" s="68" t="str">
        <f ca="1">IFERROR(__xludf.DUMMYFUNCTION("""COMPUTED_VALUE"""),"ОАО ""РЖД""")</f>
        <v>ОАО "РЖД"</v>
      </c>
      <c r="BG150" s="69" t="str">
        <f ca="1">IFERROR(__xludf.DUMMYFUNCTION("""COMPUTED_VALUE"""),"3.2.10.")</f>
        <v>3.2.10.</v>
      </c>
      <c r="BH150" s="74" t="str">
        <f ca="1">IFERROR(__xludf.DUMMYFUNCTION("""COMPUTED_VALUE"""),"Мероприятие ЮЛ/ИП")</f>
        <v>Мероприятие ЮЛ/ИП</v>
      </c>
      <c r="BI150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50" s="73" t="str">
        <f ca="1">IFERROR(__xludf.DUMMYFUNCTION("""COMPUTED_VALUE"""),"Углерод")</f>
        <v>Углерод</v>
      </c>
      <c r="BK150" s="78">
        <f ca="1">IFERROR(__xludf.DUMMYFUNCTION("""COMPUTED_VALUE"""),13.19)</f>
        <v>13.19</v>
      </c>
      <c r="BL150" s="78">
        <f ca="1">IFERROR(__xludf.DUMMYFUNCTION("""COMPUTED_VALUE"""),0.0214794399907763)</f>
        <v>2.1479439990776301E-2</v>
      </c>
      <c r="BM150" s="78">
        <f ca="1">IFERROR(__xludf.DUMMYFUNCTION("""COMPUTED_VALUE"""),0)</f>
        <v>0</v>
      </c>
      <c r="BN150" s="78">
        <f ca="1">IFERROR(__xludf.DUMMYFUNCTION("""COMPUTED_VALUE"""),0)</f>
        <v>0</v>
      </c>
      <c r="BO150" s="66"/>
      <c r="BP150" s="66"/>
    </row>
    <row r="151" spans="1:68" ht="52.8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/>
      <c r="AQ151" s="75"/>
      <c r="AR151" s="75"/>
      <c r="AS151" s="75"/>
      <c r="AT151" s="75"/>
      <c r="AU151" s="75"/>
      <c r="AV151" s="75"/>
      <c r="AW151" s="75"/>
      <c r="AX151" s="75"/>
      <c r="AY151" s="77"/>
      <c r="AZ151" s="75"/>
      <c r="BA151" s="77"/>
      <c r="BB151" s="66"/>
      <c r="BC151" s="4"/>
      <c r="BD151" s="67" t="str">
        <f ca="1">IFERROR(__xludf.DUMMYFUNCTION("""COMPUTED_VALUE"""),"Забайкальский край")</f>
        <v>Забайкальский край</v>
      </c>
      <c r="BE151" s="67" t="str">
        <f ca="1">IFERROR(__xludf.DUMMYFUNCTION("""COMPUTED_VALUE"""),"Чита")</f>
        <v>Чита</v>
      </c>
      <c r="BF151" s="68" t="str">
        <f ca="1">IFERROR(__xludf.DUMMYFUNCTION("""COMPUTED_VALUE"""),"ОАО ""РЖД""")</f>
        <v>ОАО "РЖД"</v>
      </c>
      <c r="BG151" s="69" t="str">
        <f ca="1">IFERROR(__xludf.DUMMYFUNCTION("""COMPUTED_VALUE"""),"3.2.11.")</f>
        <v>3.2.11.</v>
      </c>
      <c r="BH151" s="74" t="str">
        <f ca="1">IFERROR(__xludf.DUMMYFUNCTION("""COMPUTED_VALUE"""),"Мероприятие ЮЛ/ИП")</f>
        <v>Мероприятие ЮЛ/ИП</v>
      </c>
      <c r="BI151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51" s="78">
        <f ca="1">IFERROR(__xludf.DUMMYFUNCTION("""COMPUTED_VALUE"""),6.125)</f>
        <v>6.125</v>
      </c>
      <c r="BL151" s="78">
        <f ca="1">IFERROR(__xludf.DUMMYFUNCTION("""COMPUTED_VALUE"""),0.00997434192141814)</f>
        <v>9.9743419214181409E-3</v>
      </c>
      <c r="BM151" s="78">
        <f ca="1">IFERROR(__xludf.DUMMYFUNCTION("""COMPUTED_VALUE"""),6.125)</f>
        <v>6.125</v>
      </c>
      <c r="BN151" s="78">
        <f ca="1">IFERROR(__xludf.DUMMYFUNCTION("""COMPUTED_VALUE"""),0.00997434192141814)</f>
        <v>9.9743419214181409E-3</v>
      </c>
      <c r="BO151" s="66"/>
      <c r="BP151" s="66"/>
    </row>
    <row r="152" spans="1:68" ht="52.8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/>
      <c r="AQ152" s="75"/>
      <c r="AR152" s="75"/>
      <c r="AS152" s="75"/>
      <c r="AT152" s="75"/>
      <c r="AU152" s="75"/>
      <c r="AV152" s="75"/>
      <c r="AW152" s="75"/>
      <c r="AX152" s="75"/>
      <c r="AY152" s="77"/>
      <c r="AZ152" s="75"/>
      <c r="BA152" s="77"/>
      <c r="BB152" s="66"/>
      <c r="BC152" s="4"/>
      <c r="BD152" s="67" t="str">
        <f ca="1">IFERROR(__xludf.DUMMYFUNCTION("""COMPUTED_VALUE"""),"Забайкальский край")</f>
        <v>Забайкальский край</v>
      </c>
      <c r="BE152" s="67" t="str">
        <f ca="1">IFERROR(__xludf.DUMMYFUNCTION("""COMPUTED_VALUE"""),"Чита")</f>
        <v>Чита</v>
      </c>
      <c r="BF152" s="68" t="str">
        <f ca="1">IFERROR(__xludf.DUMMYFUNCTION("""COMPUTED_VALUE"""),"ОАО ""РЖД""")</f>
        <v>ОАО "РЖД"</v>
      </c>
      <c r="BG152" s="69" t="str">
        <f ca="1">IFERROR(__xludf.DUMMYFUNCTION("""COMPUTED_VALUE"""),"3.2.11.")</f>
        <v>3.2.11.</v>
      </c>
      <c r="BH152" s="74" t="str">
        <f ca="1">IFERROR(__xludf.DUMMYFUNCTION("""COMPUTED_VALUE"""),"Мероприятие ЮЛ/ИП")</f>
        <v>Мероприятие ЮЛ/ИП</v>
      </c>
      <c r="BI152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2" s="73" t="str">
        <f ca="1">IFERROR(__xludf.DUMMYFUNCTION("""COMPUTED_VALUE"""),"Углерод")</f>
        <v>Углерод</v>
      </c>
      <c r="BK152" s="78">
        <f ca="1">IFERROR(__xludf.DUMMYFUNCTION("""COMPUTED_VALUE"""),6.125)</f>
        <v>6.125</v>
      </c>
      <c r="BL152" s="78">
        <f ca="1">IFERROR(__xludf.DUMMYFUNCTION("""COMPUTED_VALUE"""),0.00997434192141814)</f>
        <v>9.9743419214181409E-3</v>
      </c>
      <c r="BM152" s="78">
        <f ca="1">IFERROR(__xludf.DUMMYFUNCTION("""COMPUTED_VALUE"""),6.125)</f>
        <v>6.125</v>
      </c>
      <c r="BN152" s="78">
        <f ca="1">IFERROR(__xludf.DUMMYFUNCTION("""COMPUTED_VALUE"""),0.00997434192141814)</f>
        <v>9.9743419214181409E-3</v>
      </c>
      <c r="BO152" s="66"/>
      <c r="BP152" s="66"/>
    </row>
    <row r="153" spans="1:68" ht="39.6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/>
      <c r="AQ153" s="75"/>
      <c r="AR153" s="75"/>
      <c r="AS153" s="75"/>
      <c r="AT153" s="75"/>
      <c r="AU153" s="75"/>
      <c r="AV153" s="75"/>
      <c r="AW153" s="75"/>
      <c r="AX153" s="75"/>
      <c r="AY153" s="77"/>
      <c r="AZ153" s="75"/>
      <c r="BA153" s="77"/>
      <c r="BB153" s="66"/>
      <c r="BC153" s="4"/>
      <c r="BD153" s="67" t="str">
        <f ca="1">IFERROR(__xludf.DUMMYFUNCTION("""COMPUTED_VALUE"""),"Забайкальский край")</f>
        <v>Забайкальский край</v>
      </c>
      <c r="BE153" s="67" t="str">
        <f ca="1">IFERROR(__xludf.DUMMYFUNCTION("""COMPUTED_VALUE"""),"Чита")</f>
        <v>Чита</v>
      </c>
      <c r="BF153" s="68" t="str">
        <f ca="1">IFERROR(__xludf.DUMMYFUNCTION("""COMPUTED_VALUE"""),"ОАО ""РЖД""")</f>
        <v>ОАО "РЖД"</v>
      </c>
      <c r="BG153" s="69" t="str">
        <f ca="1">IFERROR(__xludf.DUMMYFUNCTION("""COMPUTED_VALUE"""),"3.2.12.")</f>
        <v>3.2.12.</v>
      </c>
      <c r="BH153" s="74" t="str">
        <f ca="1">IFERROR(__xludf.DUMMYFUNCTION("""COMPUTED_VALUE"""),"Мероприятие ЮЛ/ИП")</f>
        <v>Мероприятие ЮЛ/ИП</v>
      </c>
      <c r="BI153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J153" s="73" t="str">
        <f ca="1">IFERROR(__xludf.DUMMYFUNCTION("""COMPUTED_VALUE"""),"Тетрахлорэтилен")</f>
        <v>Тетрахлорэтилен</v>
      </c>
      <c r="BK153" s="78">
        <f ca="1">IFERROR(__xludf.DUMMYFUNCTION("""COMPUTED_VALUE"""),0.1392)</f>
        <v>0.13919999999999999</v>
      </c>
      <c r="BL153" s="78">
        <f ca="1">IFERROR(__xludf.DUMMYFUNCTION("""COMPUTED_VALUE"""),0.000226682187014107)</f>
        <v>2.26682187014107E-4</v>
      </c>
      <c r="BM153" s="78">
        <f ca="1">IFERROR(__xludf.DUMMYFUNCTION("""COMPUTED_VALUE"""),0.174)</f>
        <v>0.17399999999999999</v>
      </c>
      <c r="BN153" s="78">
        <f ca="1">IFERROR(__xludf.DUMMYFUNCTION("""COMPUTED_VALUE"""),0.000283352733767633)</f>
        <v>2.8335273376763298E-4</v>
      </c>
      <c r="BO153" s="66"/>
      <c r="BP153" s="66"/>
    </row>
    <row r="154" spans="1:68" ht="39.6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/>
      <c r="AQ154" s="75"/>
      <c r="AR154" s="75"/>
      <c r="AS154" s="75"/>
      <c r="AT154" s="75"/>
      <c r="AU154" s="75"/>
      <c r="AV154" s="75"/>
      <c r="AW154" s="75"/>
      <c r="AX154" s="75"/>
      <c r="AY154" s="77"/>
      <c r="AZ154" s="75"/>
      <c r="BA154" s="77"/>
      <c r="BB154" s="66"/>
      <c r="BC154" s="4"/>
      <c r="BD154" s="67" t="str">
        <f ca="1">IFERROR(__xludf.DUMMYFUNCTION("""COMPUTED_VALUE"""),"Забайкальский край")</f>
        <v>Забайкальский край</v>
      </c>
      <c r="BE154" s="67" t="str">
        <f ca="1">IFERROR(__xludf.DUMMYFUNCTION("""COMPUTED_VALUE"""),"Чита")</f>
        <v>Чита</v>
      </c>
      <c r="BF154" s="68" t="str">
        <f ca="1">IFERROR(__xludf.DUMMYFUNCTION("""COMPUTED_VALUE"""),"ОАО ""РЖД""")</f>
        <v>ОАО "РЖД"</v>
      </c>
      <c r="BG154" s="69" t="str">
        <f ca="1">IFERROR(__xludf.DUMMYFUNCTION("""COMPUTED_VALUE"""),"3.2.13.")</f>
        <v>3.2.13.</v>
      </c>
      <c r="BH154" s="74" t="str">
        <f ca="1">IFERROR(__xludf.DUMMYFUNCTION("""COMPUTED_VALUE"""),"Мероприятие ЮЛ/ИП")</f>
        <v>Мероприятие ЮЛ/ИП</v>
      </c>
      <c r="BI154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4" s="73" t="str">
        <f ca="1">IFERROR(__xludf.DUMMYFUNCTION("""COMPUTED_VALUE"""),"Азот (II) оксид")</f>
        <v>Азот (II) оксид</v>
      </c>
      <c r="BK154" s="78">
        <f ca="1">IFERROR(__xludf.DUMMYFUNCTION("""COMPUTED_VALUE"""),0.02236)</f>
        <v>2.2360000000000001E-2</v>
      </c>
      <c r="BL154" s="78">
        <f ca="1">IFERROR(__xludf.DUMMYFUNCTION("""COMPUTED_VALUE"""),0.0000364124547531281)</f>
        <v>3.6412454753128101E-5</v>
      </c>
      <c r="BM154" s="78">
        <f ca="1">IFERROR(__xludf.DUMMYFUNCTION("""COMPUTED_VALUE"""),0.1454)</f>
        <v>0.1454</v>
      </c>
      <c r="BN154" s="78">
        <f ca="1">IFERROR(__xludf.DUMMYFUNCTION("""COMPUTED_VALUE"""),0.000236778663734563)</f>
        <v>2.3677866373456299E-4</v>
      </c>
      <c r="BO154" s="66"/>
      <c r="BP154" s="66"/>
    </row>
    <row r="155" spans="1:68" ht="39.6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/>
      <c r="AQ155" s="75"/>
      <c r="AR155" s="75"/>
      <c r="AS155" s="75"/>
      <c r="AT155" s="75"/>
      <c r="AU155" s="75"/>
      <c r="AV155" s="75"/>
      <c r="AW155" s="75"/>
      <c r="AX155" s="75"/>
      <c r="AY155" s="77"/>
      <c r="AZ155" s="75"/>
      <c r="BA155" s="77"/>
      <c r="BB155" s="66"/>
      <c r="BC155" s="4"/>
      <c r="BD155" s="67" t="str">
        <f ca="1">IFERROR(__xludf.DUMMYFUNCTION("""COMPUTED_VALUE"""),"Забайкальский край")</f>
        <v>Забайкальский край</v>
      </c>
      <c r="BE155" s="67" t="str">
        <f ca="1">IFERROR(__xludf.DUMMYFUNCTION("""COMPUTED_VALUE"""),"Чита")</f>
        <v>Чита</v>
      </c>
      <c r="BF155" s="68" t="str">
        <f ca="1">IFERROR(__xludf.DUMMYFUNCTION("""COMPUTED_VALUE"""),"ОАО ""РЖД""")</f>
        <v>ОАО "РЖД"</v>
      </c>
      <c r="BG155" s="69" t="str">
        <f ca="1">IFERROR(__xludf.DUMMYFUNCTION("""COMPUTED_VALUE"""),"3.2.13.")</f>
        <v>3.2.13.</v>
      </c>
      <c r="BH155" s="74" t="str">
        <f ca="1">IFERROR(__xludf.DUMMYFUNCTION("""COMPUTED_VALUE"""),"Мероприятие ЮЛ/ИП")</f>
        <v>Мероприятие ЮЛ/ИП</v>
      </c>
      <c r="BI155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5" s="73" t="str">
        <f ca="1">IFERROR(__xludf.DUMMYFUNCTION("""COMPUTED_VALUE"""),"Азота диоксид")</f>
        <v>Азота диоксид</v>
      </c>
      <c r="BK155" s="78">
        <f ca="1">IFERROR(__xludf.DUMMYFUNCTION("""COMPUTED_VALUE"""),0.16708)</f>
        <v>0.16708000000000001</v>
      </c>
      <c r="BL155" s="78">
        <f ca="1">IFERROR(__xludf.DUMMYFUNCTION("""COMPUTED_VALUE"""),0.000272083762976415)</f>
        <v>2.7208376297641502E-4</v>
      </c>
      <c r="BM155" s="78">
        <f ca="1">IFERROR(__xludf.DUMMYFUNCTION("""COMPUTED_VALUE"""),1.1884)</f>
        <v>1.1883999999999999</v>
      </c>
      <c r="BN155" s="78">
        <f ca="1">IFERROR(__xludf.DUMMYFUNCTION("""COMPUTED_VALUE"""),0.00193526660235319)</f>
        <v>1.9352666023531901E-3</v>
      </c>
      <c r="BO155" s="66"/>
      <c r="BP155" s="66"/>
    </row>
    <row r="156" spans="1:68" ht="39.6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/>
      <c r="AQ156" s="75"/>
      <c r="AR156" s="75"/>
      <c r="AS156" s="75"/>
      <c r="AT156" s="75"/>
      <c r="AU156" s="75"/>
      <c r="AV156" s="75"/>
      <c r="AW156" s="75"/>
      <c r="AX156" s="75"/>
      <c r="AY156" s="77"/>
      <c r="AZ156" s="75"/>
      <c r="BA156" s="77"/>
      <c r="BB156" s="66"/>
      <c r="BC156" s="4"/>
      <c r="BD156" s="67" t="str">
        <f ca="1">IFERROR(__xludf.DUMMYFUNCTION("""COMPUTED_VALUE"""),"Забайкальский край")</f>
        <v>Забайкальский край</v>
      </c>
      <c r="BE156" s="67" t="str">
        <f ca="1">IFERROR(__xludf.DUMMYFUNCTION("""COMPUTED_VALUE"""),"Чита")</f>
        <v>Чита</v>
      </c>
      <c r="BF156" s="68" t="str">
        <f ca="1">IFERROR(__xludf.DUMMYFUNCTION("""COMPUTED_VALUE"""),"ОАО ""РЖД""")</f>
        <v>ОАО "РЖД"</v>
      </c>
      <c r="BG156" s="69" t="str">
        <f ca="1">IFERROR(__xludf.DUMMYFUNCTION("""COMPUTED_VALUE"""),"3.2.13.")</f>
        <v>3.2.13.</v>
      </c>
      <c r="BH156" s="74" t="str">
        <f ca="1">IFERROR(__xludf.DUMMYFUNCTION("""COMPUTED_VALUE"""),"Мероприятие ЮЛ/ИП")</f>
        <v>Мероприятие ЮЛ/ИП</v>
      </c>
      <c r="BI156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6" s="73" t="str">
        <f ca="1">IFERROR(__xludf.DUMMYFUNCTION("""COMPUTED_VALUE"""),"Взвешенные вещества")</f>
        <v>Взвешенные вещества</v>
      </c>
      <c r="BK156" s="78">
        <f ca="1">IFERROR(__xludf.DUMMYFUNCTION("""COMPUTED_VALUE"""),0.1229572)</f>
        <v>0.1229572</v>
      </c>
      <c r="BL156" s="78">
        <f ca="1">IFERROR(__xludf.DUMMYFUNCTION("""COMPUTED_VALUE"""),0.000200231372163297)</f>
        <v>2.0023137216329699E-4</v>
      </c>
      <c r="BM156" s="78">
        <f ca="1">IFERROR(__xludf.DUMMYFUNCTION("""COMPUTED_VALUE"""),0.614786)</f>
        <v>0.61478600000000005</v>
      </c>
      <c r="BN156" s="78">
        <f ca="1">IFERROR(__xludf.DUMMYFUNCTION("""COMPUTED_VALUE"""),0.00100115686081648)</f>
        <v>1.00115686081648E-3</v>
      </c>
      <c r="BO156" s="66"/>
      <c r="BP156" s="66"/>
    </row>
    <row r="157" spans="1:68" ht="39.6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/>
      <c r="AQ157" s="75"/>
      <c r="AR157" s="75"/>
      <c r="AS157" s="75"/>
      <c r="AT157" s="75"/>
      <c r="AU157" s="75"/>
      <c r="AV157" s="75"/>
      <c r="AW157" s="75"/>
      <c r="AX157" s="75"/>
      <c r="AY157" s="77"/>
      <c r="AZ157" s="75"/>
      <c r="BA157" s="77"/>
      <c r="BB157" s="66"/>
      <c r="BC157" s="4"/>
      <c r="BD157" s="67" t="str">
        <f ca="1">IFERROR(__xludf.DUMMYFUNCTION("""COMPUTED_VALUE"""),"Забайкальский край")</f>
        <v>Забайкальский край</v>
      </c>
      <c r="BE157" s="67" t="str">
        <f ca="1">IFERROR(__xludf.DUMMYFUNCTION("""COMPUTED_VALUE"""),"Чита")</f>
        <v>Чита</v>
      </c>
      <c r="BF157" s="68" t="str">
        <f ca="1">IFERROR(__xludf.DUMMYFUNCTION("""COMPUTED_VALUE"""),"ОАО ""РЖД""")</f>
        <v>ОАО "РЖД"</v>
      </c>
      <c r="BG157" s="69" t="str">
        <f ca="1">IFERROR(__xludf.DUMMYFUNCTION("""COMPUTED_VALUE"""),"3.2.13.")</f>
        <v>3.2.13.</v>
      </c>
      <c r="BH157" s="74" t="str">
        <f ca="1">IFERROR(__xludf.DUMMYFUNCTION("""COMPUTED_VALUE"""),"Мероприятие ЮЛ/ИП")</f>
        <v>Мероприятие ЮЛ/ИП</v>
      </c>
      <c r="BI157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7" s="73" t="str">
        <f ca="1">IFERROR(__xludf.DUMMYFUNCTION("""COMPUTED_VALUE"""),"Натрий гидроксид")</f>
        <v>Натрий гидроксид</v>
      </c>
      <c r="BK157" s="78">
        <f ca="1">IFERROR(__xludf.DUMMYFUNCTION("""COMPUTED_VALUE"""),0.07676)</f>
        <v>7.6759999999999995E-2</v>
      </c>
      <c r="BL157" s="78">
        <f ca="1">IFERROR(__xludf.DUMMYFUNCTION("""COMPUTED_VALUE"""),0.000125000895655192)</f>
        <v>1.25000895655192E-4</v>
      </c>
      <c r="BM157" s="78">
        <f ca="1">IFERROR(__xludf.DUMMYFUNCTION("""COMPUTED_VALUE"""),0.0016)</f>
        <v>1.6000000000000001E-3</v>
      </c>
      <c r="BN157" s="78">
        <f ca="1">IFERROR(__xludf.DUMMYFUNCTION("""COMPUTED_VALUE"""),2.60554237947249E-06)</f>
        <v>2.6055423794724902E-6</v>
      </c>
      <c r="BO157" s="66"/>
      <c r="BP157" s="66"/>
    </row>
    <row r="158" spans="1:68" ht="39.6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/>
      <c r="AQ158" s="75"/>
      <c r="AR158" s="75"/>
      <c r="AS158" s="75"/>
      <c r="AT158" s="75"/>
      <c r="AU158" s="75"/>
      <c r="AV158" s="75"/>
      <c r="AW158" s="75"/>
      <c r="AX158" s="75"/>
      <c r="AY158" s="77"/>
      <c r="AZ158" s="75"/>
      <c r="BA158" s="77"/>
      <c r="BB158" s="66"/>
      <c r="BC158" s="4"/>
      <c r="BD158" s="67" t="str">
        <f ca="1">IFERROR(__xludf.DUMMYFUNCTION("""COMPUTED_VALUE"""),"Забайкальский край")</f>
        <v>Забайкальский край</v>
      </c>
      <c r="BE158" s="67" t="str">
        <f ca="1">IFERROR(__xludf.DUMMYFUNCTION("""COMPUTED_VALUE"""),"Чита")</f>
        <v>Чита</v>
      </c>
      <c r="BF158" s="68" t="str">
        <f ca="1">IFERROR(__xludf.DUMMYFUNCTION("""COMPUTED_VALUE"""),"ОАО ""РЖД""")</f>
        <v>ОАО "РЖД"</v>
      </c>
      <c r="BG158" s="69" t="str">
        <f ca="1">IFERROR(__xludf.DUMMYFUNCTION("""COMPUTED_VALUE"""),"3.2.13.")</f>
        <v>3.2.13.</v>
      </c>
      <c r="BH158" s="74" t="str">
        <f ca="1">IFERROR(__xludf.DUMMYFUNCTION("""COMPUTED_VALUE"""),"Мероприятие ЮЛ/ИП")</f>
        <v>Мероприятие ЮЛ/ИП</v>
      </c>
      <c r="BI15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8" s="73" t="str">
        <f ca="1">IFERROR(__xludf.DUMMYFUNCTION("""COMPUTED_VALUE"""),"Проп-2-ен-1-аль")</f>
        <v>Проп-2-ен-1-аль</v>
      </c>
      <c r="BK158" s="78">
        <f ca="1">IFERROR(__xludf.DUMMYFUNCTION("""COMPUTED_VALUE"""),0.00008)</f>
        <v>8.0000000000000007E-5</v>
      </c>
      <c r="BL158" s="78">
        <f ca="1">IFERROR(__xludf.DUMMYFUNCTION("""COMPUTED_VALUE"""),1.30277118973624E-07)</f>
        <v>1.3027711897362401E-7</v>
      </c>
      <c r="BM158" s="78">
        <f ca="1">IFERROR(__xludf.DUMMYFUNCTION("""COMPUTED_VALUE"""),0.0004)</f>
        <v>4.0000000000000002E-4</v>
      </c>
      <c r="BN158" s="78">
        <f ca="1">IFERROR(__xludf.DUMMYFUNCTION("""COMPUTED_VALUE"""),6.51385594868123E-07)</f>
        <v>6.5138559486812297E-7</v>
      </c>
      <c r="BO158" s="66"/>
      <c r="BP158" s="66"/>
    </row>
    <row r="159" spans="1:68" ht="39.6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/>
      <c r="AQ159" s="75"/>
      <c r="AR159" s="75"/>
      <c r="AS159" s="75"/>
      <c r="AT159" s="75"/>
      <c r="AU159" s="75"/>
      <c r="AV159" s="75"/>
      <c r="AW159" s="75"/>
      <c r="AX159" s="75"/>
      <c r="AY159" s="77"/>
      <c r="AZ159" s="75"/>
      <c r="BA159" s="77"/>
      <c r="BB159" s="66"/>
      <c r="BC159" s="4"/>
      <c r="BD159" s="67" t="str">
        <f ca="1">IFERROR(__xludf.DUMMYFUNCTION("""COMPUTED_VALUE"""),"Забайкальский край")</f>
        <v>Забайкальский край</v>
      </c>
      <c r="BE159" s="67" t="str">
        <f ca="1">IFERROR(__xludf.DUMMYFUNCTION("""COMPUTED_VALUE"""),"Чита")</f>
        <v>Чита</v>
      </c>
      <c r="BF159" s="68" t="str">
        <f ca="1">IFERROR(__xludf.DUMMYFUNCTION("""COMPUTED_VALUE"""),"ОАО ""РЖД""")</f>
        <v>ОАО "РЖД"</v>
      </c>
      <c r="BG159" s="69" t="str">
        <f ca="1">IFERROR(__xludf.DUMMYFUNCTION("""COMPUTED_VALUE"""),"3.2.13.")</f>
        <v>3.2.13.</v>
      </c>
      <c r="BH159" s="74" t="str">
        <f ca="1">IFERROR(__xludf.DUMMYFUNCTION("""COMPUTED_VALUE"""),"Мероприятие ЮЛ/ИП")</f>
        <v>Мероприятие ЮЛ/ИП</v>
      </c>
      <c r="BI159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9" s="73" t="str">
        <f ca="1">IFERROR(__xludf.DUMMYFUNCTION("""COMPUTED_VALUE"""),"Пыль древесная")</f>
        <v>Пыль древесная</v>
      </c>
      <c r="BK159" s="78">
        <f ca="1">IFERROR(__xludf.DUMMYFUNCTION("""COMPUTED_VALUE"""),0.007469)</f>
        <v>7.4689999999999999E-3</v>
      </c>
      <c r="BL159" s="78">
        <f ca="1">IFERROR(__xludf.DUMMYFUNCTION("""COMPUTED_VALUE"""),0.000012162997520175)</f>
        <v>1.2162997520175E-5</v>
      </c>
      <c r="BM159" s="78">
        <f ca="1">IFERROR(__xludf.DUMMYFUNCTION("""COMPUTED_VALUE"""),0.17554)</f>
        <v>0.17554</v>
      </c>
      <c r="BN159" s="78">
        <f ca="1">IFERROR(__xludf.DUMMYFUNCTION("""COMPUTED_VALUE"""),0.000285860568307876)</f>
        <v>2.85860568307876E-4</v>
      </c>
      <c r="BO159" s="66"/>
      <c r="BP159" s="66"/>
    </row>
    <row r="160" spans="1:68" ht="39.6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/>
      <c r="AQ160" s="75"/>
      <c r="AR160" s="75"/>
      <c r="AS160" s="75"/>
      <c r="AT160" s="75"/>
      <c r="AU160" s="75"/>
      <c r="AV160" s="75"/>
      <c r="AW160" s="75"/>
      <c r="AX160" s="75"/>
      <c r="AY160" s="77"/>
      <c r="AZ160" s="75"/>
      <c r="BA160" s="77"/>
      <c r="BB160" s="66"/>
      <c r="BC160" s="4"/>
      <c r="BD160" s="67" t="str">
        <f ca="1">IFERROR(__xludf.DUMMYFUNCTION("""COMPUTED_VALUE"""),"Забайкальский край")</f>
        <v>Забайкальский край</v>
      </c>
      <c r="BE160" s="67" t="str">
        <f ca="1">IFERROR(__xludf.DUMMYFUNCTION("""COMPUTED_VALUE"""),"Чита")</f>
        <v>Чита</v>
      </c>
      <c r="BF160" s="68" t="str">
        <f ca="1">IFERROR(__xludf.DUMMYFUNCTION("""COMPUTED_VALUE"""),"ОАО ""РЖД""")</f>
        <v>ОАО "РЖД"</v>
      </c>
      <c r="BG160" s="69" t="str">
        <f ca="1">IFERROR(__xludf.DUMMYFUNCTION("""COMPUTED_VALUE"""),"3.2.13.")</f>
        <v>3.2.13.</v>
      </c>
      <c r="BH160" s="74" t="str">
        <f ca="1">IFERROR(__xludf.DUMMYFUNCTION("""COMPUTED_VALUE"""),"Мероприятие ЮЛ/ИП")</f>
        <v>Мероприятие ЮЛ/ИП</v>
      </c>
      <c r="BI160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60" s="78">
        <f ca="1">IFERROR(__xludf.DUMMYFUNCTION("""COMPUTED_VALUE"""),0.014938)</f>
        <v>1.4938E-2</v>
      </c>
      <c r="BL160" s="78">
        <f ca="1">IFERROR(__xludf.DUMMYFUNCTION("""COMPUTED_VALUE"""),0.00002432599504035)</f>
        <v>2.432599504035E-5</v>
      </c>
      <c r="BM160" s="78">
        <f ca="1">IFERROR(__xludf.DUMMYFUNCTION("""COMPUTED_VALUE"""),0.07287)</f>
        <v>7.2870000000000004E-2</v>
      </c>
      <c r="BN160" s="78">
        <f ca="1">IFERROR(__xludf.DUMMYFUNCTION("""COMPUTED_VALUE"""),0.0001186661707451)</f>
        <v>1.186661707451E-4</v>
      </c>
      <c r="BO160" s="66"/>
      <c r="BP160" s="66"/>
    </row>
    <row r="161" spans="1:68" ht="39.6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/>
      <c r="AQ161" s="75"/>
      <c r="AR161" s="75"/>
      <c r="AS161" s="75"/>
      <c r="AT161" s="75"/>
      <c r="AU161" s="75"/>
      <c r="AV161" s="75"/>
      <c r="AW161" s="75"/>
      <c r="AX161" s="75"/>
      <c r="AY161" s="77"/>
      <c r="AZ161" s="75"/>
      <c r="BA161" s="77"/>
      <c r="BB161" s="66"/>
      <c r="BC161" s="4"/>
      <c r="BD161" s="67" t="str">
        <f ca="1">IFERROR(__xludf.DUMMYFUNCTION("""COMPUTED_VALUE"""),"Забайкальский край")</f>
        <v>Забайкальский край</v>
      </c>
      <c r="BE161" s="67" t="str">
        <f ca="1">IFERROR(__xludf.DUMMYFUNCTION("""COMPUTED_VALUE"""),"Чита")</f>
        <v>Чита</v>
      </c>
      <c r="BF161" s="68" t="str">
        <f ca="1">IFERROR(__xludf.DUMMYFUNCTION("""COMPUTED_VALUE"""),"ОАО ""РЖД""")</f>
        <v>ОАО "РЖД"</v>
      </c>
      <c r="BG161" s="69" t="str">
        <f ca="1">IFERROR(__xludf.DUMMYFUNCTION("""COMPUTED_VALUE"""),"3.2.13.")</f>
        <v>3.2.13.</v>
      </c>
      <c r="BH161" s="74" t="str">
        <f ca="1">IFERROR(__xludf.DUMMYFUNCTION("""COMPUTED_VALUE"""),"Мероприятие ЮЛ/ИП")</f>
        <v>Мероприятие ЮЛ/ИП</v>
      </c>
      <c r="BI161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1" s="73" t="str">
        <f ca="1">IFERROR(__xludf.DUMMYFUNCTION("""COMPUTED_VALUE"""),"Сера диоксид")</f>
        <v>Сера диоксид</v>
      </c>
      <c r="BK161" s="78">
        <f ca="1">IFERROR(__xludf.DUMMYFUNCTION("""COMPUTED_VALUE"""),0.169466)</f>
        <v>0.16946600000000001</v>
      </c>
      <c r="BL161" s="78">
        <f ca="1">IFERROR(__xludf.DUMMYFUNCTION("""COMPUTED_VALUE"""),0.000275969278049803)</f>
        <v>2.75969278049803E-4</v>
      </c>
      <c r="BM161" s="78">
        <f ca="1">IFERROR(__xludf.DUMMYFUNCTION("""COMPUTED_VALUE"""),0.1408)</f>
        <v>0.14080000000000001</v>
      </c>
      <c r="BN161" s="78">
        <f ca="1">IFERROR(__xludf.DUMMYFUNCTION("""COMPUTED_VALUE"""),0.000229287729393579)</f>
        <v>2.2928772939357901E-4</v>
      </c>
      <c r="BO161" s="66"/>
      <c r="BP161" s="66"/>
    </row>
    <row r="162" spans="1:68" ht="39.6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/>
      <c r="AQ162" s="75"/>
      <c r="AR162" s="75"/>
      <c r="AS162" s="75"/>
      <c r="AT162" s="75"/>
      <c r="AU162" s="75"/>
      <c r="AV162" s="75"/>
      <c r="AW162" s="75"/>
      <c r="AX162" s="75"/>
      <c r="AY162" s="77"/>
      <c r="AZ162" s="75"/>
      <c r="BA162" s="77"/>
      <c r="BB162" s="66"/>
      <c r="BC162" s="4"/>
      <c r="BD162" s="67" t="str">
        <f ca="1">IFERROR(__xludf.DUMMYFUNCTION("""COMPUTED_VALUE"""),"Забайкальский край")</f>
        <v>Забайкальский край</v>
      </c>
      <c r="BE162" s="67" t="str">
        <f ca="1">IFERROR(__xludf.DUMMYFUNCTION("""COMPUTED_VALUE"""),"Чита")</f>
        <v>Чита</v>
      </c>
      <c r="BF162" s="68" t="str">
        <f ca="1">IFERROR(__xludf.DUMMYFUNCTION("""COMPUTED_VALUE"""),"ОАО ""РЖД""")</f>
        <v>ОАО "РЖД"</v>
      </c>
      <c r="BG162" s="69" t="str">
        <f ca="1">IFERROR(__xludf.DUMMYFUNCTION("""COMPUTED_VALUE"""),"3.2.13.")</f>
        <v>3.2.13.</v>
      </c>
      <c r="BH162" s="74" t="str">
        <f ca="1">IFERROR(__xludf.DUMMYFUNCTION("""COMPUTED_VALUE"""),"Мероприятие ЮЛ/ИП")</f>
        <v>Мероприятие ЮЛ/ИП</v>
      </c>
      <c r="BI162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2" s="73" t="str">
        <f ca="1">IFERROR(__xludf.DUMMYFUNCTION("""COMPUTED_VALUE"""),"Углерод")</f>
        <v>Углерод</v>
      </c>
      <c r="BK162" s="78">
        <f ca="1">IFERROR(__xludf.DUMMYFUNCTION("""COMPUTED_VALUE"""),0.03292)</f>
        <v>3.2919999999999998E-2</v>
      </c>
      <c r="BL162" s="78">
        <f ca="1">IFERROR(__xludf.DUMMYFUNCTION("""COMPUTED_VALUE"""),0.0000536090344576465)</f>
        <v>5.3609034457646502E-5</v>
      </c>
      <c r="BM162" s="78">
        <f ca="1">IFERROR(__xludf.DUMMYFUNCTION("""COMPUTED_VALUE"""),0.1245)</f>
        <v>0.1245</v>
      </c>
      <c r="BN162" s="78">
        <f ca="1">IFERROR(__xludf.DUMMYFUNCTION("""COMPUTED_VALUE"""),0.000202743766402703)</f>
        <v>2.0274376640270301E-4</v>
      </c>
      <c r="BO162" s="66"/>
      <c r="BP162" s="66"/>
    </row>
    <row r="163" spans="1:68" ht="39.6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/>
      <c r="AQ163" s="75"/>
      <c r="AR163" s="75"/>
      <c r="AS163" s="75"/>
      <c r="AT163" s="75"/>
      <c r="AU163" s="75"/>
      <c r="AV163" s="75"/>
      <c r="AW163" s="75"/>
      <c r="AX163" s="75"/>
      <c r="AY163" s="77"/>
      <c r="AZ163" s="75"/>
      <c r="BA163" s="77"/>
      <c r="BB163" s="66"/>
      <c r="BC163" s="4"/>
      <c r="BD163" s="67" t="str">
        <f ca="1">IFERROR(__xludf.DUMMYFUNCTION("""COMPUTED_VALUE"""),"Забайкальский край")</f>
        <v>Забайкальский край</v>
      </c>
      <c r="BE163" s="67" t="str">
        <f ca="1">IFERROR(__xludf.DUMMYFUNCTION("""COMPUTED_VALUE"""),"Чита")</f>
        <v>Чита</v>
      </c>
      <c r="BF163" s="68" t="str">
        <f ca="1">IFERROR(__xludf.DUMMYFUNCTION("""COMPUTED_VALUE"""),"ОАО ""РЖД""")</f>
        <v>ОАО "РЖД"</v>
      </c>
      <c r="BG163" s="69" t="str">
        <f ca="1">IFERROR(__xludf.DUMMYFUNCTION("""COMPUTED_VALUE"""),"3.2.13.")</f>
        <v>3.2.13.</v>
      </c>
      <c r="BH163" s="74" t="str">
        <f ca="1">IFERROR(__xludf.DUMMYFUNCTION("""COMPUTED_VALUE"""),"Мероприятие ЮЛ/ИП")</f>
        <v>Мероприятие ЮЛ/ИП</v>
      </c>
      <c r="BI163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3" s="73" t="str">
        <f ca="1">IFERROR(__xludf.DUMMYFUNCTION("""COMPUTED_VALUE"""),"Углерода оксид")</f>
        <v>Углерода оксид</v>
      </c>
      <c r="BK163" s="78">
        <f ca="1">IFERROR(__xludf.DUMMYFUNCTION("""COMPUTED_VALUE"""),2.65)</f>
        <v>2.65</v>
      </c>
      <c r="BL163" s="78">
        <f ca="1">IFERROR(__xludf.DUMMYFUNCTION("""COMPUTED_VALUE"""),0.00431542956600131)</f>
        <v>4.31542956600131E-3</v>
      </c>
      <c r="BM163" s="78">
        <f ca="1">IFERROR(__xludf.DUMMYFUNCTION("""COMPUTED_VALUE"""),11.88851)</f>
        <v>11.88851</v>
      </c>
      <c r="BN163" s="78">
        <f ca="1">IFERROR(__xludf.DUMMYFUNCTION("""COMPUTED_VALUE"""),0.019360010396114)</f>
        <v>1.9360010396114E-2</v>
      </c>
      <c r="BO163" s="66"/>
      <c r="BP163" s="66"/>
    </row>
    <row r="164" spans="1:68" ht="39.6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/>
      <c r="AQ164" s="75"/>
      <c r="AR164" s="75"/>
      <c r="AS164" s="75"/>
      <c r="AT164" s="75"/>
      <c r="AU164" s="75"/>
      <c r="AV164" s="75"/>
      <c r="AW164" s="75"/>
      <c r="AX164" s="75"/>
      <c r="AY164" s="77"/>
      <c r="AZ164" s="75"/>
      <c r="BA164" s="77"/>
      <c r="BB164" s="66"/>
      <c r="BC164" s="4"/>
      <c r="BD164" s="67" t="str">
        <f ca="1">IFERROR(__xludf.DUMMYFUNCTION("""COMPUTED_VALUE"""),"Забайкальский край")</f>
        <v>Забайкальский край</v>
      </c>
      <c r="BE164" s="67" t="str">
        <f ca="1">IFERROR(__xludf.DUMMYFUNCTION("""COMPUTED_VALUE"""),"Чита")</f>
        <v>Чита</v>
      </c>
      <c r="BF164" s="68" t="str">
        <f ca="1">IFERROR(__xludf.DUMMYFUNCTION("""COMPUTED_VALUE"""),"ОАО ""РЖД""")</f>
        <v>ОАО "РЖД"</v>
      </c>
      <c r="BG164" s="69" t="str">
        <f ca="1">IFERROR(__xludf.DUMMYFUNCTION("""COMPUTED_VALUE"""),"3.2.14.")</f>
        <v>3.2.14.</v>
      </c>
      <c r="BH164" s="74" t="str">
        <f ca="1">IFERROR(__xludf.DUMMYFUNCTION("""COMPUTED_VALUE"""),"Мероприятие ЮЛ/ИП")</f>
        <v>Мероприятие ЮЛ/ИП</v>
      </c>
      <c r="BI164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4" s="73" t="str">
        <f ca="1">IFERROR(__xludf.DUMMYFUNCTION("""COMPUTED_VALUE"""),"Азот (II) оксид")</f>
        <v>Азот (II) оксид</v>
      </c>
      <c r="BK164" s="78">
        <f ca="1">IFERROR(__xludf.DUMMYFUNCTION("""COMPUTED_VALUE"""),0.02236)</f>
        <v>2.2360000000000001E-2</v>
      </c>
      <c r="BL164" s="78">
        <f ca="1">IFERROR(__xludf.DUMMYFUNCTION("""COMPUTED_VALUE"""),0.0000364124547531281)</f>
        <v>3.6412454753128101E-5</v>
      </c>
      <c r="BM164" s="78">
        <f ca="1">IFERROR(__xludf.DUMMYFUNCTION("""COMPUTED_VALUE"""),0.0072)</f>
        <v>7.1999999999999998E-3</v>
      </c>
      <c r="BN164" s="78">
        <f ca="1">IFERROR(__xludf.DUMMYFUNCTION("""COMPUTED_VALUE"""),0.0000117249407076262)</f>
        <v>1.1724940707626199E-5</v>
      </c>
      <c r="BO164" s="66"/>
      <c r="BP164" s="66"/>
    </row>
    <row r="165" spans="1:68" ht="39.6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/>
      <c r="AQ165" s="75"/>
      <c r="AR165" s="75"/>
      <c r="AS165" s="75"/>
      <c r="AT165" s="75"/>
      <c r="AU165" s="75"/>
      <c r="AV165" s="75"/>
      <c r="AW165" s="75"/>
      <c r="AX165" s="75"/>
      <c r="AY165" s="77"/>
      <c r="AZ165" s="75"/>
      <c r="BA165" s="77"/>
      <c r="BB165" s="66"/>
      <c r="BC165" s="4"/>
      <c r="BD165" s="67" t="str">
        <f ca="1">IFERROR(__xludf.DUMMYFUNCTION("""COMPUTED_VALUE"""),"Забайкальский край")</f>
        <v>Забайкальский край</v>
      </c>
      <c r="BE165" s="67" t="str">
        <f ca="1">IFERROR(__xludf.DUMMYFUNCTION("""COMPUTED_VALUE"""),"Чита")</f>
        <v>Чита</v>
      </c>
      <c r="BF165" s="68" t="str">
        <f ca="1">IFERROR(__xludf.DUMMYFUNCTION("""COMPUTED_VALUE"""),"ОАО ""РЖД""")</f>
        <v>ОАО "РЖД"</v>
      </c>
      <c r="BG165" s="69" t="str">
        <f ca="1">IFERROR(__xludf.DUMMYFUNCTION("""COMPUTED_VALUE"""),"3.2.14.")</f>
        <v>3.2.14.</v>
      </c>
      <c r="BH165" s="74" t="str">
        <f ca="1">IFERROR(__xludf.DUMMYFUNCTION("""COMPUTED_VALUE"""),"Мероприятие ЮЛ/ИП")</f>
        <v>Мероприятие ЮЛ/ИП</v>
      </c>
      <c r="BI165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5" s="73" t="str">
        <f ca="1">IFERROR(__xludf.DUMMYFUNCTION("""COMPUTED_VALUE"""),"Азота диоксид")</f>
        <v>Азота диоксид</v>
      </c>
      <c r="BK165" s="78">
        <f ca="1">IFERROR(__xludf.DUMMYFUNCTION("""COMPUTED_VALUE"""),0.16708)</f>
        <v>0.16708000000000001</v>
      </c>
      <c r="BL165" s="78">
        <f ca="1">IFERROR(__xludf.DUMMYFUNCTION("""COMPUTED_VALUE"""),0.000272083762976415)</f>
        <v>2.7208376297641502E-4</v>
      </c>
      <c r="BM165" s="78">
        <f ca="1">IFERROR(__xludf.DUMMYFUNCTION("""COMPUTED_VALUE"""),0.0446)</f>
        <v>4.4600000000000001E-2</v>
      </c>
      <c r="BN165" s="78">
        <f ca="1">IFERROR(__xludf.DUMMYFUNCTION("""COMPUTED_VALUE"""),0.0000726294938277957)</f>
        <v>7.2629493827795698E-5</v>
      </c>
      <c r="BO165" s="66"/>
      <c r="BP165" s="66"/>
    </row>
    <row r="166" spans="1:68" ht="39.6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/>
      <c r="AQ166" s="75"/>
      <c r="AR166" s="75"/>
      <c r="AS166" s="75"/>
      <c r="AT166" s="75"/>
      <c r="AU166" s="75"/>
      <c r="AV166" s="75"/>
      <c r="AW166" s="75"/>
      <c r="AX166" s="75"/>
      <c r="AY166" s="77"/>
      <c r="AZ166" s="75"/>
      <c r="BA166" s="77"/>
      <c r="BB166" s="66"/>
      <c r="BC166" s="4"/>
      <c r="BD166" s="67" t="str">
        <f ca="1">IFERROR(__xludf.DUMMYFUNCTION("""COMPUTED_VALUE"""),"Забайкальский край")</f>
        <v>Забайкальский край</v>
      </c>
      <c r="BE166" s="67" t="str">
        <f ca="1">IFERROR(__xludf.DUMMYFUNCTION("""COMPUTED_VALUE"""),"Чита")</f>
        <v>Чита</v>
      </c>
      <c r="BF166" s="68" t="str">
        <f ca="1">IFERROR(__xludf.DUMMYFUNCTION("""COMPUTED_VALUE"""),"ОАО ""РЖД""")</f>
        <v>ОАО "РЖД"</v>
      </c>
      <c r="BG166" s="69" t="str">
        <f ca="1">IFERROR(__xludf.DUMMYFUNCTION("""COMPUTED_VALUE"""),"3.2.14.")</f>
        <v>3.2.14.</v>
      </c>
      <c r="BH166" s="74" t="str">
        <f ca="1">IFERROR(__xludf.DUMMYFUNCTION("""COMPUTED_VALUE"""),"Мероприятие ЮЛ/ИП")</f>
        <v>Мероприятие ЮЛ/ИП</v>
      </c>
      <c r="BI166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6" s="73" t="str">
        <f ca="1">IFERROR(__xludf.DUMMYFUNCTION("""COMPUTED_VALUE"""),"Натрий гидроксид")</f>
        <v>Натрий гидроксид</v>
      </c>
      <c r="BK166" s="78">
        <f ca="1">IFERROR(__xludf.DUMMYFUNCTION("""COMPUTED_VALUE"""),0.07676)</f>
        <v>7.6759999999999995E-2</v>
      </c>
      <c r="BL166" s="78">
        <f ca="1">IFERROR(__xludf.DUMMYFUNCTION("""COMPUTED_VALUE"""),0.000125000895655192)</f>
        <v>1.25000895655192E-4</v>
      </c>
      <c r="BM166" s="78">
        <f ca="1">IFERROR(__xludf.DUMMYFUNCTION("""COMPUTED_VALUE"""),0.3822)</f>
        <v>0.38219999999999998</v>
      </c>
      <c r="BN166" s="78">
        <f ca="1">IFERROR(__xludf.DUMMYFUNCTION("""COMPUTED_VALUE"""),0.000622398935896492)</f>
        <v>6.2239893589649195E-4</v>
      </c>
      <c r="BO166" s="66"/>
      <c r="BP166" s="66"/>
    </row>
    <row r="167" spans="1:68" ht="39.6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/>
      <c r="AQ167" s="75"/>
      <c r="AR167" s="75"/>
      <c r="AS167" s="75"/>
      <c r="AT167" s="75"/>
      <c r="AU167" s="75"/>
      <c r="AV167" s="75"/>
      <c r="AW167" s="75"/>
      <c r="AX167" s="75"/>
      <c r="AY167" s="77"/>
      <c r="AZ167" s="75"/>
      <c r="BA167" s="77"/>
      <c r="BB167" s="66"/>
      <c r="BC167" s="4"/>
      <c r="BD167" s="67" t="str">
        <f ca="1">IFERROR(__xludf.DUMMYFUNCTION("""COMPUTED_VALUE"""),"Забайкальский край")</f>
        <v>Забайкальский край</v>
      </c>
      <c r="BE167" s="67" t="str">
        <f ca="1">IFERROR(__xludf.DUMMYFUNCTION("""COMPUTED_VALUE"""),"Чита")</f>
        <v>Чита</v>
      </c>
      <c r="BF167" s="68" t="str">
        <f ca="1">IFERROR(__xludf.DUMMYFUNCTION("""COMPUTED_VALUE"""),"ОАО ""РЖД""")</f>
        <v>ОАО "РЖД"</v>
      </c>
      <c r="BG167" s="69" t="str">
        <f ca="1">IFERROR(__xludf.DUMMYFUNCTION("""COMPUTED_VALUE"""),"3.2.14.")</f>
        <v>3.2.14.</v>
      </c>
      <c r="BH167" s="74" t="str">
        <f ca="1">IFERROR(__xludf.DUMMYFUNCTION("""COMPUTED_VALUE"""),"Мероприятие ЮЛ/ИП")</f>
        <v>Мероприятие ЮЛ/ИП</v>
      </c>
      <c r="BI167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7" s="73" t="str">
        <f ca="1">IFERROR(__xludf.DUMMYFUNCTION("""COMPUTED_VALUE"""),"Пыль древесная")</f>
        <v>Пыль древесная</v>
      </c>
      <c r="BK167" s="78">
        <f ca="1">IFERROR(__xludf.DUMMYFUNCTION("""COMPUTED_VALUE"""),0.15743)</f>
        <v>0.15742999999999999</v>
      </c>
      <c r="BL167" s="78">
        <f ca="1">IFERROR(__xludf.DUMMYFUNCTION("""COMPUTED_VALUE"""),0.000256369085500221)</f>
        <v>2.56369085500221E-4</v>
      </c>
      <c r="BM167" s="78">
        <f ca="1">IFERROR(__xludf.DUMMYFUNCTION("""COMPUTED_VALUE"""),0.09072)</f>
        <v>9.0719999999999995E-2</v>
      </c>
      <c r="BN167" s="78">
        <f ca="1">IFERROR(__xludf.DUMMYFUNCTION("""COMPUTED_VALUE"""),0.00014773425291609)</f>
        <v>1.4773425291609001E-4</v>
      </c>
      <c r="BO167" s="66"/>
      <c r="BP167" s="66"/>
    </row>
    <row r="168" spans="1:68" ht="39.6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/>
      <c r="AQ168" s="75"/>
      <c r="AR168" s="75"/>
      <c r="AS168" s="75"/>
      <c r="AT168" s="75"/>
      <c r="AU168" s="75"/>
      <c r="AV168" s="75"/>
      <c r="AW168" s="75"/>
      <c r="AX168" s="75"/>
      <c r="AY168" s="77"/>
      <c r="AZ168" s="75"/>
      <c r="BA168" s="77"/>
      <c r="BB168" s="66"/>
      <c r="BC168" s="4"/>
      <c r="BD168" s="67" t="str">
        <f ca="1">IFERROR(__xludf.DUMMYFUNCTION("""COMPUTED_VALUE"""),"Забайкальский край")</f>
        <v>Забайкальский край</v>
      </c>
      <c r="BE168" s="67" t="str">
        <f ca="1">IFERROR(__xludf.DUMMYFUNCTION("""COMPUTED_VALUE"""),"Чита")</f>
        <v>Чита</v>
      </c>
      <c r="BF168" s="68" t="str">
        <f ca="1">IFERROR(__xludf.DUMMYFUNCTION("""COMPUTED_VALUE"""),"ОАО ""РЖД""")</f>
        <v>ОАО "РЖД"</v>
      </c>
      <c r="BG168" s="69" t="str">
        <f ca="1">IFERROR(__xludf.DUMMYFUNCTION("""COMPUTED_VALUE"""),"3.2.14.")</f>
        <v>3.2.14.</v>
      </c>
      <c r="BH168" s="74" t="str">
        <f ca="1">IFERROR(__xludf.DUMMYFUNCTION("""COMPUTED_VALUE"""),"Мероприятие ЮЛ/ИП")</f>
        <v>Мероприятие ЮЛ/ИП</v>
      </c>
      <c r="BI168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8" s="73" t="str">
        <f ca="1">IFERROR(__xludf.DUMMYFUNCTION("""COMPUTED_VALUE"""),"Сера диоксид")</f>
        <v>Сера диоксид</v>
      </c>
      <c r="BK168" s="78">
        <f ca="1">IFERROR(__xludf.DUMMYFUNCTION("""COMPUTED_VALUE"""),0.03)</f>
        <v>0.03</v>
      </c>
      <c r="BL168" s="78">
        <f ca="1">IFERROR(__xludf.DUMMYFUNCTION("""COMPUTED_VALUE"""),0.0000488539196151092)</f>
        <v>4.8853919615109202E-5</v>
      </c>
      <c r="BM168" s="78">
        <f ca="1">IFERROR(__xludf.DUMMYFUNCTION("""COMPUTED_VALUE"""),0.45)</f>
        <v>0.45</v>
      </c>
      <c r="BN168" s="78">
        <f ca="1">IFERROR(__xludf.DUMMYFUNCTION("""COMPUTED_VALUE"""),0.000732808794226639)</f>
        <v>7.3280879422663904E-4</v>
      </c>
      <c r="BO168" s="66"/>
      <c r="BP168" s="66"/>
    </row>
    <row r="169" spans="1:68" ht="39.6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/>
      <c r="AQ169" s="75"/>
      <c r="AR169" s="75"/>
      <c r="AS169" s="75"/>
      <c r="AT169" s="75"/>
      <c r="AU169" s="75"/>
      <c r="AV169" s="75"/>
      <c r="AW169" s="75"/>
      <c r="AX169" s="75"/>
      <c r="AY169" s="77"/>
      <c r="AZ169" s="75"/>
      <c r="BA169" s="77"/>
      <c r="BB169" s="66"/>
      <c r="BC169" s="4"/>
      <c r="BD169" s="67" t="str">
        <f ca="1">IFERROR(__xludf.DUMMYFUNCTION("""COMPUTED_VALUE"""),"Забайкальский край")</f>
        <v>Забайкальский край</v>
      </c>
      <c r="BE169" s="67" t="str">
        <f ca="1">IFERROR(__xludf.DUMMYFUNCTION("""COMPUTED_VALUE"""),"Чита")</f>
        <v>Чита</v>
      </c>
      <c r="BF169" s="68" t="str">
        <f ca="1">IFERROR(__xludf.DUMMYFUNCTION("""COMPUTED_VALUE"""),"ОАО ""РЖД""")</f>
        <v>ОАО "РЖД"</v>
      </c>
      <c r="BG169" s="69" t="str">
        <f ca="1">IFERROR(__xludf.DUMMYFUNCTION("""COMPUTED_VALUE"""),"3.2.14.")</f>
        <v>3.2.14.</v>
      </c>
      <c r="BH169" s="74" t="str">
        <f ca="1">IFERROR(__xludf.DUMMYFUNCTION("""COMPUTED_VALUE"""),"Мероприятие ЮЛ/ИП")</f>
        <v>Мероприятие ЮЛ/ИП</v>
      </c>
      <c r="BI16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9" s="73" t="str">
        <f ca="1">IFERROR(__xludf.DUMMYFUNCTION("""COMPUTED_VALUE"""),"Углерода оксид")</f>
        <v>Углерода оксид</v>
      </c>
      <c r="BK169" s="78">
        <f ca="1">IFERROR(__xludf.DUMMYFUNCTION("""COMPUTED_VALUE"""),0.019042)</f>
        <v>1.9042E-2</v>
      </c>
      <c r="BL169" s="78">
        <f ca="1">IFERROR(__xludf.DUMMYFUNCTION("""COMPUTED_VALUE"""),0.000031009211243697)</f>
        <v>3.1009211243697001E-5</v>
      </c>
      <c r="BM169" s="78">
        <f ca="1">IFERROR(__xludf.DUMMYFUNCTION("""COMPUTED_VALUE"""),0.641)</f>
        <v>0.64100000000000001</v>
      </c>
      <c r="BN169" s="78">
        <f ca="1">IFERROR(__xludf.DUMMYFUNCTION("""COMPUTED_VALUE"""),0.00104384541577616)</f>
        <v>1.0438454157761601E-3</v>
      </c>
      <c r="BO169" s="66"/>
      <c r="BP169" s="66"/>
    </row>
    <row r="170" spans="1:68" ht="39.6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/>
      <c r="AQ170" s="75"/>
      <c r="AR170" s="75"/>
      <c r="AS170" s="75"/>
      <c r="AT170" s="75"/>
      <c r="AU170" s="75"/>
      <c r="AV170" s="75"/>
      <c r="AW170" s="75"/>
      <c r="AX170" s="75"/>
      <c r="AY170" s="77"/>
      <c r="AZ170" s="75"/>
      <c r="BA170" s="77"/>
      <c r="BB170" s="66"/>
      <c r="BC170" s="4"/>
      <c r="BD170" s="67" t="str">
        <f ca="1">IFERROR(__xludf.DUMMYFUNCTION("""COMPUTED_VALUE"""),"Забайкальский край")</f>
        <v>Забайкальский край</v>
      </c>
      <c r="BE170" s="67" t="str">
        <f ca="1">IFERROR(__xludf.DUMMYFUNCTION("""COMPUTED_VALUE"""),"Чита")</f>
        <v>Чита</v>
      </c>
      <c r="BF170" s="68" t="str">
        <f ca="1">IFERROR(__xludf.DUMMYFUNCTION("""COMPUTED_VALUE"""),"ОАО ""РЖД""")</f>
        <v>ОАО "РЖД"</v>
      </c>
      <c r="BG170" s="69" t="str">
        <f ca="1">IFERROR(__xludf.DUMMYFUNCTION("""COMPUTED_VALUE"""),"3.2.14.")</f>
        <v>3.2.14.</v>
      </c>
      <c r="BH170" s="74" t="str">
        <f ca="1">IFERROR(__xludf.DUMMYFUNCTION("""COMPUTED_VALUE"""),"Мероприятие ЮЛ/ИП")</f>
        <v>Мероприятие ЮЛ/ИП</v>
      </c>
      <c r="BI170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70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170" s="78">
        <f ca="1">IFERROR(__xludf.DUMMYFUNCTION("""COMPUTED_VALUE"""),0.39)</f>
        <v>0.39</v>
      </c>
      <c r="BL170" s="78">
        <f ca="1">IFERROR(__xludf.DUMMYFUNCTION("""COMPUTED_VALUE"""),0.00063510095499642)</f>
        <v>6.3510095499642004E-4</v>
      </c>
      <c r="BM170" s="78">
        <f ca="1">IFERROR(__xludf.DUMMYFUNCTION("""COMPUTED_VALUE"""),1.95)</f>
        <v>1.95</v>
      </c>
      <c r="BN170" s="78">
        <f ca="1">IFERROR(__xludf.DUMMYFUNCTION("""COMPUTED_VALUE"""),0.0031755047749821)</f>
        <v>3.1755047749821002E-3</v>
      </c>
      <c r="BO170" s="66"/>
      <c r="BP170" s="66"/>
    </row>
    <row r="171" spans="1:68" ht="52.8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/>
      <c r="AQ171" s="75"/>
      <c r="AR171" s="75"/>
      <c r="AS171" s="75"/>
      <c r="AT171" s="75"/>
      <c r="AU171" s="75"/>
      <c r="AV171" s="75"/>
      <c r="AW171" s="75"/>
      <c r="AX171" s="75"/>
      <c r="AY171" s="77"/>
      <c r="AZ171" s="75"/>
      <c r="BA171" s="77"/>
      <c r="BB171" s="66"/>
      <c r="BC171" s="4"/>
      <c r="BD171" s="67" t="str">
        <f ca="1">IFERROR(__xludf.DUMMYFUNCTION("""COMPUTED_VALUE"""),"Забайкальский край")</f>
        <v>Забайкальский край</v>
      </c>
      <c r="BE171" s="67" t="str">
        <f ca="1">IFERROR(__xludf.DUMMYFUNCTION("""COMPUTED_VALUE"""),"Чита")</f>
        <v>Чита</v>
      </c>
      <c r="BF171" s="68" t="str">
        <f ca="1">IFERROR(__xludf.DUMMYFUNCTION("""COMPUTED_VALUE"""),"ОАО ""РЖД""")</f>
        <v>ОАО "РЖД"</v>
      </c>
      <c r="BG171" s="69" t="str">
        <f ca="1">IFERROR(__xludf.DUMMYFUNCTION("""COMPUTED_VALUE"""),"3.2.15.")</f>
        <v>3.2.15.</v>
      </c>
      <c r="BH171" s="74" t="str">
        <f ca="1">IFERROR(__xludf.DUMMYFUNCTION("""COMPUTED_VALUE"""),"Мероприятие ЮЛ/ИП")</f>
        <v>Мероприятие ЮЛ/ИП</v>
      </c>
      <c r="BI171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J17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1" s="78">
        <f ca="1">IFERROR(__xludf.DUMMYFUNCTION("""COMPUTED_VALUE"""),140.23)</f>
        <v>140.22999999999999</v>
      </c>
      <c r="BL171" s="78">
        <f ca="1">IFERROR(__xludf.DUMMYFUNCTION("""COMPUTED_VALUE"""),0.228359504920892)</f>
        <v>0.22835950492089199</v>
      </c>
      <c r="BM171" s="78">
        <f ca="1">IFERROR(__xludf.DUMMYFUNCTION("""COMPUTED_VALUE"""),140.23)</f>
        <v>140.22999999999999</v>
      </c>
      <c r="BN171" s="78">
        <f ca="1">IFERROR(__xludf.DUMMYFUNCTION("""COMPUTED_VALUE"""),0.228359504920892)</f>
        <v>0.22835950492089199</v>
      </c>
      <c r="BO171" s="66"/>
      <c r="BP171" s="66"/>
    </row>
    <row r="172" spans="1:68" ht="26.4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/>
      <c r="AQ172" s="75"/>
      <c r="AR172" s="75"/>
      <c r="AS172" s="75"/>
      <c r="AT172" s="75"/>
      <c r="AU172" s="75"/>
      <c r="AV172" s="75"/>
      <c r="AW172" s="75"/>
      <c r="AX172" s="75"/>
      <c r="AY172" s="77"/>
      <c r="AZ172" s="75"/>
      <c r="BA172" s="77"/>
      <c r="BB172" s="66"/>
      <c r="BC172" s="4"/>
      <c r="BD172" s="67" t="str">
        <f ca="1">IFERROR(__xludf.DUMMYFUNCTION("""COMPUTED_VALUE"""),"Забайкальский край")</f>
        <v>Забайкальский край</v>
      </c>
      <c r="BE172" s="67" t="str">
        <f ca="1">IFERROR(__xludf.DUMMYFUNCTION("""COMPUTED_VALUE"""),"Чита")</f>
        <v>Чита</v>
      </c>
      <c r="BF172" s="68" t="str">
        <f ca="1">IFERROR(__xludf.DUMMYFUNCTION("""COMPUTED_VALUE"""),"ОАО ""РЖД""")</f>
        <v>ОАО "РЖД"</v>
      </c>
      <c r="BG172" s="69" t="str">
        <f ca="1">IFERROR(__xludf.DUMMYFUNCTION("""COMPUTED_VALUE"""),"3.2.2.")</f>
        <v>3.2.2.</v>
      </c>
      <c r="BH172" s="74" t="str">
        <f ca="1">IFERROR(__xludf.DUMMYFUNCTION("""COMPUTED_VALUE"""),"Мероприятие ЮЛ/ИП")</f>
        <v>Мероприятие ЮЛ/ИП</v>
      </c>
      <c r="BI172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J172" s="73" t="str">
        <f ca="1">IFERROR(__xludf.DUMMYFUNCTION("""COMPUTED_VALUE"""),"Азот (II) оксид")</f>
        <v>Азот (II) оксид</v>
      </c>
      <c r="BK172" s="78">
        <f ca="1">IFERROR(__xludf.DUMMYFUNCTION("""COMPUTED_VALUE"""),0.000107185)</f>
        <v>1.07185E-4</v>
      </c>
      <c r="BL172" s="78">
        <f ca="1">IFERROR(__xludf.DUMMYFUNCTION("""COMPUTED_VALUE"""),1.74546912464849E-07)</f>
        <v>1.7454691246484899E-7</v>
      </c>
      <c r="BM172" s="78">
        <f ca="1">IFERROR(__xludf.DUMMYFUNCTION("""COMPUTED_VALUE"""),0)</f>
        <v>0</v>
      </c>
      <c r="BN172" s="78">
        <f ca="1">IFERROR(__xludf.DUMMYFUNCTION("""COMPUTED_VALUE"""),0)</f>
        <v>0</v>
      </c>
      <c r="BO172" s="66"/>
      <c r="BP172" s="66"/>
    </row>
    <row r="173" spans="1:68" ht="26.4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/>
      <c r="AQ173" s="75"/>
      <c r="AR173" s="75"/>
      <c r="AS173" s="75"/>
      <c r="AT173" s="75"/>
      <c r="AU173" s="75"/>
      <c r="AV173" s="75"/>
      <c r="AW173" s="75"/>
      <c r="AX173" s="75"/>
      <c r="AY173" s="77"/>
      <c r="AZ173" s="75"/>
      <c r="BA173" s="77"/>
      <c r="BB173" s="66"/>
      <c r="BC173" s="4"/>
      <c r="BD173" s="67" t="str">
        <f ca="1">IFERROR(__xludf.DUMMYFUNCTION("""COMPUTED_VALUE"""),"Забайкальский край")</f>
        <v>Забайкальский край</v>
      </c>
      <c r="BE173" s="67" t="str">
        <f ca="1">IFERROR(__xludf.DUMMYFUNCTION("""COMPUTED_VALUE"""),"Чита")</f>
        <v>Чита</v>
      </c>
      <c r="BF173" s="68" t="str">
        <f ca="1">IFERROR(__xludf.DUMMYFUNCTION("""COMPUTED_VALUE"""),"ОАО ""РЖД""")</f>
        <v>ОАО "РЖД"</v>
      </c>
      <c r="BG173" s="69" t="str">
        <f ca="1">IFERROR(__xludf.DUMMYFUNCTION("""COMPUTED_VALUE"""),"3.2.3.")</f>
        <v>3.2.3.</v>
      </c>
      <c r="BH173" s="74" t="str">
        <f ca="1">IFERROR(__xludf.DUMMYFUNCTION("""COMPUTED_VALUE"""),"Мероприятие ЮЛ/ИП")</f>
        <v>Мероприятие ЮЛ/ИП</v>
      </c>
      <c r="BI173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J173" s="73" t="str">
        <f ca="1">IFERROR(__xludf.DUMMYFUNCTION("""COMPUTED_VALUE"""),"Бенз/а/пирен")</f>
        <v>Бенз/а/пирен</v>
      </c>
      <c r="BK173" s="78">
        <f ca="1">IFERROR(__xludf.DUMMYFUNCTION("""COMPUTED_VALUE"""),0.00017185)</f>
        <v>1.7185E-4</v>
      </c>
      <c r="BL173" s="78">
        <f ca="1">IFERROR(__xludf.DUMMYFUNCTION("""COMPUTED_VALUE"""),2.79851536195217E-07)</f>
        <v>2.7985153619521697E-7</v>
      </c>
      <c r="BM173" s="78">
        <f ca="1">IFERROR(__xludf.DUMMYFUNCTION("""COMPUTED_VALUE"""),0)</f>
        <v>0</v>
      </c>
      <c r="BN173" s="78">
        <f ca="1">IFERROR(__xludf.DUMMYFUNCTION("""COMPUTED_VALUE"""),0)</f>
        <v>0</v>
      </c>
      <c r="BO173" s="66"/>
      <c r="BP173" s="66"/>
    </row>
    <row r="174" spans="1:68" ht="52.8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/>
      <c r="AQ174" s="75"/>
      <c r="AR174" s="75"/>
      <c r="AS174" s="75"/>
      <c r="AT174" s="75"/>
      <c r="AU174" s="75"/>
      <c r="AV174" s="75"/>
      <c r="AW174" s="75"/>
      <c r="AX174" s="75"/>
      <c r="AY174" s="77"/>
      <c r="AZ174" s="75"/>
      <c r="BA174" s="77"/>
      <c r="BB174" s="66"/>
      <c r="BC174" s="4"/>
      <c r="BD174" s="67" t="str">
        <f ca="1">IFERROR(__xludf.DUMMYFUNCTION("""COMPUTED_VALUE"""),"Забайкальский край")</f>
        <v>Забайкальский край</v>
      </c>
      <c r="BE174" s="67" t="str">
        <f ca="1">IFERROR(__xludf.DUMMYFUNCTION("""COMPUTED_VALUE"""),"Чита")</f>
        <v>Чита</v>
      </c>
      <c r="BF174" s="68" t="str">
        <f ca="1">IFERROR(__xludf.DUMMYFUNCTION("""COMPUTED_VALUE"""),"ОАО ""РЖД""")</f>
        <v>ОАО "РЖД"</v>
      </c>
      <c r="BG174" s="69" t="str">
        <f ca="1">IFERROR(__xludf.DUMMYFUNCTION("""COMPUTED_VALUE"""),"3.2.4.")</f>
        <v>3.2.4.</v>
      </c>
      <c r="BH174" s="74" t="str">
        <f ca="1">IFERROR(__xludf.DUMMYFUNCTION("""COMPUTED_VALUE"""),"Мероприятие ЮЛ/ИП")</f>
        <v>Мероприятие ЮЛ/ИП</v>
      </c>
      <c r="BI174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J174" s="73" t="str">
        <f ca="1">IFERROR(__xludf.DUMMYFUNCTION("""COMPUTED_VALUE"""),"Бенз/а/пирен")</f>
        <v>Бенз/а/пирен</v>
      </c>
      <c r="BK174" s="78">
        <f ca="1">IFERROR(__xludf.DUMMYFUNCTION("""COMPUTED_VALUE"""),0.00018185)</f>
        <v>1.8185E-4</v>
      </c>
      <c r="BL174" s="78">
        <f ca="1">IFERROR(__xludf.DUMMYFUNCTION("""COMPUTED_VALUE"""),2.9613617606692E-07)</f>
        <v>2.9613617606692E-7</v>
      </c>
      <c r="BM174" s="78">
        <f ca="1">IFERROR(__xludf.DUMMYFUNCTION("""COMPUTED_VALUE"""),0)</f>
        <v>0</v>
      </c>
      <c r="BN174" s="78">
        <f ca="1">IFERROR(__xludf.DUMMYFUNCTION("""COMPUTED_VALUE"""),0)</f>
        <v>0</v>
      </c>
      <c r="BO174" s="66"/>
      <c r="BP174" s="66"/>
    </row>
    <row r="175" spans="1:68" ht="39.6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/>
      <c r="AQ175" s="75"/>
      <c r="AR175" s="75"/>
      <c r="AS175" s="75"/>
      <c r="AT175" s="75"/>
      <c r="AU175" s="75"/>
      <c r="AV175" s="75"/>
      <c r="AW175" s="75"/>
      <c r="AX175" s="75"/>
      <c r="AY175" s="77"/>
      <c r="AZ175" s="75"/>
      <c r="BA175" s="77"/>
      <c r="BB175" s="66"/>
      <c r="BC175" s="4"/>
      <c r="BD175" s="67" t="str">
        <f ca="1">IFERROR(__xludf.DUMMYFUNCTION("""COMPUTED_VALUE"""),"Забайкальский край")</f>
        <v>Забайкальский край</v>
      </c>
      <c r="BE175" s="67" t="str">
        <f ca="1">IFERROR(__xludf.DUMMYFUNCTION("""COMPUTED_VALUE"""),"Чита")</f>
        <v>Чита</v>
      </c>
      <c r="BF175" s="68" t="str">
        <f ca="1">IFERROR(__xludf.DUMMYFUNCTION("""COMPUTED_VALUE"""),"ОАО ""РЖД""")</f>
        <v>ОАО "РЖД"</v>
      </c>
      <c r="BG175" s="69" t="str">
        <f ca="1">IFERROR(__xludf.DUMMYFUNCTION("""COMPUTED_VALUE"""),"3.2.5.")</f>
        <v>3.2.5.</v>
      </c>
      <c r="BH175" s="74" t="str">
        <f ca="1">IFERROR(__xludf.DUMMYFUNCTION("""COMPUTED_VALUE"""),"Мероприятие ЮЛ/ИП")</f>
        <v>Мероприятие ЮЛ/ИП</v>
      </c>
      <c r="BI175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J175" s="73" t="str">
        <f ca="1">IFERROR(__xludf.DUMMYFUNCTION("""COMPUTED_VALUE"""),"Бенз/а/пирен")</f>
        <v>Бенз/а/пирен</v>
      </c>
      <c r="BK175" s="78">
        <f ca="1">IFERROR(__xludf.DUMMYFUNCTION("""COMPUTED_VALUE"""),0.0002538)</f>
        <v>2.5379999999999999E-4</v>
      </c>
      <c r="BL175" s="78">
        <f ca="1">IFERROR(__xludf.DUMMYFUNCTION("""COMPUTED_VALUE"""),4.13304159943824E-07)</f>
        <v>4.1330415994382401E-7</v>
      </c>
      <c r="BM175" s="78">
        <f ca="1">IFERROR(__xludf.DUMMYFUNCTION("""COMPUTED_VALUE"""),0)</f>
        <v>0</v>
      </c>
      <c r="BN175" s="78">
        <f ca="1">IFERROR(__xludf.DUMMYFUNCTION("""COMPUTED_VALUE"""),0)</f>
        <v>0</v>
      </c>
      <c r="BO175" s="66"/>
      <c r="BP175" s="66"/>
    </row>
    <row r="176" spans="1:68" ht="26.4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/>
      <c r="AQ176" s="75"/>
      <c r="AR176" s="75"/>
      <c r="AS176" s="75"/>
      <c r="AT176" s="75"/>
      <c r="AU176" s="75"/>
      <c r="AV176" s="75"/>
      <c r="AW176" s="75"/>
      <c r="AX176" s="75"/>
      <c r="AY176" s="77"/>
      <c r="AZ176" s="75"/>
      <c r="BA176" s="77"/>
      <c r="BB176" s="66"/>
      <c r="BC176" s="4"/>
      <c r="BD176" s="67" t="str">
        <f ca="1">IFERROR(__xludf.DUMMYFUNCTION("""COMPUTED_VALUE"""),"Забайкальский край")</f>
        <v>Забайкальский край</v>
      </c>
      <c r="BE176" s="67" t="str">
        <f ca="1">IFERROR(__xludf.DUMMYFUNCTION("""COMPUTED_VALUE"""),"Чита")</f>
        <v>Чита</v>
      </c>
      <c r="BF176" s="68" t="str">
        <f ca="1">IFERROR(__xludf.DUMMYFUNCTION("""COMPUTED_VALUE"""),"ОАО ""РЖД""")</f>
        <v>ОАО "РЖД"</v>
      </c>
      <c r="BG176" s="69" t="str">
        <f ca="1">IFERROR(__xludf.DUMMYFUNCTION("""COMPUTED_VALUE"""),"3.2.7.")</f>
        <v>3.2.7.</v>
      </c>
      <c r="BH176" s="74" t="str">
        <f ca="1">IFERROR(__xludf.DUMMYFUNCTION("""COMPUTED_VALUE"""),"Мероприятие ЮЛ/ИП")</f>
        <v>Мероприятие ЮЛ/ИП</v>
      </c>
      <c r="BI176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J176" s="73" t="str">
        <f ca="1">IFERROR(__xludf.DUMMYFUNCTION("""COMPUTED_VALUE"""),"Бенз/а/пирен")</f>
        <v>Бенз/а/пирен</v>
      </c>
      <c r="BK176" s="78">
        <f ca="1">IFERROR(__xludf.DUMMYFUNCTION("""COMPUTED_VALUE"""),0.0002538)</f>
        <v>2.5379999999999999E-4</v>
      </c>
      <c r="BL176" s="78">
        <f ca="1">IFERROR(__xludf.DUMMYFUNCTION("""COMPUTED_VALUE"""),4.13304159943824E-07)</f>
        <v>4.1330415994382401E-7</v>
      </c>
      <c r="BM176" s="78">
        <f ca="1">IFERROR(__xludf.DUMMYFUNCTION("""COMPUTED_VALUE"""),0)</f>
        <v>0</v>
      </c>
      <c r="BN176" s="78">
        <f ca="1">IFERROR(__xludf.DUMMYFUNCTION("""COMPUTED_VALUE"""),0)</f>
        <v>0</v>
      </c>
      <c r="BO176" s="66"/>
      <c r="BP176" s="66"/>
    </row>
    <row r="177" spans="1:68" ht="39.6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/>
      <c r="AQ177" s="75"/>
      <c r="AR177" s="75"/>
      <c r="AS177" s="75"/>
      <c r="AT177" s="75"/>
      <c r="AU177" s="75"/>
      <c r="AV177" s="75"/>
      <c r="AW177" s="75"/>
      <c r="AX177" s="75"/>
      <c r="AY177" s="77"/>
      <c r="AZ177" s="75"/>
      <c r="BA177" s="77"/>
      <c r="BB177" s="66"/>
      <c r="BC177" s="4"/>
      <c r="BD177" s="67" t="str">
        <f ca="1">IFERROR(__xludf.DUMMYFUNCTION("""COMPUTED_VALUE"""),"Забайкальский край")</f>
        <v>Забайкальский край</v>
      </c>
      <c r="BE177" s="67" t="str">
        <f ca="1">IFERROR(__xludf.DUMMYFUNCTION("""COMPUTED_VALUE"""),"Чита")</f>
        <v>Чита</v>
      </c>
      <c r="BF177" s="68" t="str">
        <f ca="1">IFERROR(__xludf.DUMMYFUNCTION("""COMPUTED_VALUE"""),"ОАО ""РЖД""")</f>
        <v>ОАО "РЖД"</v>
      </c>
      <c r="BG177" s="69" t="str">
        <f ca="1">IFERROR(__xludf.DUMMYFUNCTION("""COMPUTED_VALUE"""),"3.2.8.")</f>
        <v>3.2.8.</v>
      </c>
      <c r="BH177" s="74" t="str">
        <f ca="1">IFERROR(__xludf.DUMMYFUNCTION("""COMPUTED_VALUE"""),"Мероприятие ЮЛ/ИП")</f>
        <v>Мероприятие ЮЛ/ИП</v>
      </c>
      <c r="BI177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7" s="78">
        <f ca="1">IFERROR(__xludf.DUMMYFUNCTION("""COMPUTED_VALUE"""),1.53)</f>
        <v>1.53</v>
      </c>
      <c r="BL177" s="78">
        <f ca="1">IFERROR(__xludf.DUMMYFUNCTION("""COMPUTED_VALUE"""),0.00249154990037057)</f>
        <v>2.4915499003705698E-3</v>
      </c>
      <c r="BM177" s="78">
        <f ca="1">IFERROR(__xludf.DUMMYFUNCTION("""COMPUTED_VALUE"""),0)</f>
        <v>0</v>
      </c>
      <c r="BN177" s="78">
        <f ca="1">IFERROR(__xludf.DUMMYFUNCTION("""COMPUTED_VALUE"""),0)</f>
        <v>0</v>
      </c>
      <c r="BO177" s="66"/>
      <c r="BP177" s="66"/>
    </row>
    <row r="178" spans="1:68" ht="39.6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/>
      <c r="AQ178" s="75"/>
      <c r="AR178" s="75"/>
      <c r="AS178" s="75"/>
      <c r="AT178" s="75"/>
      <c r="AU178" s="75"/>
      <c r="AV178" s="75"/>
      <c r="AW178" s="75"/>
      <c r="AX178" s="75"/>
      <c r="AY178" s="77"/>
      <c r="AZ178" s="75"/>
      <c r="BA178" s="77"/>
      <c r="BB178" s="66"/>
      <c r="BC178" s="4"/>
      <c r="BD178" s="67" t="str">
        <f ca="1">IFERROR(__xludf.DUMMYFUNCTION("""COMPUTED_VALUE"""),"Забайкальский край")</f>
        <v>Забайкальский край</v>
      </c>
      <c r="BE178" s="67" t="str">
        <f ca="1">IFERROR(__xludf.DUMMYFUNCTION("""COMPUTED_VALUE"""),"Чита")</f>
        <v>Чита</v>
      </c>
      <c r="BF178" s="68" t="str">
        <f ca="1">IFERROR(__xludf.DUMMYFUNCTION("""COMPUTED_VALUE"""),"ОАО ""РЖД""")</f>
        <v>ОАО "РЖД"</v>
      </c>
      <c r="BG178" s="69" t="str">
        <f ca="1">IFERROR(__xludf.DUMMYFUNCTION("""COMPUTED_VALUE"""),"3.2.8.")</f>
        <v>3.2.8.</v>
      </c>
      <c r="BH178" s="74" t="str">
        <f ca="1">IFERROR(__xludf.DUMMYFUNCTION("""COMPUTED_VALUE"""),"Мероприятие ЮЛ/ИП")</f>
        <v>Мероприятие ЮЛ/ИП</v>
      </c>
      <c r="BI178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8" s="73" t="str">
        <f ca="1">IFERROR(__xludf.DUMMYFUNCTION("""COMPUTED_VALUE"""),"Азот (II) оксид")</f>
        <v>Азот (II) оксид</v>
      </c>
      <c r="BK178" s="78">
        <f ca="1">IFERROR(__xludf.DUMMYFUNCTION("""COMPUTED_VALUE"""),2.15)</f>
        <v>2.15</v>
      </c>
      <c r="BL178" s="78">
        <f ca="1">IFERROR(__xludf.DUMMYFUNCTION("""COMPUTED_VALUE"""),0.00350119757241616)</f>
        <v>3.5011975724161602E-3</v>
      </c>
      <c r="BM178" s="78">
        <f ca="1">IFERROR(__xludf.DUMMYFUNCTION("""COMPUTED_VALUE"""),0)</f>
        <v>0</v>
      </c>
      <c r="BN178" s="78">
        <f ca="1">IFERROR(__xludf.DUMMYFUNCTION("""COMPUTED_VALUE"""),0)</f>
        <v>0</v>
      </c>
      <c r="BO178" s="66"/>
      <c r="BP178" s="66"/>
    </row>
    <row r="179" spans="1:68" ht="39.6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/>
      <c r="AQ179" s="75"/>
      <c r="AR179" s="75"/>
      <c r="AS179" s="75"/>
      <c r="AT179" s="75"/>
      <c r="AU179" s="75"/>
      <c r="AV179" s="75"/>
      <c r="AW179" s="75"/>
      <c r="AX179" s="75"/>
      <c r="AY179" s="77"/>
      <c r="AZ179" s="75"/>
      <c r="BA179" s="77"/>
      <c r="BB179" s="66"/>
      <c r="BC179" s="4"/>
      <c r="BD179" s="67" t="str">
        <f ca="1">IFERROR(__xludf.DUMMYFUNCTION("""COMPUTED_VALUE"""),"Забайкальский край")</f>
        <v>Забайкальский край</v>
      </c>
      <c r="BE179" s="67" t="str">
        <f ca="1">IFERROR(__xludf.DUMMYFUNCTION("""COMPUTED_VALUE"""),"Чита")</f>
        <v>Чита</v>
      </c>
      <c r="BF179" s="68" t="str">
        <f ca="1">IFERROR(__xludf.DUMMYFUNCTION("""COMPUTED_VALUE"""),"ОАО ""РЖД""")</f>
        <v>ОАО "РЖД"</v>
      </c>
      <c r="BG179" s="69" t="str">
        <f ca="1">IFERROR(__xludf.DUMMYFUNCTION("""COMPUTED_VALUE"""),"3.2.8.")</f>
        <v>3.2.8.</v>
      </c>
      <c r="BH179" s="74" t="str">
        <f ca="1">IFERROR(__xludf.DUMMYFUNCTION("""COMPUTED_VALUE"""),"Мероприятие ЮЛ/ИП")</f>
        <v>Мероприятие ЮЛ/ИП</v>
      </c>
      <c r="BI179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9" s="73" t="str">
        <f ca="1">IFERROR(__xludf.DUMMYFUNCTION("""COMPUTED_VALUE"""),"Азота диоксид")</f>
        <v>Азота диоксид</v>
      </c>
      <c r="BK179" s="78">
        <f ca="1">IFERROR(__xludf.DUMMYFUNCTION("""COMPUTED_VALUE"""),4.21)</f>
        <v>4.21</v>
      </c>
      <c r="BL179" s="78">
        <f ca="1">IFERROR(__xludf.DUMMYFUNCTION("""COMPUTED_VALUE"""),0.006855833385987)</f>
        <v>6.8558333859869997E-3</v>
      </c>
      <c r="BM179" s="78">
        <f ca="1">IFERROR(__xludf.DUMMYFUNCTION("""COMPUTED_VALUE"""),0)</f>
        <v>0</v>
      </c>
      <c r="BN179" s="78">
        <f ca="1">IFERROR(__xludf.DUMMYFUNCTION("""COMPUTED_VALUE"""),0)</f>
        <v>0</v>
      </c>
      <c r="BO179" s="66"/>
      <c r="BP179" s="66"/>
    </row>
    <row r="180" spans="1:68" ht="39.6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/>
      <c r="AQ180" s="75"/>
      <c r="AR180" s="75"/>
      <c r="AS180" s="75"/>
      <c r="AT180" s="75"/>
      <c r="AU180" s="75"/>
      <c r="AV180" s="75"/>
      <c r="AW180" s="75"/>
      <c r="AX180" s="75"/>
      <c r="AY180" s="77"/>
      <c r="AZ180" s="75"/>
      <c r="BA180" s="77"/>
      <c r="BB180" s="66"/>
      <c r="BC180" s="4"/>
      <c r="BD180" s="67" t="str">
        <f ca="1">IFERROR(__xludf.DUMMYFUNCTION("""COMPUTED_VALUE"""),"Забайкальский край")</f>
        <v>Забайкальский край</v>
      </c>
      <c r="BE180" s="67" t="str">
        <f ca="1">IFERROR(__xludf.DUMMYFUNCTION("""COMPUTED_VALUE"""),"Чита")</f>
        <v>Чита</v>
      </c>
      <c r="BF180" s="68" t="str">
        <f ca="1">IFERROR(__xludf.DUMMYFUNCTION("""COMPUTED_VALUE"""),"ОАО ""РЖД""")</f>
        <v>ОАО "РЖД"</v>
      </c>
      <c r="BG180" s="69" t="str">
        <f ca="1">IFERROR(__xludf.DUMMYFUNCTION("""COMPUTED_VALUE"""),"3.2.8.")</f>
        <v>3.2.8.</v>
      </c>
      <c r="BH180" s="74" t="str">
        <f ca="1">IFERROR(__xludf.DUMMYFUNCTION("""COMPUTED_VALUE"""),"Мероприятие ЮЛ/ИП")</f>
        <v>Мероприятие ЮЛ/ИП</v>
      </c>
      <c r="BI180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0" s="73" t="str">
        <f ca="1">IFERROR(__xludf.DUMMYFUNCTION("""COMPUTED_VALUE"""),"Бенз/а/пирен")</f>
        <v>Бенз/а/пирен</v>
      </c>
      <c r="BK180" s="78">
        <f ca="1">IFERROR(__xludf.DUMMYFUNCTION("""COMPUTED_VALUE"""),0.0000106)</f>
        <v>1.06E-5</v>
      </c>
      <c r="BL180" s="78">
        <f ca="1">IFERROR(__xludf.DUMMYFUNCTION("""COMPUTED_VALUE"""),1.72617182640052E-08)</f>
        <v>1.72617182640052E-8</v>
      </c>
      <c r="BM180" s="78">
        <f ca="1">IFERROR(__xludf.DUMMYFUNCTION("""COMPUTED_VALUE"""),0)</f>
        <v>0</v>
      </c>
      <c r="BN180" s="78">
        <f ca="1">IFERROR(__xludf.DUMMYFUNCTION("""COMPUTED_VALUE"""),0)</f>
        <v>0</v>
      </c>
      <c r="BO180" s="66"/>
      <c r="BP180" s="66"/>
    </row>
    <row r="181" spans="1:68" ht="39.6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/>
      <c r="AQ181" s="75"/>
      <c r="AR181" s="75"/>
      <c r="AS181" s="75"/>
      <c r="AT181" s="75"/>
      <c r="AU181" s="75"/>
      <c r="AV181" s="75"/>
      <c r="AW181" s="75"/>
      <c r="AX181" s="75"/>
      <c r="AY181" s="77"/>
      <c r="AZ181" s="75"/>
      <c r="BA181" s="77"/>
      <c r="BB181" s="66"/>
      <c r="BC181" s="4"/>
      <c r="BD181" s="67" t="str">
        <f ca="1">IFERROR(__xludf.DUMMYFUNCTION("""COMPUTED_VALUE"""),"Забайкальский край")</f>
        <v>Забайкальский край</v>
      </c>
      <c r="BE181" s="67" t="str">
        <f ca="1">IFERROR(__xludf.DUMMYFUNCTION("""COMPUTED_VALUE"""),"Чита")</f>
        <v>Чита</v>
      </c>
      <c r="BF181" s="68" t="str">
        <f ca="1">IFERROR(__xludf.DUMMYFUNCTION("""COMPUTED_VALUE"""),"ОАО ""РЖД""")</f>
        <v>ОАО "РЖД"</v>
      </c>
      <c r="BG181" s="69" t="str">
        <f ca="1">IFERROR(__xludf.DUMMYFUNCTION("""COMPUTED_VALUE"""),"3.2.8.")</f>
        <v>3.2.8.</v>
      </c>
      <c r="BH181" s="74" t="str">
        <f ca="1">IFERROR(__xludf.DUMMYFUNCTION("""COMPUTED_VALUE"""),"Мероприятие ЮЛ/ИП")</f>
        <v>Мероприятие ЮЛ/ИП</v>
      </c>
      <c r="BI181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1" s="73" t="str">
        <f ca="1">IFERROR(__xludf.DUMMYFUNCTION("""COMPUTED_VALUE"""),"Сера диоксид")</f>
        <v>Сера диоксид</v>
      </c>
      <c r="BK181" s="78">
        <f ca="1">IFERROR(__xludf.DUMMYFUNCTION("""COMPUTED_VALUE"""),0.399989)</f>
        <v>0.39998899999999998</v>
      </c>
      <c r="BL181" s="78">
        <f ca="1">IFERROR(__xludf.DUMMYFUNCTION("""COMPUTED_VALUE"""),0.000651367681764264)</f>
        <v>6.5136768176426399E-4</v>
      </c>
      <c r="BM181" s="78">
        <f ca="1">IFERROR(__xludf.DUMMYFUNCTION("""COMPUTED_VALUE"""),0)</f>
        <v>0</v>
      </c>
      <c r="BN181" s="78">
        <f ca="1">IFERROR(__xludf.DUMMYFUNCTION("""COMPUTED_VALUE"""),0)</f>
        <v>0</v>
      </c>
      <c r="BO181" s="66"/>
      <c r="BP181" s="66"/>
    </row>
    <row r="182" spans="1:68" ht="39.6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/>
      <c r="AQ182" s="75"/>
      <c r="AR182" s="75"/>
      <c r="AS182" s="75"/>
      <c r="AT182" s="75"/>
      <c r="AU182" s="75"/>
      <c r="AV182" s="75"/>
      <c r="AW182" s="75"/>
      <c r="AX182" s="75"/>
      <c r="AY182" s="77"/>
      <c r="AZ182" s="75"/>
      <c r="BA182" s="77"/>
      <c r="BB182" s="66"/>
      <c r="BC182" s="4"/>
      <c r="BD182" s="67" t="str">
        <f ca="1">IFERROR(__xludf.DUMMYFUNCTION("""COMPUTED_VALUE"""),"Забайкальский край")</f>
        <v>Забайкальский край</v>
      </c>
      <c r="BE182" s="67" t="str">
        <f ca="1">IFERROR(__xludf.DUMMYFUNCTION("""COMPUTED_VALUE"""),"Чита")</f>
        <v>Чита</v>
      </c>
      <c r="BF182" s="68" t="str">
        <f ca="1">IFERROR(__xludf.DUMMYFUNCTION("""COMPUTED_VALUE"""),"ОАО ""РЖД""")</f>
        <v>ОАО "РЖД"</v>
      </c>
      <c r="BG182" s="69" t="str">
        <f ca="1">IFERROR(__xludf.DUMMYFUNCTION("""COMPUTED_VALUE"""),"3.2.8.")</f>
        <v>3.2.8.</v>
      </c>
      <c r="BH182" s="74" t="str">
        <f ca="1">IFERROR(__xludf.DUMMYFUNCTION("""COMPUTED_VALUE"""),"Мероприятие ЮЛ/ИП")</f>
        <v>Мероприятие ЮЛ/ИП</v>
      </c>
      <c r="BI182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2" s="73" t="str">
        <f ca="1">IFERROR(__xludf.DUMMYFUNCTION("""COMPUTED_VALUE"""),"Углерод")</f>
        <v>Углерод</v>
      </c>
      <c r="BK182" s="78">
        <f ca="1">IFERROR(__xludf.DUMMYFUNCTION("""COMPUTED_VALUE"""),4.24)</f>
        <v>4.24</v>
      </c>
      <c r="BL182" s="78">
        <f ca="1">IFERROR(__xludf.DUMMYFUNCTION("""COMPUTED_VALUE"""),0.00690468730560211)</f>
        <v>6.9046873056021101E-3</v>
      </c>
      <c r="BM182" s="78">
        <f ca="1">IFERROR(__xludf.DUMMYFUNCTION("""COMPUTED_VALUE"""),0)</f>
        <v>0</v>
      </c>
      <c r="BN182" s="78">
        <f ca="1">IFERROR(__xludf.DUMMYFUNCTION("""COMPUTED_VALUE"""),0)</f>
        <v>0</v>
      </c>
      <c r="BO182" s="66"/>
      <c r="BP182" s="66"/>
    </row>
    <row r="183" spans="1:68" ht="39.6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/>
      <c r="AQ183" s="75"/>
      <c r="AR183" s="75"/>
      <c r="AS183" s="75"/>
      <c r="AT183" s="75"/>
      <c r="AU183" s="75"/>
      <c r="AV183" s="75"/>
      <c r="AW183" s="75"/>
      <c r="AX183" s="75"/>
      <c r="AY183" s="77"/>
      <c r="AZ183" s="75"/>
      <c r="BA183" s="77"/>
      <c r="BB183" s="66"/>
      <c r="BC183" s="4"/>
      <c r="BD183" s="67" t="str">
        <f ca="1">IFERROR(__xludf.DUMMYFUNCTION("""COMPUTED_VALUE"""),"Забайкальский край")</f>
        <v>Забайкальский край</v>
      </c>
      <c r="BE183" s="67" t="str">
        <f ca="1">IFERROR(__xludf.DUMMYFUNCTION("""COMPUTED_VALUE"""),"Чита")</f>
        <v>Чита</v>
      </c>
      <c r="BF183" s="68" t="str">
        <f ca="1">IFERROR(__xludf.DUMMYFUNCTION("""COMPUTED_VALUE"""),"ОАО ""РЖД""")</f>
        <v>ОАО "РЖД"</v>
      </c>
      <c r="BG183" s="69" t="str">
        <f ca="1">IFERROR(__xludf.DUMMYFUNCTION("""COMPUTED_VALUE"""),"3.2.8.")</f>
        <v>3.2.8.</v>
      </c>
      <c r="BH183" s="74" t="str">
        <f ca="1">IFERROR(__xludf.DUMMYFUNCTION("""COMPUTED_VALUE"""),"Мероприятие ЮЛ/ИП")</f>
        <v>Мероприятие ЮЛ/ИП</v>
      </c>
      <c r="BI183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3" s="73" t="str">
        <f ca="1">IFERROR(__xludf.DUMMYFUNCTION("""COMPUTED_VALUE"""),"Углерода оксид")</f>
        <v>Углерода оксид</v>
      </c>
      <c r="BK183" s="78">
        <f ca="1">IFERROR(__xludf.DUMMYFUNCTION("""COMPUTED_VALUE"""),1.9)</f>
        <v>1.9</v>
      </c>
      <c r="BL183" s="78">
        <f ca="1">IFERROR(__xludf.DUMMYFUNCTION("""COMPUTED_VALUE"""),0.00309408157562358)</f>
        <v>3.0940815756235799E-3</v>
      </c>
      <c r="BM183" s="78">
        <f ca="1">IFERROR(__xludf.DUMMYFUNCTION("""COMPUTED_VALUE"""),0)</f>
        <v>0</v>
      </c>
      <c r="BN183" s="78">
        <f ca="1">IFERROR(__xludf.DUMMYFUNCTION("""COMPUTED_VALUE"""),0)</f>
        <v>0</v>
      </c>
      <c r="BO183" s="66"/>
      <c r="BP183" s="66"/>
    </row>
    <row r="184" spans="1:68" ht="26.4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/>
      <c r="AQ184" s="75"/>
      <c r="AR184" s="75"/>
      <c r="AS184" s="75"/>
      <c r="AT184" s="75"/>
      <c r="AU184" s="75"/>
      <c r="AV184" s="75"/>
      <c r="AW184" s="75"/>
      <c r="AX184" s="75"/>
      <c r="AY184" s="77"/>
      <c r="AZ184" s="75"/>
      <c r="BA184" s="77"/>
      <c r="BB184" s="66"/>
      <c r="BC184" s="4"/>
      <c r="BD184" s="67" t="str">
        <f ca="1">IFERROR(__xludf.DUMMYFUNCTION("""COMPUTED_VALUE"""),"Забайкальский край")</f>
        <v>Забайкальский край</v>
      </c>
      <c r="BE184" s="67" t="str">
        <f ca="1">IFERROR(__xludf.DUMMYFUNCTION("""COMPUTED_VALUE"""),"Чита")</f>
        <v>Чита</v>
      </c>
      <c r="BF184" s="68" t="str">
        <f ca="1">IFERROR(__xludf.DUMMYFUNCTION("""COMPUTED_VALUE"""),"ОАО ""РЖД""")</f>
        <v>ОАО "РЖД"</v>
      </c>
      <c r="BG184" s="69" t="str">
        <f ca="1">IFERROR(__xludf.DUMMYFUNCTION("""COMPUTED_VALUE"""),"3.2.9.")</f>
        <v>3.2.9.</v>
      </c>
      <c r="BH184" s="74" t="str">
        <f ca="1">IFERROR(__xludf.DUMMYFUNCTION("""COMPUTED_VALUE"""),"Мероприятие ЮЛ/ИП")</f>
        <v>Мероприятие ЮЛ/ИП</v>
      </c>
      <c r="BI184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84" s="78">
        <f ca="1">IFERROR(__xludf.DUMMYFUNCTION("""COMPUTED_VALUE"""),12.24)</f>
        <v>12.24</v>
      </c>
      <c r="BL184" s="78">
        <f ca="1">IFERROR(__xludf.DUMMYFUNCTION("""COMPUTED_VALUE"""),0.0199323992029645)</f>
        <v>1.9932399202964499E-2</v>
      </c>
      <c r="BM184" s="78">
        <f ca="1">IFERROR(__xludf.DUMMYFUNCTION("""COMPUTED_VALUE"""),0)</f>
        <v>0</v>
      </c>
      <c r="BN184" s="78">
        <f ca="1">IFERROR(__xludf.DUMMYFUNCTION("""COMPUTED_VALUE"""),0)</f>
        <v>0</v>
      </c>
      <c r="BO184" s="66"/>
      <c r="BP184" s="66"/>
    </row>
    <row r="185" spans="1:68" ht="26.4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/>
      <c r="AQ185" s="75"/>
      <c r="AR185" s="75"/>
      <c r="AS185" s="75"/>
      <c r="AT185" s="75"/>
      <c r="AU185" s="75"/>
      <c r="AV185" s="75"/>
      <c r="AW185" s="75"/>
      <c r="AX185" s="75"/>
      <c r="AY185" s="77"/>
      <c r="AZ185" s="75"/>
      <c r="BA185" s="77"/>
      <c r="BB185" s="66"/>
      <c r="BC185" s="4"/>
      <c r="BD185" s="67" t="str">
        <f ca="1">IFERROR(__xludf.DUMMYFUNCTION("""COMPUTED_VALUE"""),"Забайкальский край")</f>
        <v>Забайкальский край</v>
      </c>
      <c r="BE185" s="67" t="str">
        <f ca="1">IFERROR(__xludf.DUMMYFUNCTION("""COMPUTED_VALUE"""),"Чита")</f>
        <v>Чита</v>
      </c>
      <c r="BF185" s="68" t="str">
        <f ca="1">IFERROR(__xludf.DUMMYFUNCTION("""COMPUTED_VALUE"""),"ОАО ""РЖД""")</f>
        <v>ОАО "РЖД"</v>
      </c>
      <c r="BG185" s="69" t="str">
        <f ca="1">IFERROR(__xludf.DUMMYFUNCTION("""COMPUTED_VALUE"""),"3.2.9.")</f>
        <v>3.2.9.</v>
      </c>
      <c r="BH185" s="74" t="str">
        <f ca="1">IFERROR(__xludf.DUMMYFUNCTION("""COMPUTED_VALUE"""),"Мероприятие ЮЛ/ИП")</f>
        <v>Мероприятие ЮЛ/ИП</v>
      </c>
      <c r="BI185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5" s="73" t="str">
        <f ca="1">IFERROR(__xludf.DUMMYFUNCTION("""COMPUTED_VALUE"""),"Углерод")</f>
        <v>Углерод</v>
      </c>
      <c r="BK185" s="78">
        <f ca="1">IFERROR(__xludf.DUMMYFUNCTION("""COMPUTED_VALUE"""),13.19)</f>
        <v>13.19</v>
      </c>
      <c r="BL185" s="78">
        <f ca="1">IFERROR(__xludf.DUMMYFUNCTION("""COMPUTED_VALUE"""),0.0214794399907763)</f>
        <v>2.1479439990776301E-2</v>
      </c>
      <c r="BM185" s="78">
        <f ca="1">IFERROR(__xludf.DUMMYFUNCTION("""COMPUTED_VALUE"""),0)</f>
        <v>0</v>
      </c>
      <c r="BN185" s="78">
        <f ca="1">IFERROR(__xludf.DUMMYFUNCTION("""COMPUTED_VALUE"""),0)</f>
        <v>0</v>
      </c>
      <c r="BO185" s="66"/>
      <c r="BP185" s="66"/>
    </row>
    <row r="186" spans="1:68" ht="66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/>
      <c r="AQ186" s="75"/>
      <c r="AR186" s="75"/>
      <c r="AS186" s="75"/>
      <c r="AT186" s="75"/>
      <c r="AU186" s="75"/>
      <c r="AV186" s="75"/>
      <c r="AW186" s="75"/>
      <c r="AX186" s="75"/>
      <c r="AY186" s="77"/>
      <c r="AZ186" s="75"/>
      <c r="BA186" s="77"/>
      <c r="BB186" s="66"/>
      <c r="BC186" s="4"/>
      <c r="BD186" s="67" t="str">
        <f ca="1">IFERROR(__xludf.DUMMYFUNCTION("""COMPUTED_VALUE"""),"Забайкальский край")</f>
        <v>Забайкальский край</v>
      </c>
      <c r="BE186" s="67" t="str">
        <f ca="1">IFERROR(__xludf.DUMMYFUNCTION("""COMPUTED_VALUE"""),"Чита")</f>
        <v>Чита</v>
      </c>
      <c r="BF186" s="68" t="str">
        <f ca="1">IFERROR(__xludf.DUMMYFUNCTION("""COMPUTED_VALUE"""),"ООО ""СибавиаТЭК""")</f>
        <v>ООО "СибавиаТЭК"</v>
      </c>
      <c r="BG186" s="69" t="str">
        <f ca="1">IFERROR(__xludf.DUMMYFUNCTION("""COMPUTED_VALUE"""),"3.3.1.")</f>
        <v>3.3.1.</v>
      </c>
      <c r="BH186" s="74" t="str">
        <f ca="1">IFERROR(__xludf.DUMMYFUNCTION("""COMPUTED_VALUE"""),"Мероприятие ЮЛ/ИП")</f>
        <v>Мероприятие ЮЛ/ИП</v>
      </c>
      <c r="BI186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6" s="73" t="str">
        <f ca="1">IFERROR(__xludf.DUMMYFUNCTION("""COMPUTED_VALUE"""),"Азот (II) оксид")</f>
        <v>Азот (II) оксид</v>
      </c>
      <c r="BK186" s="78">
        <f ca="1">IFERROR(__xludf.DUMMYFUNCTION("""COMPUTED_VALUE"""),0.0317272)</f>
        <v>3.1727199999999997E-2</v>
      </c>
      <c r="BL186" s="78">
        <f ca="1">IFERROR(__xludf.DUMMYFUNCTION("""COMPUTED_VALUE"""),0.0000516666026137498)</f>
        <v>5.1666602613749797E-5</v>
      </c>
      <c r="BM186" s="78">
        <f ca="1">IFERROR(__xludf.DUMMYFUNCTION("""COMPUTED_VALUE"""),0.0317272)</f>
        <v>3.1727199999999997E-2</v>
      </c>
      <c r="BN186" s="78">
        <f ca="1">IFERROR(__xludf.DUMMYFUNCTION("""COMPUTED_VALUE"""),0.0000516666026137498)</f>
        <v>5.1666602613749797E-5</v>
      </c>
      <c r="BO186" s="66"/>
      <c r="BP186" s="66"/>
    </row>
    <row r="187" spans="1:68" ht="66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/>
      <c r="AQ187" s="75"/>
      <c r="AR187" s="75"/>
      <c r="AS187" s="75"/>
      <c r="AT187" s="75"/>
      <c r="AU187" s="75"/>
      <c r="AV187" s="75"/>
      <c r="AW187" s="75"/>
      <c r="AX187" s="75"/>
      <c r="AY187" s="77"/>
      <c r="AZ187" s="75"/>
      <c r="BA187" s="77"/>
      <c r="BB187" s="66"/>
      <c r="BC187" s="4"/>
      <c r="BD187" s="67" t="str">
        <f ca="1">IFERROR(__xludf.DUMMYFUNCTION("""COMPUTED_VALUE"""),"Забайкальский край")</f>
        <v>Забайкальский край</v>
      </c>
      <c r="BE187" s="67" t="str">
        <f ca="1">IFERROR(__xludf.DUMMYFUNCTION("""COMPUTED_VALUE"""),"Чита")</f>
        <v>Чита</v>
      </c>
      <c r="BF187" s="68" t="str">
        <f ca="1">IFERROR(__xludf.DUMMYFUNCTION("""COMPUTED_VALUE"""),"ООО ""СибавиаТЭК""")</f>
        <v>ООО "СибавиаТЭК"</v>
      </c>
      <c r="BG187" s="69" t="str">
        <f ca="1">IFERROR(__xludf.DUMMYFUNCTION("""COMPUTED_VALUE"""),"3.3.1.")</f>
        <v>3.3.1.</v>
      </c>
      <c r="BH187" s="74" t="str">
        <f ca="1">IFERROR(__xludf.DUMMYFUNCTION("""COMPUTED_VALUE"""),"Мероприятие ЮЛ/ИП")</f>
        <v>Мероприятие ЮЛ/ИП</v>
      </c>
      <c r="BI187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7" s="73" t="str">
        <f ca="1">IFERROR(__xludf.DUMMYFUNCTION("""COMPUTED_VALUE"""),"Азота диоксид")</f>
        <v>Азота диоксид</v>
      </c>
      <c r="BK187" s="78">
        <f ca="1">IFERROR(__xludf.DUMMYFUNCTION("""COMPUTED_VALUE"""),0.0051584)</f>
        <v>5.1583999999999996E-3</v>
      </c>
      <c r="BL187" s="78">
        <f ca="1">IFERROR(__xludf.DUMMYFUNCTION("""COMPUTED_VALUE"""),8.40026863141932E-06)</f>
        <v>8.4002686314193204E-6</v>
      </c>
      <c r="BM187" s="78">
        <f ca="1">IFERROR(__xludf.DUMMYFUNCTION("""COMPUTED_VALUE"""),0.0051584)</f>
        <v>5.1583999999999996E-3</v>
      </c>
      <c r="BN187" s="78">
        <f ca="1">IFERROR(__xludf.DUMMYFUNCTION("""COMPUTED_VALUE"""),8.40026863141932E-06)</f>
        <v>8.4002686314193204E-6</v>
      </c>
      <c r="BO187" s="66"/>
      <c r="BP187" s="66"/>
    </row>
    <row r="188" spans="1:68" ht="66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/>
      <c r="AQ188" s="75"/>
      <c r="AR188" s="75"/>
      <c r="AS188" s="75"/>
      <c r="AT188" s="75"/>
      <c r="AU188" s="75"/>
      <c r="AV188" s="75"/>
      <c r="AW188" s="75"/>
      <c r="AX188" s="75"/>
      <c r="AY188" s="77"/>
      <c r="AZ188" s="75"/>
      <c r="BA188" s="77"/>
      <c r="BB188" s="66"/>
      <c r="BC188" s="4"/>
      <c r="BD188" s="67" t="str">
        <f ca="1">IFERROR(__xludf.DUMMYFUNCTION("""COMPUTED_VALUE"""),"Забайкальский край")</f>
        <v>Забайкальский край</v>
      </c>
      <c r="BE188" s="67" t="str">
        <f ca="1">IFERROR(__xludf.DUMMYFUNCTION("""COMPUTED_VALUE"""),"Чита")</f>
        <v>Чита</v>
      </c>
      <c r="BF188" s="68" t="str">
        <f ca="1">IFERROR(__xludf.DUMMYFUNCTION("""COMPUTED_VALUE"""),"ООО ""СибавиаТЭК""")</f>
        <v>ООО "СибавиаТЭК"</v>
      </c>
      <c r="BG188" s="69" t="str">
        <f ca="1">IFERROR(__xludf.DUMMYFUNCTION("""COMPUTED_VALUE"""),"3.3.1.")</f>
        <v>3.3.1.</v>
      </c>
      <c r="BH188" s="74" t="str">
        <f ca="1">IFERROR(__xludf.DUMMYFUNCTION("""COMPUTED_VALUE"""),"Мероприятие ЮЛ/ИП")</f>
        <v>Мероприятие ЮЛ/ИП</v>
      </c>
      <c r="BI18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8" s="73" t="str">
        <f ca="1">IFERROR(__xludf.DUMMYFUNCTION("""COMPUTED_VALUE"""),"Сера диоксид")</f>
        <v>Сера диоксид</v>
      </c>
      <c r="BK188" s="78">
        <f ca="1">IFERROR(__xludf.DUMMYFUNCTION("""COMPUTED_VALUE"""),0.0474456)</f>
        <v>4.7445599999999997E-2</v>
      </c>
      <c r="BL188" s="78">
        <f ca="1">IFERROR(__xludf.DUMMYFUNCTION("""COMPUTED_VALUE"""),0.0000772634509496876)</f>
        <v>7.7263450949687594E-5</v>
      </c>
      <c r="BM188" s="78">
        <f ca="1">IFERROR(__xludf.DUMMYFUNCTION("""COMPUTED_VALUE"""),0.0474456)</f>
        <v>4.7445599999999997E-2</v>
      </c>
      <c r="BN188" s="78">
        <f ca="1">IFERROR(__xludf.DUMMYFUNCTION("""COMPUTED_VALUE"""),0.0000772634509496876)</f>
        <v>7.7263450949687594E-5</v>
      </c>
      <c r="BO188" s="66"/>
      <c r="BP188" s="66"/>
    </row>
    <row r="189" spans="1:68" ht="66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/>
      <c r="AQ189" s="75"/>
      <c r="AR189" s="75"/>
      <c r="AS189" s="75"/>
      <c r="AT189" s="75"/>
      <c r="AU189" s="75"/>
      <c r="AV189" s="75"/>
      <c r="AW189" s="75"/>
      <c r="AX189" s="75"/>
      <c r="AY189" s="77"/>
      <c r="AZ189" s="75"/>
      <c r="BA189" s="77"/>
      <c r="BB189" s="66"/>
      <c r="BC189" s="4"/>
      <c r="BD189" s="67" t="str">
        <f ca="1">IFERROR(__xludf.DUMMYFUNCTION("""COMPUTED_VALUE"""),"Забайкальский край")</f>
        <v>Забайкальский край</v>
      </c>
      <c r="BE189" s="67" t="str">
        <f ca="1">IFERROR(__xludf.DUMMYFUNCTION("""COMPUTED_VALUE"""),"Чита")</f>
        <v>Чита</v>
      </c>
      <c r="BF189" s="68" t="str">
        <f ca="1">IFERROR(__xludf.DUMMYFUNCTION("""COMPUTED_VALUE"""),"ООО ""СибавиаТЭК""")</f>
        <v>ООО "СибавиаТЭК"</v>
      </c>
      <c r="BG189" s="69" t="str">
        <f ca="1">IFERROR(__xludf.DUMMYFUNCTION("""COMPUTED_VALUE"""),"3.3.1.")</f>
        <v>3.3.1.</v>
      </c>
      <c r="BH189" s="74" t="str">
        <f ca="1">IFERROR(__xludf.DUMMYFUNCTION("""COMPUTED_VALUE"""),"Мероприятие ЮЛ/ИП")</f>
        <v>Мероприятие ЮЛ/ИП</v>
      </c>
      <c r="BI189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9" s="73" t="str">
        <f ca="1">IFERROR(__xludf.DUMMYFUNCTION("""COMPUTED_VALUE"""),"Углерода оксид")</f>
        <v>Углерода оксид</v>
      </c>
      <c r="BK189" s="78">
        <f ca="1">IFERROR(__xludf.DUMMYFUNCTION("""COMPUTED_VALUE"""),0.3533528)</f>
        <v>0.35335280000000002</v>
      </c>
      <c r="BL189" s="78">
        <f ca="1">IFERROR(__xludf.DUMMYFUNCTION("""COMPUTED_VALUE"""),0.000575422309565792)</f>
        <v>5.7542230956579197E-4</v>
      </c>
      <c r="BM189" s="78">
        <f ca="1">IFERROR(__xludf.DUMMYFUNCTION("""COMPUTED_VALUE"""),0.3533528)</f>
        <v>0.35335280000000002</v>
      </c>
      <c r="BN189" s="78">
        <f ca="1">IFERROR(__xludf.DUMMYFUNCTION("""COMPUTED_VALUE"""),0.000575422309565792)</f>
        <v>5.7542230956579197E-4</v>
      </c>
      <c r="BO189" s="66"/>
      <c r="BP189" s="66"/>
    </row>
    <row r="190" spans="1:68" ht="66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/>
      <c r="AQ190" s="75"/>
      <c r="AR190" s="75"/>
      <c r="AS190" s="75"/>
      <c r="AT190" s="75"/>
      <c r="AU190" s="75"/>
      <c r="AV190" s="75"/>
      <c r="AW190" s="75"/>
      <c r="AX190" s="75"/>
      <c r="AY190" s="77"/>
      <c r="AZ190" s="75"/>
      <c r="BA190" s="77"/>
      <c r="BB190" s="66"/>
      <c r="BC190" s="4"/>
      <c r="BD190" s="67" t="str">
        <f ca="1">IFERROR(__xludf.DUMMYFUNCTION("""COMPUTED_VALUE"""),"Забайкальский край")</f>
        <v>Забайкальский край</v>
      </c>
      <c r="BE190" s="67" t="str">
        <f ca="1">IFERROR(__xludf.DUMMYFUNCTION("""COMPUTED_VALUE"""),"Чита")</f>
        <v>Чита</v>
      </c>
      <c r="BF190" s="68" t="str">
        <f ca="1">IFERROR(__xludf.DUMMYFUNCTION("""COMPUTED_VALUE"""),"ООО ""СибавиаТЭК""")</f>
        <v>ООО "СибавиаТЭК"</v>
      </c>
      <c r="BG190" s="69" t="str">
        <f ca="1">IFERROR(__xludf.DUMMYFUNCTION("""COMPUTED_VALUE"""),"3.3.1.")</f>
        <v>3.3.1.</v>
      </c>
      <c r="BH190" s="74" t="str">
        <f ca="1">IFERROR(__xludf.DUMMYFUNCTION("""COMPUTED_VALUE"""),"Мероприятие ЮЛ/ИП")</f>
        <v>Мероприятие ЮЛ/ИП</v>
      </c>
      <c r="BI190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0" s="73" t="str">
        <f ca="1">IFERROR(__xludf.DUMMYFUNCTION("""COMPUTED_VALUE"""),"Бенз/а/пирен")</f>
        <v>Бенз/а/пирен</v>
      </c>
      <c r="BK190" s="78">
        <f ca="1">IFERROR(__xludf.DUMMYFUNCTION("""COMPUTED_VALUE"""),0.0000000976)</f>
        <v>9.76E-8</v>
      </c>
      <c r="BL190" s="78">
        <f ca="1">IFERROR(__xludf.DUMMYFUNCTION("""COMPUTED_VALUE"""),1.58938085147822E-10)</f>
        <v>1.58938085147822E-10</v>
      </c>
      <c r="BM190" s="78">
        <f ca="1">IFERROR(__xludf.DUMMYFUNCTION("""COMPUTED_VALUE"""),0.0000000976)</f>
        <v>9.76E-8</v>
      </c>
      <c r="BN190" s="78">
        <f ca="1">IFERROR(__xludf.DUMMYFUNCTION("""COMPUTED_VALUE"""),1.58938085147822E-10)</f>
        <v>1.58938085147822E-10</v>
      </c>
      <c r="BO190" s="66"/>
      <c r="BP190" s="66"/>
    </row>
    <row r="191" spans="1:68" ht="66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/>
      <c r="AQ191" s="75"/>
      <c r="AR191" s="75"/>
      <c r="AS191" s="75"/>
      <c r="AT191" s="75"/>
      <c r="AU191" s="75"/>
      <c r="AV191" s="75"/>
      <c r="AW191" s="75"/>
      <c r="AX191" s="75"/>
      <c r="AY191" s="77"/>
      <c r="AZ191" s="75"/>
      <c r="BA191" s="77"/>
      <c r="BB191" s="66"/>
      <c r="BC191" s="4"/>
      <c r="BD191" s="67" t="str">
        <f ca="1">IFERROR(__xludf.DUMMYFUNCTION("""COMPUTED_VALUE"""),"Забайкальский край")</f>
        <v>Забайкальский край</v>
      </c>
      <c r="BE191" s="67" t="str">
        <f ca="1">IFERROR(__xludf.DUMMYFUNCTION("""COMPUTED_VALUE"""),"Чита")</f>
        <v>Чита</v>
      </c>
      <c r="BF191" s="68" t="str">
        <f ca="1">IFERROR(__xludf.DUMMYFUNCTION("""COMPUTED_VALUE"""),"ООО ""СибавиаТЭК""")</f>
        <v>ООО "СибавиаТЭК"</v>
      </c>
      <c r="BG191" s="69" t="str">
        <f ca="1">IFERROR(__xludf.DUMMYFUNCTION("""COMPUTED_VALUE"""),"3.3.1.")</f>
        <v>3.3.1.</v>
      </c>
      <c r="BH191" s="74" t="str">
        <f ca="1">IFERROR(__xludf.DUMMYFUNCTION("""COMPUTED_VALUE"""),"Мероприятие ЮЛ/ИП")</f>
        <v>Мероприятие ЮЛ/ИП</v>
      </c>
      <c r="BI191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1" s="73" t="str">
        <f ca="1">IFERROR(__xludf.DUMMYFUNCTION("""COMPUTED_VALUE"""),"Бензол")</f>
        <v>Бензол</v>
      </c>
      <c r="BK191" s="78">
        <f ca="1">IFERROR(__xludf.DUMMYFUNCTION("""COMPUTED_VALUE"""),0.1593703024)</f>
        <v>0.1593703024</v>
      </c>
      <c r="BL191" s="78">
        <f ca="1">IFERROR(__xludf.DUMMYFUNCTION("""COMPUTED_VALUE"""),0.000259528798082842)</f>
        <v>2.5952879808284203E-4</v>
      </c>
      <c r="BM191" s="78">
        <f ca="1">IFERROR(__xludf.DUMMYFUNCTION("""COMPUTED_VALUE"""),2.0685728)</f>
        <v>2.0685728000000001</v>
      </c>
      <c r="BN191" s="78">
        <f ca="1">IFERROR(__xludf.DUMMYFUNCTION("""COMPUTED_VALUE"""),0.00336859630964005)</f>
        <v>3.3685963096400499E-3</v>
      </c>
      <c r="BO191" s="66"/>
      <c r="BP191" s="66"/>
    </row>
    <row r="192" spans="1:68" ht="66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/>
      <c r="AQ192" s="75"/>
      <c r="AR192" s="75"/>
      <c r="AS192" s="75"/>
      <c r="AT192" s="75"/>
      <c r="AU192" s="75"/>
      <c r="AV192" s="75"/>
      <c r="AW192" s="75"/>
      <c r="AX192" s="75"/>
      <c r="AY192" s="77"/>
      <c r="AZ192" s="75"/>
      <c r="BA192" s="77"/>
      <c r="BB192" s="66"/>
      <c r="BC192" s="4"/>
      <c r="BD192" s="67" t="str">
        <f ca="1">IFERROR(__xludf.DUMMYFUNCTION("""COMPUTED_VALUE"""),"Забайкальский край")</f>
        <v>Забайкальский край</v>
      </c>
      <c r="BE192" s="67" t="str">
        <f ca="1">IFERROR(__xludf.DUMMYFUNCTION("""COMPUTED_VALUE"""),"Чита")</f>
        <v>Чита</v>
      </c>
      <c r="BF192" s="68" t="str">
        <f ca="1">IFERROR(__xludf.DUMMYFUNCTION("""COMPUTED_VALUE"""),"ООО ""СибавиаТЭК""")</f>
        <v>ООО "СибавиаТЭК"</v>
      </c>
      <c r="BG192" s="69" t="str">
        <f ca="1">IFERROR(__xludf.DUMMYFUNCTION("""COMPUTED_VALUE"""),"3.3.1.")</f>
        <v>3.3.1.</v>
      </c>
      <c r="BH192" s="74" t="str">
        <f ca="1">IFERROR(__xludf.DUMMYFUNCTION("""COMPUTED_VALUE"""),"Мероприятие ЮЛ/ИП")</f>
        <v>Мероприятие ЮЛ/ИП</v>
      </c>
      <c r="BI192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2" s="73" t="str">
        <f ca="1">IFERROR(__xludf.DUMMYFUNCTION("""COMPUTED_VALUE"""),"Дигидросудьфид")</f>
        <v>Дигидросудьфид</v>
      </c>
      <c r="BK192" s="78">
        <f ca="1">IFERROR(__xludf.DUMMYFUNCTION("""COMPUTED_VALUE"""),0.0061888)</f>
        <v>6.1888000000000004E-3</v>
      </c>
      <c r="BL192" s="78">
        <f ca="1">IFERROR(__xludf.DUMMYFUNCTION("""COMPUTED_VALUE"""),0.0000100782379237996)</f>
        <v>1.00782379237996E-5</v>
      </c>
      <c r="BM192" s="78">
        <f ca="1">IFERROR(__xludf.DUMMYFUNCTION("""COMPUTED_VALUE"""),0.0061888)</f>
        <v>6.1888000000000004E-3</v>
      </c>
      <c r="BN192" s="78">
        <f ca="1">IFERROR(__xludf.DUMMYFUNCTION("""COMPUTED_VALUE"""),0.0000100782379237996)</f>
        <v>1.00782379237996E-5</v>
      </c>
      <c r="BO192" s="66"/>
      <c r="BP192" s="66"/>
    </row>
    <row r="193" spans="1:68" ht="13.2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/>
      <c r="AQ193" s="75"/>
      <c r="AR193" s="75"/>
      <c r="AS193" s="75"/>
      <c r="AT193" s="75"/>
      <c r="AU193" s="75"/>
      <c r="AV193" s="75"/>
      <c r="AW193" s="75"/>
      <c r="AX193" s="75"/>
      <c r="AY193" s="77"/>
      <c r="AZ193" s="75"/>
      <c r="BA193" s="77"/>
      <c r="BB193" s="66"/>
      <c r="BC193" s="4"/>
      <c r="BD193" s="67" t="str">
        <f ca="1">IFERROR(__xludf.DUMMYFUNCTION("""COMPUTED_VALUE"""),"Забайкальский край")</f>
        <v>Забайкальский край</v>
      </c>
      <c r="BE193" s="67" t="str">
        <f ca="1">IFERROR(__xludf.DUMMYFUNCTION("""COMPUTED_VALUE"""),"Чита")</f>
        <v>Чита</v>
      </c>
      <c r="BF193" s="68" t="str">
        <f ca="1">IFERROR(__xludf.DUMMYFUNCTION("""COMPUTED_VALUE"""),"ООО ""СибавиаТЭК""")</f>
        <v>ООО "СибавиаТЭК"</v>
      </c>
      <c r="BG193" s="69" t="str">
        <f ca="1">IFERROR(__xludf.DUMMYFUNCTION("""COMPUTED_VALUE"""),"3.3.2")</f>
        <v>3.3.2</v>
      </c>
      <c r="BH193" s="74" t="str">
        <f ca="1">IFERROR(__xludf.DUMMYFUNCTION("""COMPUTED_VALUE"""),"Мероприятие ЮЛ/ИП")</f>
        <v>Мероприятие ЮЛ/ИП</v>
      </c>
      <c r="BI193" s="68" t="str">
        <f ca="1">IFERROR(__xludf.DUMMYFUNCTION("""COMPUTED_VALUE"""),"Полное закрытие стоянки")</f>
        <v>Полное закрытие стоянки</v>
      </c>
      <c r="BJ193" s="73" t="str">
        <f ca="1">IFERROR(__xludf.DUMMYFUNCTION("""COMPUTED_VALUE"""),"Азота диоксид")</f>
        <v>Азота диоксид</v>
      </c>
      <c r="BK193" s="78">
        <f ca="1">IFERROR(__xludf.DUMMYFUNCTION("""COMPUTED_VALUE"""),0.0043768)</f>
        <v>4.3768000000000001E-3</v>
      </c>
      <c r="BL193" s="78">
        <f ca="1">IFERROR(__xludf.DUMMYFUNCTION("""COMPUTED_VALUE"""),7.12746117904701E-06)</f>
        <v>7.1274611790470102E-6</v>
      </c>
      <c r="BM193" s="78">
        <f ca="1">IFERROR(__xludf.DUMMYFUNCTION("""COMPUTED_VALUE"""),0.0043768)</f>
        <v>4.3768000000000001E-3</v>
      </c>
      <c r="BN193" s="78">
        <f ca="1">IFERROR(__xludf.DUMMYFUNCTION("""COMPUTED_VALUE"""),7.12746117904701E-06)</f>
        <v>7.1274611790470102E-6</v>
      </c>
      <c r="BO193" s="66"/>
      <c r="BP193" s="66"/>
    </row>
    <row r="194" spans="1:68" ht="13.2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/>
      <c r="AQ194" s="75"/>
      <c r="AR194" s="75"/>
      <c r="AS194" s="75"/>
      <c r="AT194" s="75"/>
      <c r="AU194" s="75"/>
      <c r="AV194" s="75"/>
      <c r="AW194" s="75"/>
      <c r="AX194" s="75"/>
      <c r="AY194" s="77"/>
      <c r="AZ194" s="75"/>
      <c r="BA194" s="77"/>
      <c r="BB194" s="66"/>
      <c r="BC194" s="4"/>
      <c r="BD194" s="67" t="str">
        <f ca="1">IFERROR(__xludf.DUMMYFUNCTION("""COMPUTED_VALUE"""),"Забайкальский край")</f>
        <v>Забайкальский край</v>
      </c>
      <c r="BE194" s="67" t="str">
        <f ca="1">IFERROR(__xludf.DUMMYFUNCTION("""COMPUTED_VALUE"""),"Чита")</f>
        <v>Чита</v>
      </c>
      <c r="BF194" s="68" t="str">
        <f ca="1">IFERROR(__xludf.DUMMYFUNCTION("""COMPUTED_VALUE"""),"ООО ""СибавиаТЭК""")</f>
        <v>ООО "СибавиаТЭК"</v>
      </c>
      <c r="BG194" s="69" t="str">
        <f ca="1">IFERROR(__xludf.DUMMYFUNCTION("""COMPUTED_VALUE"""),"3.3.2")</f>
        <v>3.3.2</v>
      </c>
      <c r="BH194" s="74" t="str">
        <f ca="1">IFERROR(__xludf.DUMMYFUNCTION("""COMPUTED_VALUE"""),"Мероприятие ЮЛ/ИП")</f>
        <v>Мероприятие ЮЛ/ИП</v>
      </c>
      <c r="BI194" s="68" t="str">
        <f ca="1">IFERROR(__xludf.DUMMYFUNCTION("""COMPUTED_VALUE"""),"Полное закрытие стоянки")</f>
        <v>Полное закрытие стоянки</v>
      </c>
      <c r="BJ194" s="73" t="str">
        <f ca="1">IFERROR(__xludf.DUMMYFUNCTION("""COMPUTED_VALUE"""),"Азот (II) оксид")</f>
        <v>Азот (II) оксид</v>
      </c>
      <c r="BK194" s="78">
        <f ca="1">IFERROR(__xludf.DUMMYFUNCTION("""COMPUTED_VALUE"""),0.0007112)</f>
        <v>7.1120000000000005E-4</v>
      </c>
      <c r="BL194" s="78">
        <f ca="1">IFERROR(__xludf.DUMMYFUNCTION("""COMPUTED_VALUE"""),1.15816358767552E-06)</f>
        <v>1.1581635876755199E-6</v>
      </c>
      <c r="BM194" s="78">
        <f ca="1">IFERROR(__xludf.DUMMYFUNCTION("""COMPUTED_VALUE"""),0.0007112)</f>
        <v>7.1120000000000005E-4</v>
      </c>
      <c r="BN194" s="78">
        <f ca="1">IFERROR(__xludf.DUMMYFUNCTION("""COMPUTED_VALUE"""),1.15816358767552E-06)</f>
        <v>1.1581635876755199E-6</v>
      </c>
      <c r="BO194" s="66"/>
      <c r="BP194" s="66"/>
    </row>
    <row r="195" spans="1:68" ht="13.2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/>
      <c r="AQ195" s="75"/>
      <c r="AR195" s="75"/>
      <c r="AS195" s="75"/>
      <c r="AT195" s="75"/>
      <c r="AU195" s="75"/>
      <c r="AV195" s="75"/>
      <c r="AW195" s="75"/>
      <c r="AX195" s="75"/>
      <c r="AY195" s="77"/>
      <c r="AZ195" s="75"/>
      <c r="BA195" s="77"/>
      <c r="BB195" s="66"/>
      <c r="BC195" s="4"/>
      <c r="BD195" s="67" t="str">
        <f ca="1">IFERROR(__xludf.DUMMYFUNCTION("""COMPUTED_VALUE"""),"Забайкальский край")</f>
        <v>Забайкальский край</v>
      </c>
      <c r="BE195" s="67" t="str">
        <f ca="1">IFERROR(__xludf.DUMMYFUNCTION("""COMPUTED_VALUE"""),"Чита")</f>
        <v>Чита</v>
      </c>
      <c r="BF195" s="68" t="str">
        <f ca="1">IFERROR(__xludf.DUMMYFUNCTION("""COMPUTED_VALUE"""),"ООО ""СибавиаТЭК""")</f>
        <v>ООО "СибавиаТЭК"</v>
      </c>
      <c r="BG195" s="69" t="str">
        <f ca="1">IFERROR(__xludf.DUMMYFUNCTION("""COMPUTED_VALUE"""),"3.3.2")</f>
        <v>3.3.2</v>
      </c>
      <c r="BH195" s="74" t="str">
        <f ca="1">IFERROR(__xludf.DUMMYFUNCTION("""COMPUTED_VALUE"""),"Мероприятие ЮЛ/ИП")</f>
        <v>Мероприятие ЮЛ/ИП</v>
      </c>
      <c r="BI195" s="68" t="str">
        <f ca="1">IFERROR(__xludf.DUMMYFUNCTION("""COMPUTED_VALUE"""),"Полное закрытие стоянки")</f>
        <v>Полное закрытие стоянки</v>
      </c>
      <c r="BJ195" s="73" t="str">
        <f ca="1">IFERROR(__xludf.DUMMYFUNCTION("""COMPUTED_VALUE"""),"Сера диоксид")</f>
        <v>Сера диоксид</v>
      </c>
      <c r="BK195" s="78">
        <f ca="1">IFERROR(__xludf.DUMMYFUNCTION("""COMPUTED_VALUE"""),0.0004016)</f>
        <v>4.016E-4</v>
      </c>
      <c r="BL195" s="78">
        <f ca="1">IFERROR(__xludf.DUMMYFUNCTION("""COMPUTED_VALUE"""),6.53991137247596E-07)</f>
        <v>6.5399113724759603E-7</v>
      </c>
      <c r="BM195" s="78">
        <f ca="1">IFERROR(__xludf.DUMMYFUNCTION("""COMPUTED_VALUE"""),0.0004016)</f>
        <v>4.016E-4</v>
      </c>
      <c r="BN195" s="78">
        <f ca="1">IFERROR(__xludf.DUMMYFUNCTION("""COMPUTED_VALUE"""),6.53991137247596E-07)</f>
        <v>6.5399113724759603E-7</v>
      </c>
      <c r="BO195" s="66"/>
      <c r="BP195" s="66"/>
    </row>
    <row r="196" spans="1:68" ht="13.2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/>
      <c r="AQ196" s="75"/>
      <c r="AR196" s="75"/>
      <c r="AS196" s="75"/>
      <c r="AT196" s="75"/>
      <c r="AU196" s="75"/>
      <c r="AV196" s="75"/>
      <c r="AW196" s="75"/>
      <c r="AX196" s="75"/>
      <c r="AY196" s="77"/>
      <c r="AZ196" s="75"/>
      <c r="BA196" s="77"/>
      <c r="BB196" s="66"/>
      <c r="BC196" s="4"/>
      <c r="BD196" s="67" t="str">
        <f ca="1">IFERROR(__xludf.DUMMYFUNCTION("""COMPUTED_VALUE"""),"Забайкальский край")</f>
        <v>Забайкальский край</v>
      </c>
      <c r="BE196" s="67" t="str">
        <f ca="1">IFERROR(__xludf.DUMMYFUNCTION("""COMPUTED_VALUE"""),"Чита")</f>
        <v>Чита</v>
      </c>
      <c r="BF196" s="68" t="str">
        <f ca="1">IFERROR(__xludf.DUMMYFUNCTION("""COMPUTED_VALUE"""),"ООО ""СибавиаТЭК""")</f>
        <v>ООО "СибавиаТЭК"</v>
      </c>
      <c r="BG196" s="69" t="str">
        <f ca="1">IFERROR(__xludf.DUMMYFUNCTION("""COMPUTED_VALUE"""),"3.3.2")</f>
        <v>3.3.2</v>
      </c>
      <c r="BH196" s="74" t="str">
        <f ca="1">IFERROR(__xludf.DUMMYFUNCTION("""COMPUTED_VALUE"""),"Мероприятие ЮЛ/ИП")</f>
        <v>Мероприятие ЮЛ/ИП</v>
      </c>
      <c r="BI196" s="68" t="str">
        <f ca="1">IFERROR(__xludf.DUMMYFUNCTION("""COMPUTED_VALUE"""),"Полное закрытие стоянки")</f>
        <v>Полное закрытие стоянки</v>
      </c>
      <c r="BJ196" s="73" t="str">
        <f ca="1">IFERROR(__xludf.DUMMYFUNCTION("""COMPUTED_VALUE"""),"Углерода оксид")</f>
        <v>Углерода оксид</v>
      </c>
      <c r="BK196" s="78">
        <f ca="1">IFERROR(__xludf.DUMMYFUNCTION("""COMPUTED_VALUE"""),0.0212672)</f>
        <v>2.12672E-2</v>
      </c>
      <c r="BL196" s="78">
        <f ca="1">IFERROR(__xludf.DUMMYFUNCTION("""COMPUTED_VALUE"""),0.0000346328693079484)</f>
        <v>3.4632869307948403E-5</v>
      </c>
      <c r="BM196" s="78">
        <f ca="1">IFERROR(__xludf.DUMMYFUNCTION("""COMPUTED_VALUE"""),0.0212672)</f>
        <v>2.12672E-2</v>
      </c>
      <c r="BN196" s="78">
        <f ca="1">IFERROR(__xludf.DUMMYFUNCTION("""COMPUTED_VALUE"""),0.0000346328693079484)</f>
        <v>3.4632869307948403E-5</v>
      </c>
      <c r="BO196" s="66"/>
      <c r="BP196" s="66"/>
    </row>
    <row r="197" spans="1:68" ht="26.4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/>
      <c r="AQ197" s="75"/>
      <c r="AR197" s="75"/>
      <c r="AS197" s="75"/>
      <c r="AT197" s="75"/>
      <c r="AU197" s="75"/>
      <c r="AV197" s="75"/>
      <c r="AW197" s="75"/>
      <c r="AX197" s="75"/>
      <c r="AY197" s="77"/>
      <c r="AZ197" s="75"/>
      <c r="BA197" s="77"/>
      <c r="BB197" s="66"/>
      <c r="BC197" s="4"/>
      <c r="BD197" s="67" t="str">
        <f ca="1">IFERROR(__xludf.DUMMYFUNCTION("""COMPUTED_VALUE"""),"Забайкальский край")</f>
        <v>Забайкальский край</v>
      </c>
      <c r="BE197" s="67" t="str">
        <f ca="1">IFERROR(__xludf.DUMMYFUNCTION("""COMPUTED_VALUE"""),"Чита")</f>
        <v>Чита</v>
      </c>
      <c r="BF197" s="68" t="str">
        <f ca="1">IFERROR(__xludf.DUMMYFUNCTION("""COMPUTED_VALUE"""),"ОАО ""ЧМДК Даурия""")</f>
        <v>ОАО "ЧМДК Даурия"</v>
      </c>
      <c r="BG197" s="69" t="str">
        <f ca="1">IFERROR(__xludf.DUMMYFUNCTION("""COMPUTED_VALUE"""),"3.4.1.")</f>
        <v>3.4.1.</v>
      </c>
      <c r="BH197" s="74" t="str">
        <f ca="1">IFERROR(__xludf.DUMMYFUNCTION("""COMPUTED_VALUE"""),"Мероприятие ЮЛ/ИП")</f>
        <v>Мероприятие ЮЛ/ИП</v>
      </c>
      <c r="BI197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7" s="73" t="str">
        <f ca="1">IFERROR(__xludf.DUMMYFUNCTION("""COMPUTED_VALUE"""),"Азота диоксид")</f>
        <v>Азота диоксид</v>
      </c>
      <c r="BK197" s="78">
        <f ca="1">IFERROR(__xludf.DUMMYFUNCTION("""COMPUTED_VALUE"""),0.180208)</f>
        <v>0.18020800000000001</v>
      </c>
      <c r="BL197" s="78">
        <f ca="1">IFERROR(__xludf.DUMMYFUNCTION("""COMPUTED_VALUE"""),0.000293462238199987)</f>
        <v>2.93462238199987E-4</v>
      </c>
      <c r="BM197" s="78">
        <f ca="1">IFERROR(__xludf.DUMMYFUNCTION("""COMPUTED_VALUE"""),0.180208)</f>
        <v>0.18020800000000001</v>
      </c>
      <c r="BN197" s="78">
        <f ca="1">IFERROR(__xludf.DUMMYFUNCTION("""COMPUTED_VALUE"""),0.000293462238199987)</f>
        <v>2.93462238199987E-4</v>
      </c>
      <c r="BO197" s="66"/>
      <c r="BP197" s="66"/>
    </row>
    <row r="198" spans="1:68" ht="26.4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/>
      <c r="AQ198" s="75"/>
      <c r="AR198" s="75"/>
      <c r="AS198" s="75"/>
      <c r="AT198" s="75"/>
      <c r="AU198" s="75"/>
      <c r="AV198" s="75"/>
      <c r="AW198" s="75"/>
      <c r="AX198" s="75"/>
      <c r="AY198" s="77"/>
      <c r="AZ198" s="75"/>
      <c r="BA198" s="77"/>
      <c r="BB198" s="66"/>
      <c r="BC198" s="4"/>
      <c r="BD198" s="67" t="str">
        <f ca="1">IFERROR(__xludf.DUMMYFUNCTION("""COMPUTED_VALUE"""),"Забайкальский край")</f>
        <v>Забайкальский край</v>
      </c>
      <c r="BE198" s="67" t="str">
        <f ca="1">IFERROR(__xludf.DUMMYFUNCTION("""COMPUTED_VALUE"""),"Чита")</f>
        <v>Чита</v>
      </c>
      <c r="BF198" s="68" t="str">
        <f ca="1">IFERROR(__xludf.DUMMYFUNCTION("""COMPUTED_VALUE"""),"ОАО ""ЧМДК Даурия""")</f>
        <v>ОАО "ЧМДК Даурия"</v>
      </c>
      <c r="BG198" s="69" t="str">
        <f ca="1">IFERROR(__xludf.DUMMYFUNCTION("""COMPUTED_VALUE"""),"3.4.1.")</f>
        <v>3.4.1.</v>
      </c>
      <c r="BH198" s="74" t="str">
        <f ca="1">IFERROR(__xludf.DUMMYFUNCTION("""COMPUTED_VALUE"""),"Мероприятие ЮЛ/ИП")</f>
        <v>Мероприятие ЮЛ/ИП</v>
      </c>
      <c r="BI198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8" s="73" t="str">
        <f ca="1">IFERROR(__xludf.DUMMYFUNCTION("""COMPUTED_VALUE"""),"Азот (II) оксид")</f>
        <v>Азот (II) оксид</v>
      </c>
      <c r="BK198" s="78">
        <f ca="1">IFERROR(__xludf.DUMMYFUNCTION("""COMPUTED_VALUE"""),0.029384)</f>
        <v>2.9384E-2</v>
      </c>
      <c r="BL198" s="78">
        <f ca="1">IFERROR(__xludf.DUMMYFUNCTION("""COMPUTED_VALUE"""),0.0000478507857990123)</f>
        <v>4.7850785799012303E-5</v>
      </c>
      <c r="BM198" s="78">
        <f ca="1">IFERROR(__xludf.DUMMYFUNCTION("""COMPUTED_VALUE"""),0.029384)</f>
        <v>2.9384E-2</v>
      </c>
      <c r="BN198" s="78">
        <f ca="1">IFERROR(__xludf.DUMMYFUNCTION("""COMPUTED_VALUE"""),0.0000478507857990123)</f>
        <v>4.7850785799012303E-5</v>
      </c>
      <c r="BO198" s="66"/>
      <c r="BP198" s="66"/>
    </row>
    <row r="199" spans="1:68" ht="26.4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/>
      <c r="AQ199" s="75"/>
      <c r="AR199" s="75"/>
      <c r="AS199" s="75"/>
      <c r="AT199" s="75"/>
      <c r="AU199" s="75"/>
      <c r="AV199" s="75"/>
      <c r="AW199" s="75"/>
      <c r="AX199" s="75"/>
      <c r="AY199" s="77"/>
      <c r="AZ199" s="75"/>
      <c r="BA199" s="77"/>
      <c r="BB199" s="66"/>
      <c r="BC199" s="4"/>
      <c r="BD199" s="67" t="str">
        <f ca="1">IFERROR(__xludf.DUMMYFUNCTION("""COMPUTED_VALUE"""),"Забайкальский край")</f>
        <v>Забайкальский край</v>
      </c>
      <c r="BE199" s="67" t="str">
        <f ca="1">IFERROR(__xludf.DUMMYFUNCTION("""COMPUTED_VALUE"""),"Чита")</f>
        <v>Чита</v>
      </c>
      <c r="BF199" s="68" t="str">
        <f ca="1">IFERROR(__xludf.DUMMYFUNCTION("""COMPUTED_VALUE"""),"ОАО ""ЧМДК Даурия""")</f>
        <v>ОАО "ЧМДК Даурия"</v>
      </c>
      <c r="BG199" s="69" t="str">
        <f ca="1">IFERROR(__xludf.DUMMYFUNCTION("""COMPUTED_VALUE"""),"3.4.1.")</f>
        <v>3.4.1.</v>
      </c>
      <c r="BH199" s="74" t="str">
        <f ca="1">IFERROR(__xludf.DUMMYFUNCTION("""COMPUTED_VALUE"""),"Мероприятие ЮЛ/ИП")</f>
        <v>Мероприятие ЮЛ/ИП</v>
      </c>
      <c r="BI199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9" s="73" t="str">
        <f ca="1">IFERROR(__xludf.DUMMYFUNCTION("""COMPUTED_VALUE"""),"Сера диоксид")</f>
        <v>Сера диоксид</v>
      </c>
      <c r="BK199" s="78">
        <f ca="1">IFERROR(__xludf.DUMMYFUNCTION("""COMPUTED_VALUE"""),0.5241863)</f>
        <v>0.52418629999999999</v>
      </c>
      <c r="BL199" s="78">
        <f ca="1">IFERROR(__xludf.DUMMYFUNCTION("""COMPUTED_VALUE"""),0.000853618512118052)</f>
        <v>8.5361851211805196E-4</v>
      </c>
      <c r="BM199" s="78">
        <f ca="1">IFERROR(__xludf.DUMMYFUNCTION("""COMPUTED_VALUE"""),0.5241863)</f>
        <v>0.52418629999999999</v>
      </c>
      <c r="BN199" s="78">
        <f ca="1">IFERROR(__xludf.DUMMYFUNCTION("""COMPUTED_VALUE"""),0.000853618512118052)</f>
        <v>8.5361851211805196E-4</v>
      </c>
      <c r="BO199" s="66"/>
      <c r="BP199" s="66"/>
    </row>
    <row r="200" spans="1:68" ht="26.4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/>
      <c r="AQ200" s="75"/>
      <c r="AR200" s="75"/>
      <c r="AS200" s="75"/>
      <c r="AT200" s="75"/>
      <c r="AU200" s="75"/>
      <c r="AV200" s="75"/>
      <c r="AW200" s="75"/>
      <c r="AX200" s="75"/>
      <c r="AY200" s="77"/>
      <c r="AZ200" s="75"/>
      <c r="BA200" s="77"/>
      <c r="BB200" s="66"/>
      <c r="BC200" s="4"/>
      <c r="BD200" s="67" t="str">
        <f ca="1">IFERROR(__xludf.DUMMYFUNCTION("""COMPUTED_VALUE"""),"Забайкальский край")</f>
        <v>Забайкальский край</v>
      </c>
      <c r="BE200" s="67" t="str">
        <f ca="1">IFERROR(__xludf.DUMMYFUNCTION("""COMPUTED_VALUE"""),"Чита")</f>
        <v>Чита</v>
      </c>
      <c r="BF200" s="68" t="str">
        <f ca="1">IFERROR(__xludf.DUMMYFUNCTION("""COMPUTED_VALUE"""),"ОАО ""ЧМДК Даурия""")</f>
        <v>ОАО "ЧМДК Даурия"</v>
      </c>
      <c r="BG200" s="69" t="str">
        <f ca="1">IFERROR(__xludf.DUMMYFUNCTION("""COMPUTED_VALUE"""),"3.4.1.")</f>
        <v>3.4.1.</v>
      </c>
      <c r="BH200" s="74" t="str">
        <f ca="1">IFERROR(__xludf.DUMMYFUNCTION("""COMPUTED_VALUE"""),"Мероприятие ЮЛ/ИП")</f>
        <v>Мероприятие ЮЛ/ИП</v>
      </c>
      <c r="BI20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0" s="73" t="str">
        <f ca="1">IFERROR(__xludf.DUMMYFUNCTION("""COMPUTED_VALUE"""),"Углерода оксид")</f>
        <v>Углерода оксид</v>
      </c>
      <c r="BK200" s="78">
        <f ca="1">IFERROR(__xludf.DUMMYFUNCTION("""COMPUTED_VALUE"""),20.7844166)</f>
        <v>20.7844166</v>
      </c>
      <c r="BL200" s="78">
        <f ca="1">IFERROR(__xludf.DUMMYFUNCTION("""COMPUTED_VALUE"""),0.0338466739274447)</f>
        <v>3.3846673927444698E-2</v>
      </c>
      <c r="BM200" s="78">
        <f ca="1">IFERROR(__xludf.DUMMYFUNCTION("""COMPUTED_VALUE"""),20.7844166)</f>
        <v>20.7844166</v>
      </c>
      <c r="BN200" s="78">
        <f ca="1">IFERROR(__xludf.DUMMYFUNCTION("""COMPUTED_VALUE"""),0.0338466739274447)</f>
        <v>3.3846673927444698E-2</v>
      </c>
      <c r="BO200" s="66"/>
      <c r="BP200" s="66"/>
    </row>
    <row r="201" spans="1:68" ht="26.4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/>
      <c r="AQ201" s="75"/>
      <c r="AR201" s="75"/>
      <c r="AS201" s="75"/>
      <c r="AT201" s="75"/>
      <c r="AU201" s="75"/>
      <c r="AV201" s="75"/>
      <c r="AW201" s="75"/>
      <c r="AX201" s="75"/>
      <c r="AY201" s="77"/>
      <c r="AZ201" s="75"/>
      <c r="BA201" s="77"/>
      <c r="BB201" s="66"/>
      <c r="BC201" s="4"/>
      <c r="BD201" s="67" t="str">
        <f ca="1">IFERROR(__xludf.DUMMYFUNCTION("""COMPUTED_VALUE"""),"Забайкальский край")</f>
        <v>Забайкальский край</v>
      </c>
      <c r="BE201" s="67" t="str">
        <f ca="1">IFERROR(__xludf.DUMMYFUNCTION("""COMPUTED_VALUE"""),"Чита")</f>
        <v>Чита</v>
      </c>
      <c r="BF201" s="68" t="str">
        <f ca="1">IFERROR(__xludf.DUMMYFUNCTION("""COMPUTED_VALUE"""),"ОАО ""ЧМДК Даурия""")</f>
        <v>ОАО "ЧМДК Даурия"</v>
      </c>
      <c r="BG201" s="69" t="str">
        <f ca="1">IFERROR(__xludf.DUMMYFUNCTION("""COMPUTED_VALUE"""),"3.4.1.")</f>
        <v>3.4.1.</v>
      </c>
      <c r="BH201" s="74" t="str">
        <f ca="1">IFERROR(__xludf.DUMMYFUNCTION("""COMPUTED_VALUE"""),"Мероприятие ЮЛ/ИП")</f>
        <v>Мероприятие ЮЛ/ИП</v>
      </c>
      <c r="BI201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1" s="73" t="str">
        <f ca="1">IFERROR(__xludf.DUMMYFUNCTION("""COMPUTED_VALUE"""),"Бенз/а/пирен")</f>
        <v>Бенз/а/пирен</v>
      </c>
      <c r="BK201" s="78">
        <f ca="1">IFERROR(__xludf.DUMMYFUNCTION("""COMPUTED_VALUE"""),0.0000048)</f>
        <v>4.7999999999999998E-6</v>
      </c>
      <c r="BL201" s="78">
        <f ca="1">IFERROR(__xludf.DUMMYFUNCTION("""COMPUTED_VALUE"""),7.81662713841748E-09)</f>
        <v>7.8166271384174804E-9</v>
      </c>
      <c r="BM201" s="78">
        <f ca="1">IFERROR(__xludf.DUMMYFUNCTION("""COMPUTED_VALUE"""),0.0000048)</f>
        <v>4.7999999999999998E-6</v>
      </c>
      <c r="BN201" s="78">
        <f ca="1">IFERROR(__xludf.DUMMYFUNCTION("""COMPUTED_VALUE"""),7.81662713841748E-09)</f>
        <v>7.8166271384174804E-9</v>
      </c>
      <c r="BO201" s="66"/>
      <c r="BP201" s="66"/>
    </row>
    <row r="202" spans="1:68" ht="26.4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/>
      <c r="AQ202" s="75"/>
      <c r="AR202" s="75"/>
      <c r="AS202" s="75"/>
      <c r="AT202" s="75"/>
      <c r="AU202" s="75"/>
      <c r="AV202" s="75"/>
      <c r="AW202" s="75"/>
      <c r="AX202" s="75"/>
      <c r="AY202" s="77"/>
      <c r="AZ202" s="75"/>
      <c r="BA202" s="77"/>
      <c r="BB202" s="66"/>
      <c r="BC202" s="4"/>
      <c r="BD202" s="67" t="str">
        <f ca="1">IFERROR(__xludf.DUMMYFUNCTION("""COMPUTED_VALUE"""),"Забайкальский край")</f>
        <v>Забайкальский край</v>
      </c>
      <c r="BE202" s="67" t="str">
        <f ca="1">IFERROR(__xludf.DUMMYFUNCTION("""COMPUTED_VALUE"""),"Чита")</f>
        <v>Чита</v>
      </c>
      <c r="BF202" s="68" t="str">
        <f ca="1">IFERROR(__xludf.DUMMYFUNCTION("""COMPUTED_VALUE"""),"ОАО ""ЧМДК Даурия""")</f>
        <v>ОАО "ЧМДК Даурия"</v>
      </c>
      <c r="BG202" s="69" t="str">
        <f ca="1">IFERROR(__xludf.DUMMYFUNCTION("""COMPUTED_VALUE"""),"3.4.1.")</f>
        <v>3.4.1.</v>
      </c>
      <c r="BH202" s="74" t="str">
        <f ca="1">IFERROR(__xludf.DUMMYFUNCTION("""COMPUTED_VALUE"""),"Мероприятие ЮЛ/ИП")</f>
        <v>Мероприятие ЮЛ/ИП</v>
      </c>
      <c r="BI202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2" s="78">
        <f ca="1">IFERROR(__xludf.DUMMYFUNCTION("""COMPUTED_VALUE"""),0)</f>
        <v>0</v>
      </c>
      <c r="BL202" s="78">
        <f ca="1">IFERROR(__xludf.DUMMYFUNCTION("""COMPUTED_VALUE"""),0)</f>
        <v>0</v>
      </c>
      <c r="BM202" s="78">
        <f ca="1">IFERROR(__xludf.DUMMYFUNCTION("""COMPUTED_VALUE"""),0)</f>
        <v>0</v>
      </c>
      <c r="BN202" s="78">
        <f ca="1">IFERROR(__xludf.DUMMYFUNCTION("""COMPUTED_VALUE"""),0)</f>
        <v>0</v>
      </c>
      <c r="BO202" s="66"/>
      <c r="BP202" s="66"/>
    </row>
    <row r="203" spans="1:68" ht="26.4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/>
      <c r="AQ203" s="75"/>
      <c r="AR203" s="75"/>
      <c r="AS203" s="75"/>
      <c r="AT203" s="75"/>
      <c r="AU203" s="75"/>
      <c r="AV203" s="75"/>
      <c r="AW203" s="75"/>
      <c r="AX203" s="75"/>
      <c r="AY203" s="77"/>
      <c r="AZ203" s="75"/>
      <c r="BA203" s="77"/>
      <c r="BB203" s="66"/>
      <c r="BC203" s="4"/>
      <c r="BD203" s="67" t="str">
        <f ca="1">IFERROR(__xludf.DUMMYFUNCTION("""COMPUTED_VALUE"""),"Забайкальский край")</f>
        <v>Забайкальский край</v>
      </c>
      <c r="BE203" s="67" t="str">
        <f ca="1">IFERROR(__xludf.DUMMYFUNCTION("""COMPUTED_VALUE"""),"Чита")</f>
        <v>Чита</v>
      </c>
      <c r="BF203" s="68" t="str">
        <f ca="1">IFERROR(__xludf.DUMMYFUNCTION("""COMPUTED_VALUE"""),"ОАО ""ЧМДК Даурия""")</f>
        <v>ОАО "ЧМДК Даурия"</v>
      </c>
      <c r="BG203" s="69" t="str">
        <f ca="1">IFERROR(__xludf.DUMMYFUNCTION("""COMPUTED_VALUE"""),"3.4.2.")</f>
        <v>3.4.2.</v>
      </c>
      <c r="BH203" s="74" t="str">
        <f ca="1">IFERROR(__xludf.DUMMYFUNCTION("""COMPUTED_VALUE"""),"Мероприятие ЮЛ/ИП")</f>
        <v>Мероприятие ЮЛ/ИП</v>
      </c>
      <c r="BI203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3" s="73" t="str">
        <f ca="1">IFERROR(__xludf.DUMMYFUNCTION("""COMPUTED_VALUE"""),"Азота диоксид")</f>
        <v>Азота диоксид</v>
      </c>
      <c r="BK203" s="78">
        <f ca="1">IFERROR(__xludf.DUMMYFUNCTION("""COMPUTED_VALUE"""),0.5406248)</f>
        <v>0.54062480000000002</v>
      </c>
      <c r="BL203" s="78">
        <f ca="1">IFERROR(__xludf.DUMMYFUNCTION("""COMPUTED_VALUE"""),0.000880388017371151)</f>
        <v>8.8038801737115103E-4</v>
      </c>
      <c r="BM203" s="78">
        <f ca="1">IFERROR(__xludf.DUMMYFUNCTION("""COMPUTED_VALUE"""),0.5406248)</f>
        <v>0.54062480000000002</v>
      </c>
      <c r="BN203" s="78">
        <f ca="1">IFERROR(__xludf.DUMMYFUNCTION("""COMPUTED_VALUE"""),0.000880388017371151)</f>
        <v>8.8038801737115103E-4</v>
      </c>
      <c r="BO203" s="66"/>
      <c r="BP203" s="66"/>
    </row>
    <row r="204" spans="1:68" ht="26.4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/>
      <c r="AQ204" s="75"/>
      <c r="AR204" s="75"/>
      <c r="AS204" s="75"/>
      <c r="AT204" s="75"/>
      <c r="AU204" s="75"/>
      <c r="AV204" s="75"/>
      <c r="AW204" s="75"/>
      <c r="AX204" s="75"/>
      <c r="AY204" s="77"/>
      <c r="AZ204" s="75"/>
      <c r="BA204" s="77"/>
      <c r="BB204" s="66"/>
      <c r="BC204" s="4"/>
      <c r="BD204" s="67" t="str">
        <f ca="1">IFERROR(__xludf.DUMMYFUNCTION("""COMPUTED_VALUE"""),"Забайкальский край")</f>
        <v>Забайкальский край</v>
      </c>
      <c r="BE204" s="67" t="str">
        <f ca="1">IFERROR(__xludf.DUMMYFUNCTION("""COMPUTED_VALUE"""),"Чита")</f>
        <v>Чита</v>
      </c>
      <c r="BF204" s="68" t="str">
        <f ca="1">IFERROR(__xludf.DUMMYFUNCTION("""COMPUTED_VALUE"""),"ОАО ""ЧМДК Даурия""")</f>
        <v>ОАО "ЧМДК Даурия"</v>
      </c>
      <c r="BG204" s="69" t="str">
        <f ca="1">IFERROR(__xludf.DUMMYFUNCTION("""COMPUTED_VALUE"""),"3.4.2.")</f>
        <v>3.4.2.</v>
      </c>
      <c r="BH204" s="74" t="str">
        <f ca="1">IFERROR(__xludf.DUMMYFUNCTION("""COMPUTED_VALUE"""),"Мероприятие ЮЛ/ИП")</f>
        <v>Мероприятие ЮЛ/ИП</v>
      </c>
      <c r="BI204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4" s="73" t="str">
        <f ca="1">IFERROR(__xludf.DUMMYFUNCTION("""COMPUTED_VALUE"""),"Азот (II) оксид")</f>
        <v>Азот (II) оксид</v>
      </c>
      <c r="BK204" s="78">
        <f ca="1">IFERROR(__xludf.DUMMYFUNCTION("""COMPUTED_VALUE"""),0.0877524)</f>
        <v>8.7752399999999994E-2</v>
      </c>
      <c r="BL204" s="78">
        <f ca="1">IFERROR(__xludf.DUMMYFUNCTION("""COMPUTED_VALUE"""),0.000142901623187763)</f>
        <v>1.42901623187763E-4</v>
      </c>
      <c r="BM204" s="78">
        <f ca="1">IFERROR(__xludf.DUMMYFUNCTION("""COMPUTED_VALUE"""),0.0877524)</f>
        <v>8.7752399999999994E-2</v>
      </c>
      <c r="BN204" s="78">
        <f ca="1">IFERROR(__xludf.DUMMYFUNCTION("""COMPUTED_VALUE"""),0.000142901623187763)</f>
        <v>1.42901623187763E-4</v>
      </c>
      <c r="BO204" s="66"/>
      <c r="BP204" s="66"/>
    </row>
    <row r="205" spans="1:68" ht="26.4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/>
      <c r="AQ205" s="75"/>
      <c r="AR205" s="75"/>
      <c r="AS205" s="75"/>
      <c r="AT205" s="75"/>
      <c r="AU205" s="75"/>
      <c r="AV205" s="75"/>
      <c r="AW205" s="75"/>
      <c r="AX205" s="75"/>
      <c r="AY205" s="77"/>
      <c r="AZ205" s="75"/>
      <c r="BA205" s="77"/>
      <c r="BB205" s="66"/>
      <c r="BC205" s="4"/>
      <c r="BD205" s="67" t="str">
        <f ca="1">IFERROR(__xludf.DUMMYFUNCTION("""COMPUTED_VALUE"""),"Забайкальский край")</f>
        <v>Забайкальский край</v>
      </c>
      <c r="BE205" s="67" t="str">
        <f ca="1">IFERROR(__xludf.DUMMYFUNCTION("""COMPUTED_VALUE"""),"Чита")</f>
        <v>Чита</v>
      </c>
      <c r="BF205" s="68" t="str">
        <f ca="1">IFERROR(__xludf.DUMMYFUNCTION("""COMPUTED_VALUE"""),"ОАО ""ЧМДК Даурия""")</f>
        <v>ОАО "ЧМДК Даурия"</v>
      </c>
      <c r="BG205" s="69" t="str">
        <f ca="1">IFERROR(__xludf.DUMMYFUNCTION("""COMPUTED_VALUE"""),"3.4.2.")</f>
        <v>3.4.2.</v>
      </c>
      <c r="BH205" s="74" t="str">
        <f ca="1">IFERROR(__xludf.DUMMYFUNCTION("""COMPUTED_VALUE"""),"Мероприятие ЮЛ/ИП")</f>
        <v>Мероприятие ЮЛ/ИП</v>
      </c>
      <c r="BI205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5" s="73" t="str">
        <f ca="1">IFERROR(__xludf.DUMMYFUNCTION("""COMPUTED_VALUE"""),"Сера диоксид")</f>
        <v>Сера диоксид</v>
      </c>
      <c r="BK205" s="78">
        <f ca="1">IFERROR(__xludf.DUMMYFUNCTION("""COMPUTED_VALUE"""),1.572558)</f>
        <v>1.5725579999999999</v>
      </c>
      <c r="BL205" s="78">
        <f ca="1">IFERROR(__xludf.DUMMYFUNCTION("""COMPUTED_VALUE"""),0.00256085407073656)</f>
        <v>2.5608540707365598E-3</v>
      </c>
      <c r="BM205" s="78">
        <f ca="1">IFERROR(__xludf.DUMMYFUNCTION("""COMPUTED_VALUE"""),1.572558)</f>
        <v>1.5725579999999999</v>
      </c>
      <c r="BN205" s="78">
        <f ca="1">IFERROR(__xludf.DUMMYFUNCTION("""COMPUTED_VALUE"""),0.00256085407073656)</f>
        <v>2.5608540707365598E-3</v>
      </c>
      <c r="BO205" s="66"/>
      <c r="BP205" s="66"/>
    </row>
    <row r="206" spans="1:68" ht="26.4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/>
      <c r="AQ206" s="75"/>
      <c r="AR206" s="75"/>
      <c r="AS206" s="75"/>
      <c r="AT206" s="75"/>
      <c r="AU206" s="75"/>
      <c r="AV206" s="75"/>
      <c r="AW206" s="75"/>
      <c r="AX206" s="75"/>
      <c r="AY206" s="77"/>
      <c r="AZ206" s="75"/>
      <c r="BA206" s="77"/>
      <c r="BB206" s="66"/>
      <c r="BC206" s="4"/>
      <c r="BD206" s="67" t="str">
        <f ca="1">IFERROR(__xludf.DUMMYFUNCTION("""COMPUTED_VALUE"""),"Забайкальский край")</f>
        <v>Забайкальский край</v>
      </c>
      <c r="BE206" s="67" t="str">
        <f ca="1">IFERROR(__xludf.DUMMYFUNCTION("""COMPUTED_VALUE"""),"Чита")</f>
        <v>Чита</v>
      </c>
      <c r="BF206" s="68" t="str">
        <f ca="1">IFERROR(__xludf.DUMMYFUNCTION("""COMPUTED_VALUE"""),"ОАО ""ЧМДК Даурия""")</f>
        <v>ОАО "ЧМДК Даурия"</v>
      </c>
      <c r="BG206" s="69" t="str">
        <f ca="1">IFERROR(__xludf.DUMMYFUNCTION("""COMPUTED_VALUE"""),"3.4.2.")</f>
        <v>3.4.2.</v>
      </c>
      <c r="BH206" s="74" t="str">
        <f ca="1">IFERROR(__xludf.DUMMYFUNCTION("""COMPUTED_VALUE"""),"Мероприятие ЮЛ/ИП")</f>
        <v>Мероприятие ЮЛ/ИП</v>
      </c>
      <c r="BI206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6" s="73" t="str">
        <f ca="1">IFERROR(__xludf.DUMMYFUNCTION("""COMPUTED_VALUE"""),"Углерода оксид")</f>
        <v>Углерода оксид</v>
      </c>
      <c r="BK206" s="78">
        <f ca="1">IFERROR(__xludf.DUMMYFUNCTION("""COMPUTED_VALUE"""),3.802278)</f>
        <v>3.8022779999999998</v>
      </c>
      <c r="BL206" s="78">
        <f ca="1">IFERROR(__xludf.DUMMYFUNCTION("""COMPUTED_VALUE"""),0.00619187279220995)</f>
        <v>6.1918727922099497E-3</v>
      </c>
      <c r="BM206" s="78">
        <f ca="1">IFERROR(__xludf.DUMMYFUNCTION("""COMPUTED_VALUE"""),3.802278)</f>
        <v>3.8022779999999998</v>
      </c>
      <c r="BN206" s="78">
        <f ca="1">IFERROR(__xludf.DUMMYFUNCTION("""COMPUTED_VALUE"""),0.00619187279220995)</f>
        <v>6.1918727922099497E-3</v>
      </c>
      <c r="BO206" s="66"/>
      <c r="BP206" s="66"/>
    </row>
    <row r="207" spans="1:68" ht="26.4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/>
      <c r="AQ207" s="75"/>
      <c r="AR207" s="75"/>
      <c r="AS207" s="75"/>
      <c r="AT207" s="75"/>
      <c r="AU207" s="75"/>
      <c r="AV207" s="75"/>
      <c r="AW207" s="75"/>
      <c r="AX207" s="75"/>
      <c r="AY207" s="77"/>
      <c r="AZ207" s="75"/>
      <c r="BA207" s="77"/>
      <c r="BB207" s="66"/>
      <c r="BC207" s="4"/>
      <c r="BD207" s="67" t="str">
        <f ca="1">IFERROR(__xludf.DUMMYFUNCTION("""COMPUTED_VALUE"""),"Забайкальский край")</f>
        <v>Забайкальский край</v>
      </c>
      <c r="BE207" s="67" t="str">
        <f ca="1">IFERROR(__xludf.DUMMYFUNCTION("""COMPUTED_VALUE"""),"Чита")</f>
        <v>Чита</v>
      </c>
      <c r="BF207" s="68" t="str">
        <f ca="1">IFERROR(__xludf.DUMMYFUNCTION("""COMPUTED_VALUE"""),"ОАО ""ЧМДК Даурия""")</f>
        <v>ОАО "ЧМДК Даурия"</v>
      </c>
      <c r="BG207" s="69" t="str">
        <f ca="1">IFERROR(__xludf.DUMMYFUNCTION("""COMPUTED_VALUE"""),"3.4.2.")</f>
        <v>3.4.2.</v>
      </c>
      <c r="BH207" s="74" t="str">
        <f ca="1">IFERROR(__xludf.DUMMYFUNCTION("""COMPUTED_VALUE"""),"Мероприятие ЮЛ/ИП")</f>
        <v>Мероприятие ЮЛ/ИП</v>
      </c>
      <c r="BI207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7" s="73" t="str">
        <f ca="1">IFERROR(__xludf.DUMMYFUNCTION("""COMPUTED_VALUE"""),"Бенз/а/пирен")</f>
        <v>Бенз/а/пирен</v>
      </c>
      <c r="BK207" s="78">
        <f ca="1">IFERROR(__xludf.DUMMYFUNCTION("""COMPUTED_VALUE"""),0.0000096)</f>
        <v>9.5999999999999996E-6</v>
      </c>
      <c r="BL207" s="78">
        <f ca="1">IFERROR(__xludf.DUMMYFUNCTION("""COMPUTED_VALUE"""),1.56332542768349E-08)</f>
        <v>1.5633254276834901E-8</v>
      </c>
      <c r="BM207" s="78">
        <f ca="1">IFERROR(__xludf.DUMMYFUNCTION("""COMPUTED_VALUE"""),0.0000096)</f>
        <v>9.5999999999999996E-6</v>
      </c>
      <c r="BN207" s="78">
        <f ca="1">IFERROR(__xludf.DUMMYFUNCTION("""COMPUTED_VALUE"""),1.56332542768349E-08)</f>
        <v>1.5633254276834901E-8</v>
      </c>
      <c r="BO207" s="66"/>
      <c r="BP207" s="66"/>
    </row>
    <row r="208" spans="1:68" ht="26.4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/>
      <c r="AQ208" s="75"/>
      <c r="AR208" s="75"/>
      <c r="AS208" s="75"/>
      <c r="AT208" s="75"/>
      <c r="AU208" s="75"/>
      <c r="AV208" s="75"/>
      <c r="AW208" s="75"/>
      <c r="AX208" s="75"/>
      <c r="AY208" s="77"/>
      <c r="AZ208" s="75"/>
      <c r="BA208" s="77"/>
      <c r="BB208" s="66"/>
      <c r="BC208" s="4"/>
      <c r="BD208" s="67" t="str">
        <f ca="1">IFERROR(__xludf.DUMMYFUNCTION("""COMPUTED_VALUE"""),"Забайкальский край")</f>
        <v>Забайкальский край</v>
      </c>
      <c r="BE208" s="67" t="str">
        <f ca="1">IFERROR(__xludf.DUMMYFUNCTION("""COMPUTED_VALUE"""),"Чита")</f>
        <v>Чита</v>
      </c>
      <c r="BF208" s="68" t="str">
        <f ca="1">IFERROR(__xludf.DUMMYFUNCTION("""COMPUTED_VALUE"""),"ОАО ""ЧМДК Даурия""")</f>
        <v>ОАО "ЧМДК Даурия"</v>
      </c>
      <c r="BG208" s="69" t="str">
        <f ca="1">IFERROR(__xludf.DUMMYFUNCTION("""COMPUTED_VALUE"""),"3.4.2.")</f>
        <v>3.4.2.</v>
      </c>
      <c r="BH208" s="74" t="str">
        <f ca="1">IFERROR(__xludf.DUMMYFUNCTION("""COMPUTED_VALUE"""),"Мероприятие ЮЛ/ИП")</f>
        <v>Мероприятие ЮЛ/ИП</v>
      </c>
      <c r="BI208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8" s="78">
        <f ca="1">IFERROR(__xludf.DUMMYFUNCTION("""COMPUTED_VALUE"""),2.6039324)</f>
        <v>2.6039324000000001</v>
      </c>
      <c r="BL208" s="78">
        <f ca="1">IFERROR(__xludf.DUMMYFUNCTION("""COMPUTED_VALUE"""),0.00424041013842595)</f>
        <v>4.2404101384259504E-3</v>
      </c>
      <c r="BM208" s="78">
        <f ca="1">IFERROR(__xludf.DUMMYFUNCTION("""COMPUTED_VALUE"""),2.6039324)</f>
        <v>2.6039324000000001</v>
      </c>
      <c r="BN208" s="78">
        <f ca="1">IFERROR(__xludf.DUMMYFUNCTION("""COMPUTED_VALUE"""),0.00424041013842595)</f>
        <v>4.2404101384259504E-3</v>
      </c>
      <c r="BO208" s="66"/>
      <c r="BP208" s="66"/>
    </row>
    <row r="209" spans="1:68" ht="26.4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/>
      <c r="AQ209" s="75"/>
      <c r="AR209" s="75"/>
      <c r="AS209" s="75"/>
      <c r="AT209" s="75"/>
      <c r="AU209" s="75"/>
      <c r="AV209" s="75"/>
      <c r="AW209" s="75"/>
      <c r="AX209" s="75"/>
      <c r="AY209" s="77"/>
      <c r="AZ209" s="75"/>
      <c r="BA209" s="77"/>
      <c r="BB209" s="66"/>
      <c r="BC209" s="4"/>
      <c r="BD209" s="67" t="str">
        <f ca="1">IFERROR(__xludf.DUMMYFUNCTION("""COMPUTED_VALUE"""),"Забайкальский край")</f>
        <v>Забайкальский край</v>
      </c>
      <c r="BE209" s="67" t="str">
        <f ca="1">IFERROR(__xludf.DUMMYFUNCTION("""COMPUTED_VALUE"""),"Чита")</f>
        <v>Чита</v>
      </c>
      <c r="BF209" s="68" t="str">
        <f ca="1">IFERROR(__xludf.DUMMYFUNCTION("""COMPUTED_VALUE"""),"ОАО ""ЧМДК Даурия""")</f>
        <v>ОАО "ЧМДК Даурия"</v>
      </c>
      <c r="BG209" s="69" t="str">
        <f ca="1">IFERROR(__xludf.DUMMYFUNCTION("""COMPUTED_VALUE"""),"3.4.3.")</f>
        <v>3.4.3.</v>
      </c>
      <c r="BH209" s="74" t="str">
        <f ca="1">IFERROR(__xludf.DUMMYFUNCTION("""COMPUTED_VALUE"""),"Мероприятие ЮЛ/ИП")</f>
        <v>Мероприятие ЮЛ/ИП</v>
      </c>
      <c r="BI209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09" s="73" t="str">
        <f ca="1">IFERROR(__xludf.DUMMYFUNCTION("""COMPUTED_VALUE"""),"Азота диоксид")</f>
        <v>Азота диоксид</v>
      </c>
      <c r="BK209" s="78">
        <f ca="1">IFERROR(__xludf.DUMMYFUNCTION("""COMPUTED_VALUE"""),0.180209)</f>
        <v>0.18020900000000001</v>
      </c>
      <c r="BL209" s="78">
        <f ca="1">IFERROR(__xludf.DUMMYFUNCTION("""COMPUTED_VALUE"""),0.000293463866663974)</f>
        <v>2.9346386666397398E-4</v>
      </c>
      <c r="BM209" s="78">
        <f ca="1">IFERROR(__xludf.DUMMYFUNCTION("""COMPUTED_VALUE"""),0)</f>
        <v>0</v>
      </c>
      <c r="BN209" s="78">
        <f ca="1">IFERROR(__xludf.DUMMYFUNCTION("""COMPUTED_VALUE"""),0)</f>
        <v>0</v>
      </c>
      <c r="BO209" s="66"/>
      <c r="BP209" s="66"/>
    </row>
    <row r="210" spans="1:68" ht="26.4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/>
      <c r="AQ210" s="75"/>
      <c r="AR210" s="75"/>
      <c r="AS210" s="75"/>
      <c r="AT210" s="75"/>
      <c r="AU210" s="75"/>
      <c r="AV210" s="75"/>
      <c r="AW210" s="75"/>
      <c r="AX210" s="75"/>
      <c r="AY210" s="77"/>
      <c r="AZ210" s="75"/>
      <c r="BA210" s="77"/>
      <c r="BB210" s="66"/>
      <c r="BC210" s="4"/>
      <c r="BD210" s="67" t="str">
        <f ca="1">IFERROR(__xludf.DUMMYFUNCTION("""COMPUTED_VALUE"""),"Забайкальский край")</f>
        <v>Забайкальский край</v>
      </c>
      <c r="BE210" s="67" t="str">
        <f ca="1">IFERROR(__xludf.DUMMYFUNCTION("""COMPUTED_VALUE"""),"Чита")</f>
        <v>Чита</v>
      </c>
      <c r="BF210" s="68" t="str">
        <f ca="1">IFERROR(__xludf.DUMMYFUNCTION("""COMPUTED_VALUE"""),"ОАО ""ЧМДК Даурия""")</f>
        <v>ОАО "ЧМДК Даурия"</v>
      </c>
      <c r="BG210" s="69" t="str">
        <f ca="1">IFERROR(__xludf.DUMMYFUNCTION("""COMPUTED_VALUE"""),"3.4.3.")</f>
        <v>3.4.3.</v>
      </c>
      <c r="BH210" s="74" t="str">
        <f ca="1">IFERROR(__xludf.DUMMYFUNCTION("""COMPUTED_VALUE"""),"Мероприятие ЮЛ/ИП")</f>
        <v>Мероприятие ЮЛ/ИП</v>
      </c>
      <c r="BI210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0" s="73" t="str">
        <f ca="1">IFERROR(__xludf.DUMMYFUNCTION("""COMPUTED_VALUE"""),"Азот (II) оксид")</f>
        <v>Азот (II) оксид</v>
      </c>
      <c r="BK210" s="78">
        <f ca="1">IFERROR(__xludf.DUMMYFUNCTION("""COMPUTED_VALUE"""),0.029283)</f>
        <v>2.9283E-2</v>
      </c>
      <c r="BL210" s="78">
        <f ca="1">IFERROR(__xludf.DUMMYFUNCTION("""COMPUTED_VALUE"""),0.0000476863109363081)</f>
        <v>4.7686310936308097E-5</v>
      </c>
      <c r="BM210" s="78">
        <f ca="1">IFERROR(__xludf.DUMMYFUNCTION("""COMPUTED_VALUE"""),0)</f>
        <v>0</v>
      </c>
      <c r="BN210" s="78">
        <f ca="1">IFERROR(__xludf.DUMMYFUNCTION("""COMPUTED_VALUE"""),0)</f>
        <v>0</v>
      </c>
      <c r="BO210" s="66"/>
      <c r="BP210" s="66"/>
    </row>
    <row r="211" spans="1:68" ht="26.4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/>
      <c r="AQ211" s="75"/>
      <c r="AR211" s="75"/>
      <c r="AS211" s="75"/>
      <c r="AT211" s="75"/>
      <c r="AU211" s="75"/>
      <c r="AV211" s="75"/>
      <c r="AW211" s="75"/>
      <c r="AX211" s="75"/>
      <c r="AY211" s="77"/>
      <c r="AZ211" s="75"/>
      <c r="BA211" s="77"/>
      <c r="BB211" s="66"/>
      <c r="BC211" s="4"/>
      <c r="BD211" s="67" t="str">
        <f ca="1">IFERROR(__xludf.DUMMYFUNCTION("""COMPUTED_VALUE"""),"Забайкальский край")</f>
        <v>Забайкальский край</v>
      </c>
      <c r="BE211" s="67" t="str">
        <f ca="1">IFERROR(__xludf.DUMMYFUNCTION("""COMPUTED_VALUE"""),"Чита")</f>
        <v>Чита</v>
      </c>
      <c r="BF211" s="68" t="str">
        <f ca="1">IFERROR(__xludf.DUMMYFUNCTION("""COMPUTED_VALUE"""),"ОАО ""ЧМДК Даурия""")</f>
        <v>ОАО "ЧМДК Даурия"</v>
      </c>
      <c r="BG211" s="69" t="str">
        <f ca="1">IFERROR(__xludf.DUMMYFUNCTION("""COMPUTED_VALUE"""),"3.4.3.")</f>
        <v>3.4.3.</v>
      </c>
      <c r="BH211" s="74" t="str">
        <f ca="1">IFERROR(__xludf.DUMMYFUNCTION("""COMPUTED_VALUE"""),"Мероприятие ЮЛ/ИП")</f>
        <v>Мероприятие ЮЛ/ИП</v>
      </c>
      <c r="BI211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1" s="73" t="str">
        <f ca="1">IFERROR(__xludf.DUMMYFUNCTION("""COMPUTED_VALUE"""),"Сера диоксид")</f>
        <v>Сера диоксид</v>
      </c>
      <c r="BK211" s="78">
        <f ca="1">IFERROR(__xludf.DUMMYFUNCTION("""COMPUTED_VALUE"""),0.5241859)</f>
        <v>0.52418589999999998</v>
      </c>
      <c r="BL211" s="78">
        <f ca="1">IFERROR(__xludf.DUMMYFUNCTION("""COMPUTED_VALUE"""),0.000853617860732457)</f>
        <v>8.5361786073245697E-4</v>
      </c>
      <c r="BM211" s="78">
        <f ca="1">IFERROR(__xludf.DUMMYFUNCTION("""COMPUTED_VALUE"""),0)</f>
        <v>0</v>
      </c>
      <c r="BN211" s="78">
        <f ca="1">IFERROR(__xludf.DUMMYFUNCTION("""COMPUTED_VALUE"""),0)</f>
        <v>0</v>
      </c>
      <c r="BO211" s="66"/>
      <c r="BP211" s="66"/>
    </row>
    <row r="212" spans="1:68" ht="26.4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/>
      <c r="AQ212" s="75"/>
      <c r="AR212" s="75"/>
      <c r="AS212" s="75"/>
      <c r="AT212" s="75"/>
      <c r="AU212" s="75"/>
      <c r="AV212" s="75"/>
      <c r="AW212" s="75"/>
      <c r="AX212" s="75"/>
      <c r="AY212" s="77"/>
      <c r="AZ212" s="75"/>
      <c r="BA212" s="77"/>
      <c r="BB212" s="66"/>
      <c r="BC212" s="4"/>
      <c r="BD212" s="67" t="str">
        <f ca="1">IFERROR(__xludf.DUMMYFUNCTION("""COMPUTED_VALUE"""),"Забайкальский край")</f>
        <v>Забайкальский край</v>
      </c>
      <c r="BE212" s="67" t="str">
        <f ca="1">IFERROR(__xludf.DUMMYFUNCTION("""COMPUTED_VALUE"""),"Чита")</f>
        <v>Чита</v>
      </c>
      <c r="BF212" s="68" t="str">
        <f ca="1">IFERROR(__xludf.DUMMYFUNCTION("""COMPUTED_VALUE"""),"ОАО ""ЧМДК Даурия""")</f>
        <v>ОАО "ЧМДК Даурия"</v>
      </c>
      <c r="BG212" s="69" t="str">
        <f ca="1">IFERROR(__xludf.DUMMYFUNCTION("""COMPUTED_VALUE"""),"3.4.3.")</f>
        <v>3.4.3.</v>
      </c>
      <c r="BH212" s="74" t="str">
        <f ca="1">IFERROR(__xludf.DUMMYFUNCTION("""COMPUTED_VALUE"""),"Мероприятие ЮЛ/ИП")</f>
        <v>Мероприятие ЮЛ/ИП</v>
      </c>
      <c r="BI21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2" s="73" t="str">
        <f ca="1">IFERROR(__xludf.DUMMYFUNCTION("""COMPUTED_VALUE"""),"Углерода оксид")</f>
        <v>Углерода оксид</v>
      </c>
      <c r="BK212" s="78">
        <f ca="1">IFERROR(__xludf.DUMMYFUNCTION("""COMPUTED_VALUE"""),2.9193316)</f>
        <v>2.9193316</v>
      </c>
      <c r="BL212" s="78">
        <f ca="1">IFERROR(__xludf.DUMMYFUNCTION("""COMPUTED_VALUE"""),0.00475402637720827)</f>
        <v>4.7540263772082704E-3</v>
      </c>
      <c r="BM212" s="78">
        <f ca="1">IFERROR(__xludf.DUMMYFUNCTION("""COMPUTED_VALUE"""),0)</f>
        <v>0</v>
      </c>
      <c r="BN212" s="78">
        <f ca="1">IFERROR(__xludf.DUMMYFUNCTION("""COMPUTED_VALUE"""),0)</f>
        <v>0</v>
      </c>
      <c r="BO212" s="66"/>
      <c r="BP212" s="66"/>
    </row>
    <row r="213" spans="1:68" ht="26.4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/>
      <c r="AQ213" s="75"/>
      <c r="AR213" s="75"/>
      <c r="AS213" s="75"/>
      <c r="AT213" s="75"/>
      <c r="AU213" s="75"/>
      <c r="AV213" s="75"/>
      <c r="AW213" s="75"/>
      <c r="AX213" s="75"/>
      <c r="AY213" s="77"/>
      <c r="AZ213" s="75"/>
      <c r="BA213" s="77"/>
      <c r="BB213" s="66"/>
      <c r="BC213" s="4"/>
      <c r="BD213" s="67" t="str">
        <f ca="1">IFERROR(__xludf.DUMMYFUNCTION("""COMPUTED_VALUE"""),"Забайкальский край")</f>
        <v>Забайкальский край</v>
      </c>
      <c r="BE213" s="67" t="str">
        <f ca="1">IFERROR(__xludf.DUMMYFUNCTION("""COMPUTED_VALUE"""),"Чита")</f>
        <v>Чита</v>
      </c>
      <c r="BF213" s="68" t="str">
        <f ca="1">IFERROR(__xludf.DUMMYFUNCTION("""COMPUTED_VALUE"""),"ОАО ""ЧМДК Даурия""")</f>
        <v>ОАО "ЧМДК Даурия"</v>
      </c>
      <c r="BG213" s="69" t="str">
        <f ca="1">IFERROR(__xludf.DUMMYFUNCTION("""COMPUTED_VALUE"""),"3.4.3.")</f>
        <v>3.4.3.</v>
      </c>
      <c r="BH213" s="74" t="str">
        <f ca="1">IFERROR(__xludf.DUMMYFUNCTION("""COMPUTED_VALUE"""),"Мероприятие ЮЛ/ИП")</f>
        <v>Мероприятие ЮЛ/ИП</v>
      </c>
      <c r="BI213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3" s="73" t="str">
        <f ca="1">IFERROR(__xludf.DUMMYFUNCTION("""COMPUTED_VALUE"""),"Бенз/а/пирен")</f>
        <v>Бенз/а/пирен</v>
      </c>
      <c r="BK213" s="78">
        <f ca="1">IFERROR(__xludf.DUMMYFUNCTION("""COMPUTED_VALUE"""),0.0000048)</f>
        <v>4.7999999999999998E-6</v>
      </c>
      <c r="BL213" s="78">
        <f ca="1">IFERROR(__xludf.DUMMYFUNCTION("""COMPUTED_VALUE"""),7.81662713841748E-09)</f>
        <v>7.8166271384174804E-9</v>
      </c>
      <c r="BM213" s="78">
        <f ca="1">IFERROR(__xludf.DUMMYFUNCTION("""COMPUTED_VALUE"""),0)</f>
        <v>0</v>
      </c>
      <c r="BN213" s="78">
        <f ca="1">IFERROR(__xludf.DUMMYFUNCTION("""COMPUTED_VALUE"""),0)</f>
        <v>0</v>
      </c>
      <c r="BO213" s="66"/>
      <c r="BP213" s="66"/>
    </row>
    <row r="214" spans="1:68" ht="26.4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/>
      <c r="AQ214" s="75"/>
      <c r="AR214" s="75"/>
      <c r="AS214" s="75"/>
      <c r="AT214" s="75"/>
      <c r="AU214" s="75"/>
      <c r="AV214" s="75"/>
      <c r="AW214" s="75"/>
      <c r="AX214" s="75"/>
      <c r="AY214" s="77"/>
      <c r="AZ214" s="75"/>
      <c r="BA214" s="77"/>
      <c r="BB214" s="66"/>
      <c r="BC214" s="4"/>
      <c r="BD214" s="67" t="str">
        <f ca="1">IFERROR(__xludf.DUMMYFUNCTION("""COMPUTED_VALUE"""),"Забайкальский край")</f>
        <v>Забайкальский край</v>
      </c>
      <c r="BE214" s="67" t="str">
        <f ca="1">IFERROR(__xludf.DUMMYFUNCTION("""COMPUTED_VALUE"""),"Чита")</f>
        <v>Чита</v>
      </c>
      <c r="BF214" s="68" t="str">
        <f ca="1">IFERROR(__xludf.DUMMYFUNCTION("""COMPUTED_VALUE"""),"ОАО ""ЧМДК Даурия""")</f>
        <v>ОАО "ЧМДК Даурия"</v>
      </c>
      <c r="BG214" s="69" t="str">
        <f ca="1">IFERROR(__xludf.DUMMYFUNCTION("""COMPUTED_VALUE"""),"3.4.3.")</f>
        <v>3.4.3.</v>
      </c>
      <c r="BH214" s="74" t="str">
        <f ca="1">IFERROR(__xludf.DUMMYFUNCTION("""COMPUTED_VALUE"""),"Мероприятие ЮЛ/ИП")</f>
        <v>Мероприятие ЮЛ/ИП</v>
      </c>
      <c r="BI214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4" s="78">
        <f ca="1">IFERROR(__xludf.DUMMYFUNCTION("""COMPUTED_VALUE"""),0.65061)</f>
        <v>0.65061000000000002</v>
      </c>
      <c r="BL214" s="78">
        <f ca="1">IFERROR(__xludf.DUMMYFUNCTION("""COMPUTED_VALUE"""),0.00105949495469287)</f>
        <v>1.0594949546928699E-3</v>
      </c>
      <c r="BM214" s="78">
        <f ca="1">IFERROR(__xludf.DUMMYFUNCTION("""COMPUTED_VALUE"""),0)</f>
        <v>0</v>
      </c>
      <c r="BN214" s="78">
        <f ca="1">IFERROR(__xludf.DUMMYFUNCTION("""COMPUTED_VALUE"""),0)</f>
        <v>0</v>
      </c>
      <c r="BO214" s="66"/>
      <c r="BP214" s="66"/>
    </row>
    <row r="215" spans="1:68" ht="39.6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/>
      <c r="AQ215" s="75"/>
      <c r="AR215" s="75"/>
      <c r="AS215" s="75"/>
      <c r="AT215" s="75"/>
      <c r="AU215" s="75"/>
      <c r="AV215" s="75"/>
      <c r="AW215" s="75"/>
      <c r="AX215" s="75"/>
      <c r="AY215" s="77"/>
      <c r="AZ215" s="75"/>
      <c r="BA215" s="77"/>
      <c r="BB215" s="66"/>
      <c r="BC215" s="4"/>
      <c r="BD215" s="67" t="str">
        <f ca="1">IFERROR(__xludf.DUMMYFUNCTION("""COMPUTED_VALUE"""),"Забайкальский край")</f>
        <v>Забайкальский край</v>
      </c>
      <c r="BE215" s="67" t="str">
        <f ca="1">IFERROR(__xludf.DUMMYFUNCTION("""COMPUTED_VALUE"""),"Чита")</f>
        <v>Чита</v>
      </c>
      <c r="BF215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5" s="69" t="str">
        <f ca="1">IFERROR(__xludf.DUMMYFUNCTION("""COMPUTED_VALUE"""),"3.5.1.")</f>
        <v>3.5.1.</v>
      </c>
      <c r="BH215" s="74" t="str">
        <f ca="1">IFERROR(__xludf.DUMMYFUNCTION("""COMPUTED_VALUE"""),"Мероприятие ЮЛ/ИП")</f>
        <v>Мероприятие ЮЛ/ИП</v>
      </c>
      <c r="BI215" s="68" t="str">
        <f ca="1">IFERROR(__xludf.DUMMYFUNCTION("""COMPUTED_VALUE"""),"Модернизация предприятия")</f>
        <v>Модернизация предприятия</v>
      </c>
      <c r="BJ215" s="73" t="str">
        <f ca="1">IFERROR(__xludf.DUMMYFUNCTION("""COMPUTED_VALUE"""),"Азота диоксид")</f>
        <v>Азота диоксид</v>
      </c>
      <c r="BK215" s="78">
        <f ca="1">IFERROR(__xludf.DUMMYFUNCTION("""COMPUTED_VALUE"""),0.27185)</f>
        <v>0.27184999999999998</v>
      </c>
      <c r="BL215" s="78">
        <f ca="1">IFERROR(__xludf.DUMMYFUNCTION("""COMPUTED_VALUE"""),0.000442697934912248)</f>
        <v>4.4269793491224802E-4</v>
      </c>
      <c r="BM215" s="78">
        <f ca="1">IFERROR(__xludf.DUMMYFUNCTION("""COMPUTED_VALUE"""),0.2595)</f>
        <v>0.25950000000000001</v>
      </c>
      <c r="BN215" s="78">
        <f ca="1">IFERROR(__xludf.DUMMYFUNCTION("""COMPUTED_VALUE"""),0.000422586404670695)</f>
        <v>4.2258640467069498E-4</v>
      </c>
      <c r="BO215" s="66"/>
      <c r="BP215" s="66"/>
    </row>
    <row r="216" spans="1:68" ht="39.6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/>
      <c r="AQ216" s="75"/>
      <c r="AR216" s="75"/>
      <c r="AS216" s="75"/>
      <c r="AT216" s="75"/>
      <c r="AU216" s="75"/>
      <c r="AV216" s="75"/>
      <c r="AW216" s="75"/>
      <c r="AX216" s="75"/>
      <c r="AY216" s="77"/>
      <c r="AZ216" s="75"/>
      <c r="BA216" s="77"/>
      <c r="BB216" s="66"/>
      <c r="BC216" s="4"/>
      <c r="BD216" s="67" t="str">
        <f ca="1">IFERROR(__xludf.DUMMYFUNCTION("""COMPUTED_VALUE"""),"Забайкальский край")</f>
        <v>Забайкальский край</v>
      </c>
      <c r="BE216" s="67" t="str">
        <f ca="1">IFERROR(__xludf.DUMMYFUNCTION("""COMPUTED_VALUE"""),"Чита")</f>
        <v>Чита</v>
      </c>
      <c r="BF216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6" s="69" t="str">
        <f ca="1">IFERROR(__xludf.DUMMYFUNCTION("""COMPUTED_VALUE"""),"3.5.1.")</f>
        <v>3.5.1.</v>
      </c>
      <c r="BH216" s="84" t="str">
        <f ca="1">IFERROR(__xludf.DUMMYFUNCTION("""COMPUTED_VALUE"""),"Мероприятие ЮЛ/ИП")</f>
        <v>Мероприятие ЮЛ/ИП</v>
      </c>
      <c r="BI216" s="70" t="str">
        <f ca="1">IFERROR(__xludf.DUMMYFUNCTION("""COMPUTED_VALUE"""),"Модернизация предприятия")</f>
        <v>Модернизация предприятия</v>
      </c>
      <c r="BJ216" s="73" t="str">
        <f ca="1">IFERROR(__xludf.DUMMYFUNCTION("""COMPUTED_VALUE"""),"Азот (II) оксид")</f>
        <v>Азот (II) оксид</v>
      </c>
      <c r="BK216" s="78">
        <f ca="1">IFERROR(__xludf.DUMMYFUNCTION("""COMPUTED_VALUE"""),0.04418)</f>
        <v>4.4179999999999997E-2</v>
      </c>
      <c r="BL216" s="78">
        <f ca="1">IFERROR(__xludf.DUMMYFUNCTION("""COMPUTED_VALUE"""),0.0000719455389531842)</f>
        <v>7.1945538953184195E-5</v>
      </c>
      <c r="BM216" s="78">
        <f ca="1">IFERROR(__xludf.DUMMYFUNCTION("""COMPUTED_VALUE"""),0.0473)</f>
        <v>4.7300000000000002E-2</v>
      </c>
      <c r="BN216" s="78">
        <f ca="1">IFERROR(__xludf.DUMMYFUNCTION("""COMPUTED_VALUE"""),0.0000770263465931556)</f>
        <v>7.7026346593155601E-5</v>
      </c>
      <c r="BO216" s="66"/>
      <c r="BP216" s="66"/>
    </row>
    <row r="217" spans="1:68" ht="39.6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/>
      <c r="AQ217" s="75"/>
      <c r="AR217" s="75"/>
      <c r="AS217" s="75"/>
      <c r="AT217" s="75"/>
      <c r="AU217" s="75"/>
      <c r="AV217" s="75"/>
      <c r="AW217" s="75"/>
      <c r="AX217" s="75"/>
      <c r="AY217" s="77"/>
      <c r="AZ217" s="75"/>
      <c r="BA217" s="77"/>
      <c r="BB217" s="66"/>
      <c r="BC217" s="4"/>
      <c r="BD217" s="67" t="str">
        <f ca="1">IFERROR(__xludf.DUMMYFUNCTION("""COMPUTED_VALUE"""),"Забайкальский край")</f>
        <v>Забайкальский край</v>
      </c>
      <c r="BE217" s="67" t="str">
        <f ca="1">IFERROR(__xludf.DUMMYFUNCTION("""COMPUTED_VALUE"""),"Чита")</f>
        <v>Чита</v>
      </c>
      <c r="BF217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7" s="69" t="str">
        <f ca="1">IFERROR(__xludf.DUMMYFUNCTION("""COMPUTED_VALUE"""),"3.5.1.")</f>
        <v>3.5.1.</v>
      </c>
      <c r="BH217" s="84" t="str">
        <f ca="1">IFERROR(__xludf.DUMMYFUNCTION("""COMPUTED_VALUE"""),"Мероприятие ЮЛ/ИП")</f>
        <v>Мероприятие ЮЛ/ИП</v>
      </c>
      <c r="BI217" s="70" t="str">
        <f ca="1">IFERROR(__xludf.DUMMYFUNCTION("""COMPUTED_VALUE"""),"Модернизация предприятия")</f>
        <v>Модернизация предприятия</v>
      </c>
      <c r="BJ217" s="73" t="str">
        <f ca="1">IFERROR(__xludf.DUMMYFUNCTION("""COMPUTED_VALUE"""),"Бенз/а/пирен")</f>
        <v>Бенз/а/пирен</v>
      </c>
      <c r="BK217" s="78">
        <f ca="1">IFERROR(__xludf.DUMMYFUNCTION("""COMPUTED_VALUE"""),0.00001)</f>
        <v>1.0000000000000001E-5</v>
      </c>
      <c r="BL217" s="78">
        <f ca="1">IFERROR(__xludf.DUMMYFUNCTION("""COMPUTED_VALUE"""),1.6284639871703E-08)</f>
        <v>1.6284639871703001E-8</v>
      </c>
      <c r="BM217" s="78">
        <f ca="1">IFERROR(__xludf.DUMMYFUNCTION("""COMPUTED_VALUE"""),0)</f>
        <v>0</v>
      </c>
      <c r="BN217" s="78">
        <f ca="1">IFERROR(__xludf.DUMMYFUNCTION("""COMPUTED_VALUE"""),0)</f>
        <v>0</v>
      </c>
      <c r="BO217" s="66"/>
      <c r="BP217" s="66"/>
    </row>
    <row r="218" spans="1:68" ht="39.6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/>
      <c r="AQ218" s="75"/>
      <c r="AR218" s="75"/>
      <c r="AS218" s="75"/>
      <c r="AT218" s="75"/>
      <c r="AU218" s="75"/>
      <c r="AV218" s="75"/>
      <c r="AW218" s="75"/>
      <c r="AX218" s="75"/>
      <c r="AY218" s="77"/>
      <c r="AZ218" s="75"/>
      <c r="BA218" s="77"/>
      <c r="BB218" s="66"/>
      <c r="BC218" s="4"/>
      <c r="BD218" s="67" t="str">
        <f ca="1">IFERROR(__xludf.DUMMYFUNCTION("""COMPUTED_VALUE"""),"Забайкальский край")</f>
        <v>Забайкальский край</v>
      </c>
      <c r="BE218" s="67" t="str">
        <f ca="1">IFERROR(__xludf.DUMMYFUNCTION("""COMPUTED_VALUE"""),"Чита")</f>
        <v>Чита</v>
      </c>
      <c r="BF218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8" s="69" t="str">
        <f ca="1">IFERROR(__xludf.DUMMYFUNCTION("""COMPUTED_VALUE"""),"3.5.1.")</f>
        <v>3.5.1.</v>
      </c>
      <c r="BH218" s="84" t="str">
        <f ca="1">IFERROR(__xludf.DUMMYFUNCTION("""COMPUTED_VALUE"""),"Мероприятие ЮЛ/ИП")</f>
        <v>Мероприятие ЮЛ/ИП</v>
      </c>
      <c r="BI218" s="70" t="str">
        <f ca="1">IFERROR(__xludf.DUMMYFUNCTION("""COMPUTED_VALUE"""),"Модернизация предприятия")</f>
        <v>Модернизация предприятия</v>
      </c>
      <c r="BJ21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8" s="78">
        <f ca="1">IFERROR(__xludf.DUMMYFUNCTION("""COMPUTED_VALUE"""),18.45389)</f>
        <v>18.453890000000001</v>
      </c>
      <c r="BL218" s="78">
        <f ca="1">IFERROR(__xludf.DUMMYFUNCTION("""COMPUTED_VALUE"""),0.0300514952882023)</f>
        <v>3.00514952882023E-2</v>
      </c>
      <c r="BM218" s="78">
        <f ca="1">IFERROR(__xludf.DUMMYFUNCTION("""COMPUTED_VALUE"""),20.5427)</f>
        <v>20.5427</v>
      </c>
      <c r="BN218" s="78">
        <f ca="1">IFERROR(__xludf.DUMMYFUNCTION("""COMPUTED_VALUE"""),0.0334530471492435)</f>
        <v>3.3453047149243499E-2</v>
      </c>
      <c r="BO218" s="66"/>
      <c r="BP218" s="66"/>
    </row>
    <row r="219" spans="1:68" ht="39.6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/>
      <c r="AQ219" s="75"/>
      <c r="AR219" s="75"/>
      <c r="AS219" s="75"/>
      <c r="AT219" s="75"/>
      <c r="AU219" s="75"/>
      <c r="AV219" s="75"/>
      <c r="AW219" s="75"/>
      <c r="AX219" s="75"/>
      <c r="AY219" s="77"/>
      <c r="AZ219" s="75"/>
      <c r="BA219" s="77"/>
      <c r="BB219" s="66"/>
      <c r="BC219" s="4"/>
      <c r="BD219" s="67" t="str">
        <f ca="1">IFERROR(__xludf.DUMMYFUNCTION("""COMPUTED_VALUE"""),"Забайкальский край")</f>
        <v>Забайкальский край</v>
      </c>
      <c r="BE219" s="67" t="str">
        <f ca="1">IFERROR(__xludf.DUMMYFUNCTION("""COMPUTED_VALUE"""),"Чита")</f>
        <v>Чита</v>
      </c>
      <c r="BF219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9" s="69" t="str">
        <f ca="1">IFERROR(__xludf.DUMMYFUNCTION("""COMPUTED_VALUE"""),"3.5.1.")</f>
        <v>3.5.1.</v>
      </c>
      <c r="BH219" s="84" t="str">
        <f ca="1">IFERROR(__xludf.DUMMYFUNCTION("""COMPUTED_VALUE"""),"Мероприятие ЮЛ/ИП")</f>
        <v>Мероприятие ЮЛ/ИП</v>
      </c>
      <c r="BI219" s="70" t="str">
        <f ca="1">IFERROR(__xludf.DUMMYFUNCTION("""COMPUTED_VALUE"""),"Модернизация предприятия")</f>
        <v>Модернизация предприятия</v>
      </c>
      <c r="BJ219" s="73" t="str">
        <f ca="1">IFERROR(__xludf.DUMMYFUNCTION("""COMPUTED_VALUE"""),"Сера диоксид")</f>
        <v>Сера диоксид</v>
      </c>
      <c r="BK219" s="78">
        <f ca="1">IFERROR(__xludf.DUMMYFUNCTION("""COMPUTED_VALUE"""),4.54315)</f>
        <v>4.5431499999999998</v>
      </c>
      <c r="BL219" s="78">
        <f ca="1">IFERROR(__xludf.DUMMYFUNCTION("""COMPUTED_VALUE"""),0.00739835616331279)</f>
        <v>7.3983561633127904E-3</v>
      </c>
      <c r="BM219" s="78">
        <f ca="1">IFERROR(__xludf.DUMMYFUNCTION("""COMPUTED_VALUE"""),6.0248)</f>
        <v>6.0247999999999999</v>
      </c>
      <c r="BN219" s="78">
        <f ca="1">IFERROR(__xludf.DUMMYFUNCTION("""COMPUTED_VALUE"""),0.00981116982990368)</f>
        <v>9.8111698299036803E-3</v>
      </c>
      <c r="BO219" s="66"/>
      <c r="BP219" s="66"/>
    </row>
    <row r="220" spans="1:68" ht="39.6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/>
      <c r="AQ220" s="75"/>
      <c r="AR220" s="75"/>
      <c r="AS220" s="75"/>
      <c r="AT220" s="75"/>
      <c r="AU220" s="75"/>
      <c r="AV220" s="75"/>
      <c r="AW220" s="75"/>
      <c r="AX220" s="75"/>
      <c r="AY220" s="77"/>
      <c r="AZ220" s="75"/>
      <c r="BA220" s="77"/>
      <c r="BB220" s="66"/>
      <c r="BC220" s="4"/>
      <c r="BD220" s="67" t="str">
        <f ca="1">IFERROR(__xludf.DUMMYFUNCTION("""COMPUTED_VALUE"""),"Забайкальский край")</f>
        <v>Забайкальский край</v>
      </c>
      <c r="BE220" s="67" t="str">
        <f ca="1">IFERROR(__xludf.DUMMYFUNCTION("""COMPUTED_VALUE"""),"Чита")</f>
        <v>Чита</v>
      </c>
      <c r="BF220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0" s="69" t="str">
        <f ca="1">IFERROR(__xludf.DUMMYFUNCTION("""COMPUTED_VALUE"""),"3.5.1.")</f>
        <v>3.5.1.</v>
      </c>
      <c r="BH220" s="84" t="str">
        <f ca="1">IFERROR(__xludf.DUMMYFUNCTION("""COMPUTED_VALUE"""),"Мероприятие ЮЛ/ИП")</f>
        <v>Мероприятие ЮЛ/ИП</v>
      </c>
      <c r="BI220" s="70" t="str">
        <f ca="1">IFERROR(__xludf.DUMMYFUNCTION("""COMPUTED_VALUE"""),"Модернизация предприятия")</f>
        <v>Модернизация предприятия</v>
      </c>
      <c r="BJ220" s="73" t="str">
        <f ca="1">IFERROR(__xludf.DUMMYFUNCTION("""COMPUTED_VALUE"""),"Углерода оксид")</f>
        <v>Углерода оксид</v>
      </c>
      <c r="BK220" s="78">
        <f ca="1">IFERROR(__xludf.DUMMYFUNCTION("""COMPUTED_VALUE"""),4.89908)</f>
        <v>4.8990799999999997</v>
      </c>
      <c r="BL220" s="78">
        <f ca="1">IFERROR(__xludf.DUMMYFUNCTION("""COMPUTED_VALUE"""),0.00797797535026632)</f>
        <v>7.9779753502663194E-3</v>
      </c>
      <c r="BM220" s="78">
        <f ca="1">IFERROR(__xludf.DUMMYFUNCTION("""COMPUTED_VALUE"""),0.5313)</f>
        <v>0.53129999999999999</v>
      </c>
      <c r="BN220" s="78">
        <f ca="1">IFERROR(__xludf.DUMMYFUNCTION("""COMPUTED_VALUE"""),0.000865202916383585)</f>
        <v>8.6520291638358504E-4</v>
      </c>
      <c r="BO220" s="66"/>
      <c r="BP220" s="66"/>
    </row>
    <row r="221" spans="1:68" ht="39.6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/>
      <c r="AQ221" s="75"/>
      <c r="AR221" s="75"/>
      <c r="AS221" s="75"/>
      <c r="AT221" s="75"/>
      <c r="AU221" s="75"/>
      <c r="AV221" s="75"/>
      <c r="AW221" s="75"/>
      <c r="AX221" s="75"/>
      <c r="AY221" s="77"/>
      <c r="AZ221" s="75"/>
      <c r="BA221" s="77"/>
      <c r="BB221" s="66"/>
      <c r="BC221" s="4"/>
      <c r="BD221" s="67" t="str">
        <f ca="1">IFERROR(__xludf.DUMMYFUNCTION("""COMPUTED_VALUE"""),"Забайкальский край")</f>
        <v>Забайкальский край</v>
      </c>
      <c r="BE221" s="67" t="str">
        <f ca="1">IFERROR(__xludf.DUMMYFUNCTION("""COMPUTED_VALUE"""),"Чита")</f>
        <v>Чита</v>
      </c>
      <c r="BF221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1" s="69" t="str">
        <f ca="1">IFERROR(__xludf.DUMMYFUNCTION("""COMPUTED_VALUE"""),"3.5.1.")</f>
        <v>3.5.1.</v>
      </c>
      <c r="BH221" s="84" t="str">
        <f ca="1">IFERROR(__xludf.DUMMYFUNCTION("""COMPUTED_VALUE"""),"Мероприятие ЮЛ/ИП")</f>
        <v>Мероприятие ЮЛ/ИП</v>
      </c>
      <c r="BI221" s="70" t="str">
        <f ca="1">IFERROR(__xludf.DUMMYFUNCTION("""COMPUTED_VALUE"""),"Модернизация предприятия")</f>
        <v>Модернизация предприятия</v>
      </c>
      <c r="BJ221" s="73" t="str">
        <f ca="1">IFERROR(__xludf.DUMMYFUNCTION("""COMPUTED_VALUE"""),"Углерод")</f>
        <v>Углерод</v>
      </c>
      <c r="BK221" s="78">
        <f ca="1">IFERROR(__xludf.DUMMYFUNCTION("""COMPUTED_VALUE"""),11.21378)</f>
        <v>11.21378</v>
      </c>
      <c r="BL221" s="78">
        <f ca="1">IFERROR(__xludf.DUMMYFUNCTION("""COMPUTED_VALUE"""),0.0182612368900506)</f>
        <v>1.8261236890050599E-2</v>
      </c>
      <c r="BM221" s="78">
        <f ca="1">IFERROR(__xludf.DUMMYFUNCTION("""COMPUTED_VALUE"""),12.0664)</f>
        <v>12.0664</v>
      </c>
      <c r="BN221" s="78">
        <f ca="1">IFERROR(__xludf.DUMMYFUNCTION("""COMPUTED_VALUE"""),0.0196496978547918)</f>
        <v>1.9649697854791801E-2</v>
      </c>
      <c r="BO221" s="66"/>
      <c r="BP221" s="66"/>
    </row>
    <row r="222" spans="1:68" ht="39.6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/>
      <c r="AQ222" s="75"/>
      <c r="AR222" s="75"/>
      <c r="AS222" s="75"/>
      <c r="AT222" s="75"/>
      <c r="AU222" s="75"/>
      <c r="AV222" s="75"/>
      <c r="AW222" s="75"/>
      <c r="AX222" s="75"/>
      <c r="AY222" s="77"/>
      <c r="AZ222" s="75"/>
      <c r="BA222" s="77"/>
      <c r="BB222" s="66"/>
      <c r="BC222" s="4"/>
      <c r="BD222" s="67" t="str">
        <f ca="1">IFERROR(__xludf.DUMMYFUNCTION("""COMPUTED_VALUE"""),"Забайкальский край")</f>
        <v>Забайкальский край</v>
      </c>
      <c r="BE222" s="67" t="str">
        <f ca="1">IFERROR(__xludf.DUMMYFUNCTION("""COMPUTED_VALUE"""),"Чита")</f>
        <v>Чита</v>
      </c>
      <c r="BF222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2" s="69" t="str">
        <f ca="1">IFERROR(__xludf.DUMMYFUNCTION("""COMPUTED_VALUE"""),"3.5.1.")</f>
        <v>3.5.1.</v>
      </c>
      <c r="BH222" s="84" t="str">
        <f ca="1">IFERROR(__xludf.DUMMYFUNCTION("""COMPUTED_VALUE"""),"Мероприятие ЮЛ/ИП")</f>
        <v>Мероприятие ЮЛ/ИП</v>
      </c>
      <c r="BI222" s="70" t="str">
        <f ca="1">IFERROR(__xludf.DUMMYFUNCTION("""COMPUTED_VALUE"""),"Модернизация предприятия")</f>
        <v>Модернизация предприятия</v>
      </c>
      <c r="BJ222" s="73" t="str">
        <f ca="1">IFERROR(__xludf.DUMMYFUNCTION("""COMPUTED_VALUE"""),"Взвешенные вещества")</f>
        <v>Взвешенные вещества</v>
      </c>
      <c r="BK222" s="78">
        <f ca="1">IFERROR(__xludf.DUMMYFUNCTION("""COMPUTED_VALUE"""),0.06228)</f>
        <v>6.2280000000000002E-2</v>
      </c>
      <c r="BL222" s="78">
        <f ca="1">IFERROR(__xludf.DUMMYFUNCTION("""COMPUTED_VALUE"""),0.000101420737120966)</f>
        <v>1.0142073712096601E-4</v>
      </c>
      <c r="BM222" s="78">
        <f ca="1">IFERROR(__xludf.DUMMYFUNCTION("""COMPUTED_VALUE"""),0.0489)</f>
        <v>4.8899999999999999E-2</v>
      </c>
      <c r="BN222" s="78">
        <f ca="1">IFERROR(__xludf.DUMMYFUNCTION("""COMPUTED_VALUE"""),0.0000796318889726281)</f>
        <v>7.9631888972628106E-5</v>
      </c>
      <c r="BO222" s="66"/>
      <c r="BP222" s="66"/>
    </row>
    <row r="223" spans="1:68" ht="13.2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/>
      <c r="AQ223" s="75"/>
      <c r="AR223" s="75"/>
      <c r="AS223" s="75"/>
      <c r="AT223" s="75"/>
      <c r="AU223" s="75"/>
      <c r="AV223" s="75"/>
      <c r="AW223" s="75"/>
      <c r="AX223" s="75"/>
      <c r="AY223" s="77"/>
      <c r="AZ223" s="75"/>
      <c r="BA223" s="77"/>
      <c r="BB223" s="66"/>
      <c r="BC223" s="4"/>
      <c r="BD223" s="67" t="str">
        <f ca="1">IFERROR(__xludf.DUMMYFUNCTION("""COMPUTED_VALUE"""),"Забайкальский край")</f>
        <v>Забайкальский край</v>
      </c>
      <c r="BE223" s="67" t="str">
        <f ca="1">IFERROR(__xludf.DUMMYFUNCTION("""COMPUTED_VALUE"""),"Чита")</f>
        <v>Чита</v>
      </c>
      <c r="BF223" s="68" t="str">
        <f ca="1">IFERROR(__xludf.DUMMYFUNCTION("""COMPUTED_VALUE"""),"ООО ""Теплоснабжение""")</f>
        <v>ООО "Теплоснабжение"</v>
      </c>
      <c r="BG223" s="69" t="str">
        <f ca="1">IFERROR(__xludf.DUMMYFUNCTION("""COMPUTED_VALUE"""),"3.6.1.")</f>
        <v>3.6.1.</v>
      </c>
      <c r="BH223" s="84" t="str">
        <f ca="1">IFERROR(__xludf.DUMMYFUNCTION("""COMPUTED_VALUE"""),"Мероприятие ЮЛ/ИП")</f>
        <v>Мероприятие ЮЛ/ИП</v>
      </c>
      <c r="BI223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3" s="73" t="str">
        <f ca="1">IFERROR(__xludf.DUMMYFUNCTION("""COMPUTED_VALUE"""),"Азота диоксид")</f>
        <v>Азота диоксид</v>
      </c>
      <c r="BK223" s="78">
        <f ca="1">IFERROR(__xludf.DUMMYFUNCTION("""COMPUTED_VALUE"""),0.377542)</f>
        <v>0.37754199999999999</v>
      </c>
      <c r="BL223" s="78">
        <f ca="1">IFERROR(__xludf.DUMMYFUNCTION("""COMPUTED_VALUE"""),0.000614813550644252)</f>
        <v>6.1481355064425195E-4</v>
      </c>
      <c r="BM223" s="78">
        <f ca="1">IFERROR(__xludf.DUMMYFUNCTION("""COMPUTED_VALUE"""),1.765354)</f>
        <v>1.7653540000000001</v>
      </c>
      <c r="BN223" s="78">
        <f ca="1">IFERROR(__xludf.DUMMYFUNCTION("""COMPUTED_VALUE"""),0.00287481541360705)</f>
        <v>2.8748154136070498E-3</v>
      </c>
      <c r="BO223" s="66"/>
      <c r="BP223" s="66"/>
    </row>
    <row r="224" spans="1:68" ht="13.2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/>
      <c r="AQ224" s="75"/>
      <c r="AR224" s="75"/>
      <c r="AS224" s="75"/>
      <c r="AT224" s="75"/>
      <c r="AU224" s="75"/>
      <c r="AV224" s="75"/>
      <c r="AW224" s="75"/>
      <c r="AX224" s="75"/>
      <c r="AY224" s="77"/>
      <c r="AZ224" s="75"/>
      <c r="BA224" s="77"/>
      <c r="BB224" s="66"/>
      <c r="BC224" s="4"/>
      <c r="BD224" s="67" t="str">
        <f ca="1">IFERROR(__xludf.DUMMYFUNCTION("""COMPUTED_VALUE"""),"Забайкальский край")</f>
        <v>Забайкальский край</v>
      </c>
      <c r="BE224" s="67" t="str">
        <f ca="1">IFERROR(__xludf.DUMMYFUNCTION("""COMPUTED_VALUE"""),"Чита")</f>
        <v>Чита</v>
      </c>
      <c r="BF224" s="68" t="str">
        <f ca="1">IFERROR(__xludf.DUMMYFUNCTION("""COMPUTED_VALUE"""),"ООО ""Теплоснабжение""")</f>
        <v>ООО "Теплоснабжение"</v>
      </c>
      <c r="BG224" s="69" t="str">
        <f ca="1">IFERROR(__xludf.DUMMYFUNCTION("""COMPUTED_VALUE"""),"3.6.1.")</f>
        <v>3.6.1.</v>
      </c>
      <c r="BH224" s="84" t="str">
        <f ca="1">IFERROR(__xludf.DUMMYFUNCTION("""COMPUTED_VALUE"""),"Мероприятие ЮЛ/ИП")</f>
        <v>Мероприятие ЮЛ/ИП</v>
      </c>
      <c r="BI224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4" s="73" t="str">
        <f ca="1">IFERROR(__xludf.DUMMYFUNCTION("""COMPUTED_VALUE"""),"Азот (II) оксид")</f>
        <v>Азот (II) оксид</v>
      </c>
      <c r="BK224" s="78">
        <f ca="1">IFERROR(__xludf.DUMMYFUNCTION("""COMPUTED_VALUE"""),0.06135)</f>
        <v>6.1350000000000002E-2</v>
      </c>
      <c r="BL224" s="78">
        <f ca="1">IFERROR(__xludf.DUMMYFUNCTION("""COMPUTED_VALUE"""),0.0000999062656128984)</f>
        <v>9.9906265612898404E-5</v>
      </c>
      <c r="BM224" s="78">
        <f ca="1">IFERROR(__xludf.DUMMYFUNCTION("""COMPUTED_VALUE"""),0.286869)</f>
        <v>0.28686899999999999</v>
      </c>
      <c r="BN224" s="78">
        <f ca="1">IFERROR(__xludf.DUMMYFUNCTION("""COMPUTED_VALUE"""),0.000467155835535559)</f>
        <v>4.67155835535559E-4</v>
      </c>
      <c r="BO224" s="66"/>
      <c r="BP224" s="66"/>
    </row>
    <row r="225" spans="1:68" ht="13.2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/>
      <c r="AQ225" s="75"/>
      <c r="AR225" s="75"/>
      <c r="AS225" s="75"/>
      <c r="AT225" s="75"/>
      <c r="AU225" s="75"/>
      <c r="AV225" s="75"/>
      <c r="AW225" s="75"/>
      <c r="AX225" s="75"/>
      <c r="AY225" s="77"/>
      <c r="AZ225" s="75"/>
      <c r="BA225" s="77"/>
      <c r="BB225" s="66"/>
      <c r="BC225" s="4"/>
      <c r="BD225" s="67" t="str">
        <f ca="1">IFERROR(__xludf.DUMMYFUNCTION("""COMPUTED_VALUE"""),"Забайкальский край")</f>
        <v>Забайкальский край</v>
      </c>
      <c r="BE225" s="67" t="str">
        <f ca="1">IFERROR(__xludf.DUMMYFUNCTION("""COMPUTED_VALUE"""),"Чита")</f>
        <v>Чита</v>
      </c>
      <c r="BF225" s="68" t="str">
        <f ca="1">IFERROR(__xludf.DUMMYFUNCTION("""COMPUTED_VALUE"""),"ООО ""Теплоснабжение""")</f>
        <v>ООО "Теплоснабжение"</v>
      </c>
      <c r="BG225" s="69" t="str">
        <f ca="1">IFERROR(__xludf.DUMMYFUNCTION("""COMPUTED_VALUE"""),"3.6.1.")</f>
        <v>3.6.1.</v>
      </c>
      <c r="BH225" s="84" t="str">
        <f ca="1">IFERROR(__xludf.DUMMYFUNCTION("""COMPUTED_VALUE"""),"Мероприятие ЮЛ/ИП")</f>
        <v>Мероприятие ЮЛ/ИП</v>
      </c>
      <c r="BI225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5" s="73" t="str">
        <f ca="1">IFERROR(__xludf.DUMMYFUNCTION("""COMPUTED_VALUE"""),"Бенз/а/пирен")</f>
        <v>Бенз/а/пирен</v>
      </c>
      <c r="BK225" s="78">
        <f ca="1">IFERROR(__xludf.DUMMYFUNCTION("""COMPUTED_VALUE"""),0.000006)</f>
        <v>6.0000000000000002E-6</v>
      </c>
      <c r="BL225" s="78">
        <f ca="1">IFERROR(__xludf.DUMMYFUNCTION("""COMPUTED_VALUE"""),9.77078392302185E-09)</f>
        <v>9.7707839230218501E-9</v>
      </c>
      <c r="BM225" s="78">
        <f ca="1">IFERROR(__xludf.DUMMYFUNCTION("""COMPUTED_VALUE"""),0.000026)</f>
        <v>2.5999999999999998E-5</v>
      </c>
      <c r="BN225" s="78">
        <f ca="1">IFERROR(__xludf.DUMMYFUNCTION("""COMPUTED_VALUE"""),4.2340063666428E-08)</f>
        <v>4.2340063666427997E-8</v>
      </c>
      <c r="BO225" s="66"/>
      <c r="BP225" s="66"/>
    </row>
    <row r="226" spans="1:68" ht="13.2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/>
      <c r="AQ226" s="75"/>
      <c r="AR226" s="75"/>
      <c r="AS226" s="75"/>
      <c r="AT226" s="75"/>
      <c r="AU226" s="75"/>
      <c r="AV226" s="75"/>
      <c r="AW226" s="75"/>
      <c r="AX226" s="75"/>
      <c r="AY226" s="77"/>
      <c r="AZ226" s="75"/>
      <c r="BA226" s="77"/>
      <c r="BB226" s="66"/>
      <c r="BC226" s="4"/>
      <c r="BD226" s="67" t="str">
        <f ca="1">IFERROR(__xludf.DUMMYFUNCTION("""COMPUTED_VALUE"""),"Забайкальский край")</f>
        <v>Забайкальский край</v>
      </c>
      <c r="BE226" s="67" t="str">
        <f ca="1">IFERROR(__xludf.DUMMYFUNCTION("""COMPUTED_VALUE"""),"Чита")</f>
        <v>Чита</v>
      </c>
      <c r="BF226" s="68" t="str">
        <f ca="1">IFERROR(__xludf.DUMMYFUNCTION("""COMPUTED_VALUE"""),"ООО ""Теплоснабжение""")</f>
        <v>ООО "Теплоснабжение"</v>
      </c>
      <c r="BG226" s="69" t="str">
        <f ca="1">IFERROR(__xludf.DUMMYFUNCTION("""COMPUTED_VALUE"""),"3.6.1.")</f>
        <v>3.6.1.</v>
      </c>
      <c r="BH226" s="84" t="str">
        <f ca="1">IFERROR(__xludf.DUMMYFUNCTION("""COMPUTED_VALUE"""),"Мероприятие ЮЛ/ИП")</f>
        <v>Мероприятие ЮЛ/ИП</v>
      </c>
      <c r="BI226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26" s="78">
        <f ca="1">IFERROR(__xludf.DUMMYFUNCTION("""COMPUTED_VALUE"""),2.021177)</f>
        <v>2.0211769999999998</v>
      </c>
      <c r="BL226" s="78">
        <f ca="1">IFERROR(__xludf.DUMMYFUNCTION("""COMPUTED_VALUE"""),0.00329141395619692)</f>
        <v>3.2914139561969198E-3</v>
      </c>
      <c r="BM226" s="78">
        <f ca="1">IFERROR(__xludf.DUMMYFUNCTION("""COMPUTED_VALUE"""),5.798912)</f>
        <v>5.7989119999999996</v>
      </c>
      <c r="BN226" s="78">
        <f ca="1">IFERROR(__xludf.DUMMYFUNCTION("""COMPUTED_VALUE"""),0.00944331935676975)</f>
        <v>9.4433193567697495E-3</v>
      </c>
      <c r="BO226" s="66"/>
      <c r="BP226" s="66"/>
    </row>
    <row r="227" spans="1:68" ht="13.2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/>
      <c r="AQ227" s="75"/>
      <c r="AR227" s="75"/>
      <c r="AS227" s="75"/>
      <c r="AT227" s="75"/>
      <c r="AU227" s="75"/>
      <c r="AV227" s="75"/>
      <c r="AW227" s="75"/>
      <c r="AX227" s="75"/>
      <c r="AY227" s="77"/>
      <c r="AZ227" s="75"/>
      <c r="BA227" s="77"/>
      <c r="BB227" s="66"/>
      <c r="BC227" s="4"/>
      <c r="BD227" s="67" t="str">
        <f ca="1">IFERROR(__xludf.DUMMYFUNCTION("""COMPUTED_VALUE"""),"Забайкальский край")</f>
        <v>Забайкальский край</v>
      </c>
      <c r="BE227" s="67" t="str">
        <f ca="1">IFERROR(__xludf.DUMMYFUNCTION("""COMPUTED_VALUE"""),"Чита")</f>
        <v>Чита</v>
      </c>
      <c r="BF227" s="68" t="str">
        <f ca="1">IFERROR(__xludf.DUMMYFUNCTION("""COMPUTED_VALUE"""),"ООО ""Теплоснабжение""")</f>
        <v>ООО "Теплоснабжение"</v>
      </c>
      <c r="BG227" s="69" t="str">
        <f ca="1">IFERROR(__xludf.DUMMYFUNCTION("""COMPUTED_VALUE"""),"3.6.1.")</f>
        <v>3.6.1.</v>
      </c>
      <c r="BH227" s="84" t="str">
        <f ca="1">IFERROR(__xludf.DUMMYFUNCTION("""COMPUTED_VALUE"""),"Мероприятие ЮЛ/ИП")</f>
        <v>Мероприятие ЮЛ/ИП</v>
      </c>
      <c r="BI227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7" s="73" t="str">
        <f ca="1">IFERROR(__xludf.DUMMYFUNCTION("""COMPUTED_VALUE"""),"Сера диоксид")</f>
        <v>Сера диоксид</v>
      </c>
      <c r="BK227" s="78">
        <f ca="1">IFERROR(__xludf.DUMMYFUNCTION("""COMPUTED_VALUE"""),2.524825)</f>
        <v>2.5248249999999999</v>
      </c>
      <c r="BL227" s="78">
        <f ca="1">IFERROR(__xludf.DUMMYFUNCTION("""COMPUTED_VALUE"""),0.00411158658640727)</f>
        <v>4.1115865864072704E-3</v>
      </c>
      <c r="BM227" s="78">
        <f ca="1">IFERROR(__xludf.DUMMYFUNCTION("""COMPUTED_VALUE"""),12.522159)</f>
        <v>12.522159</v>
      </c>
      <c r="BN227" s="78">
        <f ca="1">IFERROR(__xludf.DUMMYFUNCTION("""COMPUTED_VALUE"""),0.0203918849731205)</f>
        <v>2.03918849731205E-2</v>
      </c>
      <c r="BO227" s="66"/>
      <c r="BP227" s="66"/>
    </row>
    <row r="228" spans="1:68" ht="13.2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/>
      <c r="AQ228" s="75"/>
      <c r="AR228" s="75"/>
      <c r="AS228" s="75"/>
      <c r="AT228" s="75"/>
      <c r="AU228" s="75"/>
      <c r="AV228" s="75"/>
      <c r="AW228" s="75"/>
      <c r="AX228" s="75"/>
      <c r="AY228" s="77"/>
      <c r="AZ228" s="75"/>
      <c r="BA228" s="77"/>
      <c r="BB228" s="66"/>
      <c r="BC228" s="4"/>
      <c r="BD228" s="67" t="str">
        <f ca="1">IFERROR(__xludf.DUMMYFUNCTION("""COMPUTED_VALUE"""),"Забайкальский край")</f>
        <v>Забайкальский край</v>
      </c>
      <c r="BE228" s="67" t="str">
        <f ca="1">IFERROR(__xludf.DUMMYFUNCTION("""COMPUTED_VALUE"""),"Чита")</f>
        <v>Чита</v>
      </c>
      <c r="BF228" s="68" t="str">
        <f ca="1">IFERROR(__xludf.DUMMYFUNCTION("""COMPUTED_VALUE"""),"ООО ""Теплоснабжение""")</f>
        <v>ООО "Теплоснабжение"</v>
      </c>
      <c r="BG228" s="69" t="str">
        <f ca="1">IFERROR(__xludf.DUMMYFUNCTION("""COMPUTED_VALUE"""),"3.6.1.")</f>
        <v>3.6.1.</v>
      </c>
      <c r="BH228" s="84" t="str">
        <f ca="1">IFERROR(__xludf.DUMMYFUNCTION("""COMPUTED_VALUE"""),"Мероприятие ЮЛ/ИП")</f>
        <v>Мероприятие ЮЛ/ИП</v>
      </c>
      <c r="BI228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8" s="73" t="str">
        <f ca="1">IFERROR(__xludf.DUMMYFUNCTION("""COMPUTED_VALUE"""),"Углерод")</f>
        <v>Углерод</v>
      </c>
      <c r="BK228" s="78">
        <f ca="1">IFERROR(__xludf.DUMMYFUNCTION("""COMPUTED_VALUE"""),0.737082)</f>
        <v>0.73708200000000001</v>
      </c>
      <c r="BL228" s="78">
        <f ca="1">IFERROR(__xludf.DUMMYFUNCTION("""COMPUTED_VALUE"""),0.00120031149259146)</f>
        <v>1.2003114925914599E-3</v>
      </c>
      <c r="BM228" s="78">
        <f ca="1">IFERROR(__xludf.DUMMYFUNCTION("""COMPUTED_VALUE"""),3.362863)</f>
        <v>3.3628629999999999</v>
      </c>
      <c r="BN228" s="78">
        <f ca="1">IFERROR(__xludf.DUMMYFUNCTION("""COMPUTED_VALUE"""),0.0054763012892875)</f>
        <v>5.4763012892874996E-3</v>
      </c>
      <c r="BO228" s="66"/>
      <c r="BP228" s="66"/>
    </row>
    <row r="229" spans="1:68" ht="13.2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/>
      <c r="AQ229" s="75"/>
      <c r="AR229" s="75"/>
      <c r="AS229" s="75"/>
      <c r="AT229" s="75"/>
      <c r="AU229" s="75"/>
      <c r="AV229" s="75"/>
      <c r="AW229" s="75"/>
      <c r="AX229" s="75"/>
      <c r="AY229" s="77"/>
      <c r="AZ229" s="75"/>
      <c r="BA229" s="77"/>
      <c r="BB229" s="66"/>
      <c r="BC229" s="4"/>
      <c r="BD229" s="67" t="str">
        <f ca="1">IFERROR(__xludf.DUMMYFUNCTION("""COMPUTED_VALUE"""),"Забайкальский край")</f>
        <v>Забайкальский край</v>
      </c>
      <c r="BE229" s="67" t="str">
        <f ca="1">IFERROR(__xludf.DUMMYFUNCTION("""COMPUTED_VALUE"""),"Чита")</f>
        <v>Чита</v>
      </c>
      <c r="BF229" s="68" t="str">
        <f ca="1">IFERROR(__xludf.DUMMYFUNCTION("""COMPUTED_VALUE"""),"ООО ""Теплоснабжение""")</f>
        <v>ООО "Теплоснабжение"</v>
      </c>
      <c r="BG229" s="69" t="str">
        <f ca="1">IFERROR(__xludf.DUMMYFUNCTION("""COMPUTED_VALUE"""),"3.6.1.")</f>
        <v>3.6.1.</v>
      </c>
      <c r="BH229" s="84" t="str">
        <f ca="1">IFERROR(__xludf.DUMMYFUNCTION("""COMPUTED_VALUE"""),"Мероприятие ЮЛ/ИП")</f>
        <v>Мероприятие ЮЛ/ИП</v>
      </c>
      <c r="BI229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9" s="73" t="str">
        <f ca="1">IFERROR(__xludf.DUMMYFUNCTION("""COMPUTED_VALUE"""),"Углерода оксид")</f>
        <v>Углерода оксид</v>
      </c>
      <c r="BK229" s="78">
        <f ca="1">IFERROR(__xludf.DUMMYFUNCTION("""COMPUTED_VALUE"""),1.138978)</f>
        <v>1.138978</v>
      </c>
      <c r="BL229" s="78">
        <f ca="1">IFERROR(__xludf.DUMMYFUNCTION("""COMPUTED_VALUE"""),0.00185478465517926)</f>
        <v>1.85478465517926E-3</v>
      </c>
      <c r="BM229" s="78">
        <f ca="1">IFERROR(__xludf.DUMMYFUNCTION("""COMPUTED_VALUE"""),-8.087334)</f>
        <v>-8.0873340000000002</v>
      </c>
      <c r="BN229" s="78">
        <f ca="1">IFERROR(__xludf.DUMMYFUNCTION("""COMPUTED_VALUE"""),-0.013169932171218)</f>
        <v>-1.3169932171218E-2</v>
      </c>
      <c r="BO229" s="66"/>
      <c r="BP229" s="66"/>
    </row>
    <row r="230" spans="1:68" ht="13.2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/>
      <c r="AQ230" s="75"/>
      <c r="AR230" s="75"/>
      <c r="AS230" s="75"/>
      <c r="AT230" s="75"/>
      <c r="AU230" s="75"/>
      <c r="AV230" s="75"/>
      <c r="AW230" s="75"/>
      <c r="AX230" s="75"/>
      <c r="AY230" s="77"/>
      <c r="AZ230" s="75"/>
      <c r="BA230" s="77"/>
      <c r="BB230" s="66"/>
      <c r="BC230" s="4"/>
      <c r="BD230" s="86" t="str">
        <f ca="1">IFERROR(__xludf.DUMMYFUNCTION("""COMPUTED_VALUE"""),"Забайкальский край")</f>
        <v>Забайкальский край</v>
      </c>
      <c r="BE230" s="86" t="str">
        <f ca="1">IFERROR(__xludf.DUMMYFUNCTION("""COMPUTED_VALUE"""),"Чита")</f>
        <v>Чита</v>
      </c>
      <c r="BF230" s="68" t="str">
        <f ca="1">IFERROR(__xludf.DUMMYFUNCTION("""COMPUTED_VALUE"""),"ООО ""Теплоснабжение""")</f>
        <v>ООО "Теплоснабжение"</v>
      </c>
      <c r="BG230" s="87" t="str">
        <f ca="1">IFERROR(__xludf.DUMMYFUNCTION("""COMPUTED_VALUE"""),"3.6.1.")</f>
        <v>3.6.1.</v>
      </c>
      <c r="BH230" s="70" t="str">
        <f ca="1">IFERROR(__xludf.DUMMYFUNCTION("""COMPUTED_VALUE"""),"Мероприятие ЮЛ/ИП")</f>
        <v>Мероприятие ЮЛ/ИП</v>
      </c>
      <c r="BI230" s="84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30" s="79"/>
      <c r="BK230" s="78">
        <f ca="1">IFERROR(__xludf.DUMMYFUNCTION("""COMPUTED_VALUE"""),115.39904)</f>
        <v>115.39904</v>
      </c>
      <c r="BL230" s="78">
        <f ca="1">IFERROR(__xludf.DUMMYFUNCTION("""COMPUTED_VALUE"""),0.187923180794026)</f>
        <v>0.18792318079402601</v>
      </c>
      <c r="BM230" s="78"/>
      <c r="BN230" s="78">
        <f ca="1">IFERROR(__xludf.DUMMYFUNCTION("""COMPUTED_VALUE"""),0)</f>
        <v>0</v>
      </c>
      <c r="BO230" s="66"/>
      <c r="BP230" s="66"/>
    </row>
    <row r="231" spans="1:68" ht="13.2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/>
      <c r="AQ231" s="75"/>
      <c r="AR231" s="75"/>
      <c r="AS231" s="75"/>
      <c r="AT231" s="75"/>
      <c r="AU231" s="75"/>
      <c r="AV231" s="75"/>
      <c r="AW231" s="75"/>
      <c r="AX231" s="75"/>
      <c r="AY231" s="77"/>
      <c r="AZ231" s="75"/>
      <c r="BA231" s="77"/>
      <c r="BB231" s="66"/>
      <c r="BC231" s="4"/>
      <c r="BD231" s="86"/>
      <c r="BE231" s="86"/>
      <c r="BF231" s="68"/>
      <c r="BG231" s="87"/>
      <c r="BH231" s="70"/>
      <c r="BI231" s="84"/>
      <c r="BJ231" s="79"/>
      <c r="BK231" s="78"/>
      <c r="BL231" s="78"/>
      <c r="BM231" s="78"/>
      <c r="BN231" s="78"/>
      <c r="BO231" s="66"/>
      <c r="BP231" s="66"/>
    </row>
    <row r="232" spans="1:68" ht="13.2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/>
      <c r="AQ232" s="75"/>
      <c r="AR232" s="75"/>
      <c r="AS232" s="75"/>
      <c r="AT232" s="75"/>
      <c r="AU232" s="75"/>
      <c r="AV232" s="75"/>
      <c r="AW232" s="75"/>
      <c r="AX232" s="75"/>
      <c r="AY232" s="77"/>
      <c r="AZ232" s="75"/>
      <c r="BA232" s="77"/>
      <c r="BB232" s="66"/>
      <c r="BC232" s="4"/>
      <c r="BD232" s="86"/>
      <c r="BE232" s="86"/>
      <c r="BF232" s="68"/>
      <c r="BG232" s="69"/>
      <c r="BH232" s="70"/>
      <c r="BI232" s="70"/>
      <c r="BJ232" s="68"/>
      <c r="BK232" s="78"/>
      <c r="BL232" s="78"/>
      <c r="BM232" s="78"/>
      <c r="BN232" s="78"/>
      <c r="BO232" s="66"/>
      <c r="BP232" s="66"/>
    </row>
    <row r="233" spans="1:68" ht="13.2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/>
      <c r="AQ233" s="75"/>
      <c r="AR233" s="75"/>
      <c r="AS233" s="75"/>
      <c r="AT233" s="75"/>
      <c r="AU233" s="75"/>
      <c r="AV233" s="75"/>
      <c r="AW233" s="75"/>
      <c r="AX233" s="75"/>
      <c r="AY233" s="77"/>
      <c r="AZ233" s="75"/>
      <c r="BA233" s="77"/>
      <c r="BB233" s="66"/>
      <c r="BC233" s="4"/>
      <c r="BD233" s="86"/>
      <c r="BE233" s="86"/>
      <c r="BF233" s="68"/>
      <c r="BG233" s="69"/>
      <c r="BH233" s="70"/>
      <c r="BI233" s="70"/>
      <c r="BJ233" s="68"/>
      <c r="BK233" s="78"/>
      <c r="BL233" s="78"/>
      <c r="BM233" s="78"/>
      <c r="BN233" s="78"/>
      <c r="BO233" s="66"/>
      <c r="BP233" s="66"/>
    </row>
    <row r="234" spans="1:68" ht="13.2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/>
      <c r="AQ234" s="75"/>
      <c r="AR234" s="75"/>
      <c r="AS234" s="75"/>
      <c r="AT234" s="75"/>
      <c r="AU234" s="75"/>
      <c r="AV234" s="75"/>
      <c r="AW234" s="75"/>
      <c r="AX234" s="75"/>
      <c r="AY234" s="77"/>
      <c r="AZ234" s="75"/>
      <c r="BA234" s="77"/>
      <c r="BB234" s="66"/>
      <c r="BC234" s="4"/>
      <c r="BD234" s="86"/>
      <c r="BE234" s="86"/>
      <c r="BF234" s="68"/>
      <c r="BG234" s="69"/>
      <c r="BH234" s="70"/>
      <c r="BI234" s="70"/>
      <c r="BJ234" s="68"/>
      <c r="BK234" s="78"/>
      <c r="BL234" s="78"/>
      <c r="BM234" s="78"/>
      <c r="BN234" s="78"/>
      <c r="BO234" s="66"/>
      <c r="BP234" s="66"/>
    </row>
    <row r="235" spans="1:68" ht="13.2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/>
      <c r="AQ235" s="75"/>
      <c r="AR235" s="75"/>
      <c r="AS235" s="75"/>
      <c r="AT235" s="75"/>
      <c r="AU235" s="75"/>
      <c r="AV235" s="75"/>
      <c r="AW235" s="75"/>
      <c r="AX235" s="75"/>
      <c r="AY235" s="77"/>
      <c r="AZ235" s="75"/>
      <c r="BA235" s="77"/>
      <c r="BB235" s="66"/>
      <c r="BC235" s="4"/>
      <c r="BD235" s="86"/>
      <c r="BE235" s="86"/>
      <c r="BF235" s="68"/>
      <c r="BG235" s="69"/>
      <c r="BH235" s="70"/>
      <c r="BI235" s="70"/>
      <c r="BJ235" s="73"/>
      <c r="BK235" s="78"/>
      <c r="BL235" s="78"/>
      <c r="BM235" s="78"/>
      <c r="BN235" s="78"/>
      <c r="BO235" s="66"/>
      <c r="BP235" s="66"/>
    </row>
    <row r="236" spans="1:68" ht="13.2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/>
      <c r="AQ236" s="75"/>
      <c r="AR236" s="75"/>
      <c r="AS236" s="75"/>
      <c r="AT236" s="75"/>
      <c r="AU236" s="75"/>
      <c r="AV236" s="75"/>
      <c r="AW236" s="75"/>
      <c r="AX236" s="75"/>
      <c r="AY236" s="77"/>
      <c r="AZ236" s="75"/>
      <c r="BA236" s="77"/>
      <c r="BB236" s="66"/>
      <c r="BC236" s="4"/>
      <c r="BD236" s="86"/>
      <c r="BE236" s="86"/>
      <c r="BF236" s="68"/>
      <c r="BG236" s="69"/>
      <c r="BH236" s="70"/>
      <c r="BI236" s="70"/>
      <c r="BJ236" s="73"/>
      <c r="BK236" s="78"/>
      <c r="BL236" s="78"/>
      <c r="BM236" s="78"/>
      <c r="BN236" s="78"/>
      <c r="BO236" s="66"/>
      <c r="BP236" s="66"/>
    </row>
    <row r="237" spans="1:68" ht="13.2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/>
      <c r="AQ237" s="75"/>
      <c r="AR237" s="75"/>
      <c r="AS237" s="75"/>
      <c r="AT237" s="75"/>
      <c r="AU237" s="75"/>
      <c r="AV237" s="75"/>
      <c r="AW237" s="75"/>
      <c r="AX237" s="75"/>
      <c r="AY237" s="77"/>
      <c r="AZ237" s="75"/>
      <c r="BA237" s="77"/>
      <c r="BB237" s="66"/>
      <c r="BC237" s="4"/>
      <c r="BD237" s="67"/>
      <c r="BE237" s="67"/>
      <c r="BF237" s="68"/>
      <c r="BG237" s="69"/>
      <c r="BH237" s="70"/>
      <c r="BI237" s="70"/>
      <c r="BJ237" s="73"/>
      <c r="BK237" s="78"/>
      <c r="BL237" s="78"/>
      <c r="BM237" s="78"/>
      <c r="BN237" s="78"/>
      <c r="BO237" s="66"/>
      <c r="BP237" s="66"/>
    </row>
    <row r="238" spans="1:68" ht="13.2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/>
      <c r="AQ238" s="75"/>
      <c r="AR238" s="75"/>
      <c r="AS238" s="75"/>
      <c r="AT238" s="75"/>
      <c r="AU238" s="75"/>
      <c r="AV238" s="75"/>
      <c r="AW238" s="75"/>
      <c r="AX238" s="75"/>
      <c r="AY238" s="77"/>
      <c r="AZ238" s="75"/>
      <c r="BA238" s="77"/>
      <c r="BB238" s="66"/>
      <c r="BC238" s="4"/>
      <c r="BD238" s="67"/>
      <c r="BE238" s="67"/>
      <c r="BF238" s="68"/>
      <c r="BG238" s="69"/>
      <c r="BH238" s="70"/>
      <c r="BI238" s="70"/>
      <c r="BJ238" s="73"/>
      <c r="BK238" s="78"/>
      <c r="BL238" s="78"/>
      <c r="BM238" s="78"/>
      <c r="BN238" s="78"/>
      <c r="BO238" s="66"/>
      <c r="BP238" s="66"/>
    </row>
    <row r="239" spans="1:68" ht="13.2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/>
      <c r="AQ239" s="75"/>
      <c r="AR239" s="75"/>
      <c r="AS239" s="75"/>
      <c r="AT239" s="75"/>
      <c r="AU239" s="75"/>
      <c r="AV239" s="75"/>
      <c r="AW239" s="75"/>
      <c r="AX239" s="75"/>
      <c r="AY239" s="77"/>
      <c r="AZ239" s="75"/>
      <c r="BA239" s="77"/>
      <c r="BB239" s="66"/>
      <c r="BC239" s="4"/>
      <c r="BD239" s="67"/>
      <c r="BE239" s="67"/>
      <c r="BF239" s="68"/>
      <c r="BG239" s="69"/>
      <c r="BH239" s="70"/>
      <c r="BI239" s="70"/>
      <c r="BJ239" s="73"/>
      <c r="BK239" s="78"/>
      <c r="BL239" s="78"/>
      <c r="BM239" s="78"/>
      <c r="BN239" s="78"/>
      <c r="BO239" s="66"/>
      <c r="BP239" s="66"/>
    </row>
    <row r="240" spans="1:68" ht="13.2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/>
      <c r="AQ240" s="75"/>
      <c r="AR240" s="75"/>
      <c r="AS240" s="75"/>
      <c r="AT240" s="75"/>
      <c r="AU240" s="75"/>
      <c r="AV240" s="75"/>
      <c r="AW240" s="75"/>
      <c r="AX240" s="75"/>
      <c r="AY240" s="77"/>
      <c r="AZ240" s="75"/>
      <c r="BA240" s="77"/>
      <c r="BB240" s="66"/>
      <c r="BC240" s="4"/>
      <c r="BD240" s="67"/>
      <c r="BE240" s="67"/>
      <c r="BF240" s="68"/>
      <c r="BG240" s="69"/>
      <c r="BH240" s="70"/>
      <c r="BI240" s="70"/>
      <c r="BJ240" s="73"/>
      <c r="BK240" s="78"/>
      <c r="BL240" s="78"/>
      <c r="BM240" s="78"/>
      <c r="BN240" s="78"/>
      <c r="BO240" s="66"/>
      <c r="BP240" s="66"/>
    </row>
    <row r="241" spans="1:68" ht="13.2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/>
      <c r="AQ241" s="75"/>
      <c r="AR241" s="75"/>
      <c r="AS241" s="75"/>
      <c r="AT241" s="75"/>
      <c r="AU241" s="75"/>
      <c r="AV241" s="75"/>
      <c r="AW241" s="75"/>
      <c r="AX241" s="75"/>
      <c r="AY241" s="77"/>
      <c r="AZ241" s="75"/>
      <c r="BA241" s="77"/>
      <c r="BB241" s="66"/>
      <c r="BC241" s="4"/>
      <c r="BD241" s="67"/>
      <c r="BE241" s="67"/>
      <c r="BF241" s="68"/>
      <c r="BG241" s="69"/>
      <c r="BH241" s="70"/>
      <c r="BI241" s="70"/>
      <c r="BJ241" s="73"/>
      <c r="BK241" s="78"/>
      <c r="BL241" s="78"/>
      <c r="BM241" s="78"/>
      <c r="BN241" s="78"/>
      <c r="BO241" s="66"/>
      <c r="BP241" s="66"/>
    </row>
    <row r="242" spans="1:68" ht="13.2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/>
      <c r="AQ242" s="75"/>
      <c r="AR242" s="75"/>
      <c r="AS242" s="75"/>
      <c r="AT242" s="75"/>
      <c r="AU242" s="75"/>
      <c r="AV242" s="75"/>
      <c r="AW242" s="75"/>
      <c r="AX242" s="75"/>
      <c r="AY242" s="77"/>
      <c r="AZ242" s="75"/>
      <c r="BA242" s="77"/>
      <c r="BB242" s="66"/>
      <c r="BC242" s="4"/>
      <c r="BD242" s="67"/>
      <c r="BE242" s="67"/>
      <c r="BF242" s="68"/>
      <c r="BG242" s="69"/>
      <c r="BH242" s="70"/>
      <c r="BI242" s="70"/>
      <c r="BJ242" s="73"/>
      <c r="BK242" s="78"/>
      <c r="BL242" s="78"/>
      <c r="BM242" s="78"/>
      <c r="BN242" s="78"/>
      <c r="BO242" s="66"/>
      <c r="BP242" s="66"/>
    </row>
    <row r="243" spans="1:68" ht="13.2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/>
      <c r="AQ243" s="75"/>
      <c r="AR243" s="75"/>
      <c r="AS243" s="75"/>
      <c r="AT243" s="75"/>
      <c r="AU243" s="75"/>
      <c r="AV243" s="75"/>
      <c r="AW243" s="75"/>
      <c r="AX243" s="75"/>
      <c r="AY243" s="77"/>
      <c r="AZ243" s="75"/>
      <c r="BA243" s="77"/>
      <c r="BB243" s="66"/>
      <c r="BC243" s="4"/>
      <c r="BD243" s="67"/>
      <c r="BE243" s="67"/>
      <c r="BF243" s="68"/>
      <c r="BG243" s="69"/>
      <c r="BH243" s="70"/>
      <c r="BI243" s="70"/>
      <c r="BJ243" s="73"/>
      <c r="BK243" s="78"/>
      <c r="BL243" s="78"/>
      <c r="BM243" s="78"/>
      <c r="BN243" s="78"/>
      <c r="BO243" s="66"/>
      <c r="BP243" s="66"/>
    </row>
    <row r="244" spans="1:68" ht="13.2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/>
      <c r="AQ244" s="75"/>
      <c r="AR244" s="75"/>
      <c r="AS244" s="75"/>
      <c r="AT244" s="75"/>
      <c r="AU244" s="75"/>
      <c r="AV244" s="75"/>
      <c r="AW244" s="75"/>
      <c r="AX244" s="75"/>
      <c r="AY244" s="77"/>
      <c r="AZ244" s="75"/>
      <c r="BA244" s="77"/>
      <c r="BB244" s="66"/>
      <c r="BC244" s="4"/>
      <c r="BD244" s="67"/>
      <c r="BE244" s="67"/>
      <c r="BF244" s="68"/>
      <c r="BG244" s="69"/>
      <c r="BH244" s="70"/>
      <c r="BI244" s="70"/>
      <c r="BJ244" s="73"/>
      <c r="BK244" s="78"/>
      <c r="BL244" s="78"/>
      <c r="BM244" s="78"/>
      <c r="BN244" s="78"/>
      <c r="BO244" s="66"/>
      <c r="BP244" s="66"/>
    </row>
    <row r="245" spans="1:68" ht="13.2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/>
      <c r="AQ245" s="75"/>
      <c r="AR245" s="75"/>
      <c r="AS245" s="75"/>
      <c r="AT245" s="75"/>
      <c r="AU245" s="75"/>
      <c r="AV245" s="75"/>
      <c r="AW245" s="75"/>
      <c r="AX245" s="75"/>
      <c r="AY245" s="77"/>
      <c r="AZ245" s="75"/>
      <c r="BA245" s="77"/>
      <c r="BB245" s="66"/>
      <c r="BC245" s="4"/>
      <c r="BD245" s="67"/>
      <c r="BE245" s="67"/>
      <c r="BF245" s="68"/>
      <c r="BG245" s="69"/>
      <c r="BH245" s="70"/>
      <c r="BI245" s="70"/>
      <c r="BJ245" s="73"/>
      <c r="BK245" s="78"/>
      <c r="BL245" s="78"/>
      <c r="BM245" s="78"/>
      <c r="BN245" s="78"/>
      <c r="BO245" s="66"/>
      <c r="BP245" s="66"/>
    </row>
    <row r="246" spans="1:68" ht="13.2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/>
      <c r="AQ246" s="75"/>
      <c r="AR246" s="75"/>
      <c r="AS246" s="75"/>
      <c r="AT246" s="75"/>
      <c r="AU246" s="75"/>
      <c r="AV246" s="75"/>
      <c r="AW246" s="75"/>
      <c r="AX246" s="75"/>
      <c r="AY246" s="77"/>
      <c r="AZ246" s="75"/>
      <c r="BA246" s="77"/>
      <c r="BB246" s="66"/>
      <c r="BC246" s="4"/>
      <c r="BD246" s="67"/>
      <c r="BE246" s="67"/>
      <c r="BF246" s="68"/>
      <c r="BG246" s="69"/>
      <c r="BH246" s="84"/>
      <c r="BI246" s="70"/>
      <c r="BJ246" s="73"/>
      <c r="BK246" s="78"/>
      <c r="BL246" s="78"/>
      <c r="BM246" s="78"/>
      <c r="BN246" s="78"/>
      <c r="BO246" s="66"/>
      <c r="BP246" s="66"/>
    </row>
    <row r="247" spans="1:68" ht="13.2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/>
      <c r="AQ247" s="75"/>
      <c r="AR247" s="75"/>
      <c r="AS247" s="75"/>
      <c r="AT247" s="75"/>
      <c r="AU247" s="75"/>
      <c r="AV247" s="75"/>
      <c r="AW247" s="75"/>
      <c r="AX247" s="75"/>
      <c r="AY247" s="77"/>
      <c r="AZ247" s="75"/>
      <c r="BA247" s="77"/>
      <c r="BB247" s="66"/>
      <c r="BC247" s="4"/>
      <c r="BD247" s="67"/>
      <c r="BE247" s="67"/>
      <c r="BF247" s="68"/>
      <c r="BG247" s="69"/>
      <c r="BH247" s="84"/>
      <c r="BI247" s="70"/>
      <c r="BJ247" s="73"/>
      <c r="BK247" s="78"/>
      <c r="BL247" s="78"/>
      <c r="BM247" s="78"/>
      <c r="BN247" s="78"/>
      <c r="BO247" s="66"/>
      <c r="BP247" s="66"/>
    </row>
    <row r="248" spans="1:68" ht="13.2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/>
      <c r="AQ248" s="75"/>
      <c r="AR248" s="75"/>
      <c r="AS248" s="75"/>
      <c r="AT248" s="75"/>
      <c r="AU248" s="75"/>
      <c r="AV248" s="75"/>
      <c r="AW248" s="75"/>
      <c r="AX248" s="75"/>
      <c r="AY248" s="77"/>
      <c r="AZ248" s="75"/>
      <c r="BA248" s="77"/>
      <c r="BB248" s="66"/>
      <c r="BC248" s="4"/>
      <c r="BD248" s="67"/>
      <c r="BE248" s="67"/>
      <c r="BF248" s="68"/>
      <c r="BG248" s="69"/>
      <c r="BH248" s="84"/>
      <c r="BI248" s="70"/>
      <c r="BJ248" s="73"/>
      <c r="BK248" s="78"/>
      <c r="BL248" s="78"/>
      <c r="BM248" s="78"/>
      <c r="BN248" s="78"/>
      <c r="BO248" s="66"/>
      <c r="BP248" s="66"/>
    </row>
    <row r="249" spans="1:68" ht="13.2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/>
      <c r="AQ249" s="75"/>
      <c r="AR249" s="75"/>
      <c r="AS249" s="75"/>
      <c r="AT249" s="75"/>
      <c r="AU249" s="75"/>
      <c r="AV249" s="75"/>
      <c r="AW249" s="75"/>
      <c r="AX249" s="75"/>
      <c r="AY249" s="77"/>
      <c r="AZ249" s="75"/>
      <c r="BA249" s="77"/>
      <c r="BB249" s="66"/>
      <c r="BC249" s="4"/>
      <c r="BD249" s="67"/>
      <c r="BE249" s="67"/>
      <c r="BF249" s="68"/>
      <c r="BG249" s="69"/>
      <c r="BH249" s="84"/>
      <c r="BI249" s="70"/>
      <c r="BJ249" s="73"/>
      <c r="BK249" s="78"/>
      <c r="BL249" s="78"/>
      <c r="BM249" s="78"/>
      <c r="BN249" s="78"/>
      <c r="BO249" s="66"/>
      <c r="BP249" s="66"/>
    </row>
    <row r="250" spans="1:68" ht="13.2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/>
      <c r="AQ250" s="75"/>
      <c r="AR250" s="75"/>
      <c r="AS250" s="75"/>
      <c r="AT250" s="75"/>
      <c r="AU250" s="75"/>
      <c r="AV250" s="75"/>
      <c r="AW250" s="75"/>
      <c r="AX250" s="75"/>
      <c r="AY250" s="77"/>
      <c r="AZ250" s="75"/>
      <c r="BA250" s="77"/>
      <c r="BB250" s="66"/>
      <c r="BC250" s="4"/>
      <c r="BD250" s="67"/>
      <c r="BE250" s="67"/>
      <c r="BF250" s="68"/>
      <c r="BG250" s="69"/>
      <c r="BH250" s="84"/>
      <c r="BI250" s="70"/>
      <c r="BJ250" s="73"/>
      <c r="BK250" s="78"/>
      <c r="BL250" s="78"/>
      <c r="BM250" s="78"/>
      <c r="BN250" s="78"/>
      <c r="BO250" s="66"/>
      <c r="BP250" s="66"/>
    </row>
    <row r="251" spans="1:68" ht="13.2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/>
      <c r="AQ251" s="75"/>
      <c r="AR251" s="75"/>
      <c r="AS251" s="75"/>
      <c r="AT251" s="75"/>
      <c r="AU251" s="75"/>
      <c r="AV251" s="75"/>
      <c r="AW251" s="75"/>
      <c r="AX251" s="75"/>
      <c r="AY251" s="77"/>
      <c r="AZ251" s="75"/>
      <c r="BA251" s="77"/>
      <c r="BB251" s="66"/>
      <c r="BC251" s="4"/>
      <c r="BD251" s="67"/>
      <c r="BE251" s="67"/>
      <c r="BF251" s="68"/>
      <c r="BG251" s="69"/>
      <c r="BH251" s="84"/>
      <c r="BI251" s="70"/>
      <c r="BJ251" s="73"/>
      <c r="BK251" s="78"/>
      <c r="BL251" s="78"/>
      <c r="BM251" s="78"/>
      <c r="BN251" s="78"/>
      <c r="BO251" s="66"/>
      <c r="BP251" s="66"/>
    </row>
    <row r="252" spans="1:68" ht="13.2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/>
      <c r="AQ252" s="75"/>
      <c r="AR252" s="75"/>
      <c r="AS252" s="75"/>
      <c r="AT252" s="75"/>
      <c r="AU252" s="75"/>
      <c r="AV252" s="75"/>
      <c r="AW252" s="75"/>
      <c r="AX252" s="75"/>
      <c r="AY252" s="77"/>
      <c r="AZ252" s="75"/>
      <c r="BA252" s="77"/>
      <c r="BB252" s="66"/>
      <c r="BC252" s="4"/>
      <c r="BD252" s="67"/>
      <c r="BE252" s="67"/>
      <c r="BF252" s="68"/>
      <c r="BG252" s="69"/>
      <c r="BH252" s="84"/>
      <c r="BI252" s="70"/>
      <c r="BJ252" s="73"/>
      <c r="BK252" s="78"/>
      <c r="BL252" s="78"/>
      <c r="BM252" s="78"/>
      <c r="BN252" s="78"/>
      <c r="BO252" s="66"/>
      <c r="BP252" s="66"/>
    </row>
    <row r="253" spans="1:68" ht="13.2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/>
      <c r="AQ253" s="75"/>
      <c r="AR253" s="75"/>
      <c r="AS253" s="75"/>
      <c r="AT253" s="75"/>
      <c r="AU253" s="75"/>
      <c r="AV253" s="75"/>
      <c r="AW253" s="75"/>
      <c r="AX253" s="75"/>
      <c r="AY253" s="77"/>
      <c r="AZ253" s="75"/>
      <c r="BA253" s="77"/>
      <c r="BB253" s="66"/>
      <c r="BC253" s="4"/>
      <c r="BD253" s="67"/>
      <c r="BE253" s="67"/>
      <c r="BF253" s="68"/>
      <c r="BG253" s="69"/>
      <c r="BH253" s="84"/>
      <c r="BI253" s="70"/>
      <c r="BJ253" s="73"/>
      <c r="BK253" s="78"/>
      <c r="BL253" s="78"/>
      <c r="BM253" s="78"/>
      <c r="BN253" s="78"/>
      <c r="BO253" s="66"/>
      <c r="BP253" s="66"/>
    </row>
    <row r="254" spans="1:68" ht="13.2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/>
      <c r="AQ254" s="75"/>
      <c r="AR254" s="75"/>
      <c r="AS254" s="75"/>
      <c r="AT254" s="75"/>
      <c r="AU254" s="75"/>
      <c r="AV254" s="75"/>
      <c r="AW254" s="75"/>
      <c r="AX254" s="75"/>
      <c r="AY254" s="77"/>
      <c r="AZ254" s="75"/>
      <c r="BA254" s="77"/>
      <c r="BB254" s="66"/>
      <c r="BC254" s="4"/>
      <c r="BD254" s="67"/>
      <c r="BE254" s="67"/>
      <c r="BF254" s="68"/>
      <c r="BG254" s="69"/>
      <c r="BH254" s="84"/>
      <c r="BI254" s="70"/>
      <c r="BJ254" s="73"/>
      <c r="BK254" s="78"/>
      <c r="BL254" s="78"/>
      <c r="BM254" s="78"/>
      <c r="BN254" s="78"/>
      <c r="BO254" s="66"/>
      <c r="BP254" s="66"/>
    </row>
    <row r="255" spans="1:68" ht="13.2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/>
      <c r="AQ255" s="75"/>
      <c r="AR255" s="75"/>
      <c r="AS255" s="75"/>
      <c r="AT255" s="75"/>
      <c r="AU255" s="75"/>
      <c r="AV255" s="75"/>
      <c r="AW255" s="75"/>
      <c r="AX255" s="75"/>
      <c r="AY255" s="77"/>
      <c r="AZ255" s="75"/>
      <c r="BA255" s="77"/>
      <c r="BB255" s="66"/>
      <c r="BC255" s="4"/>
      <c r="BD255" s="67"/>
      <c r="BE255" s="67"/>
      <c r="BF255" s="68"/>
      <c r="BG255" s="69"/>
      <c r="BH255" s="84"/>
      <c r="BI255" s="70"/>
      <c r="BJ255" s="73"/>
      <c r="BK255" s="78"/>
      <c r="BL255" s="78"/>
      <c r="BM255" s="78"/>
      <c r="BN255" s="78"/>
      <c r="BO255" s="66"/>
      <c r="BP255" s="66"/>
    </row>
    <row r="256" spans="1:68" ht="13.2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/>
      <c r="AQ256" s="75"/>
      <c r="AR256" s="75"/>
      <c r="AS256" s="75"/>
      <c r="AT256" s="75"/>
      <c r="AU256" s="75"/>
      <c r="AV256" s="75"/>
      <c r="AW256" s="75"/>
      <c r="AX256" s="75"/>
      <c r="AY256" s="77"/>
      <c r="AZ256" s="75"/>
      <c r="BA256" s="77"/>
      <c r="BB256" s="66"/>
      <c r="BC256" s="4"/>
      <c r="BD256" s="67"/>
      <c r="BE256" s="67"/>
      <c r="BF256" s="68"/>
      <c r="BG256" s="69"/>
      <c r="BH256" s="84"/>
      <c r="BI256" s="70"/>
      <c r="BJ256" s="73"/>
      <c r="BK256" s="78"/>
      <c r="BL256" s="78"/>
      <c r="BM256" s="78"/>
      <c r="BN256" s="78"/>
      <c r="BO256" s="66"/>
      <c r="BP256" s="66"/>
    </row>
    <row r="257" spans="1:68" ht="13.2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/>
      <c r="AQ257" s="75"/>
      <c r="AR257" s="75"/>
      <c r="AS257" s="75"/>
      <c r="AT257" s="75"/>
      <c r="AU257" s="75"/>
      <c r="AV257" s="75"/>
      <c r="AW257" s="75"/>
      <c r="AX257" s="75"/>
      <c r="AY257" s="77"/>
      <c r="AZ257" s="75"/>
      <c r="BA257" s="77"/>
      <c r="BB257" s="66"/>
      <c r="BC257" s="4"/>
      <c r="BD257" s="67"/>
      <c r="BE257" s="67"/>
      <c r="BF257" s="68"/>
      <c r="BG257" s="69"/>
      <c r="BH257" s="84"/>
      <c r="BI257" s="70"/>
      <c r="BJ257" s="73"/>
      <c r="BK257" s="78"/>
      <c r="BL257" s="78"/>
      <c r="BM257" s="78"/>
      <c r="BN257" s="78"/>
      <c r="BO257" s="66"/>
      <c r="BP257" s="66"/>
    </row>
    <row r="258" spans="1:68" ht="13.2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/>
      <c r="AQ258" s="75"/>
      <c r="AR258" s="75"/>
      <c r="AS258" s="75"/>
      <c r="AT258" s="75"/>
      <c r="AU258" s="75"/>
      <c r="AV258" s="75"/>
      <c r="AW258" s="75"/>
      <c r="AX258" s="75"/>
      <c r="AY258" s="77"/>
      <c r="AZ258" s="75"/>
      <c r="BA258" s="77"/>
      <c r="BB258" s="66"/>
      <c r="BC258" s="4"/>
      <c r="BD258" s="67"/>
      <c r="BE258" s="67"/>
      <c r="BF258" s="68"/>
      <c r="BG258" s="69"/>
      <c r="BH258" s="84"/>
      <c r="BI258" s="70"/>
      <c r="BJ258" s="73"/>
      <c r="BK258" s="78"/>
      <c r="BL258" s="78"/>
      <c r="BM258" s="78"/>
      <c r="BN258" s="78"/>
      <c r="BO258" s="66"/>
      <c r="BP258" s="66"/>
    </row>
    <row r="259" spans="1:68" ht="13.2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/>
      <c r="AQ259" s="75"/>
      <c r="AR259" s="75"/>
      <c r="AS259" s="75"/>
      <c r="AT259" s="75"/>
      <c r="AU259" s="75"/>
      <c r="AV259" s="75"/>
      <c r="AW259" s="75"/>
      <c r="AX259" s="75"/>
      <c r="AY259" s="77"/>
      <c r="AZ259" s="75"/>
      <c r="BA259" s="77"/>
      <c r="BB259" s="66"/>
      <c r="BC259" s="4"/>
      <c r="BD259" s="67"/>
      <c r="BE259" s="67"/>
      <c r="BF259" s="68"/>
      <c r="BG259" s="69"/>
      <c r="BH259" s="84"/>
      <c r="BI259" s="70"/>
      <c r="BJ259" s="73"/>
      <c r="BK259" s="78"/>
      <c r="BL259" s="78"/>
      <c r="BM259" s="78"/>
      <c r="BN259" s="78"/>
      <c r="BO259" s="66"/>
      <c r="BP259" s="66"/>
    </row>
    <row r="260" spans="1:68" ht="13.2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/>
      <c r="AQ260" s="75"/>
      <c r="AR260" s="75"/>
      <c r="AS260" s="75"/>
      <c r="AT260" s="75"/>
      <c r="AU260" s="75"/>
      <c r="AV260" s="75"/>
      <c r="AW260" s="75"/>
      <c r="AX260" s="75"/>
      <c r="AY260" s="77"/>
      <c r="AZ260" s="75"/>
      <c r="BA260" s="77"/>
      <c r="BB260" s="66"/>
      <c r="BC260" s="4"/>
      <c r="BD260" s="67"/>
      <c r="BE260" s="67"/>
      <c r="BF260" s="68"/>
      <c r="BG260" s="69"/>
      <c r="BH260" s="84"/>
      <c r="BI260" s="70"/>
      <c r="BJ260" s="73"/>
      <c r="BK260" s="78"/>
      <c r="BL260" s="78"/>
      <c r="BM260" s="78"/>
      <c r="BN260" s="78"/>
      <c r="BO260" s="66"/>
      <c r="BP260" s="66"/>
    </row>
    <row r="261" spans="1:68" ht="13.2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/>
      <c r="AQ261" s="75"/>
      <c r="AR261" s="75"/>
      <c r="AS261" s="75"/>
      <c r="AT261" s="75"/>
      <c r="AU261" s="75"/>
      <c r="AV261" s="75"/>
      <c r="AW261" s="75"/>
      <c r="AX261" s="75"/>
      <c r="AY261" s="77"/>
      <c r="AZ261" s="75"/>
      <c r="BA261" s="77"/>
      <c r="BB261" s="66"/>
      <c r="BC261" s="4"/>
      <c r="BD261" s="67"/>
      <c r="BE261" s="67"/>
      <c r="BF261" s="68"/>
      <c r="BG261" s="69"/>
      <c r="BH261" s="84"/>
      <c r="BI261" s="70"/>
      <c r="BJ261" s="73"/>
      <c r="BK261" s="78"/>
      <c r="BL261" s="78"/>
      <c r="BM261" s="78"/>
      <c r="BN261" s="78"/>
      <c r="BO261" s="66"/>
      <c r="BP261" s="66"/>
    </row>
    <row r="262" spans="1:68" ht="13.2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/>
      <c r="AQ262" s="75"/>
      <c r="AR262" s="75"/>
      <c r="AS262" s="75"/>
      <c r="AT262" s="75"/>
      <c r="AU262" s="75"/>
      <c r="AV262" s="75"/>
      <c r="AW262" s="75"/>
      <c r="AX262" s="75"/>
      <c r="AY262" s="77"/>
      <c r="AZ262" s="75"/>
      <c r="BA262" s="77"/>
      <c r="BB262" s="66"/>
      <c r="BC262" s="4"/>
      <c r="BD262" s="67"/>
      <c r="BE262" s="67"/>
      <c r="BF262" s="68"/>
      <c r="BG262" s="69"/>
      <c r="BH262" s="84"/>
      <c r="BI262" s="70"/>
      <c r="BJ262" s="73"/>
      <c r="BK262" s="78"/>
      <c r="BL262" s="78"/>
      <c r="BM262" s="78"/>
      <c r="BN262" s="78"/>
      <c r="BO262" s="66"/>
      <c r="BP262" s="66"/>
    </row>
    <row r="263" spans="1:68" ht="13.2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/>
      <c r="AQ263" s="75"/>
      <c r="AR263" s="75"/>
      <c r="AS263" s="75"/>
      <c r="AT263" s="75"/>
      <c r="AU263" s="75"/>
      <c r="AV263" s="75"/>
      <c r="AW263" s="75"/>
      <c r="AX263" s="75"/>
      <c r="AY263" s="77"/>
      <c r="AZ263" s="75"/>
      <c r="BA263" s="77"/>
      <c r="BB263" s="66"/>
      <c r="BC263" s="4"/>
      <c r="BD263" s="67"/>
      <c r="BE263" s="67"/>
      <c r="BF263" s="68"/>
      <c r="BG263" s="69"/>
      <c r="BH263" s="84"/>
      <c r="BI263" s="70"/>
      <c r="BJ263" s="73"/>
      <c r="BK263" s="78"/>
      <c r="BL263" s="78"/>
      <c r="BM263" s="78"/>
      <c r="BN263" s="78"/>
      <c r="BO263" s="66"/>
      <c r="BP263" s="66"/>
    </row>
    <row r="264" spans="1:68" ht="13.2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/>
      <c r="AQ264" s="75"/>
      <c r="AR264" s="75"/>
      <c r="AS264" s="75"/>
      <c r="AT264" s="75"/>
      <c r="AU264" s="75"/>
      <c r="AV264" s="75"/>
      <c r="AW264" s="75"/>
      <c r="AX264" s="75"/>
      <c r="AY264" s="77"/>
      <c r="AZ264" s="75"/>
      <c r="BA264" s="77"/>
      <c r="BB264" s="66"/>
      <c r="BC264" s="4"/>
      <c r="BD264" s="67"/>
      <c r="BE264" s="67"/>
      <c r="BF264" s="68"/>
      <c r="BG264" s="69"/>
      <c r="BH264" s="84"/>
      <c r="BI264" s="70"/>
      <c r="BJ264" s="73"/>
      <c r="BK264" s="78"/>
      <c r="BL264" s="78"/>
      <c r="BM264" s="78"/>
      <c r="BN264" s="78"/>
      <c r="BO264" s="66"/>
      <c r="BP264" s="66"/>
    </row>
    <row r="265" spans="1:68" ht="13.2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/>
      <c r="AQ265" s="75"/>
      <c r="AR265" s="75"/>
      <c r="AS265" s="75"/>
      <c r="AT265" s="75"/>
      <c r="AU265" s="75"/>
      <c r="AV265" s="75"/>
      <c r="AW265" s="75"/>
      <c r="AX265" s="75"/>
      <c r="AY265" s="77"/>
      <c r="AZ265" s="75"/>
      <c r="BA265" s="77"/>
      <c r="BB265" s="66"/>
      <c r="BC265" s="4"/>
      <c r="BD265" s="67"/>
      <c r="BE265" s="67"/>
      <c r="BF265" s="68"/>
      <c r="BG265" s="69"/>
      <c r="BH265" s="84"/>
      <c r="BI265" s="70"/>
      <c r="BJ265" s="73"/>
      <c r="BK265" s="78"/>
      <c r="BL265" s="78"/>
      <c r="BM265" s="78"/>
      <c r="BN265" s="78"/>
      <c r="BO265" s="66"/>
      <c r="BP265" s="66"/>
    </row>
    <row r="266" spans="1:68" ht="13.2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/>
      <c r="AQ266" s="75"/>
      <c r="AR266" s="75"/>
      <c r="AS266" s="75"/>
      <c r="AT266" s="75"/>
      <c r="AU266" s="75"/>
      <c r="AV266" s="75"/>
      <c r="AW266" s="75"/>
      <c r="AX266" s="75"/>
      <c r="AY266" s="77"/>
      <c r="AZ266" s="75"/>
      <c r="BA266" s="77"/>
      <c r="BB266" s="66"/>
      <c r="BC266" s="4"/>
      <c r="BD266" s="67"/>
      <c r="BE266" s="67"/>
      <c r="BF266" s="68"/>
      <c r="BG266" s="69"/>
      <c r="BH266" s="84"/>
      <c r="BI266" s="70"/>
      <c r="BJ266" s="73"/>
      <c r="BK266" s="78"/>
      <c r="BL266" s="78"/>
      <c r="BM266" s="78"/>
      <c r="BN266" s="78"/>
      <c r="BO266" s="66"/>
      <c r="BP266" s="66"/>
    </row>
    <row r="267" spans="1:68" ht="13.2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/>
      <c r="AQ267" s="75"/>
      <c r="AR267" s="75"/>
      <c r="AS267" s="75"/>
      <c r="AT267" s="75"/>
      <c r="AU267" s="75"/>
      <c r="AV267" s="75"/>
      <c r="AW267" s="75"/>
      <c r="AX267" s="75"/>
      <c r="AY267" s="77"/>
      <c r="AZ267" s="75"/>
      <c r="BA267" s="77"/>
      <c r="BB267" s="66"/>
      <c r="BC267" s="4"/>
      <c r="BD267" s="67"/>
      <c r="BE267" s="67"/>
      <c r="BF267" s="68"/>
      <c r="BG267" s="69"/>
      <c r="BH267" s="84"/>
      <c r="BI267" s="70"/>
      <c r="BJ267" s="73"/>
      <c r="BK267" s="78"/>
      <c r="BL267" s="78"/>
      <c r="BM267" s="78"/>
      <c r="BN267" s="78"/>
      <c r="BO267" s="66"/>
      <c r="BP267" s="66"/>
    </row>
    <row r="268" spans="1:68" ht="13.2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/>
      <c r="AQ268" s="75"/>
      <c r="AR268" s="75"/>
      <c r="AS268" s="75"/>
      <c r="AT268" s="75"/>
      <c r="AU268" s="75"/>
      <c r="AV268" s="75"/>
      <c r="AW268" s="75"/>
      <c r="AX268" s="75"/>
      <c r="AY268" s="77"/>
      <c r="AZ268" s="75"/>
      <c r="BA268" s="77"/>
      <c r="BB268" s="66"/>
      <c r="BC268" s="4"/>
      <c r="BD268" s="67"/>
      <c r="BE268" s="67"/>
      <c r="BF268" s="68"/>
      <c r="BG268" s="69"/>
      <c r="BH268" s="84"/>
      <c r="BI268" s="70"/>
      <c r="BJ268" s="73"/>
      <c r="BK268" s="78"/>
      <c r="BL268" s="78"/>
      <c r="BM268" s="78"/>
      <c r="BN268" s="78"/>
      <c r="BO268" s="66"/>
      <c r="BP268" s="66"/>
    </row>
    <row r="269" spans="1:68" ht="13.2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/>
      <c r="AQ269" s="75"/>
      <c r="AR269" s="75"/>
      <c r="AS269" s="75"/>
      <c r="AT269" s="75"/>
      <c r="AU269" s="75"/>
      <c r="AV269" s="75"/>
      <c r="AW269" s="75"/>
      <c r="AX269" s="75"/>
      <c r="AY269" s="77"/>
      <c r="AZ269" s="75"/>
      <c r="BA269" s="77"/>
      <c r="BB269" s="66"/>
      <c r="BC269" s="4"/>
      <c r="BD269" s="67"/>
      <c r="BE269" s="67"/>
      <c r="BF269" s="68"/>
      <c r="BG269" s="69"/>
      <c r="BH269" s="84"/>
      <c r="BI269" s="70"/>
      <c r="BJ269" s="73"/>
      <c r="BK269" s="78"/>
      <c r="BL269" s="78"/>
      <c r="BM269" s="78"/>
      <c r="BN269" s="78"/>
      <c r="BO269" s="66"/>
      <c r="BP269" s="66"/>
    </row>
    <row r="270" spans="1:68" ht="13.2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/>
      <c r="AQ270" s="75"/>
      <c r="AR270" s="75"/>
      <c r="AS270" s="75"/>
      <c r="AT270" s="75"/>
      <c r="AU270" s="75"/>
      <c r="AV270" s="75"/>
      <c r="AW270" s="75"/>
      <c r="AX270" s="75"/>
      <c r="AY270" s="77"/>
      <c r="AZ270" s="75"/>
      <c r="BA270" s="77"/>
      <c r="BB270" s="66"/>
      <c r="BC270" s="4"/>
      <c r="BD270" s="67"/>
      <c r="BE270" s="67"/>
      <c r="BF270" s="68"/>
      <c r="BG270" s="69"/>
      <c r="BH270" s="84"/>
      <c r="BI270" s="70"/>
      <c r="BJ270" s="73"/>
      <c r="BK270" s="78"/>
      <c r="BL270" s="78"/>
      <c r="BM270" s="78"/>
      <c r="BN270" s="78"/>
      <c r="BO270" s="66"/>
      <c r="BP270" s="66"/>
    </row>
    <row r="271" spans="1:68" ht="13.2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/>
      <c r="AQ271" s="75"/>
      <c r="AR271" s="75"/>
      <c r="AS271" s="75"/>
      <c r="AT271" s="75"/>
      <c r="AU271" s="75"/>
      <c r="AV271" s="75"/>
      <c r="AW271" s="75"/>
      <c r="AX271" s="75"/>
      <c r="AY271" s="77"/>
      <c r="AZ271" s="75"/>
      <c r="BA271" s="77"/>
      <c r="BB271" s="66"/>
      <c r="BC271" s="4"/>
      <c r="BD271" s="67"/>
      <c r="BE271" s="67"/>
      <c r="BF271" s="68"/>
      <c r="BG271" s="69"/>
      <c r="BH271" s="84"/>
      <c r="BI271" s="70"/>
      <c r="BJ271" s="73"/>
      <c r="BK271" s="78"/>
      <c r="BL271" s="78"/>
      <c r="BM271" s="78"/>
      <c r="BN271" s="78"/>
      <c r="BO271" s="66"/>
      <c r="BP271" s="66"/>
    </row>
    <row r="272" spans="1:68" ht="13.2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/>
      <c r="AQ272" s="75"/>
      <c r="AR272" s="75"/>
      <c r="AS272" s="75"/>
      <c r="AT272" s="75"/>
      <c r="AU272" s="75"/>
      <c r="AV272" s="75"/>
      <c r="AW272" s="75"/>
      <c r="AX272" s="75"/>
      <c r="AY272" s="77"/>
      <c r="AZ272" s="75"/>
      <c r="BA272" s="77"/>
      <c r="BB272" s="66"/>
      <c r="BC272" s="4"/>
      <c r="BD272" s="67"/>
      <c r="BE272" s="67"/>
      <c r="BF272" s="68"/>
      <c r="BG272" s="69"/>
      <c r="BH272" s="84"/>
      <c r="BI272" s="70"/>
      <c r="BJ272" s="73"/>
      <c r="BK272" s="78"/>
      <c r="BL272" s="78"/>
      <c r="BM272" s="78"/>
      <c r="BN272" s="78"/>
      <c r="BO272" s="66"/>
      <c r="BP272" s="66"/>
    </row>
    <row r="273" spans="1:68" ht="13.2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/>
      <c r="AQ273" s="75"/>
      <c r="AR273" s="75"/>
      <c r="AS273" s="75"/>
      <c r="AT273" s="75"/>
      <c r="AU273" s="75"/>
      <c r="AV273" s="75"/>
      <c r="AW273" s="75"/>
      <c r="AX273" s="75"/>
      <c r="AY273" s="77"/>
      <c r="AZ273" s="75"/>
      <c r="BA273" s="77"/>
      <c r="BB273" s="66"/>
      <c r="BC273" s="4"/>
      <c r="BD273" s="67"/>
      <c r="BE273" s="67"/>
      <c r="BF273" s="68"/>
      <c r="BG273" s="69"/>
      <c r="BH273" s="84"/>
      <c r="BI273" s="70"/>
      <c r="BJ273" s="73"/>
      <c r="BK273" s="78"/>
      <c r="BL273" s="78"/>
      <c r="BM273" s="78"/>
      <c r="BN273" s="78"/>
      <c r="BO273" s="66"/>
      <c r="BP273" s="66"/>
    </row>
    <row r="274" spans="1:68" ht="13.2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/>
      <c r="AQ274" s="75"/>
      <c r="AR274" s="75"/>
      <c r="AS274" s="75"/>
      <c r="AT274" s="75"/>
      <c r="AU274" s="75"/>
      <c r="AV274" s="75"/>
      <c r="AW274" s="75"/>
      <c r="AX274" s="75"/>
      <c r="AY274" s="77"/>
      <c r="AZ274" s="75"/>
      <c r="BA274" s="77"/>
      <c r="BB274" s="66"/>
      <c r="BC274" s="4"/>
      <c r="BD274" s="67"/>
      <c r="BE274" s="67"/>
      <c r="BF274" s="68"/>
      <c r="BG274" s="69"/>
      <c r="BH274" s="84"/>
      <c r="BI274" s="70"/>
      <c r="BJ274" s="73"/>
      <c r="BK274" s="78"/>
      <c r="BL274" s="78"/>
      <c r="BM274" s="78"/>
      <c r="BN274" s="78"/>
      <c r="BO274" s="66"/>
      <c r="BP274" s="66"/>
    </row>
    <row r="275" spans="1:68" ht="13.2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/>
      <c r="AQ275" s="75"/>
      <c r="AR275" s="75"/>
      <c r="AS275" s="75"/>
      <c r="AT275" s="75"/>
      <c r="AU275" s="75"/>
      <c r="AV275" s="75"/>
      <c r="AW275" s="75"/>
      <c r="AX275" s="75"/>
      <c r="AY275" s="77"/>
      <c r="AZ275" s="75"/>
      <c r="BA275" s="77"/>
      <c r="BB275" s="66"/>
      <c r="BC275" s="4"/>
      <c r="BD275" s="67"/>
      <c r="BE275" s="67"/>
      <c r="BF275" s="68"/>
      <c r="BG275" s="69"/>
      <c r="BH275" s="84"/>
      <c r="BI275" s="70"/>
      <c r="BJ275" s="73"/>
      <c r="BK275" s="78"/>
      <c r="BL275" s="78"/>
      <c r="BM275" s="78"/>
      <c r="BN275" s="78"/>
      <c r="BO275" s="66"/>
      <c r="BP275" s="66"/>
    </row>
    <row r="276" spans="1:68" ht="13.2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/>
      <c r="AQ276" s="75"/>
      <c r="AR276" s="75"/>
      <c r="AS276" s="75"/>
      <c r="AT276" s="75"/>
      <c r="AU276" s="75"/>
      <c r="AV276" s="75"/>
      <c r="AW276" s="75"/>
      <c r="AX276" s="75"/>
      <c r="AY276" s="77"/>
      <c r="AZ276" s="75"/>
      <c r="BA276" s="77"/>
      <c r="BB276" s="66"/>
      <c r="BC276" s="4"/>
      <c r="BD276" s="67"/>
      <c r="BE276" s="67"/>
      <c r="BF276" s="68"/>
      <c r="BG276" s="69"/>
      <c r="BH276" s="84"/>
      <c r="BI276" s="70"/>
      <c r="BJ276" s="73"/>
      <c r="BK276" s="78"/>
      <c r="BL276" s="78"/>
      <c r="BM276" s="78"/>
      <c r="BN276" s="78"/>
      <c r="BO276" s="66"/>
      <c r="BP276" s="66"/>
    </row>
    <row r="277" spans="1:68" ht="13.2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/>
      <c r="AQ277" s="75"/>
      <c r="AR277" s="75"/>
      <c r="AS277" s="75"/>
      <c r="AT277" s="75"/>
      <c r="AU277" s="75"/>
      <c r="AV277" s="75"/>
      <c r="AW277" s="75"/>
      <c r="AX277" s="75"/>
      <c r="AY277" s="77"/>
      <c r="AZ277" s="75"/>
      <c r="BA277" s="77"/>
      <c r="BB277" s="66"/>
      <c r="BC277" s="4"/>
      <c r="BD277" s="67"/>
      <c r="BE277" s="67"/>
      <c r="BF277" s="68"/>
      <c r="BG277" s="69"/>
      <c r="BH277" s="84"/>
      <c r="BI277" s="70"/>
      <c r="BJ277" s="73"/>
      <c r="BK277" s="78"/>
      <c r="BL277" s="78"/>
      <c r="BM277" s="78"/>
      <c r="BN277" s="78"/>
      <c r="BO277" s="66"/>
      <c r="BP277" s="66"/>
    </row>
    <row r="278" spans="1:68" ht="13.2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/>
      <c r="AQ278" s="75"/>
      <c r="AR278" s="75"/>
      <c r="AS278" s="75"/>
      <c r="AT278" s="75"/>
      <c r="AU278" s="75"/>
      <c r="AV278" s="75"/>
      <c r="AW278" s="75"/>
      <c r="AX278" s="75"/>
      <c r="AY278" s="77"/>
      <c r="AZ278" s="75"/>
      <c r="BA278" s="77"/>
      <c r="BB278" s="66"/>
      <c r="BC278" s="4"/>
      <c r="BD278" s="67"/>
      <c r="BE278" s="67"/>
      <c r="BF278" s="68"/>
      <c r="BG278" s="69"/>
      <c r="BH278" s="84"/>
      <c r="BI278" s="70"/>
      <c r="BJ278" s="73"/>
      <c r="BK278" s="78"/>
      <c r="BL278" s="78"/>
      <c r="BM278" s="78"/>
      <c r="BN278" s="78"/>
      <c r="BO278" s="66"/>
      <c r="BP278" s="66"/>
    </row>
    <row r="279" spans="1:68" ht="13.2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/>
      <c r="AQ279" s="75"/>
      <c r="AR279" s="75"/>
      <c r="AS279" s="75"/>
      <c r="AT279" s="75"/>
      <c r="AU279" s="75"/>
      <c r="AV279" s="75"/>
      <c r="AW279" s="75"/>
      <c r="AX279" s="75"/>
      <c r="AY279" s="77"/>
      <c r="AZ279" s="75"/>
      <c r="BA279" s="77"/>
      <c r="BB279" s="66"/>
      <c r="BC279" s="4"/>
      <c r="BD279" s="67"/>
      <c r="BE279" s="67"/>
      <c r="BF279" s="68"/>
      <c r="BG279" s="69"/>
      <c r="BH279" s="84"/>
      <c r="BI279" s="70"/>
      <c r="BJ279" s="73"/>
      <c r="BK279" s="78"/>
      <c r="BL279" s="78"/>
      <c r="BM279" s="78"/>
      <c r="BN279" s="78"/>
      <c r="BO279" s="66"/>
      <c r="BP279" s="66"/>
    </row>
    <row r="280" spans="1:68" ht="13.2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/>
      <c r="AQ280" s="75"/>
      <c r="AR280" s="75"/>
      <c r="AS280" s="75"/>
      <c r="AT280" s="75"/>
      <c r="AU280" s="75"/>
      <c r="AV280" s="75"/>
      <c r="AW280" s="75"/>
      <c r="AX280" s="75"/>
      <c r="AY280" s="77"/>
      <c r="AZ280" s="75"/>
      <c r="BA280" s="77"/>
      <c r="BB280" s="66"/>
      <c r="BC280" s="4"/>
      <c r="BD280" s="67"/>
      <c r="BE280" s="67"/>
      <c r="BF280" s="68"/>
      <c r="BG280" s="69"/>
      <c r="BH280" s="84"/>
      <c r="BI280" s="70"/>
      <c r="BJ280" s="73"/>
      <c r="BK280" s="78"/>
      <c r="BL280" s="78"/>
      <c r="BM280" s="78"/>
      <c r="BN280" s="78"/>
      <c r="BO280" s="66"/>
      <c r="BP280" s="66"/>
    </row>
    <row r="281" spans="1:68" ht="13.2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/>
      <c r="AQ281" s="75"/>
      <c r="AR281" s="75"/>
      <c r="AS281" s="75"/>
      <c r="AT281" s="75"/>
      <c r="AU281" s="75"/>
      <c r="AV281" s="75"/>
      <c r="AW281" s="75"/>
      <c r="AX281" s="75"/>
      <c r="AY281" s="77"/>
      <c r="AZ281" s="75"/>
      <c r="BA281" s="77"/>
      <c r="BB281" s="66"/>
      <c r="BC281" s="4"/>
      <c r="BD281" s="67"/>
      <c r="BE281" s="67"/>
      <c r="BF281" s="68"/>
      <c r="BG281" s="69"/>
      <c r="BH281" s="84"/>
      <c r="BI281" s="70"/>
      <c r="BJ281" s="73"/>
      <c r="BK281" s="78"/>
      <c r="BL281" s="78"/>
      <c r="BM281" s="78"/>
      <c r="BN281" s="78"/>
      <c r="BO281" s="66"/>
      <c r="BP281" s="66"/>
    </row>
    <row r="282" spans="1:68" ht="13.2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/>
      <c r="AQ282" s="75"/>
      <c r="AR282" s="75"/>
      <c r="AS282" s="75"/>
      <c r="AT282" s="75"/>
      <c r="AU282" s="75"/>
      <c r="AV282" s="75"/>
      <c r="AW282" s="75"/>
      <c r="AX282" s="75"/>
      <c r="AY282" s="77"/>
      <c r="AZ282" s="75"/>
      <c r="BA282" s="77"/>
      <c r="BB282" s="66"/>
      <c r="BC282" s="4"/>
      <c r="BD282" s="67"/>
      <c r="BE282" s="67"/>
      <c r="BF282" s="68"/>
      <c r="BG282" s="69"/>
      <c r="BH282" s="84"/>
      <c r="BI282" s="70"/>
      <c r="BJ282" s="73"/>
      <c r="BK282" s="78"/>
      <c r="BL282" s="78"/>
      <c r="BM282" s="78"/>
      <c r="BN282" s="78"/>
      <c r="BO282" s="66"/>
      <c r="BP282" s="66"/>
    </row>
    <row r="283" spans="1:68" ht="13.2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/>
      <c r="AQ283" s="75"/>
      <c r="AR283" s="75"/>
      <c r="AS283" s="75"/>
      <c r="AT283" s="75"/>
      <c r="AU283" s="75"/>
      <c r="AV283" s="75"/>
      <c r="AW283" s="75"/>
      <c r="AX283" s="75"/>
      <c r="AY283" s="77"/>
      <c r="AZ283" s="75"/>
      <c r="BA283" s="77"/>
      <c r="BB283" s="66"/>
      <c r="BC283" s="4"/>
      <c r="BD283" s="67"/>
      <c r="BE283" s="67"/>
      <c r="BF283" s="68"/>
      <c r="BG283" s="69"/>
      <c r="BH283" s="84"/>
      <c r="BI283" s="70"/>
      <c r="BJ283" s="73"/>
      <c r="BK283" s="78"/>
      <c r="BL283" s="78"/>
      <c r="BM283" s="78"/>
      <c r="BN283" s="78"/>
      <c r="BO283" s="66"/>
      <c r="BP283" s="66"/>
    </row>
    <row r="284" spans="1:68" ht="13.2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/>
      <c r="AQ284" s="75"/>
      <c r="AR284" s="75"/>
      <c r="AS284" s="75"/>
      <c r="AT284" s="75"/>
      <c r="AU284" s="75"/>
      <c r="AV284" s="75"/>
      <c r="AW284" s="75"/>
      <c r="AX284" s="75"/>
      <c r="AY284" s="77"/>
      <c r="AZ284" s="75"/>
      <c r="BA284" s="77"/>
      <c r="BB284" s="66"/>
      <c r="BC284" s="4"/>
      <c r="BD284" s="67"/>
      <c r="BE284" s="67"/>
      <c r="BF284" s="68"/>
      <c r="BG284" s="69"/>
      <c r="BH284" s="84"/>
      <c r="BI284" s="70"/>
      <c r="BJ284" s="73"/>
      <c r="BK284" s="78"/>
      <c r="BL284" s="78"/>
      <c r="BM284" s="78"/>
      <c r="BN284" s="78"/>
      <c r="BO284" s="66"/>
      <c r="BP284" s="66"/>
    </row>
    <row r="285" spans="1:68" ht="13.2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/>
      <c r="AQ285" s="75"/>
      <c r="AR285" s="75"/>
      <c r="AS285" s="75"/>
      <c r="AT285" s="75"/>
      <c r="AU285" s="75"/>
      <c r="AV285" s="75"/>
      <c r="AW285" s="75"/>
      <c r="AX285" s="75"/>
      <c r="AY285" s="77"/>
      <c r="AZ285" s="75"/>
      <c r="BA285" s="77"/>
      <c r="BB285" s="66"/>
      <c r="BC285" s="4"/>
      <c r="BD285" s="67"/>
      <c r="BE285" s="67"/>
      <c r="BF285" s="68"/>
      <c r="BG285" s="69"/>
      <c r="BH285" s="84"/>
      <c r="BI285" s="70"/>
      <c r="BJ285" s="73"/>
      <c r="BK285" s="78"/>
      <c r="BL285" s="78"/>
      <c r="BM285" s="78"/>
      <c r="BN285" s="78"/>
      <c r="BO285" s="66"/>
      <c r="BP285" s="66"/>
    </row>
    <row r="286" spans="1:68" ht="13.2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/>
      <c r="AQ286" s="75"/>
      <c r="AR286" s="75"/>
      <c r="AS286" s="75"/>
      <c r="AT286" s="75"/>
      <c r="AU286" s="75"/>
      <c r="AV286" s="75"/>
      <c r="AW286" s="75"/>
      <c r="AX286" s="75"/>
      <c r="AY286" s="77"/>
      <c r="AZ286" s="75"/>
      <c r="BA286" s="77"/>
      <c r="BB286" s="66"/>
      <c r="BC286" s="4"/>
      <c r="BD286" s="67"/>
      <c r="BE286" s="67"/>
      <c r="BF286" s="68"/>
      <c r="BG286" s="69"/>
      <c r="BH286" s="84"/>
      <c r="BI286" s="70"/>
      <c r="BJ286" s="73"/>
      <c r="BK286" s="78"/>
      <c r="BL286" s="78"/>
      <c r="BM286" s="78"/>
      <c r="BN286" s="78"/>
      <c r="BO286" s="66"/>
      <c r="BP286" s="66"/>
    </row>
    <row r="287" spans="1:68" ht="13.2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/>
      <c r="AQ287" s="75"/>
      <c r="AR287" s="75"/>
      <c r="AS287" s="75"/>
      <c r="AT287" s="75"/>
      <c r="AU287" s="75"/>
      <c r="AV287" s="75"/>
      <c r="AW287" s="75"/>
      <c r="AX287" s="75"/>
      <c r="AY287" s="77"/>
      <c r="AZ287" s="75"/>
      <c r="BA287" s="77"/>
      <c r="BB287" s="66"/>
      <c r="BC287" s="4"/>
      <c r="BD287" s="67"/>
      <c r="BE287" s="67"/>
      <c r="BF287" s="68"/>
      <c r="BG287" s="69"/>
      <c r="BH287" s="84"/>
      <c r="BI287" s="70"/>
      <c r="BJ287" s="73"/>
      <c r="BK287" s="78"/>
      <c r="BL287" s="78"/>
      <c r="BM287" s="78"/>
      <c r="BN287" s="78"/>
      <c r="BO287" s="66"/>
      <c r="BP287" s="66"/>
    </row>
    <row r="288" spans="1:68" ht="13.2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/>
      <c r="AQ288" s="75"/>
      <c r="AR288" s="75"/>
      <c r="AS288" s="75"/>
      <c r="AT288" s="75"/>
      <c r="AU288" s="75"/>
      <c r="AV288" s="75"/>
      <c r="AW288" s="75"/>
      <c r="AX288" s="75"/>
      <c r="AY288" s="77"/>
      <c r="AZ288" s="75"/>
      <c r="BA288" s="77"/>
      <c r="BB288" s="66"/>
      <c r="BC288" s="4"/>
      <c r="BD288" s="67"/>
      <c r="BE288" s="67"/>
      <c r="BF288" s="68"/>
      <c r="BG288" s="69"/>
      <c r="BH288" s="84"/>
      <c r="BI288" s="70"/>
      <c r="BJ288" s="73"/>
      <c r="BK288" s="78"/>
      <c r="BL288" s="78"/>
      <c r="BM288" s="78"/>
      <c r="BN288" s="78"/>
      <c r="BO288" s="66"/>
      <c r="BP288" s="66"/>
    </row>
    <row r="289" spans="1:68" ht="13.2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/>
      <c r="AQ289" s="75"/>
      <c r="AR289" s="75"/>
      <c r="AS289" s="75"/>
      <c r="AT289" s="75"/>
      <c r="AU289" s="75"/>
      <c r="AV289" s="75"/>
      <c r="AW289" s="75"/>
      <c r="AX289" s="75"/>
      <c r="AY289" s="77"/>
      <c r="AZ289" s="75"/>
      <c r="BA289" s="77"/>
      <c r="BB289" s="66"/>
      <c r="BC289" s="4"/>
      <c r="BD289" s="67"/>
      <c r="BE289" s="67"/>
      <c r="BF289" s="68"/>
      <c r="BG289" s="69"/>
      <c r="BH289" s="84"/>
      <c r="BI289" s="70"/>
      <c r="BJ289" s="73"/>
      <c r="BK289" s="78"/>
      <c r="BL289" s="78"/>
      <c r="BM289" s="78"/>
      <c r="BN289" s="78"/>
      <c r="BO289" s="66"/>
      <c r="BP289" s="66"/>
    </row>
    <row r="290" spans="1:68" ht="13.2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/>
      <c r="AQ290" s="75"/>
      <c r="AR290" s="75"/>
      <c r="AS290" s="75"/>
      <c r="AT290" s="75"/>
      <c r="AU290" s="75"/>
      <c r="AV290" s="75"/>
      <c r="AW290" s="75"/>
      <c r="AX290" s="75"/>
      <c r="AY290" s="77"/>
      <c r="AZ290" s="75"/>
      <c r="BA290" s="77"/>
      <c r="BB290" s="66"/>
      <c r="BC290" s="4"/>
      <c r="BD290" s="67"/>
      <c r="BE290" s="67"/>
      <c r="BF290" s="68"/>
      <c r="BG290" s="69"/>
      <c r="BH290" s="84"/>
      <c r="BI290" s="70"/>
      <c r="BJ290" s="73"/>
      <c r="BK290" s="78"/>
      <c r="BL290" s="78"/>
      <c r="BM290" s="78"/>
      <c r="BN290" s="78"/>
      <c r="BO290" s="66"/>
      <c r="BP290" s="66"/>
    </row>
    <row r="291" spans="1:68" ht="13.2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/>
      <c r="AQ291" s="75"/>
      <c r="AR291" s="75"/>
      <c r="AS291" s="75"/>
      <c r="AT291" s="75"/>
      <c r="AU291" s="75"/>
      <c r="AV291" s="75"/>
      <c r="AW291" s="75"/>
      <c r="AX291" s="75"/>
      <c r="AY291" s="77"/>
      <c r="AZ291" s="75"/>
      <c r="BA291" s="77"/>
      <c r="BB291" s="66"/>
      <c r="BC291" s="4"/>
      <c r="BD291" s="67"/>
      <c r="BE291" s="67"/>
      <c r="BF291" s="68"/>
      <c r="BG291" s="69"/>
      <c r="BH291" s="84"/>
      <c r="BI291" s="70"/>
      <c r="BJ291" s="73"/>
      <c r="BK291" s="78"/>
      <c r="BL291" s="78"/>
      <c r="BM291" s="78"/>
      <c r="BN291" s="78"/>
      <c r="BO291" s="66"/>
      <c r="BP291" s="66"/>
    </row>
    <row r="292" spans="1:68" ht="13.2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/>
      <c r="AQ292" s="75"/>
      <c r="AR292" s="75"/>
      <c r="AS292" s="75"/>
      <c r="AT292" s="75"/>
      <c r="AU292" s="75"/>
      <c r="AV292" s="75"/>
      <c r="AW292" s="75"/>
      <c r="AX292" s="75"/>
      <c r="AY292" s="77"/>
      <c r="AZ292" s="75"/>
      <c r="BA292" s="77"/>
      <c r="BB292" s="66"/>
      <c r="BC292" s="4"/>
      <c r="BD292" s="67"/>
      <c r="BE292" s="67"/>
      <c r="BF292" s="68"/>
      <c r="BG292" s="69"/>
      <c r="BH292" s="84"/>
      <c r="BI292" s="70"/>
      <c r="BJ292" s="73"/>
      <c r="BK292" s="78"/>
      <c r="BL292" s="78"/>
      <c r="BM292" s="78"/>
      <c r="BN292" s="78"/>
      <c r="BO292" s="66"/>
      <c r="BP292" s="66"/>
    </row>
    <row r="293" spans="1:68" ht="13.2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/>
      <c r="AQ293" s="75"/>
      <c r="AR293" s="75"/>
      <c r="AS293" s="75"/>
      <c r="AT293" s="75"/>
      <c r="AU293" s="75"/>
      <c r="AV293" s="75"/>
      <c r="AW293" s="75"/>
      <c r="AX293" s="75"/>
      <c r="AY293" s="77"/>
      <c r="AZ293" s="75"/>
      <c r="BA293" s="77"/>
      <c r="BB293" s="66"/>
      <c r="BC293" s="4"/>
      <c r="BD293" s="67"/>
      <c r="BE293" s="67"/>
      <c r="BF293" s="68"/>
      <c r="BG293" s="69"/>
      <c r="BH293" s="84"/>
      <c r="BI293" s="70"/>
      <c r="BJ293" s="73"/>
      <c r="BK293" s="78"/>
      <c r="BL293" s="78"/>
      <c r="BM293" s="78"/>
      <c r="BN293" s="78"/>
      <c r="BO293" s="66"/>
      <c r="BP293" s="66"/>
    </row>
    <row r="294" spans="1:68" ht="13.2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/>
      <c r="AQ294" s="75"/>
      <c r="AR294" s="75"/>
      <c r="AS294" s="75"/>
      <c r="AT294" s="75"/>
      <c r="AU294" s="75"/>
      <c r="AV294" s="75"/>
      <c r="AW294" s="75"/>
      <c r="AX294" s="75"/>
      <c r="AY294" s="77"/>
      <c r="AZ294" s="75"/>
      <c r="BA294" s="77"/>
      <c r="BB294" s="66"/>
      <c r="BC294" s="4"/>
      <c r="BD294" s="67"/>
      <c r="BE294" s="67"/>
      <c r="BF294" s="68"/>
      <c r="BG294" s="69"/>
      <c r="BH294" s="84"/>
      <c r="BI294" s="70"/>
      <c r="BJ294" s="73"/>
      <c r="BK294" s="78"/>
      <c r="BL294" s="78"/>
      <c r="BM294" s="78"/>
      <c r="BN294" s="78"/>
      <c r="BO294" s="66"/>
      <c r="BP294" s="66"/>
    </row>
    <row r="295" spans="1:68" ht="13.2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/>
      <c r="AQ295" s="75"/>
      <c r="AR295" s="75"/>
      <c r="AS295" s="75"/>
      <c r="AT295" s="75"/>
      <c r="AU295" s="75"/>
      <c r="AV295" s="75"/>
      <c r="AW295" s="75"/>
      <c r="AX295" s="75"/>
      <c r="AY295" s="77"/>
      <c r="AZ295" s="75"/>
      <c r="BA295" s="77"/>
      <c r="BB295" s="66"/>
      <c r="BC295" s="4"/>
      <c r="BD295" s="67"/>
      <c r="BE295" s="67"/>
      <c r="BF295" s="68"/>
      <c r="BG295" s="69"/>
      <c r="BH295" s="84"/>
      <c r="BI295" s="70"/>
      <c r="BJ295" s="73"/>
      <c r="BK295" s="78"/>
      <c r="BL295" s="78"/>
      <c r="BM295" s="78"/>
      <c r="BN295" s="78"/>
      <c r="BO295" s="66"/>
      <c r="BP295" s="66"/>
    </row>
    <row r="296" spans="1:68" ht="13.2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/>
      <c r="AQ296" s="75"/>
      <c r="AR296" s="75"/>
      <c r="AS296" s="75"/>
      <c r="AT296" s="75"/>
      <c r="AU296" s="75"/>
      <c r="AV296" s="75"/>
      <c r="AW296" s="75"/>
      <c r="AX296" s="75"/>
      <c r="AY296" s="77"/>
      <c r="AZ296" s="75"/>
      <c r="BA296" s="77"/>
      <c r="BB296" s="66"/>
      <c r="BC296" s="4"/>
      <c r="BD296" s="67"/>
      <c r="BE296" s="67"/>
      <c r="BF296" s="68"/>
      <c r="BG296" s="69"/>
      <c r="BH296" s="84"/>
      <c r="BI296" s="70"/>
      <c r="BJ296" s="73"/>
      <c r="BK296" s="78"/>
      <c r="BL296" s="78"/>
      <c r="BM296" s="78"/>
      <c r="BN296" s="78"/>
      <c r="BO296" s="66"/>
      <c r="BP296" s="66"/>
    </row>
    <row r="297" spans="1:68" ht="13.2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/>
      <c r="AQ297" s="75"/>
      <c r="AR297" s="75"/>
      <c r="AS297" s="75"/>
      <c r="AT297" s="75"/>
      <c r="AU297" s="75"/>
      <c r="AV297" s="75"/>
      <c r="AW297" s="75"/>
      <c r="AX297" s="75"/>
      <c r="AY297" s="77"/>
      <c r="AZ297" s="75"/>
      <c r="BA297" s="77"/>
      <c r="BB297" s="66"/>
      <c r="BC297" s="4"/>
      <c r="BD297" s="67"/>
      <c r="BE297" s="67"/>
      <c r="BF297" s="68"/>
      <c r="BG297" s="69"/>
      <c r="BH297" s="84"/>
      <c r="BI297" s="70"/>
      <c r="BJ297" s="73"/>
      <c r="BK297" s="78"/>
      <c r="BL297" s="78"/>
      <c r="BM297" s="78"/>
      <c r="BN297" s="78"/>
      <c r="BO297" s="66"/>
      <c r="BP297" s="66"/>
    </row>
    <row r="298" spans="1:68" ht="13.2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/>
      <c r="AQ298" s="75"/>
      <c r="AR298" s="75"/>
      <c r="AS298" s="75"/>
      <c r="AT298" s="75"/>
      <c r="AU298" s="75"/>
      <c r="AV298" s="75"/>
      <c r="AW298" s="75"/>
      <c r="AX298" s="75"/>
      <c r="AY298" s="77"/>
      <c r="AZ298" s="75"/>
      <c r="BA298" s="77"/>
      <c r="BB298" s="66"/>
      <c r="BC298" s="4"/>
      <c r="BD298" s="67"/>
      <c r="BE298" s="67"/>
      <c r="BF298" s="68"/>
      <c r="BG298" s="69"/>
      <c r="BH298" s="84"/>
      <c r="BI298" s="70"/>
      <c r="BJ298" s="73"/>
      <c r="BK298" s="78"/>
      <c r="BL298" s="78"/>
      <c r="BM298" s="78"/>
      <c r="BN298" s="78"/>
      <c r="BO298" s="66"/>
      <c r="BP298" s="66"/>
    </row>
    <row r="299" spans="1:68" ht="13.2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/>
      <c r="AQ299" s="75"/>
      <c r="AR299" s="75"/>
      <c r="AS299" s="75"/>
      <c r="AT299" s="75"/>
      <c r="AU299" s="75"/>
      <c r="AV299" s="75"/>
      <c r="AW299" s="75"/>
      <c r="AX299" s="75"/>
      <c r="AY299" s="77"/>
      <c r="AZ299" s="75"/>
      <c r="BA299" s="77"/>
      <c r="BB299" s="66"/>
      <c r="BC299" s="4"/>
      <c r="BD299" s="67"/>
      <c r="BE299" s="67"/>
      <c r="BF299" s="68"/>
      <c r="BG299" s="69"/>
      <c r="BH299" s="84"/>
      <c r="BI299" s="70"/>
      <c r="BJ299" s="73"/>
      <c r="BK299" s="78"/>
      <c r="BL299" s="78"/>
      <c r="BM299" s="78"/>
      <c r="BN299" s="78"/>
      <c r="BO299" s="66"/>
      <c r="BP299" s="66"/>
    </row>
    <row r="300" spans="1:68" ht="13.2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/>
      <c r="AQ300" s="75"/>
      <c r="AR300" s="75"/>
      <c r="AS300" s="75"/>
      <c r="AT300" s="75"/>
      <c r="AU300" s="75"/>
      <c r="AV300" s="75"/>
      <c r="AW300" s="75"/>
      <c r="AX300" s="75"/>
      <c r="AY300" s="77"/>
      <c r="AZ300" s="75"/>
      <c r="BA300" s="77"/>
      <c r="BB300" s="66"/>
      <c r="BC300" s="4"/>
      <c r="BD300" s="67"/>
      <c r="BE300" s="67"/>
      <c r="BF300" s="68"/>
      <c r="BG300" s="69"/>
      <c r="BH300" s="84"/>
      <c r="BI300" s="70"/>
      <c r="BJ300" s="73"/>
      <c r="BK300" s="78"/>
      <c r="BL300" s="78"/>
      <c r="BM300" s="78"/>
      <c r="BN300" s="78"/>
      <c r="BO300" s="66"/>
      <c r="BP300" s="66"/>
    </row>
    <row r="301" spans="1:68" ht="13.2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/>
      <c r="AQ301" s="75"/>
      <c r="AR301" s="75"/>
      <c r="AS301" s="75"/>
      <c r="AT301" s="75"/>
      <c r="AU301" s="75"/>
      <c r="AV301" s="75"/>
      <c r="AW301" s="75"/>
      <c r="AX301" s="75"/>
      <c r="AY301" s="77"/>
      <c r="AZ301" s="75"/>
      <c r="BA301" s="77"/>
      <c r="BB301" s="66"/>
      <c r="BC301" s="4"/>
      <c r="BD301" s="67"/>
      <c r="BE301" s="67"/>
      <c r="BF301" s="68"/>
      <c r="BG301" s="69"/>
      <c r="BH301" s="84"/>
      <c r="BI301" s="70"/>
      <c r="BJ301" s="73"/>
      <c r="BK301" s="78"/>
      <c r="BL301" s="78"/>
      <c r="BM301" s="78"/>
      <c r="BN301" s="78"/>
      <c r="BO301" s="66"/>
      <c r="BP301" s="66"/>
    </row>
    <row r="302" spans="1:68" ht="13.2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/>
      <c r="AQ302" s="75"/>
      <c r="AR302" s="75"/>
      <c r="AS302" s="75"/>
      <c r="AT302" s="75"/>
      <c r="AU302" s="75"/>
      <c r="AV302" s="75"/>
      <c r="AW302" s="75"/>
      <c r="AX302" s="75"/>
      <c r="AY302" s="77"/>
      <c r="AZ302" s="75"/>
      <c r="BA302" s="77"/>
      <c r="BB302" s="66"/>
      <c r="BC302" s="4"/>
      <c r="BD302" s="67"/>
      <c r="BE302" s="67"/>
      <c r="BF302" s="68"/>
      <c r="BG302" s="69"/>
      <c r="BH302" s="84"/>
      <c r="BI302" s="70"/>
      <c r="BJ302" s="73"/>
      <c r="BK302" s="78"/>
      <c r="BL302" s="78"/>
      <c r="BM302" s="78"/>
      <c r="BN302" s="78"/>
      <c r="BO302" s="66"/>
      <c r="BP302" s="66"/>
    </row>
    <row r="303" spans="1:68" ht="13.2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/>
      <c r="AQ303" s="75"/>
      <c r="AR303" s="75"/>
      <c r="AS303" s="75"/>
      <c r="AT303" s="75"/>
      <c r="AU303" s="75"/>
      <c r="AV303" s="75"/>
      <c r="AW303" s="75"/>
      <c r="AX303" s="75"/>
      <c r="AY303" s="77"/>
      <c r="AZ303" s="75"/>
      <c r="BA303" s="77"/>
      <c r="BB303" s="66"/>
      <c r="BC303" s="4"/>
      <c r="BD303" s="67"/>
      <c r="BE303" s="67"/>
      <c r="BF303" s="68"/>
      <c r="BG303" s="69"/>
      <c r="BH303" s="84"/>
      <c r="BI303" s="70"/>
      <c r="BJ303" s="73"/>
      <c r="BK303" s="78"/>
      <c r="BL303" s="78"/>
      <c r="BM303" s="78"/>
      <c r="BN303" s="78"/>
      <c r="BO303" s="66"/>
      <c r="BP303" s="66"/>
    </row>
    <row r="304" spans="1:68" ht="13.2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/>
      <c r="AQ304" s="75"/>
      <c r="AR304" s="75"/>
      <c r="AS304" s="75"/>
      <c r="AT304" s="75"/>
      <c r="AU304" s="75"/>
      <c r="AV304" s="75"/>
      <c r="AW304" s="75"/>
      <c r="AX304" s="75"/>
      <c r="AY304" s="77"/>
      <c r="AZ304" s="75"/>
      <c r="BA304" s="77"/>
      <c r="BB304" s="66"/>
      <c r="BC304" s="4"/>
      <c r="BD304" s="67"/>
      <c r="BE304" s="67"/>
      <c r="BF304" s="68"/>
      <c r="BG304" s="69"/>
      <c r="BH304" s="84"/>
      <c r="BI304" s="70"/>
      <c r="BJ304" s="73"/>
      <c r="BK304" s="78"/>
      <c r="BL304" s="78"/>
      <c r="BM304" s="78"/>
      <c r="BN304" s="78"/>
      <c r="BO304" s="66"/>
      <c r="BP304" s="66"/>
    </row>
    <row r="305" spans="1:68" ht="13.2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/>
      <c r="AQ305" s="75"/>
      <c r="AR305" s="75"/>
      <c r="AS305" s="75"/>
      <c r="AT305" s="75"/>
      <c r="AU305" s="75"/>
      <c r="AV305" s="75"/>
      <c r="AW305" s="75"/>
      <c r="AX305" s="75"/>
      <c r="AY305" s="77"/>
      <c r="AZ305" s="75"/>
      <c r="BA305" s="77"/>
      <c r="BB305" s="66"/>
      <c r="BC305" s="4"/>
      <c r="BD305" s="67"/>
      <c r="BE305" s="67"/>
      <c r="BF305" s="68"/>
      <c r="BG305" s="69"/>
      <c r="BH305" s="84"/>
      <c r="BI305" s="70"/>
      <c r="BJ305" s="73"/>
      <c r="BK305" s="78"/>
      <c r="BL305" s="78"/>
      <c r="BM305" s="78"/>
      <c r="BN305" s="78"/>
      <c r="BO305" s="66"/>
      <c r="BP305" s="66"/>
    </row>
    <row r="306" spans="1:68" ht="13.2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/>
      <c r="AQ306" s="75"/>
      <c r="AR306" s="75"/>
      <c r="AS306" s="75"/>
      <c r="AT306" s="75"/>
      <c r="AU306" s="75"/>
      <c r="AV306" s="75"/>
      <c r="AW306" s="75"/>
      <c r="AX306" s="75"/>
      <c r="AY306" s="77"/>
      <c r="AZ306" s="75"/>
      <c r="BA306" s="77"/>
      <c r="BB306" s="66"/>
      <c r="BC306" s="4"/>
      <c r="BD306" s="67"/>
      <c r="BE306" s="67"/>
      <c r="BF306" s="68"/>
      <c r="BG306" s="69"/>
      <c r="BH306" s="84"/>
      <c r="BI306" s="70"/>
      <c r="BJ306" s="73"/>
      <c r="BK306" s="78"/>
      <c r="BL306" s="78"/>
      <c r="BM306" s="78"/>
      <c r="BN306" s="78"/>
      <c r="BO306" s="66"/>
      <c r="BP306" s="66"/>
    </row>
    <row r="307" spans="1:68" ht="13.2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/>
      <c r="AQ307" s="75"/>
      <c r="AR307" s="75"/>
      <c r="AS307" s="75"/>
      <c r="AT307" s="75"/>
      <c r="AU307" s="75"/>
      <c r="AV307" s="75"/>
      <c r="AW307" s="75"/>
      <c r="AX307" s="75"/>
      <c r="AY307" s="77"/>
      <c r="AZ307" s="75"/>
      <c r="BA307" s="77"/>
      <c r="BB307" s="66"/>
      <c r="BC307" s="4"/>
      <c r="BD307" s="67"/>
      <c r="BE307" s="67"/>
      <c r="BF307" s="68"/>
      <c r="BG307" s="69"/>
      <c r="BH307" s="84"/>
      <c r="BI307" s="70"/>
      <c r="BJ307" s="73"/>
      <c r="BK307" s="78"/>
      <c r="BL307" s="78"/>
      <c r="BM307" s="78"/>
      <c r="BN307" s="78"/>
      <c r="BO307" s="66"/>
      <c r="BP307" s="66"/>
    </row>
    <row r="308" spans="1:68" ht="13.2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/>
      <c r="AQ308" s="75"/>
      <c r="AR308" s="75"/>
      <c r="AS308" s="75"/>
      <c r="AT308" s="75"/>
      <c r="AU308" s="75"/>
      <c r="AV308" s="75"/>
      <c r="AW308" s="75"/>
      <c r="AX308" s="75"/>
      <c r="AY308" s="77"/>
      <c r="AZ308" s="75"/>
      <c r="BA308" s="77"/>
      <c r="BB308" s="66"/>
      <c r="BC308" s="4"/>
      <c r="BD308" s="67"/>
      <c r="BE308" s="67"/>
      <c r="BF308" s="68"/>
      <c r="BG308" s="69"/>
      <c r="BH308" s="84"/>
      <c r="BI308" s="70"/>
      <c r="BJ308" s="73"/>
      <c r="BK308" s="78"/>
      <c r="BL308" s="78"/>
      <c r="BM308" s="78"/>
      <c r="BN308" s="78"/>
      <c r="BO308" s="66"/>
      <c r="BP308" s="66"/>
    </row>
    <row r="309" spans="1:68" ht="13.2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/>
      <c r="AQ309" s="75"/>
      <c r="AR309" s="75"/>
      <c r="AS309" s="75"/>
      <c r="AT309" s="75"/>
      <c r="AU309" s="75"/>
      <c r="AV309" s="75"/>
      <c r="AW309" s="75"/>
      <c r="AX309" s="75"/>
      <c r="AY309" s="77"/>
      <c r="AZ309" s="75"/>
      <c r="BA309" s="77"/>
      <c r="BB309" s="66"/>
      <c r="BC309" s="4"/>
      <c r="BD309" s="67"/>
      <c r="BE309" s="67"/>
      <c r="BF309" s="68"/>
      <c r="BG309" s="69"/>
      <c r="BH309" s="84"/>
      <c r="BI309" s="70"/>
      <c r="BJ309" s="73"/>
      <c r="BK309" s="78"/>
      <c r="BL309" s="78"/>
      <c r="BM309" s="78"/>
      <c r="BN309" s="78"/>
      <c r="BO309" s="66"/>
      <c r="BP309" s="66"/>
    </row>
    <row r="310" spans="1:68" ht="13.2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/>
      <c r="AQ310" s="75"/>
      <c r="AR310" s="75"/>
      <c r="AS310" s="75"/>
      <c r="AT310" s="75"/>
      <c r="AU310" s="75"/>
      <c r="AV310" s="75"/>
      <c r="AW310" s="75"/>
      <c r="AX310" s="75"/>
      <c r="AY310" s="77"/>
      <c r="AZ310" s="75"/>
      <c r="BA310" s="77"/>
      <c r="BB310" s="66"/>
      <c r="BC310" s="4"/>
      <c r="BD310" s="67"/>
      <c r="BE310" s="67"/>
      <c r="BF310" s="68"/>
      <c r="BG310" s="69"/>
      <c r="BH310" s="84"/>
      <c r="BI310" s="70"/>
      <c r="BJ310" s="73"/>
      <c r="BK310" s="78"/>
      <c r="BL310" s="78"/>
      <c r="BM310" s="78"/>
      <c r="BN310" s="78"/>
      <c r="BO310" s="66"/>
      <c r="BP310" s="66"/>
    </row>
    <row r="311" spans="1:68" ht="13.2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/>
      <c r="AQ311" s="75"/>
      <c r="AR311" s="75"/>
      <c r="AS311" s="75"/>
      <c r="AT311" s="75"/>
      <c r="AU311" s="75"/>
      <c r="AV311" s="75"/>
      <c r="AW311" s="75"/>
      <c r="AX311" s="75"/>
      <c r="AY311" s="77"/>
      <c r="AZ311" s="75"/>
      <c r="BA311" s="77"/>
      <c r="BB311" s="66"/>
      <c r="BC311" s="4"/>
      <c r="BD311" s="67"/>
      <c r="BE311" s="67"/>
      <c r="BF311" s="68"/>
      <c r="BG311" s="69"/>
      <c r="BH311" s="84"/>
      <c r="BI311" s="70"/>
      <c r="BJ311" s="73"/>
      <c r="BK311" s="78"/>
      <c r="BL311" s="78"/>
      <c r="BM311" s="78"/>
      <c r="BN311" s="78"/>
      <c r="BO311" s="66"/>
      <c r="BP311" s="66"/>
    </row>
    <row r="312" spans="1:68" ht="13.2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/>
      <c r="AQ312" s="75"/>
      <c r="AR312" s="75"/>
      <c r="AS312" s="75"/>
      <c r="AT312" s="75"/>
      <c r="AU312" s="75"/>
      <c r="AV312" s="75"/>
      <c r="AW312" s="75"/>
      <c r="AX312" s="75"/>
      <c r="AY312" s="77"/>
      <c r="AZ312" s="75"/>
      <c r="BA312" s="77"/>
      <c r="BB312" s="66"/>
      <c r="BC312" s="4"/>
      <c r="BD312" s="67"/>
      <c r="BE312" s="67"/>
      <c r="BF312" s="68"/>
      <c r="BG312" s="69"/>
      <c r="BH312" s="84"/>
      <c r="BI312" s="70"/>
      <c r="BJ312" s="73"/>
      <c r="BK312" s="78"/>
      <c r="BL312" s="78"/>
      <c r="BM312" s="78"/>
      <c r="BN312" s="78"/>
      <c r="BO312" s="66"/>
      <c r="BP312" s="66"/>
    </row>
    <row r="313" spans="1:68" ht="13.2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/>
      <c r="AQ313" s="75"/>
      <c r="AR313" s="75"/>
      <c r="AS313" s="75"/>
      <c r="AT313" s="75"/>
      <c r="AU313" s="75"/>
      <c r="AV313" s="75"/>
      <c r="AW313" s="75"/>
      <c r="AX313" s="75"/>
      <c r="AY313" s="77"/>
      <c r="AZ313" s="75"/>
      <c r="BA313" s="77"/>
      <c r="BB313" s="66"/>
      <c r="BC313" s="4"/>
      <c r="BD313" s="67"/>
      <c r="BE313" s="67"/>
      <c r="BF313" s="68"/>
      <c r="BG313" s="69"/>
      <c r="BH313" s="84"/>
      <c r="BI313" s="70"/>
      <c r="BJ313" s="73"/>
      <c r="BK313" s="78"/>
      <c r="BL313" s="78"/>
      <c r="BM313" s="78"/>
      <c r="BN313" s="78"/>
      <c r="BO313" s="66"/>
      <c r="BP313" s="66"/>
    </row>
    <row r="314" spans="1:68" ht="13.2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/>
      <c r="AQ314" s="75"/>
      <c r="AR314" s="75"/>
      <c r="AS314" s="75"/>
      <c r="AT314" s="75"/>
      <c r="AU314" s="75"/>
      <c r="AV314" s="75"/>
      <c r="AW314" s="75"/>
      <c r="AX314" s="75"/>
      <c r="AY314" s="77"/>
      <c r="AZ314" s="75"/>
      <c r="BA314" s="77"/>
      <c r="BB314" s="66"/>
      <c r="BC314" s="4"/>
      <c r="BD314" s="67"/>
      <c r="BE314" s="67"/>
      <c r="BF314" s="68"/>
      <c r="BG314" s="69"/>
      <c r="BH314" s="84"/>
      <c r="BI314" s="70"/>
      <c r="BJ314" s="73"/>
      <c r="BK314" s="78"/>
      <c r="BL314" s="78"/>
      <c r="BM314" s="78"/>
      <c r="BN314" s="78"/>
      <c r="BO314" s="66"/>
      <c r="BP314" s="66"/>
    </row>
    <row r="315" spans="1:68" ht="13.2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/>
      <c r="AQ315" s="75"/>
      <c r="AR315" s="75"/>
      <c r="AS315" s="75"/>
      <c r="AT315" s="75"/>
      <c r="AU315" s="75"/>
      <c r="AV315" s="75"/>
      <c r="AW315" s="75"/>
      <c r="AX315" s="75"/>
      <c r="AY315" s="77"/>
      <c r="AZ315" s="75"/>
      <c r="BA315" s="77"/>
      <c r="BB315" s="66"/>
      <c r="BC315" s="4"/>
      <c r="BD315" s="67"/>
      <c r="BE315" s="67"/>
      <c r="BF315" s="68"/>
      <c r="BG315" s="69"/>
      <c r="BH315" s="84"/>
      <c r="BI315" s="70"/>
      <c r="BJ315" s="73"/>
      <c r="BK315" s="78"/>
      <c r="BL315" s="78"/>
      <c r="BM315" s="78"/>
      <c r="BN315" s="78"/>
      <c r="BO315" s="66"/>
      <c r="BP315" s="66"/>
    </row>
    <row r="316" spans="1:68" ht="13.2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/>
      <c r="AQ316" s="75"/>
      <c r="AR316" s="75"/>
      <c r="AS316" s="75"/>
      <c r="AT316" s="75"/>
      <c r="AU316" s="75"/>
      <c r="AV316" s="75"/>
      <c r="AW316" s="75"/>
      <c r="AX316" s="75"/>
      <c r="AY316" s="77"/>
      <c r="AZ316" s="75"/>
      <c r="BA316" s="77"/>
      <c r="BB316" s="66"/>
      <c r="BC316" s="4"/>
      <c r="BD316" s="67"/>
      <c r="BE316" s="67"/>
      <c r="BF316" s="68"/>
      <c r="BG316" s="69"/>
      <c r="BH316" s="84"/>
      <c r="BI316" s="70"/>
      <c r="BJ316" s="73"/>
      <c r="BK316" s="78"/>
      <c r="BL316" s="78"/>
      <c r="BM316" s="78"/>
      <c r="BN316" s="78"/>
      <c r="BO316" s="66"/>
      <c r="BP316" s="66"/>
    </row>
    <row r="317" spans="1:68" ht="13.2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/>
      <c r="AQ317" s="75"/>
      <c r="AR317" s="75"/>
      <c r="AS317" s="75"/>
      <c r="AT317" s="75"/>
      <c r="AU317" s="75"/>
      <c r="AV317" s="75"/>
      <c r="AW317" s="75"/>
      <c r="AX317" s="75"/>
      <c r="AY317" s="77"/>
      <c r="AZ317" s="75"/>
      <c r="BA317" s="77"/>
      <c r="BB317" s="66"/>
      <c r="BC317" s="4"/>
      <c r="BD317" s="67"/>
      <c r="BE317" s="67"/>
      <c r="BF317" s="68"/>
      <c r="BG317" s="69"/>
      <c r="BH317" s="84"/>
      <c r="BI317" s="70"/>
      <c r="BJ317" s="73"/>
      <c r="BK317" s="78"/>
      <c r="BL317" s="78"/>
      <c r="BM317" s="78"/>
      <c r="BN317" s="78"/>
      <c r="BO317" s="66"/>
      <c r="BP317" s="66"/>
    </row>
    <row r="318" spans="1:68" ht="13.2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/>
      <c r="AQ318" s="75"/>
      <c r="AR318" s="75"/>
      <c r="AS318" s="75"/>
      <c r="AT318" s="75"/>
      <c r="AU318" s="75"/>
      <c r="AV318" s="75"/>
      <c r="AW318" s="75"/>
      <c r="AX318" s="75"/>
      <c r="AY318" s="77"/>
      <c r="AZ318" s="75"/>
      <c r="BA318" s="77"/>
      <c r="BB318" s="66"/>
      <c r="BC318" s="4"/>
      <c r="BD318" s="67"/>
      <c r="BE318" s="67"/>
      <c r="BF318" s="68"/>
      <c r="BG318" s="69"/>
      <c r="BH318" s="84"/>
      <c r="BI318" s="70"/>
      <c r="BJ318" s="73"/>
      <c r="BK318" s="78"/>
      <c r="BL318" s="78"/>
      <c r="BM318" s="78"/>
      <c r="BN318" s="78"/>
      <c r="BO318" s="66"/>
      <c r="BP318" s="66"/>
    </row>
    <row r="319" spans="1:68" ht="13.2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/>
      <c r="AQ319" s="75"/>
      <c r="AR319" s="75"/>
      <c r="AS319" s="75"/>
      <c r="AT319" s="75"/>
      <c r="AU319" s="75"/>
      <c r="AV319" s="75"/>
      <c r="AW319" s="75"/>
      <c r="AX319" s="75"/>
      <c r="AY319" s="77"/>
      <c r="AZ319" s="75"/>
      <c r="BA319" s="77"/>
      <c r="BB319" s="66"/>
      <c r="BC319" s="4"/>
      <c r="BD319" s="67"/>
      <c r="BE319" s="67"/>
      <c r="BF319" s="68"/>
      <c r="BG319" s="69"/>
      <c r="BH319" s="84"/>
      <c r="BI319" s="70"/>
      <c r="BJ319" s="73"/>
      <c r="BK319" s="78"/>
      <c r="BL319" s="78"/>
      <c r="BM319" s="78"/>
      <c r="BN319" s="78"/>
      <c r="BO319" s="66"/>
      <c r="BP319" s="66"/>
    </row>
    <row r="320" spans="1:68" ht="13.2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/>
      <c r="AQ320" s="75"/>
      <c r="AR320" s="75"/>
      <c r="AS320" s="75"/>
      <c r="AT320" s="75"/>
      <c r="AU320" s="75"/>
      <c r="AV320" s="75"/>
      <c r="AW320" s="75"/>
      <c r="AX320" s="75"/>
      <c r="AY320" s="77"/>
      <c r="AZ320" s="75"/>
      <c r="BA320" s="77"/>
      <c r="BB320" s="66"/>
      <c r="BC320" s="4"/>
      <c r="BD320" s="67"/>
      <c r="BE320" s="67"/>
      <c r="BF320" s="68"/>
      <c r="BG320" s="69"/>
      <c r="BH320" s="84"/>
      <c r="BI320" s="70"/>
      <c r="BJ320" s="73"/>
      <c r="BK320" s="78"/>
      <c r="BL320" s="78"/>
      <c r="BM320" s="78"/>
      <c r="BN320" s="78"/>
      <c r="BO320" s="66"/>
      <c r="BP320" s="66"/>
    </row>
    <row r="321" spans="1:68" ht="13.2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/>
      <c r="AQ321" s="75"/>
      <c r="AR321" s="75"/>
      <c r="AS321" s="75"/>
      <c r="AT321" s="75"/>
      <c r="AU321" s="75"/>
      <c r="AV321" s="75"/>
      <c r="AW321" s="75"/>
      <c r="AX321" s="75"/>
      <c r="AY321" s="77"/>
      <c r="AZ321" s="75"/>
      <c r="BA321" s="77"/>
      <c r="BB321" s="66"/>
      <c r="BC321" s="4"/>
      <c r="BD321" s="67"/>
      <c r="BE321" s="67"/>
      <c r="BF321" s="68"/>
      <c r="BG321" s="69"/>
      <c r="BH321" s="84"/>
      <c r="BI321" s="70"/>
      <c r="BJ321" s="73"/>
      <c r="BK321" s="78"/>
      <c r="BL321" s="78"/>
      <c r="BM321" s="78"/>
      <c r="BN321" s="78"/>
      <c r="BO321" s="66"/>
      <c r="BP321" s="66"/>
    </row>
    <row r="322" spans="1:68" ht="13.2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/>
      <c r="AQ322" s="75"/>
      <c r="AR322" s="75"/>
      <c r="AS322" s="75"/>
      <c r="AT322" s="75"/>
      <c r="AU322" s="75"/>
      <c r="AV322" s="75"/>
      <c r="AW322" s="75"/>
      <c r="AX322" s="75"/>
      <c r="AY322" s="77"/>
      <c r="AZ322" s="75"/>
      <c r="BA322" s="77"/>
      <c r="BB322" s="66"/>
      <c r="BC322" s="4"/>
      <c r="BD322" s="67"/>
      <c r="BE322" s="67"/>
      <c r="BF322" s="68"/>
      <c r="BG322" s="69"/>
      <c r="BH322" s="84"/>
      <c r="BI322" s="70"/>
      <c r="BJ322" s="73"/>
      <c r="BK322" s="78"/>
      <c r="BL322" s="78"/>
      <c r="BM322" s="78"/>
      <c r="BN322" s="78"/>
      <c r="BO322" s="66"/>
      <c r="BP322" s="66"/>
    </row>
    <row r="323" spans="1:68" ht="13.2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/>
      <c r="AQ323" s="75"/>
      <c r="AR323" s="75"/>
      <c r="AS323" s="75"/>
      <c r="AT323" s="75"/>
      <c r="AU323" s="75"/>
      <c r="AV323" s="75"/>
      <c r="AW323" s="75"/>
      <c r="AX323" s="75"/>
      <c r="AY323" s="77"/>
      <c r="AZ323" s="75"/>
      <c r="BA323" s="77"/>
      <c r="BB323" s="66"/>
      <c r="BC323" s="4"/>
      <c r="BD323" s="67"/>
      <c r="BE323" s="67"/>
      <c r="BF323" s="68"/>
      <c r="BG323" s="69"/>
      <c r="BH323" s="84"/>
      <c r="BI323" s="70"/>
      <c r="BJ323" s="73"/>
      <c r="BK323" s="78"/>
      <c r="BL323" s="78"/>
      <c r="BM323" s="78"/>
      <c r="BN323" s="78"/>
      <c r="BO323" s="66"/>
      <c r="BP323" s="66"/>
    </row>
    <row r="324" spans="1:68" ht="13.2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/>
      <c r="AQ324" s="75"/>
      <c r="AR324" s="75"/>
      <c r="AS324" s="75"/>
      <c r="AT324" s="75"/>
      <c r="AU324" s="75"/>
      <c r="AV324" s="75"/>
      <c r="AW324" s="75"/>
      <c r="AX324" s="75"/>
      <c r="AY324" s="77"/>
      <c r="AZ324" s="75"/>
      <c r="BA324" s="77"/>
      <c r="BB324" s="66"/>
      <c r="BC324" s="4"/>
      <c r="BD324" s="67"/>
      <c r="BE324" s="67"/>
      <c r="BF324" s="68"/>
      <c r="BG324" s="69"/>
      <c r="BH324" s="84"/>
      <c r="BI324" s="70"/>
      <c r="BJ324" s="73"/>
      <c r="BK324" s="78"/>
      <c r="BL324" s="78"/>
      <c r="BM324" s="78"/>
      <c r="BN324" s="78"/>
      <c r="BO324" s="66"/>
      <c r="BP324" s="66"/>
    </row>
    <row r="325" spans="1:68" ht="13.2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/>
      <c r="AQ325" s="75"/>
      <c r="AR325" s="75"/>
      <c r="AS325" s="75"/>
      <c r="AT325" s="75"/>
      <c r="AU325" s="75"/>
      <c r="AV325" s="75"/>
      <c r="AW325" s="75"/>
      <c r="AX325" s="75"/>
      <c r="AY325" s="77"/>
      <c r="AZ325" s="75"/>
      <c r="BA325" s="77"/>
      <c r="BB325" s="66"/>
      <c r="BC325" s="4"/>
      <c r="BD325" s="67"/>
      <c r="BE325" s="67"/>
      <c r="BF325" s="68"/>
      <c r="BG325" s="69"/>
      <c r="BH325" s="74"/>
      <c r="BI325" s="68"/>
      <c r="BJ325" s="73"/>
      <c r="BK325" s="78"/>
      <c r="BL325" s="78"/>
      <c r="BM325" s="78"/>
      <c r="BN325" s="78"/>
      <c r="BO325" s="66"/>
      <c r="BP325" s="66"/>
    </row>
    <row r="326" spans="1:68" ht="13.2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/>
      <c r="AQ326" s="75"/>
      <c r="AR326" s="75"/>
      <c r="AS326" s="75"/>
      <c r="AT326" s="75"/>
      <c r="AU326" s="75"/>
      <c r="AV326" s="75"/>
      <c r="AW326" s="75"/>
      <c r="AX326" s="75"/>
      <c r="AY326" s="77"/>
      <c r="AZ326" s="75"/>
      <c r="BA326" s="77"/>
      <c r="BB326" s="66"/>
      <c r="BC326" s="4"/>
      <c r="BD326" s="67"/>
      <c r="BE326" s="67"/>
      <c r="BF326" s="68"/>
      <c r="BG326" s="69"/>
      <c r="BH326" s="74"/>
      <c r="BI326" s="68"/>
      <c r="BJ326" s="73"/>
      <c r="BK326" s="78"/>
      <c r="BL326" s="78"/>
      <c r="BM326" s="78"/>
      <c r="BN326" s="78"/>
      <c r="BO326" s="66"/>
      <c r="BP326" s="66"/>
    </row>
    <row r="327" spans="1:68" ht="13.2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/>
      <c r="AQ327" s="75"/>
      <c r="AR327" s="75"/>
      <c r="AS327" s="75"/>
      <c r="AT327" s="75"/>
      <c r="AU327" s="75"/>
      <c r="AV327" s="75"/>
      <c r="AW327" s="75"/>
      <c r="AX327" s="75"/>
      <c r="AY327" s="77"/>
      <c r="AZ327" s="75"/>
      <c r="BA327" s="77"/>
      <c r="BB327" s="66"/>
      <c r="BC327" s="4"/>
      <c r="BD327" s="67"/>
      <c r="BE327" s="67"/>
      <c r="BF327" s="68"/>
      <c r="BG327" s="69"/>
      <c r="BH327" s="74"/>
      <c r="BI327" s="68"/>
      <c r="BJ327" s="73"/>
      <c r="BK327" s="78"/>
      <c r="BL327" s="78"/>
      <c r="BM327" s="78"/>
      <c r="BN327" s="78"/>
      <c r="BO327" s="66"/>
      <c r="BP327" s="66"/>
    </row>
    <row r="328" spans="1:68" ht="13.2">
      <c r="A328" s="66"/>
      <c r="B328" s="67"/>
      <c r="C328" s="67"/>
      <c r="D328" s="68"/>
      <c r="E328" s="87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/>
      <c r="AQ328" s="75"/>
      <c r="AR328" s="75"/>
      <c r="AS328" s="75"/>
      <c r="AT328" s="75"/>
      <c r="AU328" s="75"/>
      <c r="AV328" s="75"/>
      <c r="AW328" s="75"/>
      <c r="AX328" s="75"/>
      <c r="AY328" s="77"/>
      <c r="AZ328" s="75"/>
      <c r="BA328" s="77"/>
      <c r="BB328" s="66"/>
      <c r="BC328" s="4"/>
      <c r="BD328" s="67"/>
      <c r="BE328" s="67"/>
      <c r="BF328" s="68"/>
      <c r="BG328" s="69"/>
      <c r="BH328" s="74"/>
      <c r="BI328" s="68"/>
      <c r="BJ328" s="73"/>
      <c r="BK328" s="78"/>
      <c r="BL328" s="78"/>
      <c r="BM328" s="78"/>
      <c r="BN328" s="78"/>
      <c r="BO328" s="66"/>
      <c r="BP328" s="66"/>
    </row>
    <row r="329" spans="1:68" ht="13.2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/>
      <c r="AQ329" s="75"/>
      <c r="AR329" s="75"/>
      <c r="AS329" s="75"/>
      <c r="AT329" s="75"/>
      <c r="AU329" s="75"/>
      <c r="AV329" s="75"/>
      <c r="AW329" s="75"/>
      <c r="AX329" s="75"/>
      <c r="AY329" s="77"/>
      <c r="AZ329" s="75"/>
      <c r="BA329" s="77"/>
      <c r="BB329" s="66"/>
      <c r="BC329" s="4"/>
      <c r="BD329" s="67"/>
      <c r="BE329" s="67"/>
      <c r="BF329" s="68"/>
      <c r="BG329" s="69"/>
      <c r="BH329" s="74"/>
      <c r="BI329" s="68"/>
      <c r="BJ329" s="73"/>
      <c r="BK329" s="78"/>
      <c r="BL329" s="78"/>
      <c r="BM329" s="78"/>
      <c r="BN329" s="78"/>
      <c r="BO329" s="66"/>
      <c r="BP329" s="66"/>
    </row>
    <row r="330" spans="1:68" ht="13.2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/>
      <c r="AQ330" s="75"/>
      <c r="AR330" s="75"/>
      <c r="AS330" s="75"/>
      <c r="AT330" s="75"/>
      <c r="AU330" s="75"/>
      <c r="AV330" s="75"/>
      <c r="AW330" s="75"/>
      <c r="AX330" s="75"/>
      <c r="AY330" s="77"/>
      <c r="AZ330" s="75"/>
      <c r="BA330" s="77"/>
      <c r="BB330" s="66"/>
      <c r="BC330" s="4"/>
      <c r="BD330" s="67"/>
      <c r="BE330" s="67"/>
      <c r="BF330" s="68"/>
      <c r="BG330" s="69"/>
      <c r="BH330" s="74"/>
      <c r="BI330" s="68"/>
      <c r="BJ330" s="73"/>
      <c r="BK330" s="78"/>
      <c r="BL330" s="78"/>
      <c r="BM330" s="78"/>
      <c r="BN330" s="78"/>
      <c r="BO330" s="66"/>
      <c r="BP330" s="66"/>
    </row>
    <row r="331" spans="1:68" ht="13.2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/>
      <c r="AQ331" s="75"/>
      <c r="AR331" s="75"/>
      <c r="AS331" s="75"/>
      <c r="AT331" s="75"/>
      <c r="AU331" s="75"/>
      <c r="AV331" s="75"/>
      <c r="AW331" s="75"/>
      <c r="AX331" s="75"/>
      <c r="AY331" s="77"/>
      <c r="AZ331" s="75"/>
      <c r="BA331" s="77"/>
      <c r="BB331" s="66"/>
      <c r="BC331" s="4"/>
      <c r="BD331" s="67"/>
      <c r="BE331" s="67"/>
      <c r="BF331" s="68"/>
      <c r="BG331" s="69"/>
      <c r="BH331" s="74"/>
      <c r="BI331" s="68"/>
      <c r="BJ331" s="73"/>
      <c r="BK331" s="78"/>
      <c r="BL331" s="78"/>
      <c r="BM331" s="78"/>
      <c r="BN331" s="78"/>
      <c r="BO331" s="66"/>
      <c r="BP331" s="66"/>
    </row>
    <row r="332" spans="1:68" ht="13.2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/>
      <c r="AQ332" s="75"/>
      <c r="AR332" s="75"/>
      <c r="AS332" s="75"/>
      <c r="AT332" s="75"/>
      <c r="AU332" s="75"/>
      <c r="AV332" s="75"/>
      <c r="AW332" s="75"/>
      <c r="AX332" s="75"/>
      <c r="AY332" s="77"/>
      <c r="AZ332" s="75"/>
      <c r="BA332" s="77"/>
      <c r="BB332" s="66"/>
      <c r="BC332" s="4"/>
      <c r="BD332" s="67"/>
      <c r="BE332" s="67"/>
      <c r="BF332" s="68"/>
      <c r="BG332" s="69"/>
      <c r="BH332" s="84"/>
      <c r="BI332" s="70"/>
      <c r="BJ332" s="73"/>
      <c r="BK332" s="78"/>
      <c r="BL332" s="78"/>
      <c r="BM332" s="78"/>
      <c r="BN332" s="78"/>
      <c r="BO332" s="66"/>
      <c r="BP332" s="66"/>
    </row>
    <row r="333" spans="1:68" ht="13.2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/>
      <c r="AQ333" s="75"/>
      <c r="AR333" s="75"/>
      <c r="AS333" s="75"/>
      <c r="AT333" s="75"/>
      <c r="AU333" s="75"/>
      <c r="AV333" s="75"/>
      <c r="AW333" s="75"/>
      <c r="AX333" s="75"/>
      <c r="AY333" s="77"/>
      <c r="AZ333" s="75"/>
      <c r="BA333" s="77"/>
      <c r="BB333" s="66"/>
      <c r="BC333" s="4"/>
      <c r="BD333" s="67"/>
      <c r="BE333" s="67"/>
      <c r="BF333" s="68"/>
      <c r="BG333" s="69"/>
      <c r="BH333" s="84"/>
      <c r="BI333" s="70"/>
      <c r="BJ333" s="73"/>
      <c r="BK333" s="78"/>
      <c r="BL333" s="78"/>
      <c r="BM333" s="78"/>
      <c r="BN333" s="78"/>
      <c r="BO333" s="66"/>
      <c r="BP333" s="66"/>
    </row>
    <row r="334" spans="1:68" ht="13.2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/>
      <c r="AQ334" s="75"/>
      <c r="AR334" s="75"/>
      <c r="AS334" s="75"/>
      <c r="AT334" s="75"/>
      <c r="AU334" s="75"/>
      <c r="AV334" s="75"/>
      <c r="AW334" s="75"/>
      <c r="AX334" s="75"/>
      <c r="AY334" s="77"/>
      <c r="AZ334" s="75"/>
      <c r="BA334" s="77"/>
      <c r="BB334" s="66"/>
      <c r="BC334" s="4"/>
      <c r="BD334" s="67"/>
      <c r="BE334" s="67"/>
      <c r="BF334" s="68"/>
      <c r="BG334" s="69"/>
      <c r="BH334" s="84"/>
      <c r="BI334" s="70"/>
      <c r="BJ334" s="73"/>
      <c r="BK334" s="78"/>
      <c r="BL334" s="78"/>
      <c r="BM334" s="78"/>
      <c r="BN334" s="78"/>
      <c r="BO334" s="66"/>
      <c r="BP334" s="66"/>
    </row>
    <row r="335" spans="1:68" ht="13.2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/>
      <c r="AQ335" s="75"/>
      <c r="AR335" s="75"/>
      <c r="AS335" s="75"/>
      <c r="AT335" s="75"/>
      <c r="AU335" s="75"/>
      <c r="AV335" s="75"/>
      <c r="AW335" s="75"/>
      <c r="AX335" s="75"/>
      <c r="AY335" s="77"/>
      <c r="AZ335" s="75"/>
      <c r="BA335" s="77"/>
      <c r="BB335" s="66"/>
      <c r="BC335" s="4"/>
      <c r="BD335" s="67"/>
      <c r="BE335" s="67"/>
      <c r="BF335" s="68"/>
      <c r="BG335" s="69"/>
      <c r="BH335" s="84"/>
      <c r="BI335" s="70"/>
      <c r="BJ335" s="73"/>
      <c r="BK335" s="78"/>
      <c r="BL335" s="78"/>
      <c r="BM335" s="78"/>
      <c r="BN335" s="78"/>
      <c r="BO335" s="66"/>
      <c r="BP335" s="66"/>
    </row>
    <row r="336" spans="1:68" ht="13.2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/>
      <c r="AQ336" s="75"/>
      <c r="AR336" s="75"/>
      <c r="AS336" s="75"/>
      <c r="AT336" s="75"/>
      <c r="AU336" s="75"/>
      <c r="AV336" s="75"/>
      <c r="AW336" s="75"/>
      <c r="AX336" s="75"/>
      <c r="AY336" s="77"/>
      <c r="AZ336" s="75"/>
      <c r="BA336" s="77"/>
      <c r="BB336" s="66"/>
      <c r="BC336" s="4"/>
      <c r="BD336" s="67"/>
      <c r="BE336" s="67"/>
      <c r="BF336" s="68"/>
      <c r="BG336" s="69"/>
      <c r="BH336" s="84"/>
      <c r="BI336" s="70"/>
      <c r="BJ336" s="73"/>
      <c r="BK336" s="78"/>
      <c r="BL336" s="78"/>
      <c r="BM336" s="78"/>
      <c r="BN336" s="78"/>
      <c r="BO336" s="66"/>
      <c r="BP336" s="66"/>
    </row>
    <row r="337" spans="1:68" ht="13.2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/>
      <c r="AQ337" s="75"/>
      <c r="AR337" s="75"/>
      <c r="AS337" s="75"/>
      <c r="AT337" s="75"/>
      <c r="AU337" s="75"/>
      <c r="AV337" s="75"/>
      <c r="AW337" s="75"/>
      <c r="AX337" s="75"/>
      <c r="AY337" s="77"/>
      <c r="AZ337" s="75"/>
      <c r="BA337" s="77"/>
      <c r="BB337" s="66"/>
      <c r="BC337" s="4"/>
      <c r="BD337" s="67"/>
      <c r="BE337" s="67"/>
      <c r="BF337" s="68"/>
      <c r="BG337" s="69"/>
      <c r="BH337" s="84"/>
      <c r="BI337" s="70"/>
      <c r="BJ337" s="73"/>
      <c r="BK337" s="78"/>
      <c r="BL337" s="78"/>
      <c r="BM337" s="78"/>
      <c r="BN337" s="78"/>
      <c r="BO337" s="66"/>
      <c r="BP337" s="66"/>
    </row>
    <row r="338" spans="1:68" ht="13.2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/>
      <c r="AQ338" s="75"/>
      <c r="AR338" s="75"/>
      <c r="AS338" s="75"/>
      <c r="AT338" s="75"/>
      <c r="AU338" s="75"/>
      <c r="AV338" s="75"/>
      <c r="AW338" s="75"/>
      <c r="AX338" s="75"/>
      <c r="AY338" s="77"/>
      <c r="AZ338" s="75"/>
      <c r="BA338" s="77"/>
      <c r="BB338" s="66"/>
      <c r="BC338" s="4"/>
      <c r="BD338" s="67"/>
      <c r="BE338" s="67"/>
      <c r="BF338" s="68"/>
      <c r="BG338" s="69"/>
      <c r="BH338" s="84"/>
      <c r="BI338" s="70"/>
      <c r="BJ338" s="73"/>
      <c r="BK338" s="78"/>
      <c r="BL338" s="78"/>
      <c r="BM338" s="78"/>
      <c r="BN338" s="78"/>
      <c r="BO338" s="66"/>
      <c r="BP338" s="66"/>
    </row>
    <row r="339" spans="1:68" ht="13.2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/>
      <c r="AQ339" s="75"/>
      <c r="AR339" s="75"/>
      <c r="AS339" s="75"/>
      <c r="AT339" s="75"/>
      <c r="AU339" s="75"/>
      <c r="AV339" s="75"/>
      <c r="AW339" s="75"/>
      <c r="AX339" s="75"/>
      <c r="AY339" s="77"/>
      <c r="AZ339" s="75"/>
      <c r="BA339" s="77"/>
      <c r="BB339" s="66"/>
      <c r="BC339" s="4"/>
      <c r="BD339" s="67"/>
      <c r="BE339" s="67"/>
      <c r="BF339" s="68"/>
      <c r="BG339" s="69"/>
      <c r="BH339" s="84"/>
      <c r="BI339" s="70"/>
      <c r="BJ339" s="73"/>
      <c r="BK339" s="78"/>
      <c r="BL339" s="78"/>
      <c r="BM339" s="78"/>
      <c r="BN339" s="78"/>
      <c r="BO339" s="66"/>
      <c r="BP339" s="66"/>
    </row>
    <row r="340" spans="1:68" ht="13.2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/>
      <c r="AQ340" s="75"/>
      <c r="AR340" s="75"/>
      <c r="AS340" s="75"/>
      <c r="AT340" s="75"/>
      <c r="AU340" s="75"/>
      <c r="AV340" s="75"/>
      <c r="AW340" s="75"/>
      <c r="AX340" s="75"/>
      <c r="AY340" s="77"/>
      <c r="AZ340" s="75"/>
      <c r="BA340" s="77"/>
      <c r="BB340" s="66"/>
      <c r="BC340" s="4"/>
      <c r="BD340" s="67"/>
      <c r="BE340" s="67"/>
      <c r="BF340" s="68"/>
      <c r="BG340" s="69"/>
      <c r="BH340" s="84"/>
      <c r="BI340" s="70"/>
      <c r="BJ340" s="73"/>
      <c r="BK340" s="78"/>
      <c r="BL340" s="78"/>
      <c r="BM340" s="78"/>
      <c r="BN340" s="78"/>
      <c r="BO340" s="66"/>
      <c r="BP340" s="66"/>
    </row>
    <row r="341" spans="1:68" ht="13.2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/>
      <c r="AQ341" s="75"/>
      <c r="AR341" s="75"/>
      <c r="AS341" s="75"/>
      <c r="AT341" s="75"/>
      <c r="AU341" s="75"/>
      <c r="AV341" s="75"/>
      <c r="AW341" s="75"/>
      <c r="AX341" s="75"/>
      <c r="AY341" s="77"/>
      <c r="AZ341" s="75"/>
      <c r="BA341" s="77"/>
      <c r="BB341" s="66"/>
      <c r="BC341" s="4"/>
      <c r="BD341" s="67"/>
      <c r="BE341" s="67"/>
      <c r="BF341" s="68"/>
      <c r="BG341" s="69"/>
      <c r="BH341" s="84"/>
      <c r="BI341" s="70"/>
      <c r="BJ341" s="73"/>
      <c r="BK341" s="78"/>
      <c r="BL341" s="78"/>
      <c r="BM341" s="78"/>
      <c r="BN341" s="78"/>
      <c r="BO341" s="66"/>
      <c r="BP341" s="66"/>
    </row>
    <row r="342" spans="1:68" ht="13.2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/>
      <c r="AQ342" s="75"/>
      <c r="AR342" s="75"/>
      <c r="AS342" s="75"/>
      <c r="AT342" s="75"/>
      <c r="AU342" s="75"/>
      <c r="AV342" s="75"/>
      <c r="AW342" s="75"/>
      <c r="AX342" s="75"/>
      <c r="AY342" s="77"/>
      <c r="AZ342" s="75"/>
      <c r="BA342" s="77"/>
      <c r="BB342" s="66"/>
      <c r="BC342" s="4"/>
      <c r="BD342" s="67"/>
      <c r="BE342" s="67"/>
      <c r="BF342" s="68"/>
      <c r="BG342" s="69"/>
      <c r="BH342" s="84"/>
      <c r="BI342" s="70"/>
      <c r="BJ342" s="73"/>
      <c r="BK342" s="78"/>
      <c r="BL342" s="78"/>
      <c r="BM342" s="78"/>
      <c r="BN342" s="78"/>
      <c r="BO342" s="66"/>
      <c r="BP342" s="66"/>
    </row>
    <row r="343" spans="1:68" ht="13.2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/>
      <c r="AQ343" s="75"/>
      <c r="AR343" s="75"/>
      <c r="AS343" s="75"/>
      <c r="AT343" s="75"/>
      <c r="AU343" s="75"/>
      <c r="AV343" s="75"/>
      <c r="AW343" s="75"/>
      <c r="AX343" s="75"/>
      <c r="AY343" s="77"/>
      <c r="AZ343" s="75"/>
      <c r="BA343" s="77"/>
      <c r="BB343" s="66"/>
      <c r="BC343" s="4"/>
      <c r="BD343" s="67"/>
      <c r="BE343" s="67"/>
      <c r="BF343" s="68"/>
      <c r="BG343" s="69"/>
      <c r="BH343" s="84"/>
      <c r="BI343" s="70"/>
      <c r="BJ343" s="73"/>
      <c r="BK343" s="78"/>
      <c r="BL343" s="78"/>
      <c r="BM343" s="78"/>
      <c r="BN343" s="78"/>
      <c r="BO343" s="66"/>
      <c r="BP343" s="66"/>
    </row>
    <row r="344" spans="1:68" ht="13.2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/>
      <c r="AQ344" s="75"/>
      <c r="AR344" s="75"/>
      <c r="AS344" s="75"/>
      <c r="AT344" s="75"/>
      <c r="AU344" s="75"/>
      <c r="AV344" s="75"/>
      <c r="AW344" s="75"/>
      <c r="AX344" s="75"/>
      <c r="AY344" s="77"/>
      <c r="AZ344" s="75"/>
      <c r="BA344" s="77"/>
      <c r="BB344" s="66"/>
      <c r="BC344" s="4"/>
      <c r="BD344" s="67"/>
      <c r="BE344" s="67"/>
      <c r="BF344" s="68"/>
      <c r="BG344" s="69"/>
      <c r="BH344" s="84"/>
      <c r="BI344" s="70"/>
      <c r="BJ344" s="73"/>
      <c r="BK344" s="78"/>
      <c r="BL344" s="78"/>
      <c r="BM344" s="78"/>
      <c r="BN344" s="78"/>
      <c r="BO344" s="66"/>
      <c r="BP344" s="66"/>
    </row>
    <row r="345" spans="1:68" ht="13.2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/>
      <c r="AQ345" s="75"/>
      <c r="AR345" s="75"/>
      <c r="AS345" s="75"/>
      <c r="AT345" s="75"/>
      <c r="AU345" s="75"/>
      <c r="AV345" s="75"/>
      <c r="AW345" s="75"/>
      <c r="AX345" s="75"/>
      <c r="AY345" s="77"/>
      <c r="AZ345" s="75"/>
      <c r="BA345" s="77"/>
      <c r="BB345" s="66"/>
      <c r="BC345" s="4"/>
      <c r="BD345" s="67"/>
      <c r="BE345" s="67"/>
      <c r="BF345" s="68"/>
      <c r="BG345" s="69"/>
      <c r="BH345" s="74"/>
      <c r="BI345" s="68"/>
      <c r="BJ345" s="73"/>
      <c r="BK345" s="78"/>
      <c r="BL345" s="78"/>
      <c r="BM345" s="78"/>
      <c r="BN345" s="78"/>
      <c r="BO345" s="66"/>
      <c r="BP345" s="66"/>
    </row>
    <row r="346" spans="1:68" ht="13.2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/>
      <c r="AQ346" s="75"/>
      <c r="AR346" s="75"/>
      <c r="AS346" s="75"/>
      <c r="AT346" s="75"/>
      <c r="AU346" s="75"/>
      <c r="AV346" s="75"/>
      <c r="AW346" s="75"/>
      <c r="AX346" s="75"/>
      <c r="AY346" s="77"/>
      <c r="AZ346" s="75"/>
      <c r="BA346" s="77"/>
      <c r="BB346" s="66"/>
      <c r="BC346" s="4"/>
      <c r="BD346" s="67"/>
      <c r="BE346" s="67"/>
      <c r="BF346" s="68"/>
      <c r="BG346" s="69"/>
      <c r="BH346" s="74"/>
      <c r="BI346" s="68"/>
      <c r="BJ346" s="73"/>
      <c r="BK346" s="78"/>
      <c r="BL346" s="78"/>
      <c r="BM346" s="78"/>
      <c r="BN346" s="78"/>
      <c r="BO346" s="66"/>
      <c r="BP346" s="66"/>
    </row>
    <row r="347" spans="1:68" ht="13.2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/>
      <c r="AQ347" s="75"/>
      <c r="AR347" s="75"/>
      <c r="AS347" s="75"/>
      <c r="AT347" s="75"/>
      <c r="AU347" s="75"/>
      <c r="AV347" s="75"/>
      <c r="AW347" s="75"/>
      <c r="AX347" s="75"/>
      <c r="AY347" s="77"/>
      <c r="AZ347" s="75"/>
      <c r="BA347" s="77"/>
      <c r="BB347" s="66"/>
      <c r="BC347" s="4"/>
      <c r="BD347" s="67"/>
      <c r="BE347" s="67"/>
      <c r="BF347" s="68"/>
      <c r="BG347" s="69"/>
      <c r="BH347" s="84"/>
      <c r="BI347" s="70"/>
      <c r="BJ347" s="73"/>
      <c r="BK347" s="78"/>
      <c r="BL347" s="78"/>
      <c r="BM347" s="78"/>
      <c r="BN347" s="78"/>
      <c r="BO347" s="66"/>
      <c r="BP347" s="66"/>
    </row>
    <row r="348" spans="1:68" ht="13.2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/>
      <c r="AQ348" s="75"/>
      <c r="AR348" s="75"/>
      <c r="AS348" s="75"/>
      <c r="AT348" s="75"/>
      <c r="AU348" s="75"/>
      <c r="AV348" s="75"/>
      <c r="AW348" s="75"/>
      <c r="AX348" s="75"/>
      <c r="AY348" s="77"/>
      <c r="AZ348" s="75"/>
      <c r="BA348" s="77"/>
      <c r="BB348" s="66"/>
      <c r="BC348" s="4"/>
      <c r="BD348" s="67"/>
      <c r="BE348" s="67"/>
      <c r="BF348" s="68"/>
      <c r="BG348" s="69"/>
      <c r="BH348" s="84"/>
      <c r="BI348" s="70"/>
      <c r="BJ348" s="73"/>
      <c r="BK348" s="78"/>
      <c r="BL348" s="78"/>
      <c r="BM348" s="78"/>
      <c r="BN348" s="78"/>
      <c r="BO348" s="66"/>
      <c r="BP348" s="66"/>
    </row>
    <row r="349" spans="1:68" ht="13.2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/>
      <c r="AQ349" s="75"/>
      <c r="AR349" s="75"/>
      <c r="AS349" s="75"/>
      <c r="AT349" s="75"/>
      <c r="AU349" s="75"/>
      <c r="AV349" s="75"/>
      <c r="AW349" s="75"/>
      <c r="AX349" s="75"/>
      <c r="AY349" s="77"/>
      <c r="AZ349" s="75"/>
      <c r="BA349" s="77"/>
      <c r="BB349" s="66"/>
      <c r="BC349" s="4"/>
      <c r="BD349" s="67"/>
      <c r="BE349" s="67"/>
      <c r="BF349" s="68"/>
      <c r="BG349" s="69"/>
      <c r="BH349" s="84"/>
      <c r="BI349" s="70"/>
      <c r="BJ349" s="73"/>
      <c r="BK349" s="78"/>
      <c r="BL349" s="78"/>
      <c r="BM349" s="78"/>
      <c r="BN349" s="78"/>
      <c r="BO349" s="66"/>
      <c r="BP349" s="66"/>
    </row>
    <row r="350" spans="1:68" ht="13.2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/>
      <c r="AQ350" s="75"/>
      <c r="AR350" s="75"/>
      <c r="AS350" s="75"/>
      <c r="AT350" s="75"/>
      <c r="AU350" s="75"/>
      <c r="AV350" s="75"/>
      <c r="AW350" s="75"/>
      <c r="AX350" s="75"/>
      <c r="AY350" s="77"/>
      <c r="AZ350" s="75"/>
      <c r="BA350" s="77"/>
      <c r="BB350" s="66"/>
      <c r="BC350" s="4"/>
      <c r="BD350" s="67"/>
      <c r="BE350" s="67"/>
      <c r="BF350" s="68"/>
      <c r="BG350" s="69"/>
      <c r="BH350" s="84"/>
      <c r="BI350" s="70"/>
      <c r="BJ350" s="73"/>
      <c r="BK350" s="78"/>
      <c r="BL350" s="78"/>
      <c r="BM350" s="78"/>
      <c r="BN350" s="78"/>
      <c r="BO350" s="66"/>
      <c r="BP350" s="66"/>
    </row>
    <row r="351" spans="1:68" ht="13.2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/>
      <c r="AQ351" s="75"/>
      <c r="AR351" s="75"/>
      <c r="AS351" s="75"/>
      <c r="AT351" s="75"/>
      <c r="AU351" s="75"/>
      <c r="AV351" s="75"/>
      <c r="AW351" s="75"/>
      <c r="AX351" s="75"/>
      <c r="AY351" s="77"/>
      <c r="AZ351" s="75"/>
      <c r="BA351" s="77"/>
      <c r="BB351" s="66"/>
      <c r="BC351" s="4"/>
      <c r="BD351" s="67"/>
      <c r="BE351" s="67"/>
      <c r="BF351" s="68"/>
      <c r="BG351" s="69"/>
      <c r="BH351" s="84"/>
      <c r="BI351" s="70"/>
      <c r="BJ351" s="73"/>
      <c r="BK351" s="78"/>
      <c r="BL351" s="78"/>
      <c r="BM351" s="78"/>
      <c r="BN351" s="78"/>
      <c r="BO351" s="66"/>
      <c r="BP351" s="66"/>
    </row>
    <row r="352" spans="1:68" ht="13.2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/>
      <c r="AQ352" s="75"/>
      <c r="AR352" s="75"/>
      <c r="AS352" s="75"/>
      <c r="AT352" s="75"/>
      <c r="AU352" s="75"/>
      <c r="AV352" s="75"/>
      <c r="AW352" s="75"/>
      <c r="AX352" s="75"/>
      <c r="AY352" s="77"/>
      <c r="AZ352" s="75"/>
      <c r="BA352" s="77"/>
      <c r="BB352" s="66"/>
      <c r="BC352" s="4"/>
      <c r="BD352" s="67"/>
      <c r="BE352" s="67"/>
      <c r="BF352" s="68"/>
      <c r="BG352" s="69"/>
      <c r="BH352" s="84"/>
      <c r="BI352" s="70"/>
      <c r="BJ352" s="73"/>
      <c r="BK352" s="78"/>
      <c r="BL352" s="78"/>
      <c r="BM352" s="78"/>
      <c r="BN352" s="78"/>
      <c r="BO352" s="66"/>
      <c r="BP352" s="66"/>
    </row>
    <row r="353" spans="1:68" ht="13.2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/>
      <c r="AQ353" s="75"/>
      <c r="AR353" s="75"/>
      <c r="AS353" s="75"/>
      <c r="AT353" s="75"/>
      <c r="AU353" s="75"/>
      <c r="AV353" s="75"/>
      <c r="AW353" s="75"/>
      <c r="AX353" s="75"/>
      <c r="AY353" s="77"/>
      <c r="AZ353" s="75"/>
      <c r="BA353" s="77"/>
      <c r="BB353" s="66"/>
      <c r="BC353" s="4"/>
      <c r="BD353" s="67"/>
      <c r="BE353" s="67"/>
      <c r="BF353" s="68"/>
      <c r="BG353" s="69"/>
      <c r="BH353" s="84"/>
      <c r="BI353" s="70"/>
      <c r="BJ353" s="73"/>
      <c r="BK353" s="78"/>
      <c r="BL353" s="78"/>
      <c r="BM353" s="78"/>
      <c r="BN353" s="78"/>
      <c r="BO353" s="66"/>
      <c r="BP353" s="66"/>
    </row>
    <row r="354" spans="1:68" ht="13.2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/>
      <c r="AQ354" s="75"/>
      <c r="AR354" s="75"/>
      <c r="AS354" s="75"/>
      <c r="AT354" s="75"/>
      <c r="AU354" s="75"/>
      <c r="AV354" s="75"/>
      <c r="AW354" s="75"/>
      <c r="AX354" s="75"/>
      <c r="AY354" s="77"/>
      <c r="AZ354" s="75"/>
      <c r="BA354" s="77"/>
      <c r="BB354" s="66"/>
      <c r="BC354" s="4"/>
      <c r="BD354" s="67"/>
      <c r="BE354" s="67"/>
      <c r="BF354" s="68"/>
      <c r="BG354" s="69"/>
      <c r="BH354" s="84"/>
      <c r="BI354" s="70"/>
      <c r="BJ354" s="73"/>
      <c r="BK354" s="78"/>
      <c r="BL354" s="78"/>
      <c r="BM354" s="78"/>
      <c r="BN354" s="78"/>
      <c r="BO354" s="66"/>
      <c r="BP354" s="66"/>
    </row>
    <row r="355" spans="1:68" ht="13.2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/>
      <c r="AQ355" s="75"/>
      <c r="AR355" s="75"/>
      <c r="AS355" s="75"/>
      <c r="AT355" s="75"/>
      <c r="AU355" s="75"/>
      <c r="AV355" s="75"/>
      <c r="AW355" s="75"/>
      <c r="AX355" s="75"/>
      <c r="AY355" s="77"/>
      <c r="AZ355" s="75"/>
      <c r="BA355" s="77"/>
      <c r="BB355" s="66"/>
      <c r="BC355" s="4"/>
      <c r="BD355" s="67"/>
      <c r="BE355" s="67"/>
      <c r="BF355" s="68"/>
      <c r="BG355" s="69"/>
      <c r="BH355" s="74"/>
      <c r="BI355" s="68"/>
      <c r="BJ355" s="73"/>
      <c r="BK355" s="78"/>
      <c r="BL355" s="78"/>
      <c r="BM355" s="78"/>
      <c r="BN355" s="78"/>
      <c r="BO355" s="66"/>
      <c r="BP355" s="66"/>
    </row>
    <row r="356" spans="1:68" ht="13.2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/>
      <c r="AQ356" s="75"/>
      <c r="AR356" s="75"/>
      <c r="AS356" s="75"/>
      <c r="AT356" s="75"/>
      <c r="AU356" s="75"/>
      <c r="AV356" s="75"/>
      <c r="AW356" s="75"/>
      <c r="AX356" s="75"/>
      <c r="AY356" s="77"/>
      <c r="AZ356" s="75"/>
      <c r="BA356" s="77"/>
      <c r="BB356" s="66"/>
      <c r="BC356" s="4"/>
      <c r="BD356" s="67"/>
      <c r="BE356" s="67"/>
      <c r="BF356" s="68"/>
      <c r="BG356" s="69"/>
      <c r="BH356" s="84"/>
      <c r="BI356" s="70"/>
      <c r="BJ356" s="73"/>
      <c r="BK356" s="78"/>
      <c r="BL356" s="78"/>
      <c r="BM356" s="78"/>
      <c r="BN356" s="78"/>
      <c r="BO356" s="66"/>
      <c r="BP356" s="66"/>
    </row>
    <row r="357" spans="1:68" ht="13.2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/>
      <c r="AQ357" s="75"/>
      <c r="AR357" s="75"/>
      <c r="AS357" s="75"/>
      <c r="AT357" s="75"/>
      <c r="AU357" s="75"/>
      <c r="AV357" s="75"/>
      <c r="AW357" s="75"/>
      <c r="AX357" s="75"/>
      <c r="AY357" s="77"/>
      <c r="AZ357" s="75"/>
      <c r="BA357" s="77"/>
      <c r="BB357" s="66"/>
      <c r="BC357" s="4"/>
      <c r="BD357" s="67"/>
      <c r="BE357" s="67"/>
      <c r="BF357" s="68"/>
      <c r="BG357" s="69"/>
      <c r="BH357" s="84"/>
      <c r="BI357" s="70"/>
      <c r="BJ357" s="73"/>
      <c r="BK357" s="78"/>
      <c r="BL357" s="78"/>
      <c r="BM357" s="78"/>
      <c r="BN357" s="78"/>
      <c r="BO357" s="66"/>
      <c r="BP357" s="66"/>
    </row>
    <row r="358" spans="1:68" ht="13.2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/>
      <c r="AQ358" s="75"/>
      <c r="AR358" s="75"/>
      <c r="AS358" s="75"/>
      <c r="AT358" s="75"/>
      <c r="AU358" s="75"/>
      <c r="AV358" s="75"/>
      <c r="AW358" s="75"/>
      <c r="AX358" s="75"/>
      <c r="AY358" s="77"/>
      <c r="AZ358" s="75"/>
      <c r="BA358" s="77"/>
      <c r="BB358" s="66"/>
      <c r="BC358" s="4"/>
      <c r="BD358" s="67"/>
      <c r="BE358" s="67"/>
      <c r="BF358" s="68"/>
      <c r="BG358" s="69"/>
      <c r="BH358" s="84"/>
      <c r="BI358" s="70"/>
      <c r="BJ358" s="73"/>
      <c r="BK358" s="78"/>
      <c r="BL358" s="78"/>
      <c r="BM358" s="78"/>
      <c r="BN358" s="78"/>
      <c r="BO358" s="66"/>
      <c r="BP358" s="66"/>
    </row>
    <row r="359" spans="1:68" ht="13.2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/>
      <c r="AQ359" s="75"/>
      <c r="AR359" s="75"/>
      <c r="AS359" s="75"/>
      <c r="AT359" s="75"/>
      <c r="AU359" s="75"/>
      <c r="AV359" s="75"/>
      <c r="AW359" s="75"/>
      <c r="AX359" s="75"/>
      <c r="AY359" s="77"/>
      <c r="AZ359" s="75"/>
      <c r="BA359" s="77"/>
      <c r="BB359" s="66"/>
      <c r="BC359" s="4"/>
      <c r="BD359" s="67"/>
      <c r="BE359" s="67"/>
      <c r="BF359" s="68"/>
      <c r="BG359" s="69"/>
      <c r="BH359" s="84"/>
      <c r="BI359" s="70"/>
      <c r="BJ359" s="73"/>
      <c r="BK359" s="78"/>
      <c r="BL359" s="78"/>
      <c r="BM359" s="78"/>
      <c r="BN359" s="78"/>
      <c r="BO359" s="66"/>
      <c r="BP359" s="66"/>
    </row>
    <row r="360" spans="1:68" ht="13.2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/>
      <c r="AQ360" s="75"/>
      <c r="AR360" s="75"/>
      <c r="AS360" s="75"/>
      <c r="AT360" s="75"/>
      <c r="AU360" s="75"/>
      <c r="AV360" s="75"/>
      <c r="AW360" s="75"/>
      <c r="AX360" s="75"/>
      <c r="AY360" s="77"/>
      <c r="AZ360" s="75"/>
      <c r="BA360" s="77"/>
      <c r="BB360" s="66"/>
      <c r="BC360" s="4"/>
      <c r="BD360" s="67"/>
      <c r="BE360" s="67"/>
      <c r="BF360" s="68"/>
      <c r="BG360" s="69"/>
      <c r="BH360" s="84"/>
      <c r="BI360" s="70"/>
      <c r="BJ360" s="73"/>
      <c r="BK360" s="78"/>
      <c r="BL360" s="78"/>
      <c r="BM360" s="78"/>
      <c r="BN360" s="78"/>
      <c r="BO360" s="66"/>
      <c r="BP360" s="66"/>
    </row>
    <row r="361" spans="1:68" ht="13.2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/>
      <c r="AQ361" s="75"/>
      <c r="AR361" s="75"/>
      <c r="AS361" s="75"/>
      <c r="AT361" s="75"/>
      <c r="AU361" s="75"/>
      <c r="AV361" s="75"/>
      <c r="AW361" s="75"/>
      <c r="AX361" s="75"/>
      <c r="AY361" s="77"/>
      <c r="AZ361" s="75"/>
      <c r="BA361" s="77"/>
      <c r="BB361" s="66"/>
      <c r="BC361" s="4"/>
      <c r="BD361" s="67"/>
      <c r="BE361" s="67"/>
      <c r="BF361" s="68"/>
      <c r="BG361" s="69"/>
      <c r="BH361" s="84"/>
      <c r="BI361" s="70"/>
      <c r="BJ361" s="73"/>
      <c r="BK361" s="78"/>
      <c r="BL361" s="78"/>
      <c r="BM361" s="78"/>
      <c r="BN361" s="78"/>
      <c r="BO361" s="66"/>
      <c r="BP361" s="66"/>
    </row>
    <row r="362" spans="1:68" ht="13.2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/>
      <c r="AQ362" s="75"/>
      <c r="AR362" s="75"/>
      <c r="AS362" s="75"/>
      <c r="AT362" s="75"/>
      <c r="AU362" s="75"/>
      <c r="AV362" s="75"/>
      <c r="AW362" s="75"/>
      <c r="AX362" s="75"/>
      <c r="AY362" s="77"/>
      <c r="AZ362" s="75"/>
      <c r="BA362" s="77"/>
      <c r="BB362" s="66"/>
      <c r="BC362" s="4"/>
      <c r="BD362" s="67"/>
      <c r="BE362" s="67"/>
      <c r="BF362" s="68"/>
      <c r="BG362" s="69"/>
      <c r="BH362" s="84"/>
      <c r="BI362" s="70"/>
      <c r="BJ362" s="73"/>
      <c r="BK362" s="78"/>
      <c r="BL362" s="78"/>
      <c r="BM362" s="78"/>
      <c r="BN362" s="78"/>
      <c r="BO362" s="66"/>
      <c r="BP362" s="66"/>
    </row>
    <row r="363" spans="1:68" ht="13.2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/>
      <c r="AQ363" s="75"/>
      <c r="AR363" s="75"/>
      <c r="AS363" s="75"/>
      <c r="AT363" s="75"/>
      <c r="AU363" s="75"/>
      <c r="AV363" s="75"/>
      <c r="AW363" s="75"/>
      <c r="AX363" s="75"/>
      <c r="AY363" s="77"/>
      <c r="AZ363" s="75"/>
      <c r="BA363" s="77"/>
      <c r="BB363" s="66"/>
      <c r="BC363" s="4"/>
      <c r="BD363" s="67"/>
      <c r="BE363" s="67"/>
      <c r="BF363" s="68"/>
      <c r="BG363" s="69"/>
      <c r="BH363" s="74"/>
      <c r="BI363" s="68"/>
      <c r="BJ363" s="73"/>
      <c r="BK363" s="78"/>
      <c r="BL363" s="78"/>
      <c r="BM363" s="78"/>
      <c r="BN363" s="78"/>
      <c r="BO363" s="66"/>
      <c r="BP363" s="66"/>
    </row>
    <row r="364" spans="1:68" ht="13.2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/>
      <c r="AQ364" s="75"/>
      <c r="AR364" s="75"/>
      <c r="AS364" s="75"/>
      <c r="AT364" s="75"/>
      <c r="AU364" s="75"/>
      <c r="AV364" s="75"/>
      <c r="AW364" s="75"/>
      <c r="AX364" s="75"/>
      <c r="AY364" s="77"/>
      <c r="AZ364" s="75"/>
      <c r="BA364" s="77"/>
      <c r="BB364" s="66"/>
      <c r="BC364" s="4"/>
      <c r="BD364" s="67"/>
      <c r="BE364" s="67"/>
      <c r="BF364" s="68"/>
      <c r="BG364" s="69"/>
      <c r="BH364" s="84"/>
      <c r="BI364" s="70"/>
      <c r="BJ364" s="73"/>
      <c r="BK364" s="78"/>
      <c r="BL364" s="78"/>
      <c r="BM364" s="78"/>
      <c r="BN364" s="78"/>
      <c r="BO364" s="66"/>
      <c r="BP364" s="66"/>
    </row>
    <row r="365" spans="1:68" ht="13.2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/>
      <c r="AQ365" s="75"/>
      <c r="AR365" s="75"/>
      <c r="AS365" s="75"/>
      <c r="AT365" s="75"/>
      <c r="AU365" s="75"/>
      <c r="AV365" s="75"/>
      <c r="AW365" s="75"/>
      <c r="AX365" s="75"/>
      <c r="AY365" s="77"/>
      <c r="AZ365" s="75"/>
      <c r="BA365" s="77"/>
      <c r="BB365" s="66"/>
      <c r="BC365" s="4"/>
      <c r="BD365" s="67"/>
      <c r="BE365" s="67"/>
      <c r="BF365" s="68"/>
      <c r="BG365" s="69"/>
      <c r="BH365" s="84"/>
      <c r="BI365" s="70"/>
      <c r="BJ365" s="73"/>
      <c r="BK365" s="78"/>
      <c r="BL365" s="78"/>
      <c r="BM365" s="78"/>
      <c r="BN365" s="78"/>
      <c r="BO365" s="66"/>
      <c r="BP365" s="66"/>
    </row>
    <row r="366" spans="1:68" ht="13.2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/>
      <c r="AQ366" s="75"/>
      <c r="AR366" s="75"/>
      <c r="AS366" s="75"/>
      <c r="AT366" s="75"/>
      <c r="AU366" s="75"/>
      <c r="AV366" s="75"/>
      <c r="AW366" s="75"/>
      <c r="AX366" s="75"/>
      <c r="AY366" s="77"/>
      <c r="AZ366" s="75"/>
      <c r="BA366" s="77"/>
      <c r="BB366" s="66"/>
      <c r="BC366" s="4"/>
      <c r="BD366" s="67"/>
      <c r="BE366" s="67"/>
      <c r="BF366" s="68"/>
      <c r="BG366" s="69"/>
      <c r="BH366" s="84"/>
      <c r="BI366" s="70"/>
      <c r="BJ366" s="73"/>
      <c r="BK366" s="78"/>
      <c r="BL366" s="78"/>
      <c r="BM366" s="78"/>
      <c r="BN366" s="78"/>
      <c r="BO366" s="66"/>
      <c r="BP366" s="66"/>
    </row>
    <row r="367" spans="1:68" ht="13.2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/>
      <c r="AQ367" s="75"/>
      <c r="AR367" s="75"/>
      <c r="AS367" s="75"/>
      <c r="AT367" s="75"/>
      <c r="AU367" s="75"/>
      <c r="AV367" s="75"/>
      <c r="AW367" s="75"/>
      <c r="AX367" s="75"/>
      <c r="AY367" s="77"/>
      <c r="AZ367" s="75"/>
      <c r="BA367" s="77"/>
      <c r="BB367" s="66"/>
      <c r="BC367" s="4"/>
      <c r="BD367" s="67"/>
      <c r="BE367" s="67"/>
      <c r="BF367" s="68"/>
      <c r="BG367" s="69"/>
      <c r="BH367" s="84"/>
      <c r="BI367" s="70"/>
      <c r="BJ367" s="73"/>
      <c r="BK367" s="78"/>
      <c r="BL367" s="78"/>
      <c r="BM367" s="78"/>
      <c r="BN367" s="78"/>
      <c r="BO367" s="66"/>
      <c r="BP367" s="66"/>
    </row>
    <row r="368" spans="1:68" ht="13.2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/>
      <c r="AQ368" s="75"/>
      <c r="AR368" s="75"/>
      <c r="AS368" s="75"/>
      <c r="AT368" s="75"/>
      <c r="AU368" s="75"/>
      <c r="AV368" s="75"/>
      <c r="AW368" s="75"/>
      <c r="AX368" s="75"/>
      <c r="AY368" s="77"/>
      <c r="AZ368" s="75"/>
      <c r="BA368" s="77"/>
      <c r="BB368" s="66"/>
      <c r="BC368" s="4"/>
      <c r="BD368" s="67"/>
      <c r="BE368" s="67"/>
      <c r="BF368" s="68"/>
      <c r="BG368" s="69"/>
      <c r="BH368" s="84"/>
      <c r="BI368" s="70"/>
      <c r="BJ368" s="73"/>
      <c r="BK368" s="78"/>
      <c r="BL368" s="78"/>
      <c r="BM368" s="78"/>
      <c r="BN368" s="78"/>
      <c r="BO368" s="66"/>
      <c r="BP368" s="66"/>
    </row>
    <row r="369" spans="1:68" ht="13.2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/>
      <c r="AQ369" s="75"/>
      <c r="AR369" s="75"/>
      <c r="AS369" s="75"/>
      <c r="AT369" s="75"/>
      <c r="AU369" s="75"/>
      <c r="AV369" s="75"/>
      <c r="AW369" s="75"/>
      <c r="AX369" s="75"/>
      <c r="AY369" s="77"/>
      <c r="AZ369" s="75"/>
      <c r="BA369" s="77"/>
      <c r="BB369" s="66"/>
      <c r="BC369" s="4"/>
      <c r="BD369" s="67"/>
      <c r="BE369" s="67"/>
      <c r="BF369" s="68"/>
      <c r="BG369" s="69"/>
      <c r="BH369" s="84"/>
      <c r="BI369" s="70"/>
      <c r="BJ369" s="73"/>
      <c r="BK369" s="78"/>
      <c r="BL369" s="78"/>
      <c r="BM369" s="78"/>
      <c r="BN369" s="78"/>
      <c r="BO369" s="66"/>
      <c r="BP369" s="66"/>
    </row>
    <row r="370" spans="1:68" ht="13.2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/>
      <c r="AQ370" s="75"/>
      <c r="AR370" s="75"/>
      <c r="AS370" s="75"/>
      <c r="AT370" s="75"/>
      <c r="AU370" s="75"/>
      <c r="AV370" s="75"/>
      <c r="AW370" s="75"/>
      <c r="AX370" s="75"/>
      <c r="AY370" s="77"/>
      <c r="AZ370" s="75"/>
      <c r="BA370" s="77"/>
      <c r="BB370" s="66"/>
      <c r="BC370" s="4"/>
      <c r="BD370" s="67"/>
      <c r="BE370" s="67"/>
      <c r="BF370" s="68"/>
      <c r="BG370" s="69"/>
      <c r="BH370" s="74"/>
      <c r="BI370" s="68"/>
      <c r="BJ370" s="73"/>
      <c r="BK370" s="78"/>
      <c r="BL370" s="78"/>
      <c r="BM370" s="78"/>
      <c r="BN370" s="78"/>
      <c r="BO370" s="66"/>
      <c r="BP370" s="66"/>
    </row>
    <row r="371" spans="1:68" ht="13.2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/>
      <c r="AQ371" s="75"/>
      <c r="AR371" s="75"/>
      <c r="AS371" s="75"/>
      <c r="AT371" s="75"/>
      <c r="AU371" s="75"/>
      <c r="AV371" s="75"/>
      <c r="AW371" s="75"/>
      <c r="AX371" s="75"/>
      <c r="AY371" s="77"/>
      <c r="AZ371" s="75"/>
      <c r="BA371" s="77"/>
      <c r="BB371" s="66"/>
      <c r="BC371" s="4"/>
      <c r="BD371" s="67"/>
      <c r="BE371" s="67"/>
      <c r="BF371" s="68"/>
      <c r="BG371" s="69"/>
      <c r="BH371" s="74"/>
      <c r="BI371" s="68"/>
      <c r="BJ371" s="73"/>
      <c r="BK371" s="78"/>
      <c r="BL371" s="78"/>
      <c r="BM371" s="78"/>
      <c r="BN371" s="78"/>
      <c r="BO371" s="66"/>
      <c r="BP371" s="66"/>
    </row>
    <row r="372" spans="1:68" ht="13.2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/>
      <c r="AQ372" s="75"/>
      <c r="AR372" s="75"/>
      <c r="AS372" s="75"/>
      <c r="AT372" s="75"/>
      <c r="AU372" s="75"/>
      <c r="AV372" s="75"/>
      <c r="AW372" s="75"/>
      <c r="AX372" s="75"/>
      <c r="AY372" s="77"/>
      <c r="AZ372" s="75"/>
      <c r="BA372" s="77"/>
      <c r="BB372" s="66"/>
      <c r="BC372" s="4"/>
      <c r="BD372" s="67"/>
      <c r="BE372" s="67"/>
      <c r="BF372" s="68"/>
      <c r="BG372" s="69"/>
      <c r="BH372" s="74"/>
      <c r="BI372" s="68"/>
      <c r="BJ372" s="73"/>
      <c r="BK372" s="78"/>
      <c r="BL372" s="78"/>
      <c r="BM372" s="78"/>
      <c r="BN372" s="78"/>
      <c r="BO372" s="66"/>
      <c r="BP372" s="66"/>
    </row>
    <row r="373" spans="1:68" ht="13.2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/>
      <c r="AQ373" s="75"/>
      <c r="AR373" s="75"/>
      <c r="AS373" s="75"/>
      <c r="AT373" s="75"/>
      <c r="AU373" s="75"/>
      <c r="AV373" s="75"/>
      <c r="AW373" s="75"/>
      <c r="AX373" s="75"/>
      <c r="AY373" s="77"/>
      <c r="AZ373" s="75"/>
      <c r="BA373" s="77"/>
      <c r="BB373" s="66"/>
      <c r="BC373" s="4"/>
      <c r="BD373" s="67"/>
      <c r="BE373" s="67"/>
      <c r="BF373" s="68"/>
      <c r="BG373" s="69"/>
      <c r="BH373" s="74"/>
      <c r="BI373" s="68"/>
      <c r="BJ373" s="73"/>
      <c r="BK373" s="78"/>
      <c r="BL373" s="78"/>
      <c r="BM373" s="78"/>
      <c r="BN373" s="78"/>
      <c r="BO373" s="66"/>
      <c r="BP373" s="66"/>
    </row>
    <row r="374" spans="1:68" ht="13.2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/>
      <c r="AQ374" s="75"/>
      <c r="AR374" s="75"/>
      <c r="AS374" s="75"/>
      <c r="AT374" s="75"/>
      <c r="AU374" s="75"/>
      <c r="AV374" s="75"/>
      <c r="AW374" s="75"/>
      <c r="AX374" s="75"/>
      <c r="AY374" s="77"/>
      <c r="AZ374" s="75"/>
      <c r="BA374" s="77"/>
      <c r="BB374" s="66"/>
      <c r="BC374" s="4"/>
      <c r="BD374" s="67"/>
      <c r="BE374" s="67"/>
      <c r="BF374" s="68"/>
      <c r="BG374" s="69"/>
      <c r="BH374" s="74"/>
      <c r="BI374" s="68"/>
      <c r="BJ374" s="73"/>
      <c r="BK374" s="78"/>
      <c r="BL374" s="78"/>
      <c r="BM374" s="78"/>
      <c r="BN374" s="78"/>
      <c r="BO374" s="66"/>
      <c r="BP374" s="66"/>
    </row>
    <row r="375" spans="1:68" ht="13.2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/>
      <c r="AQ375" s="75"/>
      <c r="AR375" s="75"/>
      <c r="AS375" s="75"/>
      <c r="AT375" s="75"/>
      <c r="AU375" s="75"/>
      <c r="AV375" s="75"/>
      <c r="AW375" s="75"/>
      <c r="AX375" s="75"/>
      <c r="AY375" s="77"/>
      <c r="AZ375" s="75"/>
      <c r="BA375" s="77"/>
      <c r="BB375" s="66"/>
      <c r="BC375" s="4"/>
      <c r="BD375" s="67"/>
      <c r="BE375" s="67"/>
      <c r="BF375" s="68"/>
      <c r="BG375" s="69"/>
      <c r="BH375" s="84"/>
      <c r="BI375" s="70"/>
      <c r="BJ375" s="73"/>
      <c r="BK375" s="78"/>
      <c r="BL375" s="78"/>
      <c r="BM375" s="78"/>
      <c r="BN375" s="78"/>
      <c r="BO375" s="66"/>
      <c r="BP375" s="66"/>
    </row>
    <row r="376" spans="1:68" ht="13.2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/>
      <c r="AQ376" s="75"/>
      <c r="AR376" s="75"/>
      <c r="AS376" s="75"/>
      <c r="AT376" s="75"/>
      <c r="AU376" s="75"/>
      <c r="AV376" s="75"/>
      <c r="AW376" s="75"/>
      <c r="AX376" s="75"/>
      <c r="AY376" s="77"/>
      <c r="AZ376" s="75"/>
      <c r="BA376" s="77"/>
      <c r="BB376" s="66"/>
      <c r="BC376" s="4"/>
      <c r="BD376" s="67"/>
      <c r="BE376" s="67"/>
      <c r="BF376" s="68"/>
      <c r="BG376" s="69"/>
      <c r="BH376" s="84"/>
      <c r="BI376" s="70"/>
      <c r="BJ376" s="73"/>
      <c r="BK376" s="78"/>
      <c r="BL376" s="78"/>
      <c r="BM376" s="78"/>
      <c r="BN376" s="78"/>
      <c r="BO376" s="66"/>
      <c r="BP376" s="66"/>
    </row>
    <row r="377" spans="1:68" ht="13.2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/>
      <c r="AQ377" s="75"/>
      <c r="AR377" s="75"/>
      <c r="AS377" s="75"/>
      <c r="AT377" s="75"/>
      <c r="AU377" s="75"/>
      <c r="AV377" s="75"/>
      <c r="AW377" s="75"/>
      <c r="AX377" s="75"/>
      <c r="AY377" s="77"/>
      <c r="AZ377" s="75"/>
      <c r="BA377" s="77"/>
      <c r="BB377" s="66"/>
      <c r="BC377" s="4"/>
      <c r="BD377" s="67"/>
      <c r="BE377" s="67"/>
      <c r="BF377" s="68"/>
      <c r="BG377" s="69"/>
      <c r="BH377" s="84"/>
      <c r="BI377" s="70"/>
      <c r="BJ377" s="73"/>
      <c r="BK377" s="78"/>
      <c r="BL377" s="78"/>
      <c r="BM377" s="78"/>
      <c r="BN377" s="78"/>
      <c r="BO377" s="66"/>
      <c r="BP377" s="66"/>
    </row>
    <row r="378" spans="1:68" ht="13.2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/>
      <c r="AQ378" s="75"/>
      <c r="AR378" s="75"/>
      <c r="AS378" s="75"/>
      <c r="AT378" s="75"/>
      <c r="AU378" s="75"/>
      <c r="AV378" s="75"/>
      <c r="AW378" s="75"/>
      <c r="AX378" s="75"/>
      <c r="AY378" s="77"/>
      <c r="AZ378" s="75"/>
      <c r="BA378" s="77"/>
      <c r="BB378" s="66"/>
      <c r="BC378" s="4"/>
      <c r="BD378" s="67"/>
      <c r="BE378" s="67"/>
      <c r="BF378" s="68"/>
      <c r="BG378" s="69"/>
      <c r="BH378" s="74"/>
      <c r="BI378" s="68"/>
      <c r="BJ378" s="73"/>
      <c r="BK378" s="78"/>
      <c r="BL378" s="78"/>
      <c r="BM378" s="78"/>
      <c r="BN378" s="78"/>
      <c r="BO378" s="66"/>
      <c r="BP378" s="66"/>
    </row>
    <row r="379" spans="1:68" ht="13.2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/>
      <c r="AQ379" s="75"/>
      <c r="AR379" s="75"/>
      <c r="AS379" s="75"/>
      <c r="AT379" s="75"/>
      <c r="AU379" s="75"/>
      <c r="AV379" s="75"/>
      <c r="AW379" s="75"/>
      <c r="AX379" s="75"/>
      <c r="AY379" s="77"/>
      <c r="AZ379" s="75"/>
      <c r="BA379" s="77"/>
      <c r="BB379" s="66"/>
      <c r="BC379" s="4"/>
      <c r="BD379" s="67"/>
      <c r="BE379" s="67"/>
      <c r="BF379" s="68"/>
      <c r="BG379" s="69"/>
      <c r="BH379" s="74"/>
      <c r="BI379" s="68"/>
      <c r="BJ379" s="73"/>
      <c r="BK379" s="78"/>
      <c r="BL379" s="78"/>
      <c r="BM379" s="78"/>
      <c r="BN379" s="78"/>
      <c r="BO379" s="66"/>
      <c r="BP379" s="66"/>
    </row>
    <row r="380" spans="1:68" ht="13.2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/>
      <c r="AQ380" s="75"/>
      <c r="AR380" s="75"/>
      <c r="AS380" s="75"/>
      <c r="AT380" s="75"/>
      <c r="AU380" s="75"/>
      <c r="AV380" s="75"/>
      <c r="AW380" s="75"/>
      <c r="AX380" s="75"/>
      <c r="AY380" s="77"/>
      <c r="AZ380" s="75"/>
      <c r="BA380" s="77"/>
      <c r="BB380" s="66"/>
      <c r="BC380" s="4"/>
      <c r="BD380" s="67"/>
      <c r="BE380" s="67"/>
      <c r="BF380" s="68"/>
      <c r="BG380" s="69"/>
      <c r="BH380" s="74"/>
      <c r="BI380" s="68"/>
      <c r="BJ380" s="73"/>
      <c r="BK380" s="78"/>
      <c r="BL380" s="78"/>
      <c r="BM380" s="78"/>
      <c r="BN380" s="78"/>
      <c r="BO380" s="66"/>
      <c r="BP380" s="66"/>
    </row>
    <row r="381" spans="1:68" ht="13.2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/>
      <c r="AQ381" s="75"/>
      <c r="AR381" s="75"/>
      <c r="AS381" s="75"/>
      <c r="AT381" s="75"/>
      <c r="AU381" s="75"/>
      <c r="AV381" s="75"/>
      <c r="AW381" s="75"/>
      <c r="AX381" s="75"/>
      <c r="AY381" s="77"/>
      <c r="AZ381" s="75"/>
      <c r="BA381" s="77"/>
      <c r="BB381" s="66"/>
      <c r="BC381" s="4"/>
      <c r="BD381" s="67"/>
      <c r="BE381" s="67"/>
      <c r="BF381" s="68"/>
      <c r="BG381" s="69"/>
      <c r="BH381" s="74"/>
      <c r="BI381" s="68"/>
      <c r="BJ381" s="73"/>
      <c r="BK381" s="78"/>
      <c r="BL381" s="78"/>
      <c r="BM381" s="78"/>
      <c r="BN381" s="78"/>
      <c r="BO381" s="66"/>
      <c r="BP381" s="66"/>
    </row>
    <row r="382" spans="1:68" ht="13.2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/>
      <c r="AQ382" s="75"/>
      <c r="AR382" s="75"/>
      <c r="AS382" s="75"/>
      <c r="AT382" s="75"/>
      <c r="AU382" s="75"/>
      <c r="AV382" s="75"/>
      <c r="AW382" s="75"/>
      <c r="AX382" s="75"/>
      <c r="AY382" s="77"/>
      <c r="AZ382" s="75"/>
      <c r="BA382" s="77"/>
      <c r="BB382" s="66"/>
      <c r="BC382" s="4"/>
      <c r="BD382" s="67"/>
      <c r="BE382" s="67"/>
      <c r="BF382" s="68"/>
      <c r="BG382" s="69"/>
      <c r="BH382" s="74"/>
      <c r="BI382" s="68"/>
      <c r="BJ382" s="73"/>
      <c r="BK382" s="78"/>
      <c r="BL382" s="78"/>
      <c r="BM382" s="78"/>
      <c r="BN382" s="78"/>
      <c r="BO382" s="66"/>
      <c r="BP382" s="66"/>
    </row>
    <row r="383" spans="1:68" ht="13.2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/>
      <c r="AQ383" s="75"/>
      <c r="AR383" s="75"/>
      <c r="AS383" s="75"/>
      <c r="AT383" s="75"/>
      <c r="AU383" s="75"/>
      <c r="AV383" s="75"/>
      <c r="AW383" s="75"/>
      <c r="AX383" s="75"/>
      <c r="AY383" s="77"/>
      <c r="AZ383" s="75"/>
      <c r="BA383" s="77"/>
      <c r="BB383" s="66"/>
      <c r="BC383" s="4"/>
      <c r="BD383" s="67"/>
      <c r="BE383" s="67"/>
      <c r="BF383" s="68"/>
      <c r="BG383" s="69"/>
      <c r="BH383" s="84"/>
      <c r="BI383" s="70"/>
      <c r="BJ383" s="73"/>
      <c r="BK383" s="78"/>
      <c r="BL383" s="78"/>
      <c r="BM383" s="78"/>
      <c r="BN383" s="78"/>
      <c r="BO383" s="66"/>
      <c r="BP383" s="66"/>
    </row>
    <row r="384" spans="1:68" ht="13.2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/>
      <c r="AQ384" s="75"/>
      <c r="AR384" s="75"/>
      <c r="AS384" s="75"/>
      <c r="AT384" s="75"/>
      <c r="AU384" s="75"/>
      <c r="AV384" s="75"/>
      <c r="AW384" s="75"/>
      <c r="AX384" s="75"/>
      <c r="AY384" s="77"/>
      <c r="AZ384" s="75"/>
      <c r="BA384" s="77"/>
      <c r="BB384" s="66"/>
      <c r="BC384" s="4"/>
      <c r="BD384" s="67"/>
      <c r="BE384" s="67"/>
      <c r="BF384" s="68"/>
      <c r="BG384" s="69"/>
      <c r="BH384" s="84"/>
      <c r="BI384" s="70"/>
      <c r="BJ384" s="73"/>
      <c r="BK384" s="78"/>
      <c r="BL384" s="78"/>
      <c r="BM384" s="78"/>
      <c r="BN384" s="78"/>
      <c r="BO384" s="66"/>
      <c r="BP384" s="66"/>
    </row>
    <row r="385" spans="1:68" ht="13.2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/>
      <c r="AQ385" s="75"/>
      <c r="AR385" s="75"/>
      <c r="AS385" s="75"/>
      <c r="AT385" s="75"/>
      <c r="AU385" s="75"/>
      <c r="AV385" s="75"/>
      <c r="AW385" s="75"/>
      <c r="AX385" s="75"/>
      <c r="AY385" s="77"/>
      <c r="AZ385" s="75"/>
      <c r="BA385" s="77"/>
      <c r="BB385" s="66"/>
      <c r="BC385" s="4"/>
      <c r="BD385" s="67"/>
      <c r="BE385" s="67"/>
      <c r="BF385" s="68"/>
      <c r="BG385" s="69"/>
      <c r="BH385" s="84"/>
      <c r="BI385" s="70"/>
      <c r="BJ385" s="73"/>
      <c r="BK385" s="78"/>
      <c r="BL385" s="78"/>
      <c r="BM385" s="78"/>
      <c r="BN385" s="78"/>
      <c r="BO385" s="66"/>
      <c r="BP385" s="66"/>
    </row>
    <row r="386" spans="1:68" ht="13.2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/>
      <c r="AQ386" s="75"/>
      <c r="AR386" s="75"/>
      <c r="AS386" s="75"/>
      <c r="AT386" s="75"/>
      <c r="AU386" s="75"/>
      <c r="AV386" s="75"/>
      <c r="AW386" s="75"/>
      <c r="AX386" s="75"/>
      <c r="AY386" s="77"/>
      <c r="AZ386" s="75"/>
      <c r="BA386" s="77"/>
      <c r="BB386" s="66"/>
      <c r="BC386" s="4"/>
      <c r="BD386" s="67"/>
      <c r="BE386" s="67"/>
      <c r="BF386" s="68"/>
      <c r="BG386" s="69"/>
      <c r="BH386" s="84"/>
      <c r="BI386" s="70"/>
      <c r="BJ386" s="73"/>
      <c r="BK386" s="78"/>
      <c r="BL386" s="78"/>
      <c r="BM386" s="78"/>
      <c r="BN386" s="78"/>
      <c r="BO386" s="66"/>
      <c r="BP386" s="66"/>
    </row>
    <row r="387" spans="1:68" ht="13.2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/>
      <c r="AQ387" s="75"/>
      <c r="AR387" s="75"/>
      <c r="AS387" s="75"/>
      <c r="AT387" s="75"/>
      <c r="AU387" s="75"/>
      <c r="AV387" s="75"/>
      <c r="AW387" s="75"/>
      <c r="AX387" s="75"/>
      <c r="AY387" s="77"/>
      <c r="AZ387" s="75"/>
      <c r="BA387" s="77"/>
      <c r="BB387" s="66"/>
      <c r="BC387" s="4"/>
      <c r="BD387" s="67"/>
      <c r="BE387" s="67"/>
      <c r="BF387" s="68"/>
      <c r="BG387" s="69"/>
      <c r="BH387" s="84"/>
      <c r="BI387" s="70"/>
      <c r="BJ387" s="73"/>
      <c r="BK387" s="78"/>
      <c r="BL387" s="78"/>
      <c r="BM387" s="78"/>
      <c r="BN387" s="78"/>
      <c r="BO387" s="66"/>
      <c r="BP387" s="66"/>
    </row>
    <row r="388" spans="1:68" ht="13.2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/>
      <c r="AQ388" s="75"/>
      <c r="AR388" s="75"/>
      <c r="AS388" s="75"/>
      <c r="AT388" s="75"/>
      <c r="AU388" s="75"/>
      <c r="AV388" s="75"/>
      <c r="AW388" s="75"/>
      <c r="AX388" s="75"/>
      <c r="AY388" s="77"/>
      <c r="AZ388" s="75"/>
      <c r="BA388" s="77"/>
      <c r="BB388" s="66"/>
      <c r="BC388" s="4"/>
      <c r="BD388" s="67"/>
      <c r="BE388" s="67"/>
      <c r="BF388" s="68"/>
      <c r="BG388" s="69"/>
      <c r="BH388" s="84"/>
      <c r="BI388" s="70"/>
      <c r="BJ388" s="73"/>
      <c r="BK388" s="78"/>
      <c r="BL388" s="78"/>
      <c r="BM388" s="78"/>
      <c r="BN388" s="78"/>
      <c r="BO388" s="66"/>
      <c r="BP388" s="66"/>
    </row>
    <row r="389" spans="1:68" ht="13.2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/>
      <c r="AQ389" s="75"/>
      <c r="AR389" s="75"/>
      <c r="AS389" s="75"/>
      <c r="AT389" s="75"/>
      <c r="AU389" s="75"/>
      <c r="AV389" s="75"/>
      <c r="AW389" s="75"/>
      <c r="AX389" s="75"/>
      <c r="AY389" s="77"/>
      <c r="AZ389" s="75"/>
      <c r="BA389" s="77"/>
      <c r="BB389" s="66"/>
      <c r="BC389" s="4"/>
      <c r="BD389" s="67"/>
      <c r="BE389" s="67"/>
      <c r="BF389" s="68"/>
      <c r="BG389" s="69"/>
      <c r="BH389" s="84"/>
      <c r="BI389" s="70"/>
      <c r="BJ389" s="73"/>
      <c r="BK389" s="78"/>
      <c r="BL389" s="78"/>
      <c r="BM389" s="78"/>
      <c r="BN389" s="78"/>
      <c r="BO389" s="66"/>
      <c r="BP389" s="66"/>
    </row>
    <row r="390" spans="1:68" ht="13.2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/>
      <c r="AQ390" s="75"/>
      <c r="AR390" s="75"/>
      <c r="AS390" s="75"/>
      <c r="AT390" s="75"/>
      <c r="AU390" s="75"/>
      <c r="AV390" s="75"/>
      <c r="AW390" s="75"/>
      <c r="AX390" s="75"/>
      <c r="AY390" s="77"/>
      <c r="AZ390" s="75"/>
      <c r="BA390" s="77"/>
      <c r="BB390" s="66"/>
      <c r="BC390" s="4"/>
      <c r="BD390" s="67"/>
      <c r="BE390" s="67"/>
      <c r="BF390" s="68"/>
      <c r="BG390" s="69"/>
      <c r="BH390" s="84"/>
      <c r="BI390" s="70"/>
      <c r="BJ390" s="73"/>
      <c r="BK390" s="78"/>
      <c r="BL390" s="78"/>
      <c r="BM390" s="78"/>
      <c r="BN390" s="78"/>
      <c r="BO390" s="66"/>
      <c r="BP390" s="66"/>
    </row>
    <row r="391" spans="1:68" ht="13.2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/>
      <c r="AQ391" s="75"/>
      <c r="AR391" s="75"/>
      <c r="AS391" s="75"/>
      <c r="AT391" s="75"/>
      <c r="AU391" s="75"/>
      <c r="AV391" s="75"/>
      <c r="AW391" s="75"/>
      <c r="AX391" s="75"/>
      <c r="AY391" s="77"/>
      <c r="AZ391" s="75"/>
      <c r="BA391" s="77"/>
      <c r="BB391" s="66"/>
      <c r="BC391" s="4"/>
      <c r="BD391" s="67"/>
      <c r="BE391" s="67"/>
      <c r="BF391" s="68"/>
      <c r="BG391" s="69"/>
      <c r="BH391" s="74"/>
      <c r="BI391" s="68"/>
      <c r="BJ391" s="73"/>
      <c r="BK391" s="78"/>
      <c r="BL391" s="78"/>
      <c r="BM391" s="78"/>
      <c r="BN391" s="78"/>
      <c r="BO391" s="66"/>
      <c r="BP391" s="66"/>
    </row>
    <row r="392" spans="1:68" ht="13.2">
      <c r="A392" s="66"/>
      <c r="B392" s="86"/>
      <c r="C392" s="86"/>
      <c r="D392" s="68"/>
      <c r="E392" s="87"/>
      <c r="F392" s="84"/>
      <c r="G392" s="68"/>
      <c r="H392" s="88"/>
      <c r="I392" s="71"/>
      <c r="J392" s="68"/>
      <c r="K392" s="72"/>
      <c r="L392" s="80"/>
      <c r="M392" s="73"/>
      <c r="N392" s="72"/>
      <c r="O392" s="80"/>
      <c r="P392" s="79"/>
      <c r="Q392" s="72"/>
      <c r="R392" s="80"/>
      <c r="S392" s="79"/>
      <c r="T392" s="72"/>
      <c r="U392" s="80"/>
      <c r="V392" s="79"/>
      <c r="W392" s="72"/>
      <c r="X392" s="80"/>
      <c r="Y392" s="73"/>
      <c r="Z392" s="72"/>
      <c r="AA392" s="80"/>
      <c r="AB392" s="79"/>
      <c r="AC392" s="72"/>
      <c r="AD392" s="80"/>
      <c r="AE392" s="79"/>
      <c r="AF392" s="72"/>
      <c r="AG392" s="80"/>
      <c r="AH392" s="79"/>
      <c r="AI392" s="72"/>
      <c r="AJ392" s="80"/>
      <c r="AK392" s="73"/>
      <c r="AL392" s="74"/>
      <c r="AM392" s="68"/>
      <c r="AN392" s="73"/>
      <c r="AO392" s="68"/>
      <c r="AP392" s="76"/>
      <c r="AQ392" s="76"/>
      <c r="AR392" s="75"/>
      <c r="AS392" s="75"/>
      <c r="AT392" s="75"/>
      <c r="AU392" s="75"/>
      <c r="AV392" s="75"/>
      <c r="AW392" s="75"/>
      <c r="AX392" s="75"/>
      <c r="AY392" s="77"/>
      <c r="AZ392" s="75"/>
      <c r="BA392" s="77"/>
      <c r="BB392" s="66"/>
      <c r="BC392" s="4"/>
      <c r="BD392" s="67"/>
      <c r="BE392" s="67"/>
      <c r="BF392" s="68"/>
      <c r="BG392" s="69"/>
      <c r="BH392" s="74"/>
      <c r="BI392" s="68"/>
      <c r="BJ392" s="73"/>
      <c r="BK392" s="78"/>
      <c r="BL392" s="78"/>
      <c r="BM392" s="78"/>
      <c r="BN392" s="78"/>
      <c r="BO392" s="66"/>
      <c r="BP392" s="66"/>
    </row>
    <row r="393" spans="1:68" ht="13.2">
      <c r="A393" s="66"/>
      <c r="B393" s="86"/>
      <c r="C393" s="86"/>
      <c r="D393" s="68"/>
      <c r="E393" s="87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/>
      <c r="AQ393" s="75"/>
      <c r="AR393" s="75"/>
      <c r="AS393" s="75"/>
      <c r="AT393" s="75"/>
      <c r="AU393" s="75"/>
      <c r="AV393" s="75"/>
      <c r="AW393" s="75"/>
      <c r="AX393" s="75"/>
      <c r="AY393" s="77"/>
      <c r="AZ393" s="75"/>
      <c r="BA393" s="77"/>
      <c r="BB393" s="66"/>
      <c r="BC393" s="4"/>
      <c r="BD393" s="67"/>
      <c r="BE393" s="67"/>
      <c r="BF393" s="68"/>
      <c r="BG393" s="69"/>
      <c r="BH393" s="74"/>
      <c r="BI393" s="68"/>
      <c r="BJ393" s="73"/>
      <c r="BK393" s="78"/>
      <c r="BL393" s="78"/>
      <c r="BM393" s="78"/>
      <c r="BN393" s="78"/>
      <c r="BO393" s="66"/>
      <c r="BP393" s="66"/>
    </row>
    <row r="394" spans="1:68" ht="13.2">
      <c r="A394" s="66"/>
      <c r="B394" s="86"/>
      <c r="C394" s="86"/>
      <c r="D394" s="68"/>
      <c r="E394" s="87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/>
      <c r="AQ394" s="75"/>
      <c r="AR394" s="75"/>
      <c r="AS394" s="75"/>
      <c r="AT394" s="75"/>
      <c r="AU394" s="75"/>
      <c r="AV394" s="75"/>
      <c r="AW394" s="75"/>
      <c r="AX394" s="75"/>
      <c r="AY394" s="77"/>
      <c r="AZ394" s="75"/>
      <c r="BA394" s="77"/>
      <c r="BB394" s="66"/>
      <c r="BC394" s="4"/>
      <c r="BD394" s="67"/>
      <c r="BE394" s="67"/>
      <c r="BF394" s="68"/>
      <c r="BG394" s="69"/>
      <c r="BH394" s="74"/>
      <c r="BI394" s="68"/>
      <c r="BJ394" s="73"/>
      <c r="BK394" s="78"/>
      <c r="BL394" s="78"/>
      <c r="BM394" s="78"/>
      <c r="BN394" s="78"/>
      <c r="BO394" s="66"/>
      <c r="BP394" s="66"/>
    </row>
    <row r="395" spans="1:68" ht="13.2">
      <c r="A395" s="66"/>
      <c r="B395" s="86"/>
      <c r="C395" s="86"/>
      <c r="D395" s="68"/>
      <c r="E395" s="87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9"/>
      <c r="Q395" s="72"/>
      <c r="R395" s="72"/>
      <c r="S395" s="79"/>
      <c r="T395" s="72"/>
      <c r="U395" s="72"/>
      <c r="V395" s="79"/>
      <c r="W395" s="72"/>
      <c r="X395" s="72"/>
      <c r="Y395" s="73"/>
      <c r="Z395" s="72"/>
      <c r="AA395" s="72"/>
      <c r="AB395" s="79"/>
      <c r="AC395" s="72"/>
      <c r="AD395" s="72"/>
      <c r="AE395" s="79"/>
      <c r="AF395" s="72"/>
      <c r="AG395" s="72"/>
      <c r="AH395" s="79"/>
      <c r="AI395" s="72"/>
      <c r="AJ395" s="72"/>
      <c r="AK395" s="73"/>
      <c r="AL395" s="74"/>
      <c r="AM395" s="73"/>
      <c r="AN395" s="73"/>
      <c r="AO395" s="79"/>
      <c r="AP395" s="75"/>
      <c r="AQ395" s="75"/>
      <c r="AR395" s="75"/>
      <c r="AS395" s="75"/>
      <c r="AT395" s="75"/>
      <c r="AU395" s="75"/>
      <c r="AV395" s="75"/>
      <c r="AW395" s="75"/>
      <c r="AX395" s="75"/>
      <c r="AY395" s="77"/>
      <c r="AZ395" s="75"/>
      <c r="BA395" s="77"/>
      <c r="BB395" s="66"/>
      <c r="BC395" s="4"/>
      <c r="BD395" s="67"/>
      <c r="BE395" s="67"/>
      <c r="BF395" s="68"/>
      <c r="BG395" s="69"/>
      <c r="BH395" s="74"/>
      <c r="BI395" s="68"/>
      <c r="BJ395" s="73"/>
      <c r="BK395" s="78"/>
      <c r="BL395" s="78"/>
      <c r="BM395" s="78"/>
      <c r="BN395" s="78"/>
      <c r="BO395" s="66"/>
      <c r="BP395" s="66"/>
    </row>
    <row r="396" spans="1:68" ht="13.2">
      <c r="A396" s="66"/>
      <c r="B396" s="86"/>
      <c r="C396" s="86"/>
      <c r="D396" s="68"/>
      <c r="E396" s="87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9"/>
      <c r="Q396" s="72"/>
      <c r="R396" s="72"/>
      <c r="S396" s="79"/>
      <c r="T396" s="72"/>
      <c r="U396" s="72"/>
      <c r="V396" s="79"/>
      <c r="W396" s="72"/>
      <c r="X396" s="72"/>
      <c r="Y396" s="73"/>
      <c r="Z396" s="72"/>
      <c r="AA396" s="72"/>
      <c r="AB396" s="79"/>
      <c r="AC396" s="72"/>
      <c r="AD396" s="72"/>
      <c r="AE396" s="79"/>
      <c r="AF396" s="72"/>
      <c r="AG396" s="72"/>
      <c r="AH396" s="79"/>
      <c r="AI396" s="72"/>
      <c r="AJ396" s="72"/>
      <c r="AK396" s="73"/>
      <c r="AL396" s="74"/>
      <c r="AM396" s="73"/>
      <c r="AN396" s="73"/>
      <c r="AO396" s="73"/>
      <c r="AP396" s="75"/>
      <c r="AQ396" s="75"/>
      <c r="AR396" s="75"/>
      <c r="AS396" s="75"/>
      <c r="AT396" s="75"/>
      <c r="AU396" s="75"/>
      <c r="AV396" s="75"/>
      <c r="AW396" s="75"/>
      <c r="AX396" s="75"/>
      <c r="AY396" s="77"/>
      <c r="AZ396" s="75"/>
      <c r="BA396" s="77"/>
      <c r="BB396" s="66"/>
      <c r="BC396" s="4"/>
      <c r="BD396" s="67"/>
      <c r="BE396" s="67"/>
      <c r="BF396" s="68"/>
      <c r="BG396" s="69"/>
      <c r="BH396" s="74"/>
      <c r="BI396" s="68"/>
      <c r="BJ396" s="73"/>
      <c r="BK396" s="78"/>
      <c r="BL396" s="78"/>
      <c r="BM396" s="78"/>
      <c r="BN396" s="78"/>
      <c r="BO396" s="66"/>
      <c r="BP396" s="66"/>
    </row>
    <row r="397" spans="1:68" ht="13.2">
      <c r="A397" s="66"/>
      <c r="B397" s="86"/>
      <c r="C397" s="86"/>
      <c r="D397" s="68"/>
      <c r="E397" s="87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/>
      <c r="AQ397" s="75"/>
      <c r="AR397" s="75"/>
      <c r="AS397" s="75"/>
      <c r="AT397" s="75"/>
      <c r="AU397" s="75"/>
      <c r="AV397" s="75"/>
      <c r="AW397" s="75"/>
      <c r="AX397" s="75"/>
      <c r="AY397" s="77"/>
      <c r="AZ397" s="75"/>
      <c r="BA397" s="77"/>
      <c r="BB397" s="66"/>
      <c r="BC397" s="4"/>
      <c r="BD397" s="67"/>
      <c r="BE397" s="67"/>
      <c r="BF397" s="68"/>
      <c r="BG397" s="69"/>
      <c r="BH397" s="74"/>
      <c r="BI397" s="68"/>
      <c r="BJ397" s="73"/>
      <c r="BK397" s="78"/>
      <c r="BL397" s="78"/>
      <c r="BM397" s="78"/>
      <c r="BN397" s="78"/>
      <c r="BO397" s="66"/>
      <c r="BP397" s="66"/>
    </row>
    <row r="398" spans="1:68" ht="13.2">
      <c r="A398" s="66"/>
      <c r="B398" s="86"/>
      <c r="C398" s="86"/>
      <c r="D398" s="68"/>
      <c r="E398" s="87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/>
      <c r="AQ398" s="75"/>
      <c r="AR398" s="75"/>
      <c r="AS398" s="75"/>
      <c r="AT398" s="75"/>
      <c r="AU398" s="75"/>
      <c r="AV398" s="75"/>
      <c r="AW398" s="75"/>
      <c r="AX398" s="75"/>
      <c r="AY398" s="77"/>
      <c r="AZ398" s="75"/>
      <c r="BA398" s="77"/>
      <c r="BB398" s="66"/>
      <c r="BC398" s="4"/>
      <c r="BD398" s="67"/>
      <c r="BE398" s="67"/>
      <c r="BF398" s="68"/>
      <c r="BG398" s="69"/>
      <c r="BH398" s="74"/>
      <c r="BI398" s="68"/>
      <c r="BJ398" s="73"/>
      <c r="BK398" s="78"/>
      <c r="BL398" s="78"/>
      <c r="BM398" s="78"/>
      <c r="BN398" s="78"/>
      <c r="BO398" s="66"/>
      <c r="BP398" s="66"/>
    </row>
    <row r="399" spans="1:68" ht="13.2">
      <c r="A399" s="66"/>
      <c r="B399" s="86"/>
      <c r="C399" s="86"/>
      <c r="D399" s="68"/>
      <c r="E399" s="87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/>
      <c r="AQ399" s="75"/>
      <c r="AR399" s="75"/>
      <c r="AS399" s="75"/>
      <c r="AT399" s="75"/>
      <c r="AU399" s="75"/>
      <c r="AV399" s="75"/>
      <c r="AW399" s="75"/>
      <c r="AX399" s="75"/>
      <c r="AY399" s="77"/>
      <c r="AZ399" s="75"/>
      <c r="BA399" s="77"/>
      <c r="BB399" s="66"/>
      <c r="BC399" s="4"/>
      <c r="BD399" s="67"/>
      <c r="BE399" s="67"/>
      <c r="BF399" s="68"/>
      <c r="BG399" s="69"/>
      <c r="BH399" s="84"/>
      <c r="BI399" s="70"/>
      <c r="BJ399" s="73"/>
      <c r="BK399" s="78"/>
      <c r="BL399" s="78"/>
      <c r="BM399" s="78"/>
      <c r="BN399" s="78"/>
      <c r="BO399" s="66"/>
      <c r="BP399" s="66"/>
    </row>
    <row r="400" spans="1:68" ht="13.2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/>
      <c r="AQ400" s="75"/>
      <c r="AR400" s="75"/>
      <c r="AS400" s="75"/>
      <c r="AT400" s="75"/>
      <c r="AU400" s="75"/>
      <c r="AV400" s="75"/>
      <c r="AW400" s="75"/>
      <c r="AX400" s="75"/>
      <c r="AY400" s="77"/>
      <c r="AZ400" s="75"/>
      <c r="BA400" s="77"/>
      <c r="BB400" s="66"/>
      <c r="BC400" s="4"/>
      <c r="BD400" s="67"/>
      <c r="BE400" s="67"/>
      <c r="BF400" s="68"/>
      <c r="BG400" s="69"/>
      <c r="BH400" s="84"/>
      <c r="BI400" s="70"/>
      <c r="BJ400" s="73"/>
      <c r="BK400" s="78"/>
      <c r="BL400" s="78"/>
      <c r="BM400" s="78"/>
      <c r="BN400" s="78"/>
      <c r="BO400" s="66"/>
      <c r="BP400" s="66"/>
    </row>
    <row r="401" spans="1:68" ht="13.2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/>
      <c r="AQ401" s="75"/>
      <c r="AR401" s="75"/>
      <c r="AS401" s="75"/>
      <c r="AT401" s="75"/>
      <c r="AU401" s="75"/>
      <c r="AV401" s="75"/>
      <c r="AW401" s="75"/>
      <c r="AX401" s="75"/>
      <c r="AY401" s="77"/>
      <c r="AZ401" s="75"/>
      <c r="BA401" s="77"/>
      <c r="BB401" s="66"/>
      <c r="BC401" s="4"/>
      <c r="BD401" s="67"/>
      <c r="BE401" s="67"/>
      <c r="BF401" s="68"/>
      <c r="BG401" s="69"/>
      <c r="BH401" s="84"/>
      <c r="BI401" s="70"/>
      <c r="BJ401" s="73"/>
      <c r="BK401" s="78"/>
      <c r="BL401" s="78"/>
      <c r="BM401" s="78"/>
      <c r="BN401" s="78"/>
      <c r="BO401" s="66"/>
      <c r="BP401" s="66"/>
    </row>
    <row r="402" spans="1:68" ht="13.2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/>
      <c r="AQ402" s="75"/>
      <c r="AR402" s="75"/>
      <c r="AS402" s="75"/>
      <c r="AT402" s="75"/>
      <c r="AU402" s="75"/>
      <c r="AV402" s="75"/>
      <c r="AW402" s="75"/>
      <c r="AX402" s="75"/>
      <c r="AY402" s="77"/>
      <c r="AZ402" s="75"/>
      <c r="BA402" s="77"/>
      <c r="BB402" s="66"/>
      <c r="BC402" s="4"/>
      <c r="BD402" s="67"/>
      <c r="BE402" s="67"/>
      <c r="BF402" s="68"/>
      <c r="BG402" s="69"/>
      <c r="BH402" s="84"/>
      <c r="BI402" s="70"/>
      <c r="BJ402" s="73"/>
      <c r="BK402" s="78"/>
      <c r="BL402" s="78"/>
      <c r="BM402" s="78"/>
      <c r="BN402" s="78"/>
      <c r="BO402" s="66"/>
      <c r="BP402" s="66"/>
    </row>
    <row r="403" spans="1:68" ht="13.2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/>
      <c r="AQ403" s="75"/>
      <c r="AR403" s="75"/>
      <c r="AS403" s="75"/>
      <c r="AT403" s="75"/>
      <c r="AU403" s="75"/>
      <c r="AV403" s="75"/>
      <c r="AW403" s="75"/>
      <c r="AX403" s="75"/>
      <c r="AY403" s="77"/>
      <c r="AZ403" s="75"/>
      <c r="BA403" s="77"/>
      <c r="BB403" s="66"/>
      <c r="BC403" s="4"/>
      <c r="BD403" s="67"/>
      <c r="BE403" s="67"/>
      <c r="BF403" s="68"/>
      <c r="BG403" s="69"/>
      <c r="BH403" s="84"/>
      <c r="BI403" s="70"/>
      <c r="BJ403" s="73"/>
      <c r="BK403" s="78"/>
      <c r="BL403" s="78"/>
      <c r="BM403" s="78"/>
      <c r="BN403" s="78"/>
      <c r="BO403" s="66"/>
      <c r="BP403" s="66"/>
    </row>
    <row r="404" spans="1:68" ht="13.2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/>
      <c r="AQ404" s="75"/>
      <c r="AR404" s="75"/>
      <c r="AS404" s="75"/>
      <c r="AT404" s="75"/>
      <c r="AU404" s="75"/>
      <c r="AV404" s="75"/>
      <c r="AW404" s="75"/>
      <c r="AX404" s="75"/>
      <c r="AY404" s="77"/>
      <c r="AZ404" s="75"/>
      <c r="BA404" s="77"/>
      <c r="BB404" s="66"/>
      <c r="BC404" s="4"/>
      <c r="BD404" s="67"/>
      <c r="BE404" s="67"/>
      <c r="BF404" s="68"/>
      <c r="BG404" s="69"/>
      <c r="BH404" s="84"/>
      <c r="BI404" s="70"/>
      <c r="BJ404" s="73"/>
      <c r="BK404" s="78"/>
      <c r="BL404" s="78"/>
      <c r="BM404" s="78"/>
      <c r="BN404" s="78"/>
      <c r="BO404" s="66"/>
      <c r="BP404" s="66"/>
    </row>
    <row r="405" spans="1:68" ht="13.2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/>
      <c r="AQ405" s="75"/>
      <c r="AR405" s="75"/>
      <c r="AS405" s="75"/>
      <c r="AT405" s="75"/>
      <c r="AU405" s="75"/>
      <c r="AV405" s="75"/>
      <c r="AW405" s="75"/>
      <c r="AX405" s="75"/>
      <c r="AY405" s="77"/>
      <c r="AZ405" s="75"/>
      <c r="BA405" s="77"/>
      <c r="BB405" s="66"/>
      <c r="BC405" s="4"/>
      <c r="BD405" s="67"/>
      <c r="BE405" s="67"/>
      <c r="BF405" s="68"/>
      <c r="BG405" s="69"/>
      <c r="BH405" s="84"/>
      <c r="BI405" s="70"/>
      <c r="BJ405" s="73"/>
      <c r="BK405" s="78"/>
      <c r="BL405" s="78"/>
      <c r="BM405" s="78"/>
      <c r="BN405" s="78"/>
      <c r="BO405" s="66"/>
      <c r="BP405" s="66"/>
    </row>
    <row r="406" spans="1:68" ht="13.2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/>
      <c r="AQ406" s="75"/>
      <c r="AR406" s="75"/>
      <c r="AS406" s="75"/>
      <c r="AT406" s="75"/>
      <c r="AU406" s="75"/>
      <c r="AV406" s="75"/>
      <c r="AW406" s="75"/>
      <c r="AX406" s="75"/>
      <c r="AY406" s="77"/>
      <c r="AZ406" s="75"/>
      <c r="BA406" s="77"/>
      <c r="BB406" s="66"/>
      <c r="BC406" s="4"/>
      <c r="BD406" s="67"/>
      <c r="BE406" s="67"/>
      <c r="BF406" s="68"/>
      <c r="BG406" s="69"/>
      <c r="BH406" s="84"/>
      <c r="BI406" s="70"/>
      <c r="BJ406" s="73"/>
      <c r="BK406" s="78"/>
      <c r="BL406" s="78"/>
      <c r="BM406" s="78"/>
      <c r="BN406" s="78"/>
      <c r="BO406" s="66"/>
      <c r="BP406" s="66"/>
    </row>
    <row r="407" spans="1:68" ht="13.2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/>
      <c r="AQ407" s="75"/>
      <c r="AR407" s="75"/>
      <c r="AS407" s="75"/>
      <c r="AT407" s="75"/>
      <c r="AU407" s="75"/>
      <c r="AV407" s="75"/>
      <c r="AW407" s="75"/>
      <c r="AX407" s="75"/>
      <c r="AY407" s="77"/>
      <c r="AZ407" s="75"/>
      <c r="BA407" s="77"/>
      <c r="BB407" s="66"/>
      <c r="BC407" s="4"/>
      <c r="BD407" s="67"/>
      <c r="BE407" s="67"/>
      <c r="BF407" s="68"/>
      <c r="BG407" s="69"/>
      <c r="BH407" s="84"/>
      <c r="BI407" s="70"/>
      <c r="BJ407" s="73"/>
      <c r="BK407" s="78"/>
      <c r="BL407" s="78"/>
      <c r="BM407" s="78"/>
      <c r="BN407" s="78"/>
      <c r="BO407" s="66"/>
      <c r="BP407" s="66"/>
    </row>
    <row r="408" spans="1:68" ht="13.2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/>
      <c r="AQ408" s="75"/>
      <c r="AR408" s="75"/>
      <c r="AS408" s="75"/>
      <c r="AT408" s="75"/>
      <c r="AU408" s="75"/>
      <c r="AV408" s="75"/>
      <c r="AW408" s="75"/>
      <c r="AX408" s="75"/>
      <c r="AY408" s="77"/>
      <c r="AZ408" s="75"/>
      <c r="BA408" s="77"/>
      <c r="BB408" s="66"/>
      <c r="BC408" s="4"/>
      <c r="BD408" s="67"/>
      <c r="BE408" s="67"/>
      <c r="BF408" s="68"/>
      <c r="BG408" s="69"/>
      <c r="BH408" s="84"/>
      <c r="BI408" s="70"/>
      <c r="BJ408" s="73"/>
      <c r="BK408" s="78"/>
      <c r="BL408" s="78"/>
      <c r="BM408" s="78"/>
      <c r="BN408" s="78"/>
      <c r="BO408" s="66"/>
      <c r="BP408" s="66"/>
    </row>
    <row r="409" spans="1:68" ht="13.2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/>
      <c r="AQ409" s="75"/>
      <c r="AR409" s="75"/>
      <c r="AS409" s="75"/>
      <c r="AT409" s="75"/>
      <c r="AU409" s="75"/>
      <c r="AV409" s="75"/>
      <c r="AW409" s="75"/>
      <c r="AX409" s="75"/>
      <c r="AY409" s="77"/>
      <c r="AZ409" s="75"/>
      <c r="BA409" s="77"/>
      <c r="BB409" s="66"/>
      <c r="BC409" s="4"/>
      <c r="BD409" s="67"/>
      <c r="BE409" s="67"/>
      <c r="BF409" s="68"/>
      <c r="BG409" s="69"/>
      <c r="BH409" s="84"/>
      <c r="BI409" s="70"/>
      <c r="BJ409" s="73"/>
      <c r="BK409" s="78"/>
      <c r="BL409" s="78"/>
      <c r="BM409" s="78"/>
      <c r="BN409" s="78"/>
      <c r="BO409" s="66"/>
      <c r="BP409" s="66"/>
    </row>
    <row r="410" spans="1:68" ht="13.2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/>
      <c r="AQ410" s="75"/>
      <c r="AR410" s="75"/>
      <c r="AS410" s="75"/>
      <c r="AT410" s="75"/>
      <c r="AU410" s="75"/>
      <c r="AV410" s="75"/>
      <c r="AW410" s="75"/>
      <c r="AX410" s="75"/>
      <c r="AY410" s="77"/>
      <c r="AZ410" s="75"/>
      <c r="BA410" s="77"/>
      <c r="BB410" s="66"/>
      <c r="BC410" s="4"/>
      <c r="BD410" s="67"/>
      <c r="BE410" s="67"/>
      <c r="BF410" s="68"/>
      <c r="BG410" s="69"/>
      <c r="BH410" s="84"/>
      <c r="BI410" s="70"/>
      <c r="BJ410" s="73"/>
      <c r="BK410" s="78"/>
      <c r="BL410" s="78"/>
      <c r="BM410" s="78"/>
      <c r="BN410" s="78"/>
      <c r="BO410" s="66"/>
      <c r="BP410" s="66"/>
    </row>
    <row r="411" spans="1:68" ht="13.2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/>
      <c r="AQ411" s="75"/>
      <c r="AR411" s="75"/>
      <c r="AS411" s="75"/>
      <c r="AT411" s="75"/>
      <c r="AU411" s="75"/>
      <c r="AV411" s="75"/>
      <c r="AW411" s="75"/>
      <c r="AX411" s="75"/>
      <c r="AY411" s="77"/>
      <c r="AZ411" s="75"/>
      <c r="BA411" s="77"/>
      <c r="BB411" s="66"/>
      <c r="BC411" s="4"/>
      <c r="BD411" s="67"/>
      <c r="BE411" s="67"/>
      <c r="BF411" s="68"/>
      <c r="BG411" s="69"/>
      <c r="BH411" s="84"/>
      <c r="BI411" s="70"/>
      <c r="BJ411" s="73"/>
      <c r="BK411" s="78"/>
      <c r="BL411" s="78"/>
      <c r="BM411" s="78"/>
      <c r="BN411" s="78"/>
      <c r="BO411" s="66"/>
      <c r="BP411" s="66"/>
    </row>
    <row r="412" spans="1:68" ht="13.2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/>
      <c r="AQ412" s="75"/>
      <c r="AR412" s="75"/>
      <c r="AS412" s="75"/>
      <c r="AT412" s="75"/>
      <c r="AU412" s="75"/>
      <c r="AV412" s="75"/>
      <c r="AW412" s="75"/>
      <c r="AX412" s="75"/>
      <c r="AY412" s="77"/>
      <c r="AZ412" s="75"/>
      <c r="BA412" s="77"/>
      <c r="BB412" s="66"/>
      <c r="BC412" s="4"/>
      <c r="BD412" s="86"/>
      <c r="BE412" s="86"/>
      <c r="BF412" s="68"/>
      <c r="BG412" s="84"/>
      <c r="BH412" s="70"/>
      <c r="BI412" s="70"/>
      <c r="BJ412" s="79"/>
      <c r="BK412" s="78"/>
      <c r="BL412" s="78"/>
      <c r="BM412" s="78"/>
      <c r="BN412" s="78"/>
      <c r="BO412" s="66"/>
      <c r="BP412" s="66"/>
    </row>
    <row r="413" spans="1:68" ht="13.2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/>
      <c r="AQ413" s="75"/>
      <c r="AR413" s="75"/>
      <c r="AS413" s="75"/>
      <c r="AT413" s="75"/>
      <c r="AU413" s="75"/>
      <c r="AV413" s="75"/>
      <c r="AW413" s="75"/>
      <c r="AX413" s="75"/>
      <c r="AY413" s="77"/>
      <c r="AZ413" s="75"/>
      <c r="BA413" s="77"/>
      <c r="BB413" s="66"/>
      <c r="BC413" s="4"/>
      <c r="BD413" s="67"/>
      <c r="BE413" s="67"/>
      <c r="BF413" s="68"/>
      <c r="BG413" s="69"/>
      <c r="BH413" s="70"/>
      <c r="BI413" s="70"/>
      <c r="BJ413" s="73"/>
      <c r="BK413" s="78"/>
      <c r="BL413" s="78"/>
      <c r="BM413" s="78"/>
      <c r="BN413" s="78"/>
      <c r="BO413" s="66"/>
      <c r="BP413" s="66"/>
    </row>
    <row r="414" spans="1:68" ht="13.2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/>
      <c r="AQ414" s="75"/>
      <c r="AR414" s="75"/>
      <c r="AS414" s="75"/>
      <c r="AT414" s="75"/>
      <c r="AU414" s="75"/>
      <c r="AV414" s="75"/>
      <c r="AW414" s="75"/>
      <c r="AX414" s="75"/>
      <c r="AY414" s="77"/>
      <c r="AZ414" s="75"/>
      <c r="BA414" s="77"/>
      <c r="BB414" s="66"/>
      <c r="BC414" s="4"/>
      <c r="BD414" s="67"/>
      <c r="BE414" s="67"/>
      <c r="BF414" s="68"/>
      <c r="BG414" s="69"/>
      <c r="BH414" s="70"/>
      <c r="BI414" s="70"/>
      <c r="BJ414" s="73"/>
      <c r="BK414" s="78"/>
      <c r="BL414" s="78"/>
      <c r="BM414" s="78"/>
      <c r="BN414" s="78"/>
      <c r="BO414" s="66"/>
      <c r="BP414" s="66"/>
    </row>
    <row r="415" spans="1:68" ht="13.2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/>
      <c r="AQ415" s="75"/>
      <c r="AR415" s="75"/>
      <c r="AS415" s="75"/>
      <c r="AT415" s="75"/>
      <c r="AU415" s="75"/>
      <c r="AV415" s="75"/>
      <c r="AW415" s="75"/>
      <c r="AX415" s="75"/>
      <c r="AY415" s="77"/>
      <c r="AZ415" s="75"/>
      <c r="BA415" s="77"/>
      <c r="BB415" s="66"/>
      <c r="BC415" s="4"/>
      <c r="BD415" s="67"/>
      <c r="BE415" s="67"/>
      <c r="BF415" s="68"/>
      <c r="BG415" s="69"/>
      <c r="BH415" s="70"/>
      <c r="BI415" s="70"/>
      <c r="BJ415" s="73"/>
      <c r="BK415" s="78"/>
      <c r="BL415" s="78"/>
      <c r="BM415" s="78"/>
      <c r="BN415" s="78"/>
      <c r="BO415" s="66"/>
      <c r="BP415" s="66"/>
    </row>
    <row r="416" spans="1:68" ht="13.2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/>
      <c r="AQ416" s="75"/>
      <c r="AR416" s="75"/>
      <c r="AS416" s="75"/>
      <c r="AT416" s="75"/>
      <c r="AU416" s="75"/>
      <c r="AV416" s="75"/>
      <c r="AW416" s="75"/>
      <c r="AX416" s="75"/>
      <c r="AY416" s="77"/>
      <c r="AZ416" s="75"/>
      <c r="BA416" s="77"/>
      <c r="BB416" s="66"/>
      <c r="BC416" s="4"/>
      <c r="BD416" s="67"/>
      <c r="BE416" s="67"/>
      <c r="BF416" s="68"/>
      <c r="BG416" s="69"/>
      <c r="BH416" s="70"/>
      <c r="BI416" s="70"/>
      <c r="BJ416" s="73"/>
      <c r="BK416" s="78"/>
      <c r="BL416" s="78"/>
      <c r="BM416" s="78"/>
      <c r="BN416" s="78"/>
      <c r="BO416" s="66"/>
      <c r="BP416" s="66"/>
    </row>
    <row r="417" spans="1:68" ht="13.2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/>
      <c r="AQ417" s="75"/>
      <c r="AR417" s="75"/>
      <c r="AS417" s="75"/>
      <c r="AT417" s="75"/>
      <c r="AU417" s="75"/>
      <c r="AV417" s="75"/>
      <c r="AW417" s="75"/>
      <c r="AX417" s="75"/>
      <c r="AY417" s="77"/>
      <c r="AZ417" s="75"/>
      <c r="BA417" s="77"/>
      <c r="BB417" s="66"/>
      <c r="BC417" s="4"/>
      <c r="BD417" s="67"/>
      <c r="BE417" s="67"/>
      <c r="BF417" s="68"/>
      <c r="BG417" s="69"/>
      <c r="BH417" s="70"/>
      <c r="BI417" s="70"/>
      <c r="BJ417" s="73"/>
      <c r="BK417" s="78"/>
      <c r="BL417" s="78"/>
      <c r="BM417" s="78"/>
      <c r="BN417" s="78"/>
      <c r="BO417" s="66"/>
      <c r="BP417" s="66"/>
    </row>
    <row r="418" spans="1:68" ht="13.2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/>
      <c r="AQ418" s="75"/>
      <c r="AR418" s="75"/>
      <c r="AS418" s="75"/>
      <c r="AT418" s="75"/>
      <c r="AU418" s="75"/>
      <c r="AV418" s="75"/>
      <c r="AW418" s="75"/>
      <c r="AX418" s="75"/>
      <c r="AY418" s="77"/>
      <c r="AZ418" s="75"/>
      <c r="BA418" s="77"/>
      <c r="BB418" s="66"/>
      <c r="BC418" s="4"/>
      <c r="BD418" s="67"/>
      <c r="BE418" s="67"/>
      <c r="BF418" s="68"/>
      <c r="BG418" s="69"/>
      <c r="BH418" s="70"/>
      <c r="BI418" s="70"/>
      <c r="BJ418" s="73"/>
      <c r="BK418" s="78"/>
      <c r="BL418" s="78"/>
      <c r="BM418" s="78"/>
      <c r="BN418" s="78"/>
      <c r="BO418" s="66"/>
      <c r="BP418" s="66"/>
    </row>
    <row r="419" spans="1:68" ht="13.2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/>
      <c r="AQ419" s="75"/>
      <c r="AR419" s="75"/>
      <c r="AS419" s="75"/>
      <c r="AT419" s="75"/>
      <c r="AU419" s="75"/>
      <c r="AV419" s="75"/>
      <c r="AW419" s="75"/>
      <c r="AX419" s="75"/>
      <c r="AY419" s="77"/>
      <c r="AZ419" s="75"/>
      <c r="BA419" s="77"/>
      <c r="BB419" s="66"/>
      <c r="BC419" s="4"/>
      <c r="BD419" s="67"/>
      <c r="BE419" s="67"/>
      <c r="BF419" s="68"/>
      <c r="BG419" s="69"/>
      <c r="BH419" s="70"/>
      <c r="BI419" s="70"/>
      <c r="BJ419" s="73"/>
      <c r="BK419" s="78"/>
      <c r="BL419" s="78"/>
      <c r="BM419" s="78"/>
      <c r="BN419" s="78"/>
      <c r="BO419" s="66"/>
      <c r="BP419" s="66"/>
    </row>
    <row r="420" spans="1:68" ht="13.2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/>
      <c r="AQ420" s="75"/>
      <c r="AR420" s="75"/>
      <c r="AS420" s="75"/>
      <c r="AT420" s="75"/>
      <c r="AU420" s="75"/>
      <c r="AV420" s="75"/>
      <c r="AW420" s="75"/>
      <c r="AX420" s="75"/>
      <c r="AY420" s="77"/>
      <c r="AZ420" s="75"/>
      <c r="BA420" s="77"/>
      <c r="BB420" s="66"/>
      <c r="BC420" s="4"/>
      <c r="BD420" s="67"/>
      <c r="BE420" s="67"/>
      <c r="BF420" s="68"/>
      <c r="BG420" s="69"/>
      <c r="BH420" s="70"/>
      <c r="BI420" s="70"/>
      <c r="BJ420" s="73"/>
      <c r="BK420" s="78"/>
      <c r="BL420" s="78"/>
      <c r="BM420" s="78"/>
      <c r="BN420" s="78"/>
      <c r="BO420" s="66"/>
      <c r="BP420" s="66"/>
    </row>
    <row r="421" spans="1:68" ht="13.2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/>
      <c r="AQ421" s="75"/>
      <c r="AR421" s="75"/>
      <c r="AS421" s="75"/>
      <c r="AT421" s="75"/>
      <c r="AU421" s="75"/>
      <c r="AV421" s="75"/>
      <c r="AW421" s="75"/>
      <c r="AX421" s="75"/>
      <c r="AY421" s="77"/>
      <c r="AZ421" s="75"/>
      <c r="BA421" s="77"/>
      <c r="BB421" s="66"/>
      <c r="BC421" s="4"/>
      <c r="BD421" s="67"/>
      <c r="BE421" s="67"/>
      <c r="BF421" s="68"/>
      <c r="BG421" s="69"/>
      <c r="BH421" s="84"/>
      <c r="BI421" s="70"/>
      <c r="BJ421" s="73"/>
      <c r="BK421" s="78"/>
      <c r="BL421" s="78"/>
      <c r="BM421" s="78"/>
      <c r="BN421" s="78"/>
      <c r="BO421" s="66"/>
      <c r="BP421" s="66"/>
    </row>
    <row r="422" spans="1:68" ht="13.2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/>
      <c r="AQ422" s="75"/>
      <c r="AR422" s="75"/>
      <c r="AS422" s="75"/>
      <c r="AT422" s="75"/>
      <c r="AU422" s="75"/>
      <c r="AV422" s="75"/>
      <c r="AW422" s="75"/>
      <c r="AX422" s="75"/>
      <c r="AY422" s="77"/>
      <c r="AZ422" s="75"/>
      <c r="BA422" s="77"/>
      <c r="BB422" s="66"/>
      <c r="BC422" s="4"/>
      <c r="BD422" s="67"/>
      <c r="BE422" s="67"/>
      <c r="BF422" s="68"/>
      <c r="BG422" s="69"/>
      <c r="BH422" s="84"/>
      <c r="BI422" s="70"/>
      <c r="BJ422" s="73"/>
      <c r="BK422" s="78"/>
      <c r="BL422" s="78"/>
      <c r="BM422" s="78"/>
      <c r="BN422" s="78"/>
      <c r="BO422" s="66"/>
      <c r="BP422" s="66"/>
    </row>
    <row r="423" spans="1:68" ht="13.2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/>
      <c r="AQ423" s="75"/>
      <c r="AR423" s="75"/>
      <c r="AS423" s="75"/>
      <c r="AT423" s="75"/>
      <c r="AU423" s="75"/>
      <c r="AV423" s="75"/>
      <c r="AW423" s="75"/>
      <c r="AX423" s="75"/>
      <c r="AY423" s="77"/>
      <c r="AZ423" s="75"/>
      <c r="BA423" s="77"/>
      <c r="BB423" s="66"/>
      <c r="BC423" s="4"/>
      <c r="BD423" s="67"/>
      <c r="BE423" s="67"/>
      <c r="BF423" s="68"/>
      <c r="BG423" s="69"/>
      <c r="BH423" s="84"/>
      <c r="BI423" s="70"/>
      <c r="BJ423" s="73"/>
      <c r="BK423" s="78"/>
      <c r="BL423" s="78"/>
      <c r="BM423" s="78"/>
      <c r="BN423" s="78"/>
      <c r="BO423" s="66"/>
      <c r="BP423" s="66"/>
    </row>
    <row r="424" spans="1:68" ht="13.2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/>
      <c r="AQ424" s="75"/>
      <c r="AR424" s="75"/>
      <c r="AS424" s="75"/>
      <c r="AT424" s="75"/>
      <c r="AU424" s="75"/>
      <c r="AV424" s="75"/>
      <c r="AW424" s="75"/>
      <c r="AX424" s="75"/>
      <c r="AY424" s="77"/>
      <c r="AZ424" s="75"/>
      <c r="BA424" s="77"/>
      <c r="BB424" s="66"/>
      <c r="BC424" s="4"/>
      <c r="BD424" s="67"/>
      <c r="BE424" s="67"/>
      <c r="BF424" s="68"/>
      <c r="BG424" s="69"/>
      <c r="BH424" s="70"/>
      <c r="BI424" s="70"/>
      <c r="BJ424" s="73"/>
      <c r="BK424" s="78"/>
      <c r="BL424" s="78"/>
      <c r="BM424" s="78"/>
      <c r="BN424" s="78"/>
      <c r="BO424" s="66"/>
      <c r="BP424" s="66"/>
    </row>
    <row r="425" spans="1:68" ht="13.2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/>
      <c r="AQ425" s="75"/>
      <c r="AR425" s="75"/>
      <c r="AS425" s="75"/>
      <c r="AT425" s="75"/>
      <c r="AU425" s="75"/>
      <c r="AV425" s="75"/>
      <c r="AW425" s="75"/>
      <c r="AX425" s="75"/>
      <c r="AY425" s="77"/>
      <c r="AZ425" s="75"/>
      <c r="BA425" s="77"/>
      <c r="BB425" s="66"/>
      <c r="BC425" s="4"/>
      <c r="BD425" s="67"/>
      <c r="BE425" s="67"/>
      <c r="BF425" s="68"/>
      <c r="BG425" s="69"/>
      <c r="BH425" s="84"/>
      <c r="BI425" s="70"/>
      <c r="BJ425" s="73"/>
      <c r="BK425" s="78"/>
      <c r="BL425" s="78"/>
      <c r="BM425" s="78"/>
      <c r="BN425" s="78"/>
      <c r="BO425" s="66"/>
      <c r="BP425" s="66"/>
    </row>
    <row r="426" spans="1:68" ht="13.2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/>
      <c r="AQ426" s="75"/>
      <c r="AR426" s="75"/>
      <c r="AS426" s="75"/>
      <c r="AT426" s="75"/>
      <c r="AU426" s="75"/>
      <c r="AV426" s="75"/>
      <c r="AW426" s="75"/>
      <c r="AX426" s="75"/>
      <c r="AY426" s="77"/>
      <c r="AZ426" s="75"/>
      <c r="BA426" s="77"/>
      <c r="BB426" s="66"/>
      <c r="BC426" s="4"/>
      <c r="BD426" s="67"/>
      <c r="BE426" s="67"/>
      <c r="BF426" s="68"/>
      <c r="BG426" s="69"/>
      <c r="BH426" s="84"/>
      <c r="BI426" s="70"/>
      <c r="BJ426" s="73"/>
      <c r="BK426" s="78"/>
      <c r="BL426" s="78"/>
      <c r="BM426" s="78"/>
      <c r="BN426" s="78"/>
      <c r="BO426" s="66"/>
      <c r="BP426" s="66"/>
    </row>
    <row r="427" spans="1:68" ht="13.2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/>
      <c r="AQ427" s="75"/>
      <c r="AR427" s="75"/>
      <c r="AS427" s="75"/>
      <c r="AT427" s="75"/>
      <c r="AU427" s="75"/>
      <c r="AV427" s="75"/>
      <c r="AW427" s="75"/>
      <c r="AX427" s="75"/>
      <c r="AY427" s="77"/>
      <c r="AZ427" s="75"/>
      <c r="BA427" s="77"/>
      <c r="BB427" s="66"/>
      <c r="BC427" s="4"/>
      <c r="BD427" s="67"/>
      <c r="BE427" s="67"/>
      <c r="BF427" s="68"/>
      <c r="BG427" s="69"/>
      <c r="BH427" s="84"/>
      <c r="BI427" s="70"/>
      <c r="BJ427" s="73"/>
      <c r="BK427" s="78"/>
      <c r="BL427" s="78"/>
      <c r="BM427" s="78"/>
      <c r="BN427" s="78"/>
      <c r="BO427" s="66"/>
      <c r="BP427" s="66"/>
    </row>
    <row r="428" spans="1:68" ht="13.2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/>
      <c r="AQ428" s="75"/>
      <c r="AR428" s="75"/>
      <c r="AS428" s="75"/>
      <c r="AT428" s="75"/>
      <c r="AU428" s="75"/>
      <c r="AV428" s="75"/>
      <c r="AW428" s="75"/>
      <c r="AX428" s="75"/>
      <c r="AY428" s="77"/>
      <c r="AZ428" s="75"/>
      <c r="BA428" s="77"/>
      <c r="BB428" s="66"/>
      <c r="BC428" s="4"/>
      <c r="BD428" s="67"/>
      <c r="BE428" s="67"/>
      <c r="BF428" s="68"/>
      <c r="BG428" s="69"/>
      <c r="BH428" s="84"/>
      <c r="BI428" s="70"/>
      <c r="BJ428" s="73"/>
      <c r="BK428" s="78"/>
      <c r="BL428" s="78"/>
      <c r="BM428" s="78"/>
      <c r="BN428" s="78"/>
      <c r="BO428" s="66"/>
      <c r="BP428" s="66"/>
    </row>
    <row r="429" spans="1:68" ht="13.2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/>
      <c r="AQ429" s="75"/>
      <c r="AR429" s="75"/>
      <c r="AS429" s="75"/>
      <c r="AT429" s="75"/>
      <c r="AU429" s="75"/>
      <c r="AV429" s="75"/>
      <c r="AW429" s="75"/>
      <c r="AX429" s="75"/>
      <c r="AY429" s="77"/>
      <c r="AZ429" s="75"/>
      <c r="BA429" s="77"/>
      <c r="BB429" s="66"/>
      <c r="BC429" s="4"/>
      <c r="BD429" s="67"/>
      <c r="BE429" s="67"/>
      <c r="BF429" s="68"/>
      <c r="BG429" s="69"/>
      <c r="BH429" s="84"/>
      <c r="BI429" s="70"/>
      <c r="BJ429" s="73"/>
      <c r="BK429" s="78"/>
      <c r="BL429" s="78"/>
      <c r="BM429" s="78"/>
      <c r="BN429" s="78"/>
      <c r="BO429" s="66"/>
      <c r="BP429" s="66"/>
    </row>
    <row r="430" spans="1:68" ht="13.2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/>
      <c r="AQ430" s="75"/>
      <c r="AR430" s="75"/>
      <c r="AS430" s="75"/>
      <c r="AT430" s="75"/>
      <c r="AU430" s="75"/>
      <c r="AV430" s="75"/>
      <c r="AW430" s="75"/>
      <c r="AX430" s="75"/>
      <c r="AY430" s="77"/>
      <c r="AZ430" s="75"/>
      <c r="BA430" s="77"/>
      <c r="BB430" s="66"/>
      <c r="BC430" s="4"/>
      <c r="BD430" s="67"/>
      <c r="BE430" s="67"/>
      <c r="BF430" s="68"/>
      <c r="BG430" s="69"/>
      <c r="BH430" s="84"/>
      <c r="BI430" s="70"/>
      <c r="BJ430" s="73"/>
      <c r="BK430" s="78"/>
      <c r="BL430" s="78"/>
      <c r="BM430" s="78"/>
      <c r="BN430" s="78"/>
      <c r="BO430" s="66"/>
      <c r="BP430" s="66"/>
    </row>
    <row r="431" spans="1:68" ht="13.2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/>
      <c r="AQ431" s="75"/>
      <c r="AR431" s="75"/>
      <c r="AS431" s="75"/>
      <c r="AT431" s="75"/>
      <c r="AU431" s="75"/>
      <c r="AV431" s="75"/>
      <c r="AW431" s="75"/>
      <c r="AX431" s="75"/>
      <c r="AY431" s="77"/>
      <c r="AZ431" s="75"/>
      <c r="BA431" s="77"/>
      <c r="BB431" s="66"/>
      <c r="BC431" s="4"/>
      <c r="BD431" s="67"/>
      <c r="BE431" s="67"/>
      <c r="BF431" s="68"/>
      <c r="BG431" s="69"/>
      <c r="BH431" s="84"/>
      <c r="BI431" s="70"/>
      <c r="BJ431" s="73"/>
      <c r="BK431" s="78"/>
      <c r="BL431" s="78"/>
      <c r="BM431" s="78"/>
      <c r="BN431" s="78"/>
      <c r="BO431" s="66"/>
      <c r="BP431" s="66"/>
    </row>
    <row r="432" spans="1:68" ht="13.2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/>
      <c r="AQ432" s="75"/>
      <c r="AR432" s="75"/>
      <c r="AS432" s="75"/>
      <c r="AT432" s="75"/>
      <c r="AU432" s="75"/>
      <c r="AV432" s="75"/>
      <c r="AW432" s="75"/>
      <c r="AX432" s="75"/>
      <c r="AY432" s="77"/>
      <c r="AZ432" s="75"/>
      <c r="BA432" s="77"/>
      <c r="BB432" s="66"/>
      <c r="BC432" s="4"/>
      <c r="BD432" s="67"/>
      <c r="BE432" s="67"/>
      <c r="BF432" s="68"/>
      <c r="BG432" s="69"/>
      <c r="BH432" s="70"/>
      <c r="BI432" s="70"/>
      <c r="BJ432" s="73"/>
      <c r="BK432" s="78"/>
      <c r="BL432" s="78"/>
      <c r="BM432" s="78"/>
      <c r="BN432" s="78"/>
      <c r="BO432" s="66"/>
      <c r="BP432" s="66"/>
    </row>
    <row r="433" spans="1:68" ht="13.2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/>
      <c r="AQ433" s="75"/>
      <c r="AR433" s="75"/>
      <c r="AS433" s="75"/>
      <c r="AT433" s="75"/>
      <c r="AU433" s="75"/>
      <c r="AV433" s="75"/>
      <c r="AW433" s="75"/>
      <c r="AX433" s="75"/>
      <c r="AY433" s="77"/>
      <c r="AZ433" s="75"/>
      <c r="BA433" s="77"/>
      <c r="BB433" s="66"/>
      <c r="BC433" s="4"/>
      <c r="BD433" s="67"/>
      <c r="BE433" s="67"/>
      <c r="BF433" s="68"/>
      <c r="BG433" s="69"/>
      <c r="BH433" s="70"/>
      <c r="BI433" s="70"/>
      <c r="BJ433" s="73"/>
      <c r="BK433" s="78"/>
      <c r="BL433" s="78"/>
      <c r="BM433" s="78"/>
      <c r="BN433" s="78"/>
      <c r="BO433" s="66"/>
      <c r="BP433" s="66"/>
    </row>
    <row r="434" spans="1:68" ht="13.2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/>
      <c r="AQ434" s="75"/>
      <c r="AR434" s="75"/>
      <c r="AS434" s="75"/>
      <c r="AT434" s="75"/>
      <c r="AU434" s="75"/>
      <c r="AV434" s="75"/>
      <c r="AW434" s="75"/>
      <c r="AX434" s="75"/>
      <c r="AY434" s="77"/>
      <c r="AZ434" s="75"/>
      <c r="BA434" s="77"/>
      <c r="BB434" s="66"/>
      <c r="BC434" s="4"/>
      <c r="BD434" s="67"/>
      <c r="BE434" s="67"/>
      <c r="BF434" s="68"/>
      <c r="BG434" s="69"/>
      <c r="BH434" s="84"/>
      <c r="BI434" s="70"/>
      <c r="BJ434" s="73"/>
      <c r="BK434" s="78"/>
      <c r="BL434" s="78"/>
      <c r="BM434" s="78"/>
      <c r="BN434" s="78"/>
      <c r="BO434" s="66"/>
      <c r="BP434" s="66"/>
    </row>
    <row r="435" spans="1:68" ht="13.2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/>
      <c r="AQ435" s="75"/>
      <c r="AR435" s="75"/>
      <c r="AS435" s="75"/>
      <c r="AT435" s="75"/>
      <c r="AU435" s="75"/>
      <c r="AV435" s="75"/>
      <c r="AW435" s="75"/>
      <c r="AX435" s="75"/>
      <c r="AY435" s="77"/>
      <c r="AZ435" s="75"/>
      <c r="BA435" s="77"/>
      <c r="BB435" s="66"/>
      <c r="BC435" s="4"/>
      <c r="BD435" s="67"/>
      <c r="BE435" s="67"/>
      <c r="BF435" s="68"/>
      <c r="BG435" s="69"/>
      <c r="BH435" s="84"/>
      <c r="BI435" s="70"/>
      <c r="BJ435" s="73"/>
      <c r="BK435" s="78"/>
      <c r="BL435" s="78"/>
      <c r="BM435" s="78"/>
      <c r="BN435" s="78"/>
      <c r="BO435" s="66"/>
      <c r="BP435" s="66"/>
    </row>
    <row r="436" spans="1:68" ht="13.2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/>
      <c r="AQ436" s="75"/>
      <c r="AR436" s="75"/>
      <c r="AS436" s="75"/>
      <c r="AT436" s="75"/>
      <c r="AU436" s="75"/>
      <c r="AV436" s="75"/>
      <c r="AW436" s="75"/>
      <c r="AX436" s="75"/>
      <c r="AY436" s="77"/>
      <c r="AZ436" s="75"/>
      <c r="BA436" s="77"/>
      <c r="BB436" s="66"/>
      <c r="BC436" s="4"/>
      <c r="BD436" s="67"/>
      <c r="BE436" s="67"/>
      <c r="BF436" s="68"/>
      <c r="BG436" s="69"/>
      <c r="BH436" s="84"/>
      <c r="BI436" s="70"/>
      <c r="BJ436" s="73"/>
      <c r="BK436" s="78"/>
      <c r="BL436" s="78"/>
      <c r="BM436" s="78"/>
      <c r="BN436" s="78"/>
      <c r="BO436" s="66"/>
      <c r="BP436" s="66"/>
    </row>
    <row r="437" spans="1:68" ht="13.2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/>
      <c r="AQ437" s="75"/>
      <c r="AR437" s="75"/>
      <c r="AS437" s="75"/>
      <c r="AT437" s="75"/>
      <c r="AU437" s="75"/>
      <c r="AV437" s="75"/>
      <c r="AW437" s="75"/>
      <c r="AX437" s="75"/>
      <c r="AY437" s="77"/>
      <c r="AZ437" s="75"/>
      <c r="BA437" s="77"/>
      <c r="BB437" s="66"/>
      <c r="BC437" s="4"/>
      <c r="BD437" s="67"/>
      <c r="BE437" s="67"/>
      <c r="BF437" s="68"/>
      <c r="BG437" s="69"/>
      <c r="BH437" s="84"/>
      <c r="BI437" s="70"/>
      <c r="BJ437" s="73"/>
      <c r="BK437" s="78"/>
      <c r="BL437" s="78"/>
      <c r="BM437" s="78"/>
      <c r="BN437" s="78"/>
      <c r="BO437" s="66"/>
      <c r="BP437" s="66"/>
    </row>
    <row r="438" spans="1:68" ht="13.2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/>
      <c r="AQ438" s="75"/>
      <c r="AR438" s="75"/>
      <c r="AS438" s="75"/>
      <c r="AT438" s="75"/>
      <c r="AU438" s="75"/>
      <c r="AV438" s="75"/>
      <c r="AW438" s="75"/>
      <c r="AX438" s="75"/>
      <c r="AY438" s="77"/>
      <c r="AZ438" s="75"/>
      <c r="BA438" s="77"/>
      <c r="BB438" s="66"/>
      <c r="BC438" s="4"/>
      <c r="BD438" s="67"/>
      <c r="BE438" s="67"/>
      <c r="BF438" s="68"/>
      <c r="BG438" s="69"/>
      <c r="BH438" s="84"/>
      <c r="BI438" s="70"/>
      <c r="BJ438" s="73"/>
      <c r="BK438" s="78"/>
      <c r="BL438" s="78"/>
      <c r="BM438" s="78"/>
      <c r="BN438" s="78"/>
      <c r="BO438" s="66"/>
      <c r="BP438" s="66"/>
    </row>
    <row r="439" spans="1:68" ht="13.2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/>
      <c r="AQ439" s="75"/>
      <c r="AR439" s="75"/>
      <c r="AS439" s="75"/>
      <c r="AT439" s="75"/>
      <c r="AU439" s="75"/>
      <c r="AV439" s="75"/>
      <c r="AW439" s="75"/>
      <c r="AX439" s="75"/>
      <c r="AY439" s="77"/>
      <c r="AZ439" s="75"/>
      <c r="BA439" s="77"/>
      <c r="BB439" s="66"/>
      <c r="BC439" s="4"/>
      <c r="BD439" s="67"/>
      <c r="BE439" s="67"/>
      <c r="BF439" s="68"/>
      <c r="BG439" s="69"/>
      <c r="BH439" s="84"/>
      <c r="BI439" s="70"/>
      <c r="BJ439" s="73"/>
      <c r="BK439" s="78"/>
      <c r="BL439" s="78"/>
      <c r="BM439" s="78"/>
      <c r="BN439" s="78"/>
      <c r="BO439" s="66"/>
      <c r="BP439" s="66"/>
    </row>
    <row r="440" spans="1:68" ht="13.2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/>
      <c r="AQ440" s="75"/>
      <c r="AR440" s="75"/>
      <c r="AS440" s="75"/>
      <c r="AT440" s="75"/>
      <c r="AU440" s="75"/>
      <c r="AV440" s="75"/>
      <c r="AW440" s="75"/>
      <c r="AX440" s="75"/>
      <c r="AY440" s="77"/>
      <c r="AZ440" s="75"/>
      <c r="BA440" s="77"/>
      <c r="BB440" s="66"/>
      <c r="BC440" s="4"/>
      <c r="BD440" s="67"/>
      <c r="BE440" s="67"/>
      <c r="BF440" s="68"/>
      <c r="BG440" s="69"/>
      <c r="BH440" s="70"/>
      <c r="BI440" s="70"/>
      <c r="BJ440" s="73"/>
      <c r="BK440" s="78"/>
      <c r="BL440" s="78"/>
      <c r="BM440" s="78"/>
      <c r="BN440" s="78"/>
      <c r="BO440" s="66"/>
      <c r="BP440" s="66"/>
    </row>
    <row r="441" spans="1:68" ht="13.2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/>
      <c r="AQ441" s="75"/>
      <c r="AR441" s="75"/>
      <c r="AS441" s="75"/>
      <c r="AT441" s="75"/>
      <c r="AU441" s="75"/>
      <c r="AV441" s="75"/>
      <c r="AW441" s="75"/>
      <c r="AX441" s="75"/>
      <c r="AY441" s="77"/>
      <c r="AZ441" s="75"/>
      <c r="BA441" s="77"/>
      <c r="BB441" s="66"/>
      <c r="BC441" s="4"/>
      <c r="BD441" s="67"/>
      <c r="BE441" s="67"/>
      <c r="BF441" s="68"/>
      <c r="BG441" s="69"/>
      <c r="BH441" s="70"/>
      <c r="BI441" s="70"/>
      <c r="BJ441" s="73"/>
      <c r="BK441" s="78"/>
      <c r="BL441" s="78"/>
      <c r="BM441" s="78"/>
      <c r="BN441" s="78"/>
      <c r="BO441" s="66"/>
      <c r="BP441" s="66"/>
    </row>
    <row r="442" spans="1:68" ht="13.2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/>
      <c r="AQ442" s="75"/>
      <c r="AR442" s="75"/>
      <c r="AS442" s="75"/>
      <c r="AT442" s="75"/>
      <c r="AU442" s="75"/>
      <c r="AV442" s="75"/>
      <c r="AW442" s="75"/>
      <c r="AX442" s="75"/>
      <c r="AY442" s="77"/>
      <c r="AZ442" s="75"/>
      <c r="BA442" s="77"/>
      <c r="BB442" s="66"/>
      <c r="BC442" s="4"/>
      <c r="BD442" s="67"/>
      <c r="BE442" s="67"/>
      <c r="BF442" s="68"/>
      <c r="BG442" s="69"/>
      <c r="BH442" s="70"/>
      <c r="BI442" s="70"/>
      <c r="BJ442" s="73"/>
      <c r="BK442" s="78"/>
      <c r="BL442" s="78"/>
      <c r="BM442" s="78"/>
      <c r="BN442" s="78"/>
      <c r="BO442" s="66"/>
      <c r="BP442" s="66"/>
    </row>
    <row r="443" spans="1:68" ht="13.2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/>
      <c r="AQ443" s="75"/>
      <c r="AR443" s="75"/>
      <c r="AS443" s="75"/>
      <c r="AT443" s="75"/>
      <c r="AU443" s="75"/>
      <c r="AV443" s="75"/>
      <c r="AW443" s="75"/>
      <c r="AX443" s="75"/>
      <c r="AY443" s="77"/>
      <c r="AZ443" s="75"/>
      <c r="BA443" s="77"/>
      <c r="BB443" s="66"/>
      <c r="BC443" s="4"/>
      <c r="BD443" s="67"/>
      <c r="BE443" s="67"/>
      <c r="BF443" s="68"/>
      <c r="BG443" s="69"/>
      <c r="BH443" s="70"/>
      <c r="BI443" s="70"/>
      <c r="BJ443" s="73"/>
      <c r="BK443" s="78"/>
      <c r="BL443" s="78"/>
      <c r="BM443" s="78"/>
      <c r="BN443" s="78"/>
      <c r="BO443" s="66"/>
      <c r="BP443" s="66"/>
    </row>
    <row r="444" spans="1:68" ht="13.2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/>
      <c r="AQ444" s="75"/>
      <c r="AR444" s="75"/>
      <c r="AS444" s="75"/>
      <c r="AT444" s="75"/>
      <c r="AU444" s="75"/>
      <c r="AV444" s="75"/>
      <c r="AW444" s="75"/>
      <c r="AX444" s="75"/>
      <c r="AY444" s="77"/>
      <c r="AZ444" s="75"/>
      <c r="BA444" s="77"/>
      <c r="BB444" s="66"/>
      <c r="BC444" s="4"/>
      <c r="BD444" s="67"/>
      <c r="BE444" s="67"/>
      <c r="BF444" s="68"/>
      <c r="BG444" s="69"/>
      <c r="BH444" s="70"/>
      <c r="BI444" s="70"/>
      <c r="BJ444" s="73"/>
      <c r="BK444" s="78"/>
      <c r="BL444" s="78"/>
      <c r="BM444" s="78"/>
      <c r="BN444" s="78"/>
      <c r="BO444" s="66"/>
      <c r="BP444" s="66"/>
    </row>
    <row r="445" spans="1:68" ht="13.2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/>
      <c r="AQ445" s="75"/>
      <c r="AR445" s="75"/>
      <c r="AS445" s="75"/>
      <c r="AT445" s="75"/>
      <c r="AU445" s="75"/>
      <c r="AV445" s="75"/>
      <c r="AW445" s="75"/>
      <c r="AX445" s="75"/>
      <c r="AY445" s="77"/>
      <c r="AZ445" s="75"/>
      <c r="BA445" s="77"/>
      <c r="BB445" s="66"/>
      <c r="BC445" s="4"/>
      <c r="BD445" s="67"/>
      <c r="BE445" s="67"/>
      <c r="BF445" s="68"/>
      <c r="BG445" s="69"/>
      <c r="BH445" s="70"/>
      <c r="BI445" s="70"/>
      <c r="BJ445" s="73"/>
      <c r="BK445" s="78"/>
      <c r="BL445" s="78"/>
      <c r="BM445" s="78"/>
      <c r="BN445" s="78"/>
      <c r="BO445" s="66"/>
      <c r="BP445" s="66"/>
    </row>
    <row r="446" spans="1:68" ht="13.2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/>
      <c r="AQ446" s="75"/>
      <c r="AR446" s="75"/>
      <c r="AS446" s="75"/>
      <c r="AT446" s="75"/>
      <c r="AU446" s="75"/>
      <c r="AV446" s="75"/>
      <c r="AW446" s="75"/>
      <c r="AX446" s="75"/>
      <c r="AY446" s="77"/>
      <c r="AZ446" s="75"/>
      <c r="BA446" s="77"/>
      <c r="BB446" s="66"/>
      <c r="BC446" s="4"/>
      <c r="BD446" s="67"/>
      <c r="BE446" s="67"/>
      <c r="BF446" s="68"/>
      <c r="BG446" s="69"/>
      <c r="BH446" s="70"/>
      <c r="BI446" s="70"/>
      <c r="BJ446" s="73"/>
      <c r="BK446" s="78"/>
      <c r="BL446" s="78"/>
      <c r="BM446" s="78"/>
      <c r="BN446" s="78"/>
      <c r="BO446" s="66"/>
      <c r="BP446" s="66"/>
    </row>
    <row r="447" spans="1:68" ht="13.2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/>
      <c r="AQ447" s="75"/>
      <c r="AR447" s="75"/>
      <c r="AS447" s="75"/>
      <c r="AT447" s="75"/>
      <c r="AU447" s="75"/>
      <c r="AV447" s="75"/>
      <c r="AW447" s="75"/>
      <c r="AX447" s="75"/>
      <c r="AY447" s="77"/>
      <c r="AZ447" s="75"/>
      <c r="BA447" s="77"/>
      <c r="BB447" s="66"/>
      <c r="BC447" s="4"/>
      <c r="BD447" s="67"/>
      <c r="BE447" s="67"/>
      <c r="BF447" s="68"/>
      <c r="BG447" s="69"/>
      <c r="BH447" s="70"/>
      <c r="BI447" s="70"/>
      <c r="BJ447" s="73"/>
      <c r="BK447" s="78"/>
      <c r="BL447" s="78"/>
      <c r="BM447" s="78"/>
      <c r="BN447" s="78"/>
      <c r="BO447" s="66"/>
      <c r="BP447" s="66"/>
    </row>
    <row r="448" spans="1:68" ht="13.2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/>
      <c r="AQ448" s="75"/>
      <c r="AR448" s="75"/>
      <c r="AS448" s="75"/>
      <c r="AT448" s="75"/>
      <c r="AU448" s="75"/>
      <c r="AV448" s="75"/>
      <c r="AW448" s="75"/>
      <c r="AX448" s="75"/>
      <c r="AY448" s="77"/>
      <c r="AZ448" s="75"/>
      <c r="BA448" s="77"/>
      <c r="BB448" s="66"/>
      <c r="BC448" s="4"/>
      <c r="BD448" s="67"/>
      <c r="BE448" s="67"/>
      <c r="BF448" s="68"/>
      <c r="BG448" s="69"/>
      <c r="BH448" s="70"/>
      <c r="BI448" s="70"/>
      <c r="BJ448" s="73"/>
      <c r="BK448" s="78"/>
      <c r="BL448" s="78"/>
      <c r="BM448" s="78"/>
      <c r="BN448" s="78"/>
      <c r="BO448" s="66"/>
      <c r="BP448" s="66"/>
    </row>
    <row r="449" spans="1:68" ht="13.2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/>
      <c r="AQ449" s="75"/>
      <c r="AR449" s="75"/>
      <c r="AS449" s="75"/>
      <c r="AT449" s="75"/>
      <c r="AU449" s="75"/>
      <c r="AV449" s="75"/>
      <c r="AW449" s="75"/>
      <c r="AX449" s="75"/>
      <c r="AY449" s="77"/>
      <c r="AZ449" s="75"/>
      <c r="BA449" s="77"/>
      <c r="BB449" s="66"/>
      <c r="BC449" s="4"/>
      <c r="BD449" s="67"/>
      <c r="BE449" s="67"/>
      <c r="BF449" s="68"/>
      <c r="BG449" s="69"/>
      <c r="BH449" s="70"/>
      <c r="BI449" s="70"/>
      <c r="BJ449" s="73"/>
      <c r="BK449" s="78"/>
      <c r="BL449" s="78"/>
      <c r="BM449" s="78"/>
      <c r="BN449" s="78"/>
      <c r="BO449" s="66"/>
      <c r="BP449" s="66"/>
    </row>
    <row r="450" spans="1:68" ht="13.2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/>
      <c r="AQ450" s="75"/>
      <c r="AR450" s="75"/>
      <c r="AS450" s="75"/>
      <c r="AT450" s="75"/>
      <c r="AU450" s="75"/>
      <c r="AV450" s="75"/>
      <c r="AW450" s="75"/>
      <c r="AX450" s="75"/>
      <c r="AY450" s="77"/>
      <c r="AZ450" s="75"/>
      <c r="BA450" s="77"/>
      <c r="BB450" s="66"/>
      <c r="BC450" s="4"/>
      <c r="BD450" s="67"/>
      <c r="BE450" s="67"/>
      <c r="BF450" s="68"/>
      <c r="BG450" s="69"/>
      <c r="BH450" s="70"/>
      <c r="BI450" s="70"/>
      <c r="BJ450" s="73"/>
      <c r="BK450" s="78"/>
      <c r="BL450" s="78"/>
      <c r="BM450" s="78"/>
      <c r="BN450" s="78"/>
      <c r="BO450" s="66"/>
      <c r="BP450" s="66"/>
    </row>
    <row r="451" spans="1:68" ht="13.2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/>
      <c r="AQ451" s="75"/>
      <c r="AR451" s="75"/>
      <c r="AS451" s="75"/>
      <c r="AT451" s="75"/>
      <c r="AU451" s="75"/>
      <c r="AV451" s="75"/>
      <c r="AW451" s="75"/>
      <c r="AX451" s="75"/>
      <c r="AY451" s="77"/>
      <c r="AZ451" s="75"/>
      <c r="BA451" s="77"/>
      <c r="BB451" s="66"/>
      <c r="BC451" s="4"/>
      <c r="BD451" s="67"/>
      <c r="BE451" s="67"/>
      <c r="BF451" s="68"/>
      <c r="BG451" s="69"/>
      <c r="BH451" s="70"/>
      <c r="BI451" s="70"/>
      <c r="BJ451" s="73"/>
      <c r="BK451" s="78"/>
      <c r="BL451" s="78"/>
      <c r="BM451" s="78"/>
      <c r="BN451" s="78"/>
      <c r="BO451" s="66"/>
      <c r="BP451" s="66"/>
    </row>
    <row r="452" spans="1:68" ht="13.2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/>
      <c r="AQ452" s="75"/>
      <c r="AR452" s="75"/>
      <c r="AS452" s="75"/>
      <c r="AT452" s="75"/>
      <c r="AU452" s="75"/>
      <c r="AV452" s="75"/>
      <c r="AW452" s="75"/>
      <c r="AX452" s="75"/>
      <c r="AY452" s="77"/>
      <c r="AZ452" s="75"/>
      <c r="BA452" s="77"/>
      <c r="BB452" s="66"/>
      <c r="BC452" s="4"/>
      <c r="BD452" s="67"/>
      <c r="BE452" s="67"/>
      <c r="BF452" s="68"/>
      <c r="BG452" s="69"/>
      <c r="BH452" s="70"/>
      <c r="BI452" s="70"/>
      <c r="BJ452" s="73"/>
      <c r="BK452" s="78"/>
      <c r="BL452" s="78"/>
      <c r="BM452" s="78"/>
      <c r="BN452" s="78"/>
      <c r="BO452" s="66"/>
      <c r="BP452" s="66"/>
    </row>
    <row r="453" spans="1:68" ht="13.2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/>
      <c r="AQ453" s="75"/>
      <c r="AR453" s="75"/>
      <c r="AS453" s="75"/>
      <c r="AT453" s="75"/>
      <c r="AU453" s="75"/>
      <c r="AV453" s="75"/>
      <c r="AW453" s="75"/>
      <c r="AX453" s="75"/>
      <c r="AY453" s="77"/>
      <c r="AZ453" s="75"/>
      <c r="BA453" s="77"/>
      <c r="BB453" s="66"/>
      <c r="BC453" s="4"/>
      <c r="BD453" s="67"/>
      <c r="BE453" s="67"/>
      <c r="BF453" s="68"/>
      <c r="BG453" s="69"/>
      <c r="BH453" s="70"/>
      <c r="BI453" s="70"/>
      <c r="BJ453" s="73"/>
      <c r="BK453" s="78"/>
      <c r="BL453" s="78"/>
      <c r="BM453" s="78"/>
      <c r="BN453" s="78"/>
      <c r="BO453" s="66"/>
      <c r="BP453" s="66"/>
    </row>
    <row r="454" spans="1:68" ht="13.2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/>
      <c r="AQ454" s="75"/>
      <c r="AR454" s="75"/>
      <c r="AS454" s="75"/>
      <c r="AT454" s="75"/>
      <c r="AU454" s="75"/>
      <c r="AV454" s="75"/>
      <c r="AW454" s="75"/>
      <c r="AX454" s="75"/>
      <c r="AY454" s="77"/>
      <c r="AZ454" s="75"/>
      <c r="BA454" s="77"/>
      <c r="BB454" s="66"/>
      <c r="BC454" s="4"/>
      <c r="BD454" s="67"/>
      <c r="BE454" s="67"/>
      <c r="BF454" s="68"/>
      <c r="BG454" s="69"/>
      <c r="BH454" s="84"/>
      <c r="BI454" s="70"/>
      <c r="BJ454" s="73"/>
      <c r="BK454" s="78"/>
      <c r="BL454" s="78"/>
      <c r="BM454" s="78"/>
      <c r="BN454" s="78"/>
      <c r="BO454" s="66"/>
      <c r="BP454" s="66"/>
    </row>
    <row r="455" spans="1:68" ht="13.2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/>
      <c r="AQ455" s="75"/>
      <c r="AR455" s="75"/>
      <c r="AS455" s="75"/>
      <c r="AT455" s="75"/>
      <c r="AU455" s="75"/>
      <c r="AV455" s="75"/>
      <c r="AW455" s="75"/>
      <c r="AX455" s="75"/>
      <c r="AY455" s="77"/>
      <c r="AZ455" s="75"/>
      <c r="BA455" s="77"/>
      <c r="BB455" s="66"/>
      <c r="BC455" s="4"/>
      <c r="BD455" s="67"/>
      <c r="BE455" s="67"/>
      <c r="BF455" s="68"/>
      <c r="BG455" s="69"/>
      <c r="BH455" s="84"/>
      <c r="BI455" s="70"/>
      <c r="BJ455" s="73"/>
      <c r="BK455" s="78"/>
      <c r="BL455" s="78"/>
      <c r="BM455" s="78"/>
      <c r="BN455" s="78"/>
      <c r="BO455" s="66"/>
      <c r="BP455" s="66"/>
    </row>
    <row r="456" spans="1:68" ht="13.2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/>
      <c r="AQ456" s="75"/>
      <c r="AR456" s="75"/>
      <c r="AS456" s="75"/>
      <c r="AT456" s="75"/>
      <c r="AU456" s="75"/>
      <c r="AV456" s="75"/>
      <c r="AW456" s="75"/>
      <c r="AX456" s="75"/>
      <c r="AY456" s="77"/>
      <c r="AZ456" s="75"/>
      <c r="BA456" s="77"/>
      <c r="BB456" s="66"/>
      <c r="BC456" s="4"/>
      <c r="BD456" s="67"/>
      <c r="BE456" s="67"/>
      <c r="BF456" s="68"/>
      <c r="BG456" s="69"/>
      <c r="BH456" s="84"/>
      <c r="BI456" s="70"/>
      <c r="BJ456" s="73"/>
      <c r="BK456" s="78"/>
      <c r="BL456" s="78"/>
      <c r="BM456" s="78"/>
      <c r="BN456" s="78"/>
      <c r="BO456" s="66"/>
      <c r="BP456" s="66"/>
    </row>
    <row r="457" spans="1:68" ht="13.2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/>
      <c r="AQ457" s="75"/>
      <c r="AR457" s="75"/>
      <c r="AS457" s="75"/>
      <c r="AT457" s="75"/>
      <c r="AU457" s="75"/>
      <c r="AV457" s="75"/>
      <c r="AW457" s="75"/>
      <c r="AX457" s="75"/>
      <c r="AY457" s="77"/>
      <c r="AZ457" s="75"/>
      <c r="BA457" s="77"/>
      <c r="BB457" s="66"/>
      <c r="BC457" s="4"/>
      <c r="BD457" s="67"/>
      <c r="BE457" s="67"/>
      <c r="BF457" s="68"/>
      <c r="BG457" s="69"/>
      <c r="BH457" s="84"/>
      <c r="BI457" s="70"/>
      <c r="BJ457" s="73"/>
      <c r="BK457" s="78"/>
      <c r="BL457" s="78"/>
      <c r="BM457" s="78"/>
      <c r="BN457" s="78"/>
      <c r="BO457" s="66"/>
      <c r="BP457" s="66"/>
    </row>
    <row r="458" spans="1:68" ht="13.2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/>
      <c r="AQ458" s="75"/>
      <c r="AR458" s="75"/>
      <c r="AS458" s="75"/>
      <c r="AT458" s="75"/>
      <c r="AU458" s="75"/>
      <c r="AV458" s="75"/>
      <c r="AW458" s="75"/>
      <c r="AX458" s="75"/>
      <c r="AY458" s="77"/>
      <c r="AZ458" s="75"/>
      <c r="BA458" s="77"/>
      <c r="BB458" s="66"/>
      <c r="BC458" s="4"/>
      <c r="BD458" s="67"/>
      <c r="BE458" s="67"/>
      <c r="BF458" s="68"/>
      <c r="BG458" s="69"/>
      <c r="BH458" s="84"/>
      <c r="BI458" s="70"/>
      <c r="BJ458" s="73"/>
      <c r="BK458" s="78"/>
      <c r="BL458" s="78"/>
      <c r="BM458" s="78"/>
      <c r="BN458" s="78"/>
      <c r="BO458" s="66"/>
      <c r="BP458" s="66"/>
    </row>
    <row r="459" spans="1:68" ht="13.2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/>
      <c r="AQ459" s="75"/>
      <c r="AR459" s="75"/>
      <c r="AS459" s="75"/>
      <c r="AT459" s="75"/>
      <c r="AU459" s="75"/>
      <c r="AV459" s="75"/>
      <c r="AW459" s="75"/>
      <c r="AX459" s="75"/>
      <c r="AY459" s="77"/>
      <c r="AZ459" s="75"/>
      <c r="BA459" s="77"/>
      <c r="BB459" s="66"/>
      <c r="BC459" s="4"/>
      <c r="BD459" s="67"/>
      <c r="BE459" s="67"/>
      <c r="BF459" s="68"/>
      <c r="BG459" s="69"/>
      <c r="BH459" s="84"/>
      <c r="BI459" s="70"/>
      <c r="BJ459" s="73"/>
      <c r="BK459" s="78"/>
      <c r="BL459" s="78"/>
      <c r="BM459" s="78"/>
      <c r="BN459" s="78"/>
      <c r="BO459" s="66"/>
      <c r="BP459" s="66"/>
    </row>
    <row r="460" spans="1:68" ht="13.2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/>
      <c r="AQ460" s="75"/>
      <c r="AR460" s="75"/>
      <c r="AS460" s="75"/>
      <c r="AT460" s="75"/>
      <c r="AU460" s="75"/>
      <c r="AV460" s="75"/>
      <c r="AW460" s="75"/>
      <c r="AX460" s="75"/>
      <c r="AY460" s="77"/>
      <c r="AZ460" s="75"/>
      <c r="BA460" s="77"/>
      <c r="BB460" s="66"/>
      <c r="BC460" s="4"/>
      <c r="BD460" s="67"/>
      <c r="BE460" s="67"/>
      <c r="BF460" s="68"/>
      <c r="BG460" s="69"/>
      <c r="BH460" s="84"/>
      <c r="BI460" s="70"/>
      <c r="BJ460" s="73"/>
      <c r="BK460" s="78"/>
      <c r="BL460" s="78"/>
      <c r="BM460" s="78"/>
      <c r="BN460" s="78"/>
      <c r="BO460" s="66"/>
      <c r="BP460" s="66"/>
    </row>
    <row r="461" spans="1:68" ht="13.2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/>
      <c r="AQ461" s="75"/>
      <c r="AR461" s="75"/>
      <c r="AS461" s="75"/>
      <c r="AT461" s="75"/>
      <c r="AU461" s="75"/>
      <c r="AV461" s="75"/>
      <c r="AW461" s="75"/>
      <c r="AX461" s="75"/>
      <c r="AY461" s="77"/>
      <c r="AZ461" s="75"/>
      <c r="BA461" s="77"/>
      <c r="BB461" s="66"/>
      <c r="BC461" s="4"/>
      <c r="BD461" s="67"/>
      <c r="BE461" s="67"/>
      <c r="BF461" s="68"/>
      <c r="BG461" s="69"/>
      <c r="BH461" s="84"/>
      <c r="BI461" s="70"/>
      <c r="BJ461" s="73"/>
      <c r="BK461" s="78"/>
      <c r="BL461" s="78"/>
      <c r="BM461" s="78"/>
      <c r="BN461" s="78"/>
      <c r="BO461" s="66"/>
      <c r="BP461" s="66"/>
    </row>
    <row r="462" spans="1:68" ht="13.2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/>
      <c r="AQ462" s="75"/>
      <c r="AR462" s="75"/>
      <c r="AS462" s="75"/>
      <c r="AT462" s="75"/>
      <c r="AU462" s="75"/>
      <c r="AV462" s="75"/>
      <c r="AW462" s="75"/>
      <c r="AX462" s="75"/>
      <c r="AY462" s="77"/>
      <c r="AZ462" s="75"/>
      <c r="BA462" s="77"/>
      <c r="BB462" s="66"/>
      <c r="BC462" s="4"/>
      <c r="BD462" s="67"/>
      <c r="BE462" s="67"/>
      <c r="BF462" s="68"/>
      <c r="BG462" s="69"/>
      <c r="BH462" s="84"/>
      <c r="BI462" s="70"/>
      <c r="BJ462" s="73"/>
      <c r="BK462" s="78"/>
      <c r="BL462" s="78"/>
      <c r="BM462" s="78"/>
      <c r="BN462" s="78"/>
      <c r="BO462" s="66"/>
      <c r="BP462" s="66"/>
    </row>
    <row r="463" spans="1:68" ht="13.2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/>
      <c r="AQ463" s="75"/>
      <c r="AR463" s="75"/>
      <c r="AS463" s="75"/>
      <c r="AT463" s="75"/>
      <c r="AU463" s="75"/>
      <c r="AV463" s="75"/>
      <c r="AW463" s="75"/>
      <c r="AX463" s="75"/>
      <c r="AY463" s="77"/>
      <c r="AZ463" s="75"/>
      <c r="BA463" s="77"/>
      <c r="BB463" s="66"/>
      <c r="BC463" s="4"/>
      <c r="BD463" s="67"/>
      <c r="BE463" s="67"/>
      <c r="BF463" s="68"/>
      <c r="BG463" s="69"/>
      <c r="BH463" s="84"/>
      <c r="BI463" s="70"/>
      <c r="BJ463" s="73"/>
      <c r="BK463" s="78"/>
      <c r="BL463" s="78"/>
      <c r="BM463" s="78"/>
      <c r="BN463" s="78"/>
      <c r="BO463" s="66"/>
      <c r="BP463" s="66"/>
    </row>
    <row r="464" spans="1:68" ht="13.2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/>
      <c r="AQ464" s="75"/>
      <c r="AR464" s="75"/>
      <c r="AS464" s="75"/>
      <c r="AT464" s="75"/>
      <c r="AU464" s="75"/>
      <c r="AV464" s="75"/>
      <c r="AW464" s="75"/>
      <c r="AX464" s="75"/>
      <c r="AY464" s="77"/>
      <c r="AZ464" s="75"/>
      <c r="BA464" s="77"/>
      <c r="BB464" s="66"/>
      <c r="BC464" s="4"/>
      <c r="BD464" s="67"/>
      <c r="BE464" s="67"/>
      <c r="BF464" s="68"/>
      <c r="BG464" s="69"/>
      <c r="BH464" s="84"/>
      <c r="BI464" s="70"/>
      <c r="BJ464" s="73"/>
      <c r="BK464" s="78"/>
      <c r="BL464" s="78"/>
      <c r="BM464" s="78"/>
      <c r="BN464" s="78"/>
      <c r="BO464" s="66"/>
      <c r="BP464" s="66"/>
    </row>
    <row r="465" spans="1:68" ht="13.2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/>
      <c r="AQ465" s="75"/>
      <c r="AR465" s="75"/>
      <c r="AS465" s="75"/>
      <c r="AT465" s="75"/>
      <c r="AU465" s="75"/>
      <c r="AV465" s="75"/>
      <c r="AW465" s="75"/>
      <c r="AX465" s="75"/>
      <c r="AY465" s="77"/>
      <c r="AZ465" s="75"/>
      <c r="BA465" s="77"/>
      <c r="BB465" s="66"/>
      <c r="BC465" s="4"/>
      <c r="BD465" s="67"/>
      <c r="BE465" s="67"/>
      <c r="BF465" s="68"/>
      <c r="BG465" s="69"/>
      <c r="BH465" s="84"/>
      <c r="BI465" s="70"/>
      <c r="BJ465" s="73"/>
      <c r="BK465" s="78"/>
      <c r="BL465" s="78"/>
      <c r="BM465" s="78"/>
      <c r="BN465" s="78"/>
      <c r="BO465" s="66"/>
      <c r="BP465" s="66"/>
    </row>
    <row r="466" spans="1:68" ht="13.2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/>
      <c r="AQ466" s="75"/>
      <c r="AR466" s="75"/>
      <c r="AS466" s="75"/>
      <c r="AT466" s="75"/>
      <c r="AU466" s="75"/>
      <c r="AV466" s="75"/>
      <c r="AW466" s="75"/>
      <c r="AX466" s="75"/>
      <c r="AY466" s="77"/>
      <c r="AZ466" s="75"/>
      <c r="BA466" s="77"/>
      <c r="BB466" s="66"/>
      <c r="BC466" s="4"/>
      <c r="BD466" s="67"/>
      <c r="BE466" s="67"/>
      <c r="BF466" s="68"/>
      <c r="BG466" s="69"/>
      <c r="BH466" s="84"/>
      <c r="BI466" s="70"/>
      <c r="BJ466" s="73"/>
      <c r="BK466" s="78"/>
      <c r="BL466" s="78"/>
      <c r="BM466" s="78"/>
      <c r="BN466" s="78"/>
      <c r="BO466" s="66"/>
      <c r="BP466" s="66"/>
    </row>
    <row r="467" spans="1:68" ht="13.2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/>
      <c r="AQ467" s="75"/>
      <c r="AR467" s="75"/>
      <c r="AS467" s="75"/>
      <c r="AT467" s="75"/>
      <c r="AU467" s="75"/>
      <c r="AV467" s="75"/>
      <c r="AW467" s="75"/>
      <c r="AX467" s="75"/>
      <c r="AY467" s="77"/>
      <c r="AZ467" s="75"/>
      <c r="BA467" s="77"/>
      <c r="BB467" s="66"/>
      <c r="BC467" s="4"/>
      <c r="BD467" s="67"/>
      <c r="BE467" s="67"/>
      <c r="BF467" s="68"/>
      <c r="BG467" s="69"/>
      <c r="BH467" s="84"/>
      <c r="BI467" s="70"/>
      <c r="BJ467" s="73"/>
      <c r="BK467" s="78"/>
      <c r="BL467" s="78"/>
      <c r="BM467" s="78"/>
      <c r="BN467" s="78"/>
      <c r="BO467" s="66"/>
      <c r="BP467" s="66"/>
    </row>
    <row r="468" spans="1:68" ht="13.2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/>
      <c r="AQ468" s="75"/>
      <c r="AR468" s="75"/>
      <c r="AS468" s="75"/>
      <c r="AT468" s="75"/>
      <c r="AU468" s="75"/>
      <c r="AV468" s="75"/>
      <c r="AW468" s="75"/>
      <c r="AX468" s="75"/>
      <c r="AY468" s="77"/>
      <c r="AZ468" s="75"/>
      <c r="BA468" s="77"/>
      <c r="BB468" s="66"/>
      <c r="BC468" s="4"/>
      <c r="BD468" s="67"/>
      <c r="BE468" s="67"/>
      <c r="BF468" s="68"/>
      <c r="BG468" s="69"/>
      <c r="BH468" s="84"/>
      <c r="BI468" s="70"/>
      <c r="BJ468" s="73"/>
      <c r="BK468" s="78"/>
      <c r="BL468" s="78"/>
      <c r="BM468" s="78"/>
      <c r="BN468" s="78"/>
      <c r="BO468" s="66"/>
      <c r="BP468" s="66"/>
    </row>
    <row r="469" spans="1:68" ht="13.2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/>
      <c r="AQ469" s="75"/>
      <c r="AR469" s="75"/>
      <c r="AS469" s="75"/>
      <c r="AT469" s="75"/>
      <c r="AU469" s="75"/>
      <c r="AV469" s="75"/>
      <c r="AW469" s="75"/>
      <c r="AX469" s="75"/>
      <c r="AY469" s="77"/>
      <c r="AZ469" s="75"/>
      <c r="BA469" s="77"/>
      <c r="BB469" s="66"/>
      <c r="BC469" s="4"/>
      <c r="BD469" s="67"/>
      <c r="BE469" s="67"/>
      <c r="BF469" s="68"/>
      <c r="BG469" s="69"/>
      <c r="BH469" s="84"/>
      <c r="BI469" s="70"/>
      <c r="BJ469" s="73"/>
      <c r="BK469" s="78"/>
      <c r="BL469" s="78"/>
      <c r="BM469" s="78"/>
      <c r="BN469" s="78"/>
      <c r="BO469" s="66"/>
      <c r="BP469" s="66"/>
    </row>
    <row r="470" spans="1:68" ht="13.2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/>
      <c r="AQ470" s="75"/>
      <c r="AR470" s="75"/>
      <c r="AS470" s="75"/>
      <c r="AT470" s="75"/>
      <c r="AU470" s="75"/>
      <c r="AV470" s="75"/>
      <c r="AW470" s="75"/>
      <c r="AX470" s="75"/>
      <c r="AY470" s="77"/>
      <c r="AZ470" s="75"/>
      <c r="BA470" s="77"/>
      <c r="BB470" s="66"/>
      <c r="BC470" s="4"/>
      <c r="BD470" s="67"/>
      <c r="BE470" s="67"/>
      <c r="BF470" s="68"/>
      <c r="BG470" s="69"/>
      <c r="BH470" s="84"/>
      <c r="BI470" s="70"/>
      <c r="BJ470" s="73"/>
      <c r="BK470" s="78"/>
      <c r="BL470" s="78"/>
      <c r="BM470" s="78"/>
      <c r="BN470" s="78"/>
      <c r="BO470" s="66"/>
      <c r="BP470" s="66"/>
    </row>
    <row r="471" spans="1:68" ht="13.2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/>
      <c r="AQ471" s="75"/>
      <c r="AR471" s="75"/>
      <c r="AS471" s="75"/>
      <c r="AT471" s="75"/>
      <c r="AU471" s="75"/>
      <c r="AV471" s="75"/>
      <c r="AW471" s="75"/>
      <c r="AX471" s="75"/>
      <c r="AY471" s="77"/>
      <c r="AZ471" s="75"/>
      <c r="BA471" s="77"/>
      <c r="BB471" s="66"/>
      <c r="BC471" s="4"/>
      <c r="BD471" s="67"/>
      <c r="BE471" s="67"/>
      <c r="BF471" s="68"/>
      <c r="BG471" s="69"/>
      <c r="BH471" s="84"/>
      <c r="BI471" s="70"/>
      <c r="BJ471" s="73"/>
      <c r="BK471" s="78"/>
      <c r="BL471" s="78"/>
      <c r="BM471" s="78"/>
      <c r="BN471" s="78"/>
      <c r="BO471" s="66"/>
      <c r="BP471" s="66"/>
    </row>
    <row r="472" spans="1:68" ht="13.2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/>
      <c r="AQ472" s="75"/>
      <c r="AR472" s="75"/>
      <c r="AS472" s="75"/>
      <c r="AT472" s="75"/>
      <c r="AU472" s="75"/>
      <c r="AV472" s="75"/>
      <c r="AW472" s="75"/>
      <c r="AX472" s="75"/>
      <c r="AY472" s="77"/>
      <c r="AZ472" s="75"/>
      <c r="BA472" s="77"/>
      <c r="BB472" s="66"/>
      <c r="BC472" s="4"/>
      <c r="BD472" s="67"/>
      <c r="BE472" s="67"/>
      <c r="BF472" s="68"/>
      <c r="BG472" s="69"/>
      <c r="BH472" s="84"/>
      <c r="BI472" s="70"/>
      <c r="BJ472" s="73"/>
      <c r="BK472" s="78"/>
      <c r="BL472" s="78"/>
      <c r="BM472" s="78"/>
      <c r="BN472" s="78"/>
      <c r="BO472" s="66"/>
      <c r="BP472" s="66"/>
    </row>
    <row r="473" spans="1:68" ht="13.2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/>
      <c r="AQ473" s="75"/>
      <c r="AR473" s="75"/>
      <c r="AS473" s="75"/>
      <c r="AT473" s="75"/>
      <c r="AU473" s="75"/>
      <c r="AV473" s="75"/>
      <c r="AW473" s="75"/>
      <c r="AX473" s="75"/>
      <c r="AY473" s="77"/>
      <c r="AZ473" s="75"/>
      <c r="BA473" s="77"/>
      <c r="BB473" s="66"/>
      <c r="BC473" s="4"/>
      <c r="BD473" s="67"/>
      <c r="BE473" s="67"/>
      <c r="BF473" s="68"/>
      <c r="BG473" s="69"/>
      <c r="BH473" s="84"/>
      <c r="BI473" s="70"/>
      <c r="BJ473" s="73"/>
      <c r="BK473" s="78"/>
      <c r="BL473" s="78"/>
      <c r="BM473" s="78"/>
      <c r="BN473" s="78"/>
      <c r="BO473" s="66"/>
      <c r="BP473" s="66"/>
    </row>
    <row r="474" spans="1:68" ht="13.2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/>
      <c r="AQ474" s="75"/>
      <c r="AR474" s="75"/>
      <c r="AS474" s="75"/>
      <c r="AT474" s="75"/>
      <c r="AU474" s="75"/>
      <c r="AV474" s="75"/>
      <c r="AW474" s="75"/>
      <c r="AX474" s="75"/>
      <c r="AY474" s="77"/>
      <c r="AZ474" s="75"/>
      <c r="BA474" s="77"/>
      <c r="BB474" s="66"/>
      <c r="BC474" s="4"/>
      <c r="BD474" s="67"/>
      <c r="BE474" s="67"/>
      <c r="BF474" s="68"/>
      <c r="BG474" s="69"/>
      <c r="BH474" s="84"/>
      <c r="BI474" s="70"/>
      <c r="BJ474" s="73"/>
      <c r="BK474" s="78"/>
      <c r="BL474" s="78"/>
      <c r="BM474" s="78"/>
      <c r="BN474" s="78"/>
      <c r="BO474" s="66"/>
      <c r="BP474" s="66"/>
    </row>
    <row r="475" spans="1:68" ht="13.2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/>
      <c r="AQ475" s="75"/>
      <c r="AR475" s="75"/>
      <c r="AS475" s="75"/>
      <c r="AT475" s="75"/>
      <c r="AU475" s="75"/>
      <c r="AV475" s="75"/>
      <c r="AW475" s="75"/>
      <c r="AX475" s="75"/>
      <c r="AY475" s="77"/>
      <c r="AZ475" s="75"/>
      <c r="BA475" s="77"/>
      <c r="BB475" s="66"/>
      <c r="BC475" s="4"/>
      <c r="BD475" s="67"/>
      <c r="BE475" s="67"/>
      <c r="BF475" s="68"/>
      <c r="BG475" s="69"/>
      <c r="BH475" s="84"/>
      <c r="BI475" s="70"/>
      <c r="BJ475" s="73"/>
      <c r="BK475" s="78"/>
      <c r="BL475" s="78"/>
      <c r="BM475" s="78"/>
      <c r="BN475" s="78"/>
      <c r="BO475" s="66"/>
      <c r="BP475" s="66"/>
    </row>
    <row r="476" spans="1:68" ht="13.2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/>
      <c r="AQ476" s="75"/>
      <c r="AR476" s="75"/>
      <c r="AS476" s="75"/>
      <c r="AT476" s="75"/>
      <c r="AU476" s="75"/>
      <c r="AV476" s="75"/>
      <c r="AW476" s="75"/>
      <c r="AX476" s="75"/>
      <c r="AY476" s="77"/>
      <c r="AZ476" s="75"/>
      <c r="BA476" s="77"/>
      <c r="BB476" s="66"/>
      <c r="BC476" s="4"/>
      <c r="BD476" s="67"/>
      <c r="BE476" s="67"/>
      <c r="BF476" s="68"/>
      <c r="BG476" s="69"/>
      <c r="BH476" s="84"/>
      <c r="BI476" s="70"/>
      <c r="BJ476" s="73"/>
      <c r="BK476" s="78"/>
      <c r="BL476" s="78"/>
      <c r="BM476" s="78"/>
      <c r="BN476" s="78"/>
      <c r="BO476" s="66"/>
      <c r="BP476" s="66"/>
    </row>
    <row r="477" spans="1:68" ht="13.2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/>
      <c r="AQ477" s="75"/>
      <c r="AR477" s="75"/>
      <c r="AS477" s="75"/>
      <c r="AT477" s="75"/>
      <c r="AU477" s="75"/>
      <c r="AV477" s="75"/>
      <c r="AW477" s="75"/>
      <c r="AX477" s="75"/>
      <c r="AY477" s="77"/>
      <c r="AZ477" s="75"/>
      <c r="BA477" s="77"/>
      <c r="BB477" s="66"/>
      <c r="BC477" s="4"/>
      <c r="BD477" s="67"/>
      <c r="BE477" s="67"/>
      <c r="BF477" s="68"/>
      <c r="BG477" s="69"/>
      <c r="BH477" s="84"/>
      <c r="BI477" s="70"/>
      <c r="BJ477" s="73"/>
      <c r="BK477" s="78"/>
      <c r="BL477" s="78"/>
      <c r="BM477" s="78"/>
      <c r="BN477" s="78"/>
      <c r="BO477" s="66"/>
      <c r="BP477" s="66"/>
    </row>
    <row r="478" spans="1:68" ht="13.2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/>
      <c r="AQ478" s="75"/>
      <c r="AR478" s="75"/>
      <c r="AS478" s="75"/>
      <c r="AT478" s="75"/>
      <c r="AU478" s="75"/>
      <c r="AV478" s="75"/>
      <c r="AW478" s="75"/>
      <c r="AX478" s="75"/>
      <c r="AY478" s="77"/>
      <c r="AZ478" s="75"/>
      <c r="BA478" s="77"/>
      <c r="BB478" s="66"/>
      <c r="BC478" s="4"/>
      <c r="BD478" s="67"/>
      <c r="BE478" s="67"/>
      <c r="BF478" s="68"/>
      <c r="BG478" s="69"/>
      <c r="BH478" s="84"/>
      <c r="BI478" s="70"/>
      <c r="BJ478" s="73"/>
      <c r="BK478" s="78"/>
      <c r="BL478" s="78"/>
      <c r="BM478" s="78"/>
      <c r="BN478" s="78"/>
      <c r="BO478" s="66"/>
      <c r="BP478" s="66"/>
    </row>
    <row r="479" spans="1:68" ht="13.2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/>
      <c r="AQ479" s="75"/>
      <c r="AR479" s="75"/>
      <c r="AS479" s="75"/>
      <c r="AT479" s="75"/>
      <c r="AU479" s="75"/>
      <c r="AV479" s="75"/>
      <c r="AW479" s="75"/>
      <c r="AX479" s="75"/>
      <c r="AY479" s="77"/>
      <c r="AZ479" s="75"/>
      <c r="BA479" s="77"/>
      <c r="BB479" s="66"/>
      <c r="BC479" s="4"/>
      <c r="BD479" s="67"/>
      <c r="BE479" s="67"/>
      <c r="BF479" s="68"/>
      <c r="BG479" s="69"/>
      <c r="BH479" s="84"/>
      <c r="BI479" s="70"/>
      <c r="BJ479" s="73"/>
      <c r="BK479" s="78"/>
      <c r="BL479" s="78"/>
      <c r="BM479" s="78"/>
      <c r="BN479" s="78"/>
      <c r="BO479" s="66"/>
      <c r="BP479" s="66"/>
    </row>
    <row r="480" spans="1:68" ht="13.2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/>
      <c r="AQ480" s="75"/>
      <c r="AR480" s="75"/>
      <c r="AS480" s="75"/>
      <c r="AT480" s="75"/>
      <c r="AU480" s="75"/>
      <c r="AV480" s="75"/>
      <c r="AW480" s="75"/>
      <c r="AX480" s="75"/>
      <c r="AY480" s="77"/>
      <c r="AZ480" s="75"/>
      <c r="BA480" s="77"/>
      <c r="BB480" s="66"/>
      <c r="BC480" s="4"/>
      <c r="BD480" s="67"/>
      <c r="BE480" s="67"/>
      <c r="BF480" s="68"/>
      <c r="BG480" s="69"/>
      <c r="BH480" s="84"/>
      <c r="BI480" s="70"/>
      <c r="BJ480" s="73"/>
      <c r="BK480" s="78"/>
      <c r="BL480" s="78"/>
      <c r="BM480" s="78"/>
      <c r="BN480" s="78"/>
      <c r="BO480" s="66"/>
      <c r="BP480" s="66"/>
    </row>
    <row r="481" spans="1:68" ht="13.2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/>
      <c r="AQ481" s="75"/>
      <c r="AR481" s="75"/>
      <c r="AS481" s="75"/>
      <c r="AT481" s="75"/>
      <c r="AU481" s="75"/>
      <c r="AV481" s="75"/>
      <c r="AW481" s="75"/>
      <c r="AX481" s="75"/>
      <c r="AY481" s="77"/>
      <c r="AZ481" s="75"/>
      <c r="BA481" s="77"/>
      <c r="BB481" s="66"/>
      <c r="BC481" s="4"/>
      <c r="BD481" s="67"/>
      <c r="BE481" s="67"/>
      <c r="BF481" s="68"/>
      <c r="BG481" s="69"/>
      <c r="BH481" s="84"/>
      <c r="BI481" s="70"/>
      <c r="BJ481" s="73"/>
      <c r="BK481" s="78"/>
      <c r="BL481" s="78"/>
      <c r="BM481" s="78"/>
      <c r="BN481" s="78"/>
      <c r="BO481" s="66"/>
      <c r="BP481" s="66"/>
    </row>
    <row r="482" spans="1:68" ht="13.2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/>
      <c r="AQ482" s="75"/>
      <c r="AR482" s="75"/>
      <c r="AS482" s="75"/>
      <c r="AT482" s="75"/>
      <c r="AU482" s="75"/>
      <c r="AV482" s="75"/>
      <c r="AW482" s="75"/>
      <c r="AX482" s="75"/>
      <c r="AY482" s="77"/>
      <c r="AZ482" s="75"/>
      <c r="BA482" s="77"/>
      <c r="BB482" s="66"/>
      <c r="BC482" s="4"/>
      <c r="BD482" s="67"/>
      <c r="BE482" s="67"/>
      <c r="BF482" s="68"/>
      <c r="BG482" s="69"/>
      <c r="BH482" s="84"/>
      <c r="BI482" s="70"/>
      <c r="BJ482" s="73"/>
      <c r="BK482" s="78"/>
      <c r="BL482" s="78"/>
      <c r="BM482" s="78"/>
      <c r="BN482" s="78"/>
      <c r="BO482" s="66"/>
      <c r="BP482" s="66"/>
    </row>
    <row r="483" spans="1:68" ht="13.2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/>
      <c r="AQ483" s="75"/>
      <c r="AR483" s="75"/>
      <c r="AS483" s="75"/>
      <c r="AT483" s="75"/>
      <c r="AU483" s="75"/>
      <c r="AV483" s="75"/>
      <c r="AW483" s="75"/>
      <c r="AX483" s="75"/>
      <c r="AY483" s="77"/>
      <c r="AZ483" s="75"/>
      <c r="BA483" s="77"/>
      <c r="BB483" s="66"/>
      <c r="BC483" s="4"/>
      <c r="BD483" s="67"/>
      <c r="BE483" s="67"/>
      <c r="BF483" s="68"/>
      <c r="BG483" s="69"/>
      <c r="BH483" s="84"/>
      <c r="BI483" s="70"/>
      <c r="BJ483" s="73"/>
      <c r="BK483" s="78"/>
      <c r="BL483" s="78"/>
      <c r="BM483" s="78"/>
      <c r="BN483" s="78"/>
      <c r="BO483" s="66"/>
      <c r="BP483" s="66"/>
    </row>
    <row r="484" spans="1:68" ht="13.2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/>
      <c r="AQ484" s="75"/>
      <c r="AR484" s="75"/>
      <c r="AS484" s="75"/>
      <c r="AT484" s="75"/>
      <c r="AU484" s="75"/>
      <c r="AV484" s="75"/>
      <c r="AW484" s="75"/>
      <c r="AX484" s="75"/>
      <c r="AY484" s="77"/>
      <c r="AZ484" s="75"/>
      <c r="BA484" s="77"/>
      <c r="BB484" s="66"/>
      <c r="BC484" s="4"/>
      <c r="BD484" s="67"/>
      <c r="BE484" s="67"/>
      <c r="BF484" s="68"/>
      <c r="BG484" s="69"/>
      <c r="BH484" s="84"/>
      <c r="BI484" s="70"/>
      <c r="BJ484" s="73"/>
      <c r="BK484" s="78"/>
      <c r="BL484" s="78"/>
      <c r="BM484" s="78"/>
      <c r="BN484" s="78"/>
      <c r="BO484" s="66"/>
      <c r="BP484" s="66"/>
    </row>
    <row r="485" spans="1:68" ht="13.2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/>
      <c r="AQ485" s="75"/>
      <c r="AR485" s="75"/>
      <c r="AS485" s="75"/>
      <c r="AT485" s="75"/>
      <c r="AU485" s="75"/>
      <c r="AV485" s="75"/>
      <c r="AW485" s="75"/>
      <c r="AX485" s="75"/>
      <c r="AY485" s="77"/>
      <c r="AZ485" s="75"/>
      <c r="BA485" s="77"/>
      <c r="BB485" s="66"/>
      <c r="BC485" s="4"/>
      <c r="BD485" s="67"/>
      <c r="BE485" s="67"/>
      <c r="BF485" s="68"/>
      <c r="BG485" s="69"/>
      <c r="BH485" s="84"/>
      <c r="BI485" s="70"/>
      <c r="BJ485" s="73"/>
      <c r="BK485" s="78"/>
      <c r="BL485" s="78"/>
      <c r="BM485" s="78"/>
      <c r="BN485" s="78"/>
      <c r="BO485" s="66"/>
      <c r="BP485" s="66"/>
    </row>
    <row r="486" spans="1:68" ht="13.2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/>
      <c r="AQ486" s="75"/>
      <c r="AR486" s="75"/>
      <c r="AS486" s="75"/>
      <c r="AT486" s="75"/>
      <c r="AU486" s="75"/>
      <c r="AV486" s="75"/>
      <c r="AW486" s="75"/>
      <c r="AX486" s="75"/>
      <c r="AY486" s="77"/>
      <c r="AZ486" s="75"/>
      <c r="BA486" s="77"/>
      <c r="BB486" s="66"/>
      <c r="BC486" s="4"/>
      <c r="BD486" s="67"/>
      <c r="BE486" s="67"/>
      <c r="BF486" s="68"/>
      <c r="BG486" s="69"/>
      <c r="BH486" s="84"/>
      <c r="BI486" s="70"/>
      <c r="BJ486" s="73"/>
      <c r="BK486" s="78"/>
      <c r="BL486" s="78"/>
      <c r="BM486" s="78"/>
      <c r="BN486" s="78"/>
      <c r="BO486" s="66"/>
      <c r="BP486" s="66"/>
    </row>
    <row r="487" spans="1:68" ht="13.2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/>
      <c r="AQ487" s="75"/>
      <c r="AR487" s="75"/>
      <c r="AS487" s="75"/>
      <c r="AT487" s="75"/>
      <c r="AU487" s="75"/>
      <c r="AV487" s="75"/>
      <c r="AW487" s="75"/>
      <c r="AX487" s="75"/>
      <c r="AY487" s="77"/>
      <c r="AZ487" s="75"/>
      <c r="BA487" s="77"/>
      <c r="BB487" s="66"/>
      <c r="BC487" s="4"/>
      <c r="BD487" s="67"/>
      <c r="BE487" s="67"/>
      <c r="BF487" s="68"/>
      <c r="BG487" s="69"/>
      <c r="BH487" s="84"/>
      <c r="BI487" s="70"/>
      <c r="BJ487" s="73"/>
      <c r="BK487" s="78"/>
      <c r="BL487" s="78"/>
      <c r="BM487" s="78"/>
      <c r="BN487" s="78"/>
      <c r="BO487" s="66"/>
      <c r="BP487" s="66"/>
    </row>
    <row r="488" spans="1:68" ht="13.2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/>
      <c r="AQ488" s="75"/>
      <c r="AR488" s="75"/>
      <c r="AS488" s="75"/>
      <c r="AT488" s="75"/>
      <c r="AU488" s="75"/>
      <c r="AV488" s="75"/>
      <c r="AW488" s="75"/>
      <c r="AX488" s="75"/>
      <c r="AY488" s="77"/>
      <c r="AZ488" s="75"/>
      <c r="BA488" s="77"/>
      <c r="BB488" s="66"/>
      <c r="BC488" s="4"/>
      <c r="BD488" s="67"/>
      <c r="BE488" s="67"/>
      <c r="BF488" s="68"/>
      <c r="BG488" s="69"/>
      <c r="BH488" s="84"/>
      <c r="BI488" s="70"/>
      <c r="BJ488" s="73"/>
      <c r="BK488" s="78"/>
      <c r="BL488" s="78"/>
      <c r="BM488" s="78"/>
      <c r="BN488" s="78"/>
      <c r="BO488" s="66"/>
      <c r="BP488" s="66"/>
    </row>
    <row r="489" spans="1:68" ht="13.2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/>
      <c r="AQ489" s="75"/>
      <c r="AR489" s="75"/>
      <c r="AS489" s="75"/>
      <c r="AT489" s="75"/>
      <c r="AU489" s="75"/>
      <c r="AV489" s="75"/>
      <c r="AW489" s="75"/>
      <c r="AX489" s="75"/>
      <c r="AY489" s="77"/>
      <c r="AZ489" s="75"/>
      <c r="BA489" s="77"/>
      <c r="BB489" s="66"/>
      <c r="BC489" s="4"/>
      <c r="BD489" s="67"/>
      <c r="BE489" s="67"/>
      <c r="BF489" s="68"/>
      <c r="BG489" s="69"/>
      <c r="BH489" s="84"/>
      <c r="BI489" s="70"/>
      <c r="BJ489" s="73"/>
      <c r="BK489" s="78"/>
      <c r="BL489" s="78"/>
      <c r="BM489" s="78"/>
      <c r="BN489" s="78"/>
      <c r="BO489" s="66"/>
      <c r="BP489" s="66"/>
    </row>
    <row r="490" spans="1:68" ht="13.2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/>
      <c r="AQ490" s="75"/>
      <c r="AR490" s="75"/>
      <c r="AS490" s="75"/>
      <c r="AT490" s="75"/>
      <c r="AU490" s="75"/>
      <c r="AV490" s="75"/>
      <c r="AW490" s="75"/>
      <c r="AX490" s="75"/>
      <c r="AY490" s="77"/>
      <c r="AZ490" s="75"/>
      <c r="BA490" s="77"/>
      <c r="BB490" s="66"/>
      <c r="BC490" s="4"/>
      <c r="BD490" s="67"/>
      <c r="BE490" s="67"/>
      <c r="BF490" s="68"/>
      <c r="BG490" s="69"/>
      <c r="BH490" s="84"/>
      <c r="BI490" s="70"/>
      <c r="BJ490" s="73"/>
      <c r="BK490" s="78"/>
      <c r="BL490" s="78"/>
      <c r="BM490" s="78"/>
      <c r="BN490" s="78"/>
      <c r="BO490" s="66"/>
      <c r="BP490" s="66"/>
    </row>
    <row r="491" spans="1:68" ht="13.2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/>
      <c r="AQ491" s="75"/>
      <c r="AR491" s="75"/>
      <c r="AS491" s="75"/>
      <c r="AT491" s="75"/>
      <c r="AU491" s="75"/>
      <c r="AV491" s="75"/>
      <c r="AW491" s="75"/>
      <c r="AX491" s="75"/>
      <c r="AY491" s="77"/>
      <c r="AZ491" s="75"/>
      <c r="BA491" s="77"/>
      <c r="BB491" s="66"/>
      <c r="BC491" s="4"/>
      <c r="BD491" s="67"/>
      <c r="BE491" s="67"/>
      <c r="BF491" s="68"/>
      <c r="BG491" s="69"/>
      <c r="BH491" s="84"/>
      <c r="BI491" s="70"/>
      <c r="BJ491" s="73"/>
      <c r="BK491" s="78"/>
      <c r="BL491" s="78"/>
      <c r="BM491" s="78"/>
      <c r="BN491" s="78"/>
      <c r="BO491" s="66"/>
      <c r="BP491" s="66"/>
    </row>
    <row r="492" spans="1:68" ht="13.2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/>
      <c r="AQ492" s="75"/>
      <c r="AR492" s="75"/>
      <c r="AS492" s="75"/>
      <c r="AT492" s="75"/>
      <c r="AU492" s="75"/>
      <c r="AV492" s="75"/>
      <c r="AW492" s="75"/>
      <c r="AX492" s="75"/>
      <c r="AY492" s="77"/>
      <c r="AZ492" s="75"/>
      <c r="BA492" s="77"/>
      <c r="BB492" s="66"/>
      <c r="BC492" s="4"/>
      <c r="BD492" s="67"/>
      <c r="BE492" s="67"/>
      <c r="BF492" s="68"/>
      <c r="BG492" s="69"/>
      <c r="BH492" s="84"/>
      <c r="BI492" s="70"/>
      <c r="BJ492" s="73"/>
      <c r="BK492" s="78"/>
      <c r="BL492" s="78"/>
      <c r="BM492" s="78"/>
      <c r="BN492" s="78"/>
      <c r="BO492" s="66"/>
      <c r="BP492" s="66"/>
    </row>
    <row r="493" spans="1:68" ht="13.2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/>
      <c r="AQ493" s="75"/>
      <c r="AR493" s="75"/>
      <c r="AS493" s="75"/>
      <c r="AT493" s="75"/>
      <c r="AU493" s="75"/>
      <c r="AV493" s="75"/>
      <c r="AW493" s="75"/>
      <c r="AX493" s="75"/>
      <c r="AY493" s="77"/>
      <c r="AZ493" s="75"/>
      <c r="BA493" s="77"/>
      <c r="BB493" s="66"/>
      <c r="BC493" s="4"/>
      <c r="BD493" s="67"/>
      <c r="BE493" s="67"/>
      <c r="BF493" s="68"/>
      <c r="BG493" s="69"/>
      <c r="BH493" s="84"/>
      <c r="BI493" s="70"/>
      <c r="BJ493" s="73"/>
      <c r="BK493" s="78"/>
      <c r="BL493" s="78"/>
      <c r="BM493" s="78"/>
      <c r="BN493" s="78"/>
      <c r="BO493" s="66"/>
      <c r="BP493" s="66"/>
    </row>
    <row r="494" spans="1:68" ht="13.2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/>
      <c r="AQ494" s="75"/>
      <c r="AR494" s="75"/>
      <c r="AS494" s="75"/>
      <c r="AT494" s="75"/>
      <c r="AU494" s="75"/>
      <c r="AV494" s="75"/>
      <c r="AW494" s="75"/>
      <c r="AX494" s="75"/>
      <c r="AY494" s="77"/>
      <c r="AZ494" s="75"/>
      <c r="BA494" s="77"/>
      <c r="BB494" s="66"/>
      <c r="BC494" s="4"/>
      <c r="BD494" s="67"/>
      <c r="BE494" s="67"/>
      <c r="BF494" s="68"/>
      <c r="BG494" s="69"/>
      <c r="BH494" s="84"/>
      <c r="BI494" s="70"/>
      <c r="BJ494" s="73"/>
      <c r="BK494" s="78"/>
      <c r="BL494" s="78"/>
      <c r="BM494" s="78"/>
      <c r="BN494" s="78"/>
      <c r="BO494" s="66"/>
      <c r="BP494" s="66"/>
    </row>
    <row r="495" spans="1:68" ht="13.2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/>
      <c r="AQ495" s="75"/>
      <c r="AR495" s="75"/>
      <c r="AS495" s="75"/>
      <c r="AT495" s="75"/>
      <c r="AU495" s="75"/>
      <c r="AV495" s="75"/>
      <c r="AW495" s="75"/>
      <c r="AX495" s="75"/>
      <c r="AY495" s="77"/>
      <c r="AZ495" s="75"/>
      <c r="BA495" s="77"/>
      <c r="BB495" s="66"/>
      <c r="BC495" s="4"/>
      <c r="BD495" s="67"/>
      <c r="BE495" s="67"/>
      <c r="BF495" s="68"/>
      <c r="BG495" s="69"/>
      <c r="BH495" s="84"/>
      <c r="BI495" s="70"/>
      <c r="BJ495" s="73"/>
      <c r="BK495" s="78"/>
      <c r="BL495" s="78"/>
      <c r="BM495" s="78"/>
      <c r="BN495" s="78"/>
      <c r="BO495" s="66"/>
      <c r="BP495" s="66"/>
    </row>
    <row r="496" spans="1:68" ht="13.2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/>
      <c r="AQ496" s="75"/>
      <c r="AR496" s="75"/>
      <c r="AS496" s="75"/>
      <c r="AT496" s="75"/>
      <c r="AU496" s="75"/>
      <c r="AV496" s="75"/>
      <c r="AW496" s="75"/>
      <c r="AX496" s="75"/>
      <c r="AY496" s="77"/>
      <c r="AZ496" s="75"/>
      <c r="BA496" s="77"/>
      <c r="BB496" s="66"/>
      <c r="BC496" s="4"/>
      <c r="BD496" s="67"/>
      <c r="BE496" s="67"/>
      <c r="BF496" s="68"/>
      <c r="BG496" s="69"/>
      <c r="BH496" s="84"/>
      <c r="BI496" s="70"/>
      <c r="BJ496" s="73"/>
      <c r="BK496" s="78"/>
      <c r="BL496" s="78"/>
      <c r="BM496" s="78"/>
      <c r="BN496" s="78"/>
      <c r="BO496" s="66"/>
      <c r="BP496" s="66"/>
    </row>
    <row r="497" spans="1:68" ht="13.2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/>
      <c r="AQ497" s="75"/>
      <c r="AR497" s="75"/>
      <c r="AS497" s="75"/>
      <c r="AT497" s="75"/>
      <c r="AU497" s="75"/>
      <c r="AV497" s="75"/>
      <c r="AW497" s="75"/>
      <c r="AX497" s="75"/>
      <c r="AY497" s="77"/>
      <c r="AZ497" s="75"/>
      <c r="BA497" s="77"/>
      <c r="BB497" s="66"/>
      <c r="BC497" s="4"/>
      <c r="BD497" s="67"/>
      <c r="BE497" s="67"/>
      <c r="BF497" s="68"/>
      <c r="BG497" s="69"/>
      <c r="BH497" s="84"/>
      <c r="BI497" s="70"/>
      <c r="BJ497" s="73"/>
      <c r="BK497" s="78"/>
      <c r="BL497" s="78"/>
      <c r="BM497" s="78"/>
      <c r="BN497" s="78"/>
      <c r="BO497" s="66"/>
      <c r="BP497" s="66"/>
    </row>
    <row r="498" spans="1:68" ht="13.2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/>
      <c r="AQ498" s="75"/>
      <c r="AR498" s="75"/>
      <c r="AS498" s="75"/>
      <c r="AT498" s="75"/>
      <c r="AU498" s="75"/>
      <c r="AV498" s="75"/>
      <c r="AW498" s="75"/>
      <c r="AX498" s="75"/>
      <c r="AY498" s="77"/>
      <c r="AZ498" s="75"/>
      <c r="BA498" s="77"/>
      <c r="BB498" s="66"/>
      <c r="BC498" s="4"/>
      <c r="BD498" s="67"/>
      <c r="BE498" s="67"/>
      <c r="BF498" s="68"/>
      <c r="BG498" s="69"/>
      <c r="BH498" s="84"/>
      <c r="BI498" s="70"/>
      <c r="BJ498" s="73"/>
      <c r="BK498" s="78"/>
      <c r="BL498" s="78"/>
      <c r="BM498" s="78"/>
      <c r="BN498" s="78"/>
      <c r="BO498" s="66"/>
      <c r="BP498" s="66"/>
    </row>
    <row r="499" spans="1:68" ht="13.2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/>
      <c r="AQ499" s="75"/>
      <c r="AR499" s="75"/>
      <c r="AS499" s="75"/>
      <c r="AT499" s="75"/>
      <c r="AU499" s="75"/>
      <c r="AV499" s="75"/>
      <c r="AW499" s="75"/>
      <c r="AX499" s="75"/>
      <c r="AY499" s="77"/>
      <c r="AZ499" s="75"/>
      <c r="BA499" s="77"/>
      <c r="BB499" s="66"/>
      <c r="BC499" s="4"/>
      <c r="BD499" s="67"/>
      <c r="BE499" s="67"/>
      <c r="BF499" s="68"/>
      <c r="BG499" s="69"/>
      <c r="BH499" s="84"/>
      <c r="BI499" s="70"/>
      <c r="BJ499" s="73"/>
      <c r="BK499" s="78"/>
      <c r="BL499" s="78"/>
      <c r="BM499" s="78"/>
      <c r="BN499" s="78"/>
      <c r="BO499" s="66"/>
      <c r="BP499" s="66"/>
    </row>
    <row r="500" spans="1:68" ht="13.2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/>
      <c r="AQ500" s="75"/>
      <c r="AR500" s="75"/>
      <c r="AS500" s="75"/>
      <c r="AT500" s="75"/>
      <c r="AU500" s="75"/>
      <c r="AV500" s="75"/>
      <c r="AW500" s="75"/>
      <c r="AX500" s="75"/>
      <c r="AY500" s="77"/>
      <c r="AZ500" s="75"/>
      <c r="BA500" s="77"/>
      <c r="BB500" s="66"/>
      <c r="BC500" s="4"/>
      <c r="BD500" s="67"/>
      <c r="BE500" s="67"/>
      <c r="BF500" s="68"/>
      <c r="BG500" s="69"/>
      <c r="BH500" s="84"/>
      <c r="BI500" s="70"/>
      <c r="BJ500" s="73"/>
      <c r="BK500" s="78"/>
      <c r="BL500" s="78"/>
      <c r="BM500" s="78"/>
      <c r="BN500" s="78"/>
      <c r="BO500" s="66"/>
      <c r="BP500" s="66"/>
    </row>
    <row r="501" spans="1:68" ht="13.2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/>
      <c r="AQ501" s="75"/>
      <c r="AR501" s="75"/>
      <c r="AS501" s="75"/>
      <c r="AT501" s="75"/>
      <c r="AU501" s="75"/>
      <c r="AV501" s="75"/>
      <c r="AW501" s="75"/>
      <c r="AX501" s="75"/>
      <c r="AY501" s="77"/>
      <c r="AZ501" s="75"/>
      <c r="BA501" s="77"/>
      <c r="BB501" s="66"/>
      <c r="BC501" s="4"/>
      <c r="BD501" s="67"/>
      <c r="BE501" s="67"/>
      <c r="BF501" s="68"/>
      <c r="BG501" s="69"/>
      <c r="BH501" s="84"/>
      <c r="BI501" s="70"/>
      <c r="BJ501" s="73"/>
      <c r="BK501" s="78"/>
      <c r="BL501" s="78"/>
      <c r="BM501" s="78"/>
      <c r="BN501" s="78"/>
      <c r="BO501" s="66"/>
      <c r="BP501" s="66"/>
    </row>
    <row r="502" spans="1:68" ht="13.2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/>
      <c r="AQ502" s="75"/>
      <c r="AR502" s="75"/>
      <c r="AS502" s="75"/>
      <c r="AT502" s="75"/>
      <c r="AU502" s="75"/>
      <c r="AV502" s="75"/>
      <c r="AW502" s="75"/>
      <c r="AX502" s="75"/>
      <c r="AY502" s="77"/>
      <c r="AZ502" s="75"/>
      <c r="BA502" s="77"/>
      <c r="BB502" s="66"/>
      <c r="BC502" s="4"/>
      <c r="BD502" s="67"/>
      <c r="BE502" s="67"/>
      <c r="BF502" s="68"/>
      <c r="BG502" s="69"/>
      <c r="BH502" s="84"/>
      <c r="BI502" s="70"/>
      <c r="BJ502" s="73"/>
      <c r="BK502" s="78"/>
      <c r="BL502" s="78"/>
      <c r="BM502" s="78"/>
      <c r="BN502" s="78"/>
      <c r="BO502" s="66"/>
      <c r="BP502" s="66"/>
    </row>
    <row r="503" spans="1:68" ht="13.2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/>
      <c r="AQ503" s="75"/>
      <c r="AR503" s="75"/>
      <c r="AS503" s="75"/>
      <c r="AT503" s="75"/>
      <c r="AU503" s="75"/>
      <c r="AV503" s="75"/>
      <c r="AW503" s="75"/>
      <c r="AX503" s="75"/>
      <c r="AY503" s="77"/>
      <c r="AZ503" s="75"/>
      <c r="BA503" s="77"/>
      <c r="BB503" s="66"/>
      <c r="BC503" s="4"/>
      <c r="BD503" s="67"/>
      <c r="BE503" s="67"/>
      <c r="BF503" s="68"/>
      <c r="BG503" s="69"/>
      <c r="BH503" s="84"/>
      <c r="BI503" s="70"/>
      <c r="BJ503" s="73"/>
      <c r="BK503" s="78"/>
      <c r="BL503" s="78"/>
      <c r="BM503" s="78"/>
      <c r="BN503" s="78"/>
      <c r="BO503" s="66"/>
      <c r="BP503" s="66"/>
    </row>
    <row r="504" spans="1:68" ht="13.2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/>
      <c r="AQ504" s="75"/>
      <c r="AR504" s="75"/>
      <c r="AS504" s="75"/>
      <c r="AT504" s="75"/>
      <c r="AU504" s="75"/>
      <c r="AV504" s="75"/>
      <c r="AW504" s="75"/>
      <c r="AX504" s="75"/>
      <c r="AY504" s="77"/>
      <c r="AZ504" s="75"/>
      <c r="BA504" s="77"/>
      <c r="BB504" s="66"/>
      <c r="BC504" s="4"/>
      <c r="BD504" s="67"/>
      <c r="BE504" s="67"/>
      <c r="BF504" s="68"/>
      <c r="BG504" s="69"/>
      <c r="BH504" s="84"/>
      <c r="BI504" s="70"/>
      <c r="BJ504" s="73"/>
      <c r="BK504" s="78"/>
      <c r="BL504" s="78"/>
      <c r="BM504" s="78"/>
      <c r="BN504" s="78"/>
      <c r="BO504" s="66"/>
      <c r="BP504" s="66"/>
    </row>
    <row r="505" spans="1:68" ht="13.2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/>
      <c r="AQ505" s="75"/>
      <c r="AR505" s="75"/>
      <c r="AS505" s="75"/>
      <c r="AT505" s="75"/>
      <c r="AU505" s="75"/>
      <c r="AV505" s="75"/>
      <c r="AW505" s="75"/>
      <c r="AX505" s="75"/>
      <c r="AY505" s="77"/>
      <c r="AZ505" s="75"/>
      <c r="BA505" s="77"/>
      <c r="BB505" s="66"/>
      <c r="BC505" s="4"/>
      <c r="BD505" s="67"/>
      <c r="BE505" s="67"/>
      <c r="BF505" s="68"/>
      <c r="BG505" s="69"/>
      <c r="BH505" s="84"/>
      <c r="BI505" s="70"/>
      <c r="BJ505" s="73"/>
      <c r="BK505" s="78"/>
      <c r="BL505" s="78"/>
      <c r="BM505" s="78"/>
      <c r="BN505" s="78"/>
      <c r="BO505" s="66"/>
      <c r="BP505" s="66"/>
    </row>
    <row r="506" spans="1:68" ht="13.2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/>
      <c r="AQ506" s="75"/>
      <c r="AR506" s="75"/>
      <c r="AS506" s="75"/>
      <c r="AT506" s="75"/>
      <c r="AU506" s="75"/>
      <c r="AV506" s="75"/>
      <c r="AW506" s="75"/>
      <c r="AX506" s="75"/>
      <c r="AY506" s="77"/>
      <c r="AZ506" s="75"/>
      <c r="BA506" s="77"/>
      <c r="BB506" s="66"/>
      <c r="BC506" s="4"/>
      <c r="BD506" s="67"/>
      <c r="BE506" s="67"/>
      <c r="BF506" s="68"/>
      <c r="BG506" s="69"/>
      <c r="BH506" s="84"/>
      <c r="BI506" s="70"/>
      <c r="BJ506" s="73"/>
      <c r="BK506" s="78"/>
      <c r="BL506" s="78"/>
      <c r="BM506" s="78"/>
      <c r="BN506" s="78"/>
      <c r="BO506" s="66"/>
      <c r="BP506" s="66"/>
    </row>
    <row r="507" spans="1:68" ht="13.2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/>
      <c r="AQ507" s="75"/>
      <c r="AR507" s="75"/>
      <c r="AS507" s="75"/>
      <c r="AT507" s="75"/>
      <c r="AU507" s="75"/>
      <c r="AV507" s="75"/>
      <c r="AW507" s="75"/>
      <c r="AX507" s="75"/>
      <c r="AY507" s="77"/>
      <c r="AZ507" s="75"/>
      <c r="BA507" s="77"/>
      <c r="BB507" s="66"/>
      <c r="BC507" s="4"/>
      <c r="BD507" s="67"/>
      <c r="BE507" s="67"/>
      <c r="BF507" s="68"/>
      <c r="BG507" s="69"/>
      <c r="BH507" s="84"/>
      <c r="BI507" s="70"/>
      <c r="BJ507" s="73"/>
      <c r="BK507" s="78"/>
      <c r="BL507" s="78"/>
      <c r="BM507" s="78"/>
      <c r="BN507" s="78"/>
      <c r="BO507" s="66"/>
      <c r="BP507" s="66"/>
    </row>
    <row r="508" spans="1:68" ht="13.2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/>
      <c r="AQ508" s="75"/>
      <c r="AR508" s="75"/>
      <c r="AS508" s="75"/>
      <c r="AT508" s="75"/>
      <c r="AU508" s="75"/>
      <c r="AV508" s="75"/>
      <c r="AW508" s="75"/>
      <c r="AX508" s="75"/>
      <c r="AY508" s="77"/>
      <c r="AZ508" s="75"/>
      <c r="BA508" s="77"/>
      <c r="BB508" s="66"/>
      <c r="BC508" s="4"/>
      <c r="BD508" s="67"/>
      <c r="BE508" s="67"/>
      <c r="BF508" s="68"/>
      <c r="BG508" s="69"/>
      <c r="BH508" s="84"/>
      <c r="BI508" s="70"/>
      <c r="BJ508" s="73"/>
      <c r="BK508" s="78"/>
      <c r="BL508" s="78"/>
      <c r="BM508" s="78"/>
      <c r="BN508" s="78"/>
      <c r="BO508" s="66"/>
      <c r="BP508" s="66"/>
    </row>
    <row r="509" spans="1:68" ht="13.2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/>
      <c r="AQ509" s="75"/>
      <c r="AR509" s="75"/>
      <c r="AS509" s="75"/>
      <c r="AT509" s="75"/>
      <c r="AU509" s="75"/>
      <c r="AV509" s="75"/>
      <c r="AW509" s="75"/>
      <c r="AX509" s="75"/>
      <c r="AY509" s="77"/>
      <c r="AZ509" s="75"/>
      <c r="BA509" s="77"/>
      <c r="BB509" s="66"/>
      <c r="BC509" s="4"/>
      <c r="BD509" s="67"/>
      <c r="BE509" s="67"/>
      <c r="BF509" s="68"/>
      <c r="BG509" s="69"/>
      <c r="BH509" s="84"/>
      <c r="BI509" s="70"/>
      <c r="BJ509" s="73"/>
      <c r="BK509" s="78"/>
      <c r="BL509" s="78"/>
      <c r="BM509" s="78"/>
      <c r="BN509" s="78"/>
      <c r="BO509" s="66"/>
      <c r="BP509" s="66"/>
    </row>
    <row r="510" spans="1:68" ht="13.2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/>
      <c r="AQ510" s="75"/>
      <c r="AR510" s="75"/>
      <c r="AS510" s="75"/>
      <c r="AT510" s="75"/>
      <c r="AU510" s="75"/>
      <c r="AV510" s="75"/>
      <c r="AW510" s="75"/>
      <c r="AX510" s="75"/>
      <c r="AY510" s="77"/>
      <c r="AZ510" s="75"/>
      <c r="BA510" s="77"/>
      <c r="BB510" s="66"/>
      <c r="BC510" s="4"/>
      <c r="BD510" s="67"/>
      <c r="BE510" s="67"/>
      <c r="BF510" s="68"/>
      <c r="BG510" s="69"/>
      <c r="BH510" s="84"/>
      <c r="BI510" s="70"/>
      <c r="BJ510" s="73"/>
      <c r="BK510" s="78"/>
      <c r="BL510" s="78"/>
      <c r="BM510" s="78"/>
      <c r="BN510" s="78"/>
      <c r="BO510" s="66"/>
      <c r="BP510" s="66"/>
    </row>
    <row r="511" spans="1:68" ht="13.2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/>
      <c r="AQ511" s="75"/>
      <c r="AR511" s="75"/>
      <c r="AS511" s="75"/>
      <c r="AT511" s="75"/>
      <c r="AU511" s="75"/>
      <c r="AV511" s="75"/>
      <c r="AW511" s="75"/>
      <c r="AX511" s="75"/>
      <c r="AY511" s="77"/>
      <c r="AZ511" s="75"/>
      <c r="BA511" s="77"/>
      <c r="BB511" s="66"/>
      <c r="BC511" s="4"/>
      <c r="BD511" s="67"/>
      <c r="BE511" s="67"/>
      <c r="BF511" s="68"/>
      <c r="BG511" s="69"/>
      <c r="BH511" s="84"/>
      <c r="BI511" s="70"/>
      <c r="BJ511" s="73"/>
      <c r="BK511" s="78"/>
      <c r="BL511" s="78"/>
      <c r="BM511" s="78"/>
      <c r="BN511" s="78"/>
      <c r="BO511" s="66"/>
      <c r="BP511" s="66"/>
    </row>
    <row r="512" spans="1:68" ht="13.2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/>
      <c r="AQ512" s="75"/>
      <c r="AR512" s="75"/>
      <c r="AS512" s="75"/>
      <c r="AT512" s="75"/>
      <c r="AU512" s="75"/>
      <c r="AV512" s="75"/>
      <c r="AW512" s="75"/>
      <c r="AX512" s="75"/>
      <c r="AY512" s="77"/>
      <c r="AZ512" s="75"/>
      <c r="BA512" s="77"/>
      <c r="BB512" s="66"/>
      <c r="BC512" s="4"/>
      <c r="BD512" s="67"/>
      <c r="BE512" s="67"/>
      <c r="BF512" s="68"/>
      <c r="BG512" s="69"/>
      <c r="BH512" s="84"/>
      <c r="BI512" s="70"/>
      <c r="BJ512" s="73"/>
      <c r="BK512" s="78"/>
      <c r="BL512" s="78"/>
      <c r="BM512" s="78"/>
      <c r="BN512" s="78"/>
      <c r="BO512" s="66"/>
      <c r="BP512" s="66"/>
    </row>
    <row r="513" spans="1:68" ht="13.2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/>
      <c r="AQ513" s="75"/>
      <c r="AR513" s="75"/>
      <c r="AS513" s="75"/>
      <c r="AT513" s="75"/>
      <c r="AU513" s="75"/>
      <c r="AV513" s="75"/>
      <c r="AW513" s="75"/>
      <c r="AX513" s="75"/>
      <c r="AY513" s="77"/>
      <c r="AZ513" s="75"/>
      <c r="BA513" s="77"/>
      <c r="BB513" s="66"/>
      <c r="BC513" s="4"/>
      <c r="BD513" s="67"/>
      <c r="BE513" s="67"/>
      <c r="BF513" s="68"/>
      <c r="BG513" s="69"/>
      <c r="BH513" s="84"/>
      <c r="BI513" s="70"/>
      <c r="BJ513" s="73"/>
      <c r="BK513" s="78"/>
      <c r="BL513" s="78"/>
      <c r="BM513" s="78"/>
      <c r="BN513" s="78"/>
      <c r="BO513" s="66"/>
      <c r="BP513" s="66"/>
    </row>
    <row r="514" spans="1:68" ht="13.2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/>
      <c r="AQ514" s="75"/>
      <c r="AR514" s="75"/>
      <c r="AS514" s="75"/>
      <c r="AT514" s="75"/>
      <c r="AU514" s="75"/>
      <c r="AV514" s="75"/>
      <c r="AW514" s="75"/>
      <c r="AX514" s="75"/>
      <c r="AY514" s="77"/>
      <c r="AZ514" s="75"/>
      <c r="BA514" s="77"/>
      <c r="BB514" s="66"/>
      <c r="BC514" s="4"/>
      <c r="BD514" s="67"/>
      <c r="BE514" s="67"/>
      <c r="BF514" s="68"/>
      <c r="BG514" s="69"/>
      <c r="BH514" s="84"/>
      <c r="BI514" s="70"/>
      <c r="BJ514" s="73"/>
      <c r="BK514" s="78"/>
      <c r="BL514" s="78"/>
      <c r="BM514" s="78"/>
      <c r="BN514" s="78"/>
      <c r="BO514" s="66"/>
      <c r="BP514" s="66"/>
    </row>
    <row r="515" spans="1:68" ht="13.2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/>
      <c r="AQ515" s="75"/>
      <c r="AR515" s="75"/>
      <c r="AS515" s="75"/>
      <c r="AT515" s="75"/>
      <c r="AU515" s="75"/>
      <c r="AV515" s="75"/>
      <c r="AW515" s="75"/>
      <c r="AX515" s="75"/>
      <c r="AY515" s="77"/>
      <c r="AZ515" s="75"/>
      <c r="BA515" s="77"/>
      <c r="BB515" s="66"/>
      <c r="BC515" s="4"/>
      <c r="BD515" s="67"/>
      <c r="BE515" s="67"/>
      <c r="BF515" s="68"/>
      <c r="BG515" s="69"/>
      <c r="BH515" s="84"/>
      <c r="BI515" s="70"/>
      <c r="BJ515" s="73"/>
      <c r="BK515" s="78"/>
      <c r="BL515" s="78"/>
      <c r="BM515" s="78"/>
      <c r="BN515" s="78"/>
      <c r="BO515" s="66"/>
      <c r="BP515" s="66"/>
    </row>
    <row r="516" spans="1:68" ht="13.2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/>
      <c r="AQ516" s="75"/>
      <c r="AR516" s="75"/>
      <c r="AS516" s="75"/>
      <c r="AT516" s="75"/>
      <c r="AU516" s="75"/>
      <c r="AV516" s="75"/>
      <c r="AW516" s="75"/>
      <c r="AX516" s="75"/>
      <c r="AY516" s="77"/>
      <c r="AZ516" s="75"/>
      <c r="BA516" s="77"/>
      <c r="BB516" s="66"/>
      <c r="BC516" s="4"/>
      <c r="BD516" s="67"/>
      <c r="BE516" s="67"/>
      <c r="BF516" s="68"/>
      <c r="BG516" s="69"/>
      <c r="BH516" s="84"/>
      <c r="BI516" s="70"/>
      <c r="BJ516" s="73"/>
      <c r="BK516" s="78"/>
      <c r="BL516" s="78"/>
      <c r="BM516" s="78"/>
      <c r="BN516" s="78"/>
      <c r="BO516" s="66"/>
      <c r="BP516" s="66"/>
    </row>
    <row r="517" spans="1:68" ht="13.2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/>
      <c r="AQ517" s="75"/>
      <c r="AR517" s="75"/>
      <c r="AS517" s="75"/>
      <c r="AT517" s="75"/>
      <c r="AU517" s="75"/>
      <c r="AV517" s="75"/>
      <c r="AW517" s="75"/>
      <c r="AX517" s="75"/>
      <c r="AY517" s="77"/>
      <c r="AZ517" s="75"/>
      <c r="BA517" s="77"/>
      <c r="BB517" s="66"/>
      <c r="BC517" s="4"/>
      <c r="BD517" s="67"/>
      <c r="BE517" s="67"/>
      <c r="BF517" s="68"/>
      <c r="BG517" s="69"/>
      <c r="BH517" s="84"/>
      <c r="BI517" s="70"/>
      <c r="BJ517" s="73"/>
      <c r="BK517" s="78"/>
      <c r="BL517" s="78"/>
      <c r="BM517" s="78"/>
      <c r="BN517" s="78"/>
      <c r="BO517" s="66"/>
      <c r="BP517" s="66"/>
    </row>
    <row r="518" spans="1:68" ht="13.2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/>
      <c r="AQ518" s="75"/>
      <c r="AR518" s="75"/>
      <c r="AS518" s="75"/>
      <c r="AT518" s="75"/>
      <c r="AU518" s="75"/>
      <c r="AV518" s="75"/>
      <c r="AW518" s="75"/>
      <c r="AX518" s="75"/>
      <c r="AY518" s="77"/>
      <c r="AZ518" s="75"/>
      <c r="BA518" s="77"/>
      <c r="BB518" s="66"/>
      <c r="BC518" s="4"/>
      <c r="BD518" s="67"/>
      <c r="BE518" s="67"/>
      <c r="BF518" s="68"/>
      <c r="BG518" s="69"/>
      <c r="BH518" s="84"/>
      <c r="BI518" s="70"/>
      <c r="BJ518" s="73"/>
      <c r="BK518" s="78"/>
      <c r="BL518" s="78"/>
      <c r="BM518" s="78"/>
      <c r="BN518" s="78"/>
      <c r="BO518" s="66"/>
      <c r="BP518" s="66"/>
    </row>
    <row r="519" spans="1:68" ht="13.2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/>
      <c r="AQ519" s="75"/>
      <c r="AR519" s="75"/>
      <c r="AS519" s="75"/>
      <c r="AT519" s="75"/>
      <c r="AU519" s="75"/>
      <c r="AV519" s="75"/>
      <c r="AW519" s="75"/>
      <c r="AX519" s="75"/>
      <c r="AY519" s="77"/>
      <c r="AZ519" s="75"/>
      <c r="BA519" s="77"/>
      <c r="BB519" s="66"/>
      <c r="BC519" s="4"/>
      <c r="BD519" s="67"/>
      <c r="BE519" s="67"/>
      <c r="BF519" s="68"/>
      <c r="BG519" s="69"/>
      <c r="BH519" s="84"/>
      <c r="BI519" s="70"/>
      <c r="BJ519" s="73"/>
      <c r="BK519" s="78"/>
      <c r="BL519" s="78"/>
      <c r="BM519" s="78"/>
      <c r="BN519" s="78"/>
      <c r="BO519" s="66"/>
      <c r="BP519" s="66"/>
    </row>
    <row r="520" spans="1:68" ht="13.2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/>
      <c r="AQ520" s="75"/>
      <c r="AR520" s="75"/>
      <c r="AS520" s="75"/>
      <c r="AT520" s="75"/>
      <c r="AU520" s="75"/>
      <c r="AV520" s="75"/>
      <c r="AW520" s="75"/>
      <c r="AX520" s="75"/>
      <c r="AY520" s="77"/>
      <c r="AZ520" s="75"/>
      <c r="BA520" s="77"/>
      <c r="BB520" s="66"/>
      <c r="BC520" s="4"/>
      <c r="BD520" s="67"/>
      <c r="BE520" s="67"/>
      <c r="BF520" s="68"/>
      <c r="BG520" s="69"/>
      <c r="BH520" s="84"/>
      <c r="BI520" s="70"/>
      <c r="BJ520" s="73"/>
      <c r="BK520" s="78"/>
      <c r="BL520" s="78"/>
      <c r="BM520" s="78"/>
      <c r="BN520" s="78"/>
      <c r="BO520" s="66"/>
      <c r="BP520" s="66"/>
    </row>
    <row r="521" spans="1:68" ht="13.2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/>
      <c r="AQ521" s="75"/>
      <c r="AR521" s="75"/>
      <c r="AS521" s="75"/>
      <c r="AT521" s="75"/>
      <c r="AU521" s="75"/>
      <c r="AV521" s="75"/>
      <c r="AW521" s="75"/>
      <c r="AX521" s="75"/>
      <c r="AY521" s="77"/>
      <c r="AZ521" s="75"/>
      <c r="BA521" s="77"/>
      <c r="BB521" s="66"/>
      <c r="BC521" s="4"/>
      <c r="BD521" s="67"/>
      <c r="BE521" s="67"/>
      <c r="BF521" s="68"/>
      <c r="BG521" s="69"/>
      <c r="BH521" s="84"/>
      <c r="BI521" s="70"/>
      <c r="BJ521" s="73"/>
      <c r="BK521" s="78"/>
      <c r="BL521" s="78"/>
      <c r="BM521" s="78"/>
      <c r="BN521" s="78"/>
      <c r="BO521" s="66"/>
      <c r="BP521" s="66"/>
    </row>
    <row r="522" spans="1:68" ht="13.2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/>
      <c r="AQ522" s="75"/>
      <c r="AR522" s="75"/>
      <c r="AS522" s="75"/>
      <c r="AT522" s="75"/>
      <c r="AU522" s="75"/>
      <c r="AV522" s="75"/>
      <c r="AW522" s="75"/>
      <c r="AX522" s="75"/>
      <c r="AY522" s="77"/>
      <c r="AZ522" s="75"/>
      <c r="BA522" s="77"/>
      <c r="BB522" s="66"/>
      <c r="BC522" s="4"/>
      <c r="BD522" s="67"/>
      <c r="BE522" s="67"/>
      <c r="BF522" s="68"/>
      <c r="BG522" s="69"/>
      <c r="BH522" s="84"/>
      <c r="BI522" s="70"/>
      <c r="BJ522" s="73"/>
      <c r="BK522" s="78"/>
      <c r="BL522" s="78"/>
      <c r="BM522" s="78"/>
      <c r="BN522" s="78"/>
      <c r="BO522" s="66"/>
      <c r="BP522" s="66"/>
    </row>
    <row r="523" spans="1:68" ht="13.2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/>
      <c r="AQ523" s="75"/>
      <c r="AR523" s="75"/>
      <c r="AS523" s="75"/>
      <c r="AT523" s="75"/>
      <c r="AU523" s="75"/>
      <c r="AV523" s="75"/>
      <c r="AW523" s="75"/>
      <c r="AX523" s="75"/>
      <c r="AY523" s="77"/>
      <c r="AZ523" s="75"/>
      <c r="BA523" s="77"/>
      <c r="BB523" s="66"/>
      <c r="BC523" s="4"/>
      <c r="BD523" s="67"/>
      <c r="BE523" s="67"/>
      <c r="BF523" s="68"/>
      <c r="BG523" s="69"/>
      <c r="BH523" s="84"/>
      <c r="BI523" s="70"/>
      <c r="BJ523" s="73"/>
      <c r="BK523" s="78"/>
      <c r="BL523" s="78"/>
      <c r="BM523" s="78"/>
      <c r="BN523" s="78"/>
      <c r="BO523" s="66"/>
      <c r="BP523" s="66"/>
    </row>
    <row r="524" spans="1:68" ht="13.2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/>
      <c r="AQ524" s="75"/>
      <c r="AR524" s="75"/>
      <c r="AS524" s="75"/>
      <c r="AT524" s="75"/>
      <c r="AU524" s="75"/>
      <c r="AV524" s="75"/>
      <c r="AW524" s="75"/>
      <c r="AX524" s="75"/>
      <c r="AY524" s="77"/>
      <c r="AZ524" s="75"/>
      <c r="BA524" s="77"/>
      <c r="BB524" s="66"/>
      <c r="BC524" s="4"/>
      <c r="BD524" s="67"/>
      <c r="BE524" s="67"/>
      <c r="BF524" s="68"/>
      <c r="BG524" s="69"/>
      <c r="BH524" s="84"/>
      <c r="BI524" s="70"/>
      <c r="BJ524" s="73"/>
      <c r="BK524" s="78"/>
      <c r="BL524" s="78"/>
      <c r="BM524" s="78"/>
      <c r="BN524" s="78"/>
      <c r="BO524" s="66"/>
      <c r="BP524" s="66"/>
    </row>
    <row r="525" spans="1:68" ht="13.2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/>
      <c r="AQ525" s="75"/>
      <c r="AR525" s="75"/>
      <c r="AS525" s="75"/>
      <c r="AT525" s="75"/>
      <c r="AU525" s="75"/>
      <c r="AV525" s="75"/>
      <c r="AW525" s="75"/>
      <c r="AX525" s="75"/>
      <c r="AY525" s="77"/>
      <c r="AZ525" s="75"/>
      <c r="BA525" s="77"/>
      <c r="BB525" s="66"/>
      <c r="BC525" s="4"/>
      <c r="BD525" s="67"/>
      <c r="BE525" s="67"/>
      <c r="BF525" s="68"/>
      <c r="BG525" s="69"/>
      <c r="BH525" s="84"/>
      <c r="BI525" s="70"/>
      <c r="BJ525" s="73"/>
      <c r="BK525" s="78"/>
      <c r="BL525" s="78"/>
      <c r="BM525" s="78"/>
      <c r="BN525" s="78"/>
      <c r="BO525" s="66"/>
      <c r="BP525" s="66"/>
    </row>
    <row r="526" spans="1:68" ht="13.2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/>
      <c r="AQ526" s="75"/>
      <c r="AR526" s="75"/>
      <c r="AS526" s="75"/>
      <c r="AT526" s="75"/>
      <c r="AU526" s="75"/>
      <c r="AV526" s="75"/>
      <c r="AW526" s="75"/>
      <c r="AX526" s="75"/>
      <c r="AY526" s="77"/>
      <c r="AZ526" s="75"/>
      <c r="BA526" s="77"/>
      <c r="BB526" s="66"/>
      <c r="BC526" s="4"/>
      <c r="BD526" s="67"/>
      <c r="BE526" s="67"/>
      <c r="BF526" s="68"/>
      <c r="BG526" s="69"/>
      <c r="BH526" s="84"/>
      <c r="BI526" s="70"/>
      <c r="BJ526" s="73"/>
      <c r="BK526" s="78"/>
      <c r="BL526" s="78"/>
      <c r="BM526" s="78"/>
      <c r="BN526" s="78"/>
      <c r="BO526" s="66"/>
      <c r="BP526" s="66"/>
    </row>
    <row r="527" spans="1:68" ht="13.2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/>
      <c r="AQ527" s="75"/>
      <c r="AR527" s="76"/>
      <c r="AS527" s="76"/>
      <c r="AT527" s="76"/>
      <c r="AU527" s="76"/>
      <c r="AV527" s="75"/>
      <c r="AW527" s="75"/>
      <c r="AX527" s="75"/>
      <c r="AY527" s="77"/>
      <c r="AZ527" s="75"/>
      <c r="BA527" s="77"/>
      <c r="BB527" s="66"/>
      <c r="BC527" s="4"/>
      <c r="BD527" s="67"/>
      <c r="BE527" s="67"/>
      <c r="BF527" s="68"/>
      <c r="BG527" s="69"/>
      <c r="BH527" s="84"/>
      <c r="BI527" s="70"/>
      <c r="BJ527" s="73"/>
      <c r="BK527" s="78"/>
      <c r="BL527" s="78"/>
      <c r="BM527" s="78"/>
      <c r="BN527" s="78"/>
      <c r="BO527" s="66"/>
      <c r="BP527" s="66"/>
    </row>
    <row r="528" spans="1:68" ht="13.2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/>
      <c r="AQ528" s="75"/>
      <c r="AR528" s="75"/>
      <c r="AS528" s="75"/>
      <c r="AT528" s="75"/>
      <c r="AU528" s="75"/>
      <c r="AV528" s="75"/>
      <c r="AW528" s="75"/>
      <c r="AX528" s="75"/>
      <c r="AY528" s="77"/>
      <c r="AZ528" s="75"/>
      <c r="BA528" s="77"/>
      <c r="BB528" s="66"/>
      <c r="BC528" s="4"/>
      <c r="BD528" s="67"/>
      <c r="BE528" s="67"/>
      <c r="BF528" s="68"/>
      <c r="BG528" s="69"/>
      <c r="BH528" s="84"/>
      <c r="BI528" s="70"/>
      <c r="BJ528" s="73"/>
      <c r="BK528" s="78"/>
      <c r="BL528" s="78"/>
      <c r="BM528" s="78"/>
      <c r="BN528" s="78"/>
      <c r="BO528" s="66"/>
      <c r="BP528" s="66"/>
    </row>
    <row r="529" spans="1:68" ht="13.2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/>
      <c r="AQ529" s="75"/>
      <c r="AR529" s="75"/>
      <c r="AS529" s="75"/>
      <c r="AT529" s="75"/>
      <c r="AU529" s="75"/>
      <c r="AV529" s="75"/>
      <c r="AW529" s="75"/>
      <c r="AX529" s="75"/>
      <c r="AY529" s="77"/>
      <c r="AZ529" s="75"/>
      <c r="BA529" s="77"/>
      <c r="BB529" s="66"/>
      <c r="BC529" s="4"/>
      <c r="BD529" s="67"/>
      <c r="BE529" s="67"/>
      <c r="BF529" s="68"/>
      <c r="BG529" s="69"/>
      <c r="BH529" s="84"/>
      <c r="BI529" s="70"/>
      <c r="BJ529" s="73"/>
      <c r="BK529" s="78"/>
      <c r="BL529" s="78"/>
      <c r="BM529" s="78"/>
      <c r="BN529" s="78"/>
      <c r="BO529" s="66"/>
      <c r="BP529" s="66"/>
    </row>
    <row r="530" spans="1:68" ht="13.2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/>
      <c r="AQ530" s="75"/>
      <c r="AR530" s="75"/>
      <c r="AS530" s="75"/>
      <c r="AT530" s="75"/>
      <c r="AU530" s="75"/>
      <c r="AV530" s="75"/>
      <c r="AW530" s="75"/>
      <c r="AX530" s="75"/>
      <c r="AY530" s="77"/>
      <c r="AZ530" s="75"/>
      <c r="BA530" s="77"/>
      <c r="BB530" s="66"/>
      <c r="BC530" s="4"/>
      <c r="BD530" s="67"/>
      <c r="BE530" s="67"/>
      <c r="BF530" s="68"/>
      <c r="BG530" s="69"/>
      <c r="BH530" s="74"/>
      <c r="BI530" s="68"/>
      <c r="BJ530" s="73"/>
      <c r="BK530" s="78"/>
      <c r="BL530" s="78"/>
      <c r="BM530" s="78"/>
      <c r="BN530" s="78"/>
      <c r="BO530" s="66"/>
      <c r="BP530" s="66"/>
    </row>
    <row r="531" spans="1:68" ht="13.2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/>
      <c r="AQ531" s="75"/>
      <c r="AR531" s="75"/>
      <c r="AS531" s="75"/>
      <c r="AT531" s="75"/>
      <c r="AU531" s="75"/>
      <c r="AV531" s="75"/>
      <c r="AW531" s="75"/>
      <c r="AX531" s="75"/>
      <c r="AY531" s="77"/>
      <c r="AZ531" s="75"/>
      <c r="BA531" s="77"/>
      <c r="BB531" s="66"/>
      <c r="BC531" s="4"/>
      <c r="BD531" s="67"/>
      <c r="BE531" s="67"/>
      <c r="BF531" s="68"/>
      <c r="BG531" s="69"/>
      <c r="BH531" s="74"/>
      <c r="BI531" s="68"/>
      <c r="BJ531" s="73"/>
      <c r="BK531" s="78"/>
      <c r="BL531" s="78"/>
      <c r="BM531" s="78"/>
      <c r="BN531" s="78"/>
      <c r="BO531" s="66"/>
      <c r="BP531" s="66"/>
    </row>
    <row r="532" spans="1:68" ht="13.2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/>
      <c r="AQ532" s="75"/>
      <c r="AR532" s="75"/>
      <c r="AS532" s="75"/>
      <c r="AT532" s="75"/>
      <c r="AU532" s="75"/>
      <c r="AV532" s="75"/>
      <c r="AW532" s="75"/>
      <c r="AX532" s="75"/>
      <c r="AY532" s="77"/>
      <c r="AZ532" s="75"/>
      <c r="BA532" s="77"/>
      <c r="BB532" s="66"/>
      <c r="BC532" s="4"/>
      <c r="BD532" s="67"/>
      <c r="BE532" s="67"/>
      <c r="BF532" s="68"/>
      <c r="BG532" s="69"/>
      <c r="BH532" s="74"/>
      <c r="BI532" s="68"/>
      <c r="BJ532" s="73"/>
      <c r="BK532" s="78"/>
      <c r="BL532" s="78"/>
      <c r="BM532" s="78"/>
      <c r="BN532" s="78"/>
      <c r="BO532" s="66"/>
      <c r="BP532" s="66"/>
    </row>
    <row r="533" spans="1:68" ht="13.2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/>
      <c r="AQ533" s="75"/>
      <c r="AR533" s="75"/>
      <c r="AS533" s="75"/>
      <c r="AT533" s="75"/>
      <c r="AU533" s="75"/>
      <c r="AV533" s="75"/>
      <c r="AW533" s="75"/>
      <c r="AX533" s="75"/>
      <c r="AY533" s="77"/>
      <c r="AZ533" s="75"/>
      <c r="BA533" s="77"/>
      <c r="BB533" s="66"/>
      <c r="BC533" s="4"/>
      <c r="BD533" s="67"/>
      <c r="BE533" s="67"/>
      <c r="BF533" s="68"/>
      <c r="BG533" s="69"/>
      <c r="BH533" s="74"/>
      <c r="BI533" s="68"/>
      <c r="BJ533" s="73"/>
      <c r="BK533" s="78"/>
      <c r="BL533" s="78"/>
      <c r="BM533" s="78"/>
      <c r="BN533" s="78"/>
      <c r="BO533" s="66"/>
      <c r="BP533" s="66"/>
    </row>
    <row r="534" spans="1:68" ht="13.2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/>
      <c r="AQ534" s="75"/>
      <c r="AR534" s="75"/>
      <c r="AS534" s="75"/>
      <c r="AT534" s="75"/>
      <c r="AU534" s="75"/>
      <c r="AV534" s="75"/>
      <c r="AW534" s="75"/>
      <c r="AX534" s="75"/>
      <c r="AY534" s="77"/>
      <c r="AZ534" s="75"/>
      <c r="BA534" s="77"/>
      <c r="BB534" s="66"/>
      <c r="BC534" s="4"/>
      <c r="BD534" s="67"/>
      <c r="BE534" s="67"/>
      <c r="BF534" s="68"/>
      <c r="BG534" s="69"/>
      <c r="BH534" s="74"/>
      <c r="BI534" s="68"/>
      <c r="BJ534" s="73"/>
      <c r="BK534" s="78"/>
      <c r="BL534" s="78"/>
      <c r="BM534" s="78"/>
      <c r="BN534" s="78"/>
      <c r="BO534" s="66"/>
      <c r="BP534" s="66"/>
    </row>
    <row r="535" spans="1:68" ht="13.2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/>
      <c r="AQ535" s="75"/>
      <c r="AR535" s="75"/>
      <c r="AS535" s="75"/>
      <c r="AT535" s="75"/>
      <c r="AU535" s="75"/>
      <c r="AV535" s="75"/>
      <c r="AW535" s="75"/>
      <c r="AX535" s="75"/>
      <c r="AY535" s="77"/>
      <c r="AZ535" s="75"/>
      <c r="BA535" s="77"/>
      <c r="BB535" s="66"/>
      <c r="BC535" s="4"/>
      <c r="BD535" s="67"/>
      <c r="BE535" s="67"/>
      <c r="BF535" s="68"/>
      <c r="BG535" s="69"/>
      <c r="BH535" s="74"/>
      <c r="BI535" s="68"/>
      <c r="BJ535" s="73"/>
      <c r="BK535" s="78"/>
      <c r="BL535" s="78"/>
      <c r="BM535" s="78"/>
      <c r="BN535" s="78"/>
      <c r="BO535" s="66"/>
      <c r="BP535" s="66"/>
    </row>
    <row r="536" spans="1:68" ht="13.2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/>
      <c r="AQ536" s="75"/>
      <c r="AR536" s="75"/>
      <c r="AS536" s="75"/>
      <c r="AT536" s="75"/>
      <c r="AU536" s="75"/>
      <c r="AV536" s="75"/>
      <c r="AW536" s="75"/>
      <c r="AX536" s="75"/>
      <c r="AY536" s="77"/>
      <c r="AZ536" s="75"/>
      <c r="BA536" s="77"/>
      <c r="BB536" s="66"/>
      <c r="BC536" s="4"/>
      <c r="BD536" s="67"/>
      <c r="BE536" s="67"/>
      <c r="BF536" s="68"/>
      <c r="BG536" s="69"/>
      <c r="BH536" s="74"/>
      <c r="BI536" s="68"/>
      <c r="BJ536" s="73"/>
      <c r="BK536" s="78"/>
      <c r="BL536" s="78"/>
      <c r="BM536" s="78"/>
      <c r="BN536" s="78"/>
      <c r="BO536" s="66"/>
      <c r="BP536" s="66"/>
    </row>
    <row r="537" spans="1:68" ht="13.2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/>
      <c r="AQ537" s="75"/>
      <c r="AR537" s="75"/>
      <c r="AS537" s="75"/>
      <c r="AT537" s="75"/>
      <c r="AU537" s="75"/>
      <c r="AV537" s="75"/>
      <c r="AW537" s="75"/>
      <c r="AX537" s="75"/>
      <c r="AY537" s="77"/>
      <c r="AZ537" s="75"/>
      <c r="BA537" s="77"/>
      <c r="BB537" s="66"/>
      <c r="BC537" s="4"/>
      <c r="BD537" s="67"/>
      <c r="BE537" s="67"/>
      <c r="BF537" s="68"/>
      <c r="BG537" s="69"/>
      <c r="BH537" s="74"/>
      <c r="BI537" s="68"/>
      <c r="BJ537" s="73"/>
      <c r="BK537" s="78"/>
      <c r="BL537" s="78"/>
      <c r="BM537" s="78"/>
      <c r="BN537" s="78"/>
      <c r="BO537" s="66"/>
      <c r="BP537" s="66"/>
    </row>
    <row r="538" spans="1:68" ht="13.2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/>
      <c r="AQ538" s="75"/>
      <c r="AR538" s="75"/>
      <c r="AS538" s="75"/>
      <c r="AT538" s="75"/>
      <c r="AU538" s="75"/>
      <c r="AV538" s="75"/>
      <c r="AW538" s="75"/>
      <c r="AX538" s="75"/>
      <c r="AY538" s="77"/>
      <c r="AZ538" s="75"/>
      <c r="BA538" s="77"/>
      <c r="BB538" s="66"/>
      <c r="BC538" s="4"/>
      <c r="BD538" s="67"/>
      <c r="BE538" s="67"/>
      <c r="BF538" s="68"/>
      <c r="BG538" s="69"/>
      <c r="BH538" s="74"/>
      <c r="BI538" s="68"/>
      <c r="BJ538" s="73"/>
      <c r="BK538" s="78"/>
      <c r="BL538" s="78"/>
      <c r="BM538" s="78"/>
      <c r="BN538" s="78"/>
      <c r="BO538" s="66"/>
      <c r="BP538" s="66"/>
    </row>
    <row r="539" spans="1:68" ht="13.2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/>
      <c r="AQ539" s="75"/>
      <c r="AR539" s="75"/>
      <c r="AS539" s="75"/>
      <c r="AT539" s="75"/>
      <c r="AU539" s="75"/>
      <c r="AV539" s="75"/>
      <c r="AW539" s="75"/>
      <c r="AX539" s="75"/>
      <c r="AY539" s="77"/>
      <c r="AZ539" s="75"/>
      <c r="BA539" s="77"/>
      <c r="BB539" s="66"/>
      <c r="BC539" s="4"/>
      <c r="BD539" s="67"/>
      <c r="BE539" s="67"/>
      <c r="BF539" s="68"/>
      <c r="BG539" s="69"/>
      <c r="BH539" s="74"/>
      <c r="BI539" s="68"/>
      <c r="BJ539" s="73"/>
      <c r="BK539" s="78"/>
      <c r="BL539" s="78"/>
      <c r="BM539" s="78"/>
      <c r="BN539" s="78"/>
      <c r="BO539" s="66"/>
      <c r="BP539" s="66"/>
    </row>
    <row r="540" spans="1:68" ht="13.2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/>
      <c r="AQ540" s="75"/>
      <c r="AR540" s="75"/>
      <c r="AS540" s="75"/>
      <c r="AT540" s="75"/>
      <c r="AU540" s="75"/>
      <c r="AV540" s="75"/>
      <c r="AW540" s="75"/>
      <c r="AX540" s="75"/>
      <c r="AY540" s="77"/>
      <c r="AZ540" s="75"/>
      <c r="BA540" s="77"/>
      <c r="BB540" s="66"/>
      <c r="BC540" s="4"/>
      <c r="BD540" s="67"/>
      <c r="BE540" s="67"/>
      <c r="BF540" s="68"/>
      <c r="BG540" s="69"/>
      <c r="BH540" s="74"/>
      <c r="BI540" s="68"/>
      <c r="BJ540" s="73"/>
      <c r="BK540" s="78"/>
      <c r="BL540" s="78"/>
      <c r="BM540" s="78"/>
      <c r="BN540" s="78"/>
      <c r="BO540" s="66"/>
      <c r="BP540" s="66"/>
    </row>
    <row r="541" spans="1:68" ht="13.2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/>
      <c r="AQ541" s="75"/>
      <c r="AR541" s="75"/>
      <c r="AS541" s="75"/>
      <c r="AT541" s="75"/>
      <c r="AU541" s="75"/>
      <c r="AV541" s="75"/>
      <c r="AW541" s="75"/>
      <c r="AX541" s="75"/>
      <c r="AY541" s="77"/>
      <c r="AZ541" s="75"/>
      <c r="BA541" s="77"/>
      <c r="BB541" s="66"/>
      <c r="BC541" s="4"/>
      <c r="BD541" s="67"/>
      <c r="BE541" s="67"/>
      <c r="BF541" s="68"/>
      <c r="BG541" s="69"/>
      <c r="BH541" s="74"/>
      <c r="BI541" s="68"/>
      <c r="BJ541" s="73"/>
      <c r="BK541" s="78"/>
      <c r="BL541" s="78"/>
      <c r="BM541" s="78"/>
      <c r="BN541" s="78"/>
      <c r="BO541" s="66"/>
      <c r="BP541" s="66"/>
    </row>
    <row r="542" spans="1:68" ht="13.2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/>
      <c r="AQ542" s="75"/>
      <c r="AR542" s="75"/>
      <c r="AS542" s="75"/>
      <c r="AT542" s="75"/>
      <c r="AU542" s="75"/>
      <c r="AV542" s="75"/>
      <c r="AW542" s="75"/>
      <c r="AX542" s="75"/>
      <c r="AY542" s="77"/>
      <c r="AZ542" s="75"/>
      <c r="BA542" s="77"/>
      <c r="BB542" s="66"/>
      <c r="BC542" s="4"/>
      <c r="BD542" s="67"/>
      <c r="BE542" s="67"/>
      <c r="BF542" s="68"/>
      <c r="BG542" s="69"/>
      <c r="BH542" s="84"/>
      <c r="BI542" s="70"/>
      <c r="BJ542" s="73"/>
      <c r="BK542" s="78"/>
      <c r="BL542" s="78"/>
      <c r="BM542" s="78"/>
      <c r="BN542" s="78"/>
      <c r="BO542" s="66"/>
      <c r="BP542" s="66"/>
    </row>
    <row r="543" spans="1:68" ht="13.2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/>
      <c r="AQ543" s="75"/>
      <c r="AR543" s="75"/>
      <c r="AS543" s="75"/>
      <c r="AT543" s="75"/>
      <c r="AU543" s="75"/>
      <c r="AV543" s="75"/>
      <c r="AW543" s="75"/>
      <c r="AX543" s="75"/>
      <c r="AY543" s="77"/>
      <c r="AZ543" s="75"/>
      <c r="BA543" s="77"/>
      <c r="BB543" s="66"/>
      <c r="BC543" s="4"/>
      <c r="BD543" s="67"/>
      <c r="BE543" s="67"/>
      <c r="BF543" s="68"/>
      <c r="BG543" s="69"/>
      <c r="BH543" s="84"/>
      <c r="BI543" s="70"/>
      <c r="BJ543" s="73"/>
      <c r="BK543" s="78"/>
      <c r="BL543" s="78"/>
      <c r="BM543" s="78"/>
      <c r="BN543" s="78"/>
      <c r="BO543" s="66"/>
      <c r="BP543" s="66"/>
    </row>
    <row r="544" spans="1:68" ht="13.2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/>
      <c r="AQ544" s="75"/>
      <c r="AR544" s="75"/>
      <c r="AS544" s="75"/>
      <c r="AT544" s="75"/>
      <c r="AU544" s="75"/>
      <c r="AV544" s="75"/>
      <c r="AW544" s="75"/>
      <c r="AX544" s="75"/>
      <c r="AY544" s="77"/>
      <c r="AZ544" s="75"/>
      <c r="BA544" s="77"/>
      <c r="BB544" s="66"/>
      <c r="BC544" s="4"/>
      <c r="BD544" s="67"/>
      <c r="BE544" s="67"/>
      <c r="BF544" s="68"/>
      <c r="BG544" s="69"/>
      <c r="BH544" s="84"/>
      <c r="BI544" s="70"/>
      <c r="BJ544" s="73"/>
      <c r="BK544" s="78"/>
      <c r="BL544" s="78"/>
      <c r="BM544" s="78"/>
      <c r="BN544" s="78"/>
      <c r="BO544" s="66"/>
      <c r="BP544" s="66"/>
    </row>
    <row r="545" spans="1:68" ht="13.2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/>
      <c r="AQ545" s="75"/>
      <c r="AR545" s="75"/>
      <c r="AS545" s="75"/>
      <c r="AT545" s="75"/>
      <c r="AU545" s="75"/>
      <c r="AV545" s="75"/>
      <c r="AW545" s="75"/>
      <c r="AX545" s="75"/>
      <c r="AY545" s="77"/>
      <c r="AZ545" s="75"/>
      <c r="BA545" s="77"/>
      <c r="BB545" s="66"/>
      <c r="BC545" s="4"/>
      <c r="BD545" s="67"/>
      <c r="BE545" s="67"/>
      <c r="BF545" s="68"/>
      <c r="BG545" s="69"/>
      <c r="BH545" s="84"/>
      <c r="BI545" s="70"/>
      <c r="BJ545" s="73"/>
      <c r="BK545" s="78"/>
      <c r="BL545" s="78"/>
      <c r="BM545" s="78"/>
      <c r="BN545" s="78"/>
      <c r="BO545" s="66"/>
      <c r="BP545" s="66"/>
    </row>
    <row r="546" spans="1:68" ht="13.2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/>
      <c r="AQ546" s="75"/>
      <c r="AR546" s="75"/>
      <c r="AS546" s="75"/>
      <c r="AT546" s="75"/>
      <c r="AU546" s="75"/>
      <c r="AV546" s="75"/>
      <c r="AW546" s="75"/>
      <c r="AX546" s="75"/>
      <c r="AY546" s="77"/>
      <c r="AZ546" s="75"/>
      <c r="BA546" s="77"/>
      <c r="BB546" s="66"/>
      <c r="BC546" s="4"/>
      <c r="BD546" s="67"/>
      <c r="BE546" s="67"/>
      <c r="BF546" s="68"/>
      <c r="BG546" s="69"/>
      <c r="BH546" s="84"/>
      <c r="BI546" s="70"/>
      <c r="BJ546" s="73"/>
      <c r="BK546" s="78"/>
      <c r="BL546" s="78"/>
      <c r="BM546" s="78"/>
      <c r="BN546" s="78"/>
      <c r="BO546" s="66"/>
      <c r="BP546" s="66"/>
    </row>
    <row r="547" spans="1:68" ht="13.2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/>
      <c r="AQ547" s="75"/>
      <c r="AR547" s="75"/>
      <c r="AS547" s="75"/>
      <c r="AT547" s="75"/>
      <c r="AU547" s="75"/>
      <c r="AV547" s="75"/>
      <c r="AW547" s="75"/>
      <c r="AX547" s="75"/>
      <c r="AY547" s="77"/>
      <c r="AZ547" s="75"/>
      <c r="BA547" s="77"/>
      <c r="BB547" s="66"/>
      <c r="BC547" s="4"/>
      <c r="BD547" s="67"/>
      <c r="BE547" s="67"/>
      <c r="BF547" s="68"/>
      <c r="BG547" s="69"/>
      <c r="BH547" s="70"/>
      <c r="BI547" s="70"/>
      <c r="BJ547" s="73"/>
      <c r="BK547" s="78"/>
      <c r="BL547" s="78"/>
      <c r="BM547" s="78"/>
      <c r="BN547" s="78"/>
      <c r="BO547" s="66"/>
      <c r="BP547" s="66"/>
    </row>
    <row r="548" spans="1:68" ht="13.2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/>
      <c r="AQ548" s="75"/>
      <c r="AR548" s="75"/>
      <c r="AS548" s="75"/>
      <c r="AT548" s="75"/>
      <c r="AU548" s="75"/>
      <c r="AV548" s="75"/>
      <c r="AW548" s="75"/>
      <c r="AX548" s="75"/>
      <c r="AY548" s="77"/>
      <c r="AZ548" s="75"/>
      <c r="BA548" s="77"/>
      <c r="BB548" s="66"/>
      <c r="BC548" s="4"/>
      <c r="BD548" s="67"/>
      <c r="BE548" s="67"/>
      <c r="BF548" s="68"/>
      <c r="BG548" s="69"/>
      <c r="BH548" s="70"/>
      <c r="BI548" s="70"/>
      <c r="BJ548" s="73"/>
      <c r="BK548" s="78"/>
      <c r="BL548" s="78"/>
      <c r="BM548" s="78"/>
      <c r="BN548" s="78"/>
      <c r="BO548" s="66"/>
      <c r="BP548" s="66"/>
    </row>
    <row r="549" spans="1:68" ht="13.2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/>
      <c r="AQ549" s="75"/>
      <c r="AR549" s="75"/>
      <c r="AS549" s="75"/>
      <c r="AT549" s="75"/>
      <c r="AU549" s="75"/>
      <c r="AV549" s="75"/>
      <c r="AW549" s="75"/>
      <c r="AX549" s="75"/>
      <c r="AY549" s="77"/>
      <c r="AZ549" s="75"/>
      <c r="BA549" s="77"/>
      <c r="BB549" s="66"/>
      <c r="BC549" s="4"/>
      <c r="BD549" s="67"/>
      <c r="BE549" s="67"/>
      <c r="BF549" s="68"/>
      <c r="BG549" s="69"/>
      <c r="BH549" s="70"/>
      <c r="BI549" s="70"/>
      <c r="BJ549" s="73"/>
      <c r="BK549" s="78"/>
      <c r="BL549" s="78"/>
      <c r="BM549" s="78"/>
      <c r="BN549" s="78"/>
      <c r="BO549" s="66"/>
      <c r="BP549" s="66"/>
    </row>
    <row r="550" spans="1:68" ht="13.2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/>
      <c r="AQ550" s="75"/>
      <c r="AR550" s="75"/>
      <c r="AS550" s="75"/>
      <c r="AT550" s="75"/>
      <c r="AU550" s="75"/>
      <c r="AV550" s="75"/>
      <c r="AW550" s="75"/>
      <c r="AX550" s="75"/>
      <c r="AY550" s="77"/>
      <c r="AZ550" s="75"/>
      <c r="BA550" s="77"/>
      <c r="BB550" s="66"/>
      <c r="BC550" s="4"/>
      <c r="BD550" s="67"/>
      <c r="BE550" s="67"/>
      <c r="BF550" s="68"/>
      <c r="BG550" s="69"/>
      <c r="BH550" s="70"/>
      <c r="BI550" s="70"/>
      <c r="BJ550" s="73"/>
      <c r="BK550" s="78"/>
      <c r="BL550" s="78"/>
      <c r="BM550" s="78"/>
      <c r="BN550" s="78"/>
      <c r="BO550" s="66"/>
      <c r="BP550" s="66"/>
    </row>
    <row r="551" spans="1:68" ht="13.2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/>
      <c r="AQ551" s="75"/>
      <c r="AR551" s="75"/>
      <c r="AS551" s="75"/>
      <c r="AT551" s="75"/>
      <c r="AU551" s="75"/>
      <c r="AV551" s="75"/>
      <c r="AW551" s="75"/>
      <c r="AX551" s="75"/>
      <c r="AY551" s="77"/>
      <c r="AZ551" s="75"/>
      <c r="BA551" s="77"/>
      <c r="BB551" s="66"/>
      <c r="BC551" s="4"/>
      <c r="BD551" s="67"/>
      <c r="BE551" s="67"/>
      <c r="BF551" s="68"/>
      <c r="BG551" s="69"/>
      <c r="BH551" s="70"/>
      <c r="BI551" s="70"/>
      <c r="BJ551" s="73"/>
      <c r="BK551" s="78"/>
      <c r="BL551" s="78"/>
      <c r="BM551" s="78"/>
      <c r="BN551" s="78"/>
      <c r="BO551" s="66"/>
      <c r="BP551" s="66"/>
    </row>
    <row r="552" spans="1:68" ht="13.2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/>
      <c r="AQ552" s="75"/>
      <c r="AR552" s="75"/>
      <c r="AS552" s="75"/>
      <c r="AT552" s="75"/>
      <c r="AU552" s="75"/>
      <c r="AV552" s="75"/>
      <c r="AW552" s="75"/>
      <c r="AX552" s="75"/>
      <c r="AY552" s="77"/>
      <c r="AZ552" s="75"/>
      <c r="BA552" s="77"/>
      <c r="BB552" s="66"/>
      <c r="BC552" s="4"/>
      <c r="BD552" s="67"/>
      <c r="BE552" s="67"/>
      <c r="BF552" s="68"/>
      <c r="BG552" s="69"/>
      <c r="BH552" s="70"/>
      <c r="BI552" s="70"/>
      <c r="BJ552" s="73"/>
      <c r="BK552" s="78"/>
      <c r="BL552" s="78"/>
      <c r="BM552" s="78"/>
      <c r="BN552" s="78"/>
      <c r="BO552" s="66"/>
      <c r="BP552" s="66"/>
    </row>
    <row r="553" spans="1:68" ht="13.2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/>
      <c r="AQ553" s="75"/>
      <c r="AR553" s="75"/>
      <c r="AS553" s="75"/>
      <c r="AT553" s="75"/>
      <c r="AU553" s="75"/>
      <c r="AV553" s="75"/>
      <c r="AW553" s="75"/>
      <c r="AX553" s="75"/>
      <c r="AY553" s="77"/>
      <c r="AZ553" s="75"/>
      <c r="BA553" s="77"/>
      <c r="BB553" s="66"/>
      <c r="BC553" s="4"/>
      <c r="BD553" s="67"/>
      <c r="BE553" s="67"/>
      <c r="BF553" s="68"/>
      <c r="BG553" s="69"/>
      <c r="BH553" s="70"/>
      <c r="BI553" s="70"/>
      <c r="BJ553" s="73"/>
      <c r="BK553" s="78"/>
      <c r="BL553" s="78"/>
      <c r="BM553" s="78"/>
      <c r="BN553" s="78"/>
      <c r="BO553" s="66"/>
      <c r="BP553" s="66"/>
    </row>
    <row r="554" spans="1:68" ht="13.2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/>
      <c r="AQ554" s="75"/>
      <c r="AR554" s="75"/>
      <c r="AS554" s="75"/>
      <c r="AT554" s="75"/>
      <c r="AU554" s="75"/>
      <c r="AV554" s="75"/>
      <c r="AW554" s="75"/>
      <c r="AX554" s="75"/>
      <c r="AY554" s="77"/>
      <c r="AZ554" s="75"/>
      <c r="BA554" s="77"/>
      <c r="BB554" s="66"/>
      <c r="BC554" s="4"/>
      <c r="BD554" s="67"/>
      <c r="BE554" s="67"/>
      <c r="BF554" s="68"/>
      <c r="BG554" s="69"/>
      <c r="BH554" s="70"/>
      <c r="BI554" s="70"/>
      <c r="BJ554" s="73"/>
      <c r="BK554" s="78"/>
      <c r="BL554" s="78"/>
      <c r="BM554" s="78"/>
      <c r="BN554" s="78"/>
      <c r="BO554" s="66"/>
      <c r="BP554" s="66"/>
    </row>
    <row r="555" spans="1:68" ht="13.2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/>
      <c r="AQ555" s="75"/>
      <c r="AR555" s="75"/>
      <c r="AS555" s="75"/>
      <c r="AT555" s="75"/>
      <c r="AU555" s="75"/>
      <c r="AV555" s="75"/>
      <c r="AW555" s="75"/>
      <c r="AX555" s="75"/>
      <c r="AY555" s="77"/>
      <c r="AZ555" s="75"/>
      <c r="BA555" s="77"/>
      <c r="BB555" s="66"/>
      <c r="BC555" s="4"/>
      <c r="BD555" s="67"/>
      <c r="BE555" s="67"/>
      <c r="BF555" s="68"/>
      <c r="BG555" s="69"/>
      <c r="BH555" s="70"/>
      <c r="BI555" s="70"/>
      <c r="BJ555" s="73"/>
      <c r="BK555" s="78"/>
      <c r="BL555" s="78"/>
      <c r="BM555" s="78"/>
      <c r="BN555" s="78"/>
      <c r="BO555" s="66"/>
      <c r="BP555" s="66"/>
    </row>
    <row r="556" spans="1:68" ht="13.2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/>
      <c r="AQ556" s="75"/>
      <c r="AR556" s="75"/>
      <c r="AS556" s="75"/>
      <c r="AT556" s="75"/>
      <c r="AU556" s="75"/>
      <c r="AV556" s="75"/>
      <c r="AW556" s="75"/>
      <c r="AX556" s="75"/>
      <c r="AY556" s="77"/>
      <c r="AZ556" s="75"/>
      <c r="BA556" s="77"/>
      <c r="BB556" s="66"/>
      <c r="BC556" s="4"/>
      <c r="BD556" s="67"/>
      <c r="BE556" s="67"/>
      <c r="BF556" s="68"/>
      <c r="BG556" s="69"/>
      <c r="BH556" s="70"/>
      <c r="BI556" s="70"/>
      <c r="BJ556" s="73"/>
      <c r="BK556" s="78"/>
      <c r="BL556" s="78"/>
      <c r="BM556" s="78"/>
      <c r="BN556" s="78"/>
      <c r="BO556" s="66"/>
      <c r="BP556" s="66"/>
    </row>
    <row r="557" spans="1:68" ht="13.2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/>
      <c r="AQ557" s="75"/>
      <c r="AR557" s="75"/>
      <c r="AS557" s="75"/>
      <c r="AT557" s="75"/>
      <c r="AU557" s="75"/>
      <c r="AV557" s="75"/>
      <c r="AW557" s="75"/>
      <c r="AX557" s="75"/>
      <c r="AY557" s="77"/>
      <c r="AZ557" s="75"/>
      <c r="BA557" s="77"/>
      <c r="BB557" s="66"/>
      <c r="BC557" s="4"/>
      <c r="BD557" s="67"/>
      <c r="BE557" s="67"/>
      <c r="BF557" s="68"/>
      <c r="BG557" s="69"/>
      <c r="BH557" s="70"/>
      <c r="BI557" s="70"/>
      <c r="BJ557" s="73"/>
      <c r="BK557" s="78"/>
      <c r="BL557" s="78"/>
      <c r="BM557" s="78"/>
      <c r="BN557" s="78"/>
      <c r="BO557" s="66"/>
      <c r="BP557" s="66"/>
    </row>
    <row r="558" spans="1:68" ht="13.2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/>
      <c r="AQ558" s="75"/>
      <c r="AR558" s="75"/>
      <c r="AS558" s="75"/>
      <c r="AT558" s="75"/>
      <c r="AU558" s="75"/>
      <c r="AV558" s="75"/>
      <c r="AW558" s="75"/>
      <c r="AX558" s="75"/>
      <c r="AY558" s="77"/>
      <c r="AZ558" s="75"/>
      <c r="BA558" s="77"/>
      <c r="BB558" s="66"/>
      <c r="BC558" s="4"/>
      <c r="BD558" s="67"/>
      <c r="BE558" s="67"/>
      <c r="BF558" s="68"/>
      <c r="BG558" s="69"/>
      <c r="BH558" s="70"/>
      <c r="BI558" s="70"/>
      <c r="BJ558" s="73"/>
      <c r="BK558" s="78"/>
      <c r="BL558" s="78"/>
      <c r="BM558" s="78"/>
      <c r="BN558" s="78"/>
      <c r="BO558" s="66"/>
      <c r="BP558" s="66"/>
    </row>
    <row r="559" spans="1:68" ht="13.2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/>
      <c r="AQ559" s="75"/>
      <c r="AR559" s="75"/>
      <c r="AS559" s="75"/>
      <c r="AT559" s="75"/>
      <c r="AU559" s="75"/>
      <c r="AV559" s="75"/>
      <c r="AW559" s="75"/>
      <c r="AX559" s="75"/>
      <c r="AY559" s="77"/>
      <c r="AZ559" s="75"/>
      <c r="BA559" s="77"/>
      <c r="BB559" s="66"/>
      <c r="BC559" s="4"/>
      <c r="BD559" s="67"/>
      <c r="BE559" s="67"/>
      <c r="BF559" s="68"/>
      <c r="BG559" s="69"/>
      <c r="BH559" s="70"/>
      <c r="BI559" s="70"/>
      <c r="BJ559" s="73"/>
      <c r="BK559" s="78"/>
      <c r="BL559" s="78"/>
      <c r="BM559" s="78"/>
      <c r="BN559" s="78"/>
      <c r="BO559" s="66"/>
      <c r="BP559" s="66"/>
    </row>
    <row r="560" spans="1:68" ht="13.2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/>
      <c r="AQ560" s="75"/>
      <c r="AR560" s="75"/>
      <c r="AS560" s="75"/>
      <c r="AT560" s="75"/>
      <c r="AU560" s="75"/>
      <c r="AV560" s="75"/>
      <c r="AW560" s="75"/>
      <c r="AX560" s="75"/>
      <c r="AY560" s="77"/>
      <c r="AZ560" s="75"/>
      <c r="BA560" s="77"/>
      <c r="BB560" s="66"/>
      <c r="BC560" s="4"/>
      <c r="BD560" s="67"/>
      <c r="BE560" s="67"/>
      <c r="BF560" s="68"/>
      <c r="BG560" s="69"/>
      <c r="BH560" s="70"/>
      <c r="BI560" s="70"/>
      <c r="BJ560" s="73"/>
      <c r="BK560" s="78"/>
      <c r="BL560" s="78"/>
      <c r="BM560" s="78"/>
      <c r="BN560" s="78"/>
      <c r="BO560" s="66"/>
      <c r="BP560" s="66"/>
    </row>
    <row r="561" spans="1:68" ht="13.2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/>
      <c r="AQ561" s="75"/>
      <c r="AR561" s="75"/>
      <c r="AS561" s="75"/>
      <c r="AT561" s="75"/>
      <c r="AU561" s="75"/>
      <c r="AV561" s="75"/>
      <c r="AW561" s="75"/>
      <c r="AX561" s="75"/>
      <c r="AY561" s="77"/>
      <c r="AZ561" s="75"/>
      <c r="BA561" s="77"/>
      <c r="BB561" s="66"/>
      <c r="BC561" s="4"/>
      <c r="BD561" s="67"/>
      <c r="BE561" s="67"/>
      <c r="BF561" s="68"/>
      <c r="BG561" s="69"/>
      <c r="BH561" s="70"/>
      <c r="BI561" s="70"/>
      <c r="BJ561" s="73"/>
      <c r="BK561" s="78"/>
      <c r="BL561" s="78"/>
      <c r="BM561" s="78"/>
      <c r="BN561" s="78"/>
      <c r="BO561" s="66"/>
      <c r="BP561" s="66"/>
    </row>
    <row r="562" spans="1:68" ht="13.2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/>
      <c r="AQ562" s="75"/>
      <c r="AR562" s="75"/>
      <c r="AS562" s="75"/>
      <c r="AT562" s="75"/>
      <c r="AU562" s="75"/>
      <c r="AV562" s="75"/>
      <c r="AW562" s="75"/>
      <c r="AX562" s="75"/>
      <c r="AY562" s="77"/>
      <c r="AZ562" s="75"/>
      <c r="BA562" s="77"/>
      <c r="BB562" s="66"/>
      <c r="BC562" s="4"/>
      <c r="BD562" s="67"/>
      <c r="BE562" s="67"/>
      <c r="BF562" s="68"/>
      <c r="BG562" s="69"/>
      <c r="BH562" s="84"/>
      <c r="BI562" s="70"/>
      <c r="BJ562" s="73"/>
      <c r="BK562" s="78"/>
      <c r="BL562" s="78"/>
      <c r="BM562" s="78"/>
      <c r="BN562" s="78"/>
      <c r="BO562" s="66"/>
      <c r="BP562" s="66"/>
    </row>
    <row r="563" spans="1:68" ht="13.2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/>
      <c r="AQ563" s="75"/>
      <c r="AR563" s="75"/>
      <c r="AS563" s="75"/>
      <c r="AT563" s="75"/>
      <c r="AU563" s="75"/>
      <c r="AV563" s="75"/>
      <c r="AW563" s="75"/>
      <c r="AX563" s="75"/>
      <c r="AY563" s="77"/>
      <c r="AZ563" s="75"/>
      <c r="BA563" s="77"/>
      <c r="BB563" s="66"/>
      <c r="BC563" s="4"/>
      <c r="BD563" s="67"/>
      <c r="BE563" s="67"/>
      <c r="BF563" s="68"/>
      <c r="BG563" s="69"/>
      <c r="BH563" s="84"/>
      <c r="BI563" s="70"/>
      <c r="BJ563" s="73"/>
      <c r="BK563" s="78"/>
      <c r="BL563" s="78"/>
      <c r="BM563" s="78"/>
      <c r="BN563" s="78"/>
      <c r="BO563" s="66"/>
      <c r="BP563" s="66"/>
    </row>
    <row r="564" spans="1:68" ht="13.2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/>
      <c r="AQ564" s="75"/>
      <c r="AR564" s="75"/>
      <c r="AS564" s="75"/>
      <c r="AT564" s="75"/>
      <c r="AU564" s="75"/>
      <c r="AV564" s="75"/>
      <c r="AW564" s="75"/>
      <c r="AX564" s="75"/>
      <c r="AY564" s="77"/>
      <c r="AZ564" s="75"/>
      <c r="BA564" s="77"/>
      <c r="BB564" s="66"/>
      <c r="BC564" s="4"/>
      <c r="BD564" s="67"/>
      <c r="BE564" s="67"/>
      <c r="BF564" s="68"/>
      <c r="BG564" s="69"/>
      <c r="BH564" s="84"/>
      <c r="BI564" s="70"/>
      <c r="BJ564" s="73"/>
      <c r="BK564" s="78"/>
      <c r="BL564" s="78"/>
      <c r="BM564" s="78"/>
      <c r="BN564" s="78"/>
      <c r="BO564" s="66"/>
      <c r="BP564" s="66"/>
    </row>
    <row r="565" spans="1:68" ht="13.2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/>
      <c r="AQ565" s="75"/>
      <c r="AR565" s="75"/>
      <c r="AS565" s="75"/>
      <c r="AT565" s="75"/>
      <c r="AU565" s="75"/>
      <c r="AV565" s="75"/>
      <c r="AW565" s="75"/>
      <c r="AX565" s="75"/>
      <c r="AY565" s="77"/>
      <c r="AZ565" s="75"/>
      <c r="BA565" s="77"/>
      <c r="BB565" s="66"/>
      <c r="BC565" s="4"/>
      <c r="BD565" s="67"/>
      <c r="BE565" s="67"/>
      <c r="BF565" s="68"/>
      <c r="BG565" s="69"/>
      <c r="BH565" s="84"/>
      <c r="BI565" s="70"/>
      <c r="BJ565" s="73"/>
      <c r="BK565" s="78"/>
      <c r="BL565" s="78"/>
      <c r="BM565" s="78"/>
      <c r="BN565" s="78"/>
      <c r="BO565" s="66"/>
      <c r="BP565" s="66"/>
    </row>
    <row r="566" spans="1:68" ht="13.2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/>
      <c r="AQ566" s="75"/>
      <c r="AR566" s="75"/>
      <c r="AS566" s="75"/>
      <c r="AT566" s="75"/>
      <c r="AU566" s="75"/>
      <c r="AV566" s="75"/>
      <c r="AW566" s="75"/>
      <c r="AX566" s="75"/>
      <c r="AY566" s="77"/>
      <c r="AZ566" s="75"/>
      <c r="BA566" s="77"/>
      <c r="BB566" s="66"/>
      <c r="BC566" s="4"/>
      <c r="BD566" s="67"/>
      <c r="BE566" s="67"/>
      <c r="BF566" s="68"/>
      <c r="BG566" s="69"/>
      <c r="BH566" s="84"/>
      <c r="BI566" s="70"/>
      <c r="BJ566" s="73"/>
      <c r="BK566" s="78"/>
      <c r="BL566" s="78"/>
      <c r="BM566" s="78"/>
      <c r="BN566" s="78"/>
      <c r="BO566" s="66"/>
      <c r="BP566" s="66"/>
    </row>
    <row r="567" spans="1:68" ht="13.2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/>
      <c r="AQ567" s="75"/>
      <c r="AR567" s="75"/>
      <c r="AS567" s="75"/>
      <c r="AT567" s="75"/>
      <c r="AU567" s="75"/>
      <c r="AV567" s="75"/>
      <c r="AW567" s="75"/>
      <c r="AX567" s="75"/>
      <c r="AY567" s="77"/>
      <c r="AZ567" s="75"/>
      <c r="BA567" s="77"/>
      <c r="BB567" s="66"/>
      <c r="BC567" s="4"/>
      <c r="BD567" s="67"/>
      <c r="BE567" s="67"/>
      <c r="BF567" s="68"/>
      <c r="BG567" s="69"/>
      <c r="BH567" s="84"/>
      <c r="BI567" s="70"/>
      <c r="BJ567" s="73"/>
      <c r="BK567" s="78"/>
      <c r="BL567" s="78"/>
      <c r="BM567" s="78"/>
      <c r="BN567" s="78"/>
      <c r="BO567" s="66"/>
      <c r="BP567" s="66"/>
    </row>
    <row r="568" spans="1:68" ht="13.2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/>
      <c r="AQ568" s="75"/>
      <c r="AR568" s="75"/>
      <c r="AS568" s="75"/>
      <c r="AT568" s="75"/>
      <c r="AU568" s="75"/>
      <c r="AV568" s="75"/>
      <c r="AW568" s="75"/>
      <c r="AX568" s="75"/>
      <c r="AY568" s="77"/>
      <c r="AZ568" s="75"/>
      <c r="BA568" s="77"/>
      <c r="BB568" s="66"/>
      <c r="BC568" s="4"/>
      <c r="BD568" s="67"/>
      <c r="BE568" s="67"/>
      <c r="BF568" s="68"/>
      <c r="BG568" s="69"/>
      <c r="BH568" s="84"/>
      <c r="BI568" s="70"/>
      <c r="BJ568" s="73"/>
      <c r="BK568" s="78"/>
      <c r="BL568" s="78"/>
      <c r="BM568" s="78"/>
      <c r="BN568" s="78"/>
      <c r="BO568" s="66"/>
      <c r="BP568" s="66"/>
    </row>
    <row r="569" spans="1:68" ht="13.2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/>
      <c r="AQ569" s="75"/>
      <c r="AR569" s="75"/>
      <c r="AS569" s="75"/>
      <c r="AT569" s="75"/>
      <c r="AU569" s="75"/>
      <c r="AV569" s="75"/>
      <c r="AW569" s="75"/>
      <c r="AX569" s="75"/>
      <c r="AY569" s="77"/>
      <c r="AZ569" s="75"/>
      <c r="BA569" s="77"/>
      <c r="BB569" s="66"/>
      <c r="BC569" s="4"/>
      <c r="BD569" s="67"/>
      <c r="BE569" s="67"/>
      <c r="BF569" s="68"/>
      <c r="BG569" s="69"/>
      <c r="BH569" s="84"/>
      <c r="BI569" s="70"/>
      <c r="BJ569" s="73"/>
      <c r="BK569" s="78"/>
      <c r="BL569" s="78"/>
      <c r="BM569" s="78"/>
      <c r="BN569" s="78"/>
      <c r="BO569" s="66"/>
      <c r="BP569" s="66"/>
    </row>
    <row r="570" spans="1:68" ht="13.2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/>
      <c r="AQ570" s="75"/>
      <c r="AR570" s="75"/>
      <c r="AS570" s="75"/>
      <c r="AT570" s="75"/>
      <c r="AU570" s="75"/>
      <c r="AV570" s="75"/>
      <c r="AW570" s="75"/>
      <c r="AX570" s="75"/>
      <c r="AY570" s="77"/>
      <c r="AZ570" s="75"/>
      <c r="BA570" s="77"/>
      <c r="BB570" s="66"/>
      <c r="BC570" s="4"/>
      <c r="BD570" s="67"/>
      <c r="BE570" s="67"/>
      <c r="BF570" s="68"/>
      <c r="BG570" s="69"/>
      <c r="BH570" s="84"/>
      <c r="BI570" s="70"/>
      <c r="BJ570" s="73"/>
      <c r="BK570" s="78"/>
      <c r="BL570" s="78"/>
      <c r="BM570" s="78"/>
      <c r="BN570" s="78"/>
      <c r="BO570" s="66"/>
      <c r="BP570" s="66"/>
    </row>
    <row r="571" spans="1:68" ht="13.2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/>
      <c r="AQ571" s="75"/>
      <c r="AR571" s="75"/>
      <c r="AS571" s="75"/>
      <c r="AT571" s="75"/>
      <c r="AU571" s="75"/>
      <c r="AV571" s="75"/>
      <c r="AW571" s="75"/>
      <c r="AX571" s="75"/>
      <c r="AY571" s="77"/>
      <c r="AZ571" s="75"/>
      <c r="BA571" s="77"/>
      <c r="BB571" s="66"/>
      <c r="BC571" s="4"/>
      <c r="BD571" s="67"/>
      <c r="BE571" s="67"/>
      <c r="BF571" s="68"/>
      <c r="BG571" s="69"/>
      <c r="BH571" s="84"/>
      <c r="BI571" s="70"/>
      <c r="BJ571" s="73"/>
      <c r="BK571" s="78"/>
      <c r="BL571" s="78"/>
      <c r="BM571" s="78"/>
      <c r="BN571" s="78"/>
      <c r="BO571" s="66"/>
      <c r="BP571" s="66"/>
    </row>
    <row r="572" spans="1:68" ht="13.2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/>
      <c r="AQ572" s="75"/>
      <c r="AR572" s="75"/>
      <c r="AS572" s="75"/>
      <c r="AT572" s="75"/>
      <c r="AU572" s="75"/>
      <c r="AV572" s="75"/>
      <c r="AW572" s="75"/>
      <c r="AX572" s="75"/>
      <c r="AY572" s="77"/>
      <c r="AZ572" s="75"/>
      <c r="BA572" s="77"/>
      <c r="BB572" s="66"/>
      <c r="BC572" s="4"/>
      <c r="BD572" s="67"/>
      <c r="BE572" s="67"/>
      <c r="BF572" s="68"/>
      <c r="BG572" s="69"/>
      <c r="BH572" s="84"/>
      <c r="BI572" s="70"/>
      <c r="BJ572" s="73"/>
      <c r="BK572" s="78"/>
      <c r="BL572" s="78"/>
      <c r="BM572" s="78"/>
      <c r="BN572" s="78"/>
      <c r="BO572" s="66"/>
      <c r="BP572" s="66"/>
    </row>
    <row r="573" spans="1:68" ht="13.2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/>
      <c r="AQ573" s="75"/>
      <c r="AR573" s="75"/>
      <c r="AS573" s="75"/>
      <c r="AT573" s="75"/>
      <c r="AU573" s="75"/>
      <c r="AV573" s="75"/>
      <c r="AW573" s="75"/>
      <c r="AX573" s="75"/>
      <c r="AY573" s="77"/>
      <c r="AZ573" s="75"/>
      <c r="BA573" s="77"/>
      <c r="BB573" s="66"/>
      <c r="BC573" s="4"/>
      <c r="BD573" s="67"/>
      <c r="BE573" s="67"/>
      <c r="BF573" s="68"/>
      <c r="BG573" s="69"/>
      <c r="BH573" s="84"/>
      <c r="BI573" s="70"/>
      <c r="BJ573" s="73"/>
      <c r="BK573" s="78"/>
      <c r="BL573" s="78"/>
      <c r="BM573" s="78"/>
      <c r="BN573" s="78"/>
      <c r="BO573" s="66"/>
      <c r="BP573" s="66"/>
    </row>
    <row r="574" spans="1:68" ht="13.2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/>
      <c r="AQ574" s="75"/>
      <c r="AR574" s="75"/>
      <c r="AS574" s="75"/>
      <c r="AT574" s="75"/>
      <c r="AU574" s="75"/>
      <c r="AV574" s="75"/>
      <c r="AW574" s="75"/>
      <c r="AX574" s="75"/>
      <c r="AY574" s="77"/>
      <c r="AZ574" s="75"/>
      <c r="BA574" s="77"/>
      <c r="BB574" s="66"/>
      <c r="BC574" s="4"/>
      <c r="BD574" s="67"/>
      <c r="BE574" s="67"/>
      <c r="BF574" s="68"/>
      <c r="BG574" s="69"/>
      <c r="BH574" s="84"/>
      <c r="BI574" s="70"/>
      <c r="BJ574" s="73"/>
      <c r="BK574" s="78"/>
      <c r="BL574" s="78"/>
      <c r="BM574" s="78"/>
      <c r="BN574" s="78"/>
      <c r="BO574" s="66"/>
      <c r="BP574" s="66"/>
    </row>
    <row r="575" spans="1:68" ht="13.2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/>
      <c r="AQ575" s="75"/>
      <c r="AR575" s="75"/>
      <c r="AS575" s="75"/>
      <c r="AT575" s="75"/>
      <c r="AU575" s="75"/>
      <c r="AV575" s="75"/>
      <c r="AW575" s="75"/>
      <c r="AX575" s="75"/>
      <c r="AY575" s="77"/>
      <c r="AZ575" s="75"/>
      <c r="BA575" s="77"/>
      <c r="BB575" s="66"/>
      <c r="BC575" s="4"/>
      <c r="BD575" s="67"/>
      <c r="BE575" s="67"/>
      <c r="BF575" s="68"/>
      <c r="BG575" s="69"/>
      <c r="BH575" s="84"/>
      <c r="BI575" s="70"/>
      <c r="BJ575" s="73"/>
      <c r="BK575" s="78"/>
      <c r="BL575" s="78"/>
      <c r="BM575" s="78"/>
      <c r="BN575" s="78"/>
      <c r="BO575" s="66"/>
      <c r="BP575" s="66"/>
    </row>
    <row r="576" spans="1:68" ht="13.2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/>
      <c r="AQ576" s="75"/>
      <c r="AR576" s="75"/>
      <c r="AS576" s="75"/>
      <c r="AT576" s="75"/>
      <c r="AU576" s="75"/>
      <c r="AV576" s="75"/>
      <c r="AW576" s="75"/>
      <c r="AX576" s="75"/>
      <c r="AY576" s="77"/>
      <c r="AZ576" s="75"/>
      <c r="BA576" s="77"/>
      <c r="BB576" s="66"/>
      <c r="BC576" s="4"/>
      <c r="BD576" s="67"/>
      <c r="BE576" s="67"/>
      <c r="BF576" s="68"/>
      <c r="BG576" s="69"/>
      <c r="BH576" s="84"/>
      <c r="BI576" s="70"/>
      <c r="BJ576" s="73"/>
      <c r="BK576" s="78"/>
      <c r="BL576" s="78"/>
      <c r="BM576" s="78"/>
      <c r="BN576" s="78"/>
      <c r="BO576" s="66"/>
      <c r="BP576" s="66"/>
    </row>
    <row r="577" spans="1:68" ht="13.2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/>
      <c r="AQ577" s="75"/>
      <c r="AR577" s="75"/>
      <c r="AS577" s="75"/>
      <c r="AT577" s="75"/>
      <c r="AU577" s="75"/>
      <c r="AV577" s="75"/>
      <c r="AW577" s="75"/>
      <c r="AX577" s="75"/>
      <c r="AY577" s="77"/>
      <c r="AZ577" s="75"/>
      <c r="BA577" s="77"/>
      <c r="BB577" s="66"/>
      <c r="BC577" s="4"/>
      <c r="BD577" s="67"/>
      <c r="BE577" s="67"/>
      <c r="BF577" s="68"/>
      <c r="BG577" s="69"/>
      <c r="BH577" s="84"/>
      <c r="BI577" s="70"/>
      <c r="BJ577" s="73"/>
      <c r="BK577" s="78"/>
      <c r="BL577" s="78"/>
      <c r="BM577" s="78"/>
      <c r="BN577" s="78"/>
      <c r="BO577" s="66"/>
      <c r="BP577" s="66"/>
    </row>
    <row r="578" spans="1:68" ht="13.2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/>
      <c r="AQ578" s="75"/>
      <c r="AR578" s="75"/>
      <c r="AS578" s="75"/>
      <c r="AT578" s="75"/>
      <c r="AU578" s="75"/>
      <c r="AV578" s="75"/>
      <c r="AW578" s="75"/>
      <c r="AX578" s="75"/>
      <c r="AY578" s="77"/>
      <c r="AZ578" s="75"/>
      <c r="BA578" s="77"/>
      <c r="BB578" s="66"/>
      <c r="BC578" s="4"/>
      <c r="BD578" s="67"/>
      <c r="BE578" s="67"/>
      <c r="BF578" s="68"/>
      <c r="BG578" s="69"/>
      <c r="BH578" s="84"/>
      <c r="BI578" s="70"/>
      <c r="BJ578" s="73"/>
      <c r="BK578" s="78"/>
      <c r="BL578" s="78"/>
      <c r="BM578" s="78"/>
      <c r="BN578" s="78"/>
      <c r="BO578" s="66"/>
      <c r="BP578" s="66"/>
    </row>
    <row r="579" spans="1:68" ht="13.2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/>
      <c r="AQ579" s="75"/>
      <c r="AR579" s="75"/>
      <c r="AS579" s="75"/>
      <c r="AT579" s="75"/>
      <c r="AU579" s="75"/>
      <c r="AV579" s="75"/>
      <c r="AW579" s="75"/>
      <c r="AX579" s="75"/>
      <c r="AY579" s="77"/>
      <c r="AZ579" s="75"/>
      <c r="BA579" s="77"/>
      <c r="BB579" s="66"/>
      <c r="BC579" s="4"/>
      <c r="BD579" s="67"/>
      <c r="BE579" s="67"/>
      <c r="BF579" s="68"/>
      <c r="BG579" s="69"/>
      <c r="BH579" s="84"/>
      <c r="BI579" s="70"/>
      <c r="BJ579" s="73"/>
      <c r="BK579" s="78"/>
      <c r="BL579" s="78"/>
      <c r="BM579" s="78"/>
      <c r="BN579" s="78"/>
      <c r="BO579" s="66"/>
      <c r="BP579" s="66"/>
    </row>
    <row r="580" spans="1:68" ht="13.2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/>
      <c r="AQ580" s="75"/>
      <c r="AR580" s="75"/>
      <c r="AS580" s="75"/>
      <c r="AT580" s="75"/>
      <c r="AU580" s="75"/>
      <c r="AV580" s="75"/>
      <c r="AW580" s="75"/>
      <c r="AX580" s="75"/>
      <c r="AY580" s="77"/>
      <c r="AZ580" s="75"/>
      <c r="BA580" s="77"/>
      <c r="BB580" s="66"/>
      <c r="BC580" s="4"/>
      <c r="BD580" s="67"/>
      <c r="BE580" s="67"/>
      <c r="BF580" s="68"/>
      <c r="BG580" s="69"/>
      <c r="BH580" s="84"/>
      <c r="BI580" s="70"/>
      <c r="BJ580" s="73"/>
      <c r="BK580" s="78"/>
      <c r="BL580" s="78"/>
      <c r="BM580" s="78"/>
      <c r="BN580" s="78"/>
      <c r="BO580" s="66"/>
      <c r="BP580" s="66"/>
    </row>
    <row r="581" spans="1:68" ht="13.2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/>
      <c r="AQ581" s="75"/>
      <c r="AR581" s="75"/>
      <c r="AS581" s="75"/>
      <c r="AT581" s="75"/>
      <c r="AU581" s="75"/>
      <c r="AV581" s="75"/>
      <c r="AW581" s="75"/>
      <c r="AX581" s="75"/>
      <c r="AY581" s="77"/>
      <c r="AZ581" s="75"/>
      <c r="BA581" s="77"/>
      <c r="BB581" s="66"/>
      <c r="BC581" s="4"/>
      <c r="BD581" s="67"/>
      <c r="BE581" s="67"/>
      <c r="BF581" s="68"/>
      <c r="BG581" s="69"/>
      <c r="BH581" s="84"/>
      <c r="BI581" s="70"/>
      <c r="BJ581" s="73"/>
      <c r="BK581" s="78"/>
      <c r="BL581" s="78"/>
      <c r="BM581" s="78"/>
      <c r="BN581" s="78"/>
      <c r="BO581" s="66"/>
      <c r="BP581" s="66"/>
    </row>
    <row r="582" spans="1:68" ht="13.2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/>
      <c r="AQ582" s="75"/>
      <c r="AR582" s="75"/>
      <c r="AS582" s="75"/>
      <c r="AT582" s="75"/>
      <c r="AU582" s="75"/>
      <c r="AV582" s="75"/>
      <c r="AW582" s="75"/>
      <c r="AX582" s="75"/>
      <c r="AY582" s="77"/>
      <c r="AZ582" s="75"/>
      <c r="BA582" s="77"/>
      <c r="BB582" s="66"/>
      <c r="BC582" s="4"/>
      <c r="BD582" s="67"/>
      <c r="BE582" s="67"/>
      <c r="BF582" s="68"/>
      <c r="BG582" s="69"/>
      <c r="BH582" s="84"/>
      <c r="BI582" s="70"/>
      <c r="BJ582" s="73"/>
      <c r="BK582" s="78"/>
      <c r="BL582" s="78"/>
      <c r="BM582" s="78"/>
      <c r="BN582" s="78"/>
      <c r="BO582" s="66"/>
      <c r="BP582" s="66"/>
    </row>
    <row r="583" spans="1:68" ht="13.2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/>
      <c r="AQ583" s="75"/>
      <c r="AR583" s="75"/>
      <c r="AS583" s="75"/>
      <c r="AT583" s="75"/>
      <c r="AU583" s="75"/>
      <c r="AV583" s="75"/>
      <c r="AW583" s="75"/>
      <c r="AX583" s="75"/>
      <c r="AY583" s="77"/>
      <c r="AZ583" s="75"/>
      <c r="BA583" s="77"/>
      <c r="BB583" s="66"/>
      <c r="BC583" s="4"/>
      <c r="BD583" s="67"/>
      <c r="BE583" s="67"/>
      <c r="BF583" s="68"/>
      <c r="BG583" s="69"/>
      <c r="BH583" s="84"/>
      <c r="BI583" s="70"/>
      <c r="BJ583" s="73"/>
      <c r="BK583" s="78"/>
      <c r="BL583" s="78"/>
      <c r="BM583" s="78"/>
      <c r="BN583" s="78"/>
      <c r="BO583" s="66"/>
      <c r="BP583" s="66"/>
    </row>
    <row r="584" spans="1:68" ht="13.2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/>
      <c r="AQ584" s="75"/>
      <c r="AR584" s="75"/>
      <c r="AS584" s="75"/>
      <c r="AT584" s="75"/>
      <c r="AU584" s="75"/>
      <c r="AV584" s="75"/>
      <c r="AW584" s="75"/>
      <c r="AX584" s="75"/>
      <c r="AY584" s="77"/>
      <c r="AZ584" s="75"/>
      <c r="BA584" s="77"/>
      <c r="BB584" s="66"/>
      <c r="BC584" s="4"/>
      <c r="BD584" s="67"/>
      <c r="BE584" s="67"/>
      <c r="BF584" s="68"/>
      <c r="BG584" s="69"/>
      <c r="BH584" s="84"/>
      <c r="BI584" s="70"/>
      <c r="BJ584" s="73"/>
      <c r="BK584" s="78"/>
      <c r="BL584" s="78"/>
      <c r="BM584" s="78"/>
      <c r="BN584" s="78"/>
      <c r="BO584" s="66"/>
      <c r="BP584" s="66"/>
    </row>
    <row r="585" spans="1:68" ht="13.2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/>
      <c r="AQ585" s="75"/>
      <c r="AR585" s="75"/>
      <c r="AS585" s="75"/>
      <c r="AT585" s="75"/>
      <c r="AU585" s="75"/>
      <c r="AV585" s="75"/>
      <c r="AW585" s="75"/>
      <c r="AX585" s="75"/>
      <c r="AY585" s="77"/>
      <c r="AZ585" s="75"/>
      <c r="BA585" s="77"/>
      <c r="BB585" s="66"/>
      <c r="BC585" s="4"/>
      <c r="BD585" s="67"/>
      <c r="BE585" s="67"/>
      <c r="BF585" s="68"/>
      <c r="BG585" s="69"/>
      <c r="BH585" s="84"/>
      <c r="BI585" s="70"/>
      <c r="BJ585" s="73"/>
      <c r="BK585" s="78"/>
      <c r="BL585" s="78"/>
      <c r="BM585" s="78"/>
      <c r="BN585" s="78"/>
      <c r="BO585" s="66"/>
      <c r="BP585" s="66"/>
    </row>
    <row r="586" spans="1:68" ht="13.2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/>
      <c r="AQ586" s="75"/>
      <c r="AR586" s="75"/>
      <c r="AS586" s="75"/>
      <c r="AT586" s="75"/>
      <c r="AU586" s="75"/>
      <c r="AV586" s="75"/>
      <c r="AW586" s="75"/>
      <c r="AX586" s="75"/>
      <c r="AY586" s="67"/>
      <c r="AZ586" s="75"/>
      <c r="BA586" s="67"/>
      <c r="BB586" s="66"/>
      <c r="BC586" s="4"/>
      <c r="BD586" s="67"/>
      <c r="BE586" s="67"/>
      <c r="BF586" s="68"/>
      <c r="BG586" s="69"/>
      <c r="BH586" s="84"/>
      <c r="BI586" s="70"/>
      <c r="BJ586" s="73"/>
      <c r="BK586" s="78"/>
      <c r="BL586" s="78"/>
      <c r="BM586" s="78"/>
      <c r="BN586" s="78"/>
      <c r="BO586" s="66"/>
      <c r="BP586" s="66"/>
    </row>
    <row r="587" spans="1:68" ht="13.2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/>
      <c r="AQ587" s="75"/>
      <c r="AR587" s="75"/>
      <c r="AS587" s="75"/>
      <c r="AT587" s="75"/>
      <c r="AU587" s="75"/>
      <c r="AV587" s="75"/>
      <c r="AW587" s="75"/>
      <c r="AX587" s="75"/>
      <c r="AY587" s="67"/>
      <c r="AZ587" s="75"/>
      <c r="BA587" s="67"/>
      <c r="BB587" s="66"/>
      <c r="BC587" s="4"/>
      <c r="BD587" s="67"/>
      <c r="BE587" s="67"/>
      <c r="BF587" s="68"/>
      <c r="BG587" s="69"/>
      <c r="BH587" s="84"/>
      <c r="BI587" s="70"/>
      <c r="BJ587" s="73"/>
      <c r="BK587" s="78"/>
      <c r="BL587" s="78"/>
      <c r="BM587" s="78"/>
      <c r="BN587" s="78"/>
      <c r="BO587" s="66"/>
      <c r="BP587" s="66"/>
    </row>
    <row r="588" spans="1:68" ht="13.2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/>
      <c r="AQ588" s="75"/>
      <c r="AR588" s="75"/>
      <c r="AS588" s="75"/>
      <c r="AT588" s="75"/>
      <c r="AU588" s="75"/>
      <c r="AV588" s="75"/>
      <c r="AW588" s="75"/>
      <c r="AX588" s="75"/>
      <c r="AY588" s="67"/>
      <c r="AZ588" s="75"/>
      <c r="BA588" s="67"/>
      <c r="BB588" s="66"/>
      <c r="BC588" s="4"/>
      <c r="BD588" s="67"/>
      <c r="BE588" s="67"/>
      <c r="BF588" s="68"/>
      <c r="BG588" s="69"/>
      <c r="BH588" s="84"/>
      <c r="BI588" s="70"/>
      <c r="BJ588" s="73"/>
      <c r="BK588" s="78"/>
      <c r="BL588" s="78"/>
      <c r="BM588" s="78"/>
      <c r="BN588" s="78"/>
      <c r="BO588" s="66"/>
      <c r="BP588" s="66"/>
    </row>
    <row r="589" spans="1:68" ht="13.2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/>
      <c r="AQ589" s="75"/>
      <c r="AR589" s="75"/>
      <c r="AS589" s="75"/>
      <c r="AT589" s="75"/>
      <c r="AU589" s="75"/>
      <c r="AV589" s="75"/>
      <c r="AW589" s="75"/>
      <c r="AX589" s="75"/>
      <c r="AY589" s="67"/>
      <c r="AZ589" s="75"/>
      <c r="BA589" s="67"/>
      <c r="BB589" s="66"/>
      <c r="BC589" s="4"/>
      <c r="BD589" s="67"/>
      <c r="BE589" s="67"/>
      <c r="BF589" s="68"/>
      <c r="BG589" s="69"/>
      <c r="BH589" s="84"/>
      <c r="BI589" s="70"/>
      <c r="BJ589" s="73"/>
      <c r="BK589" s="78"/>
      <c r="BL589" s="78"/>
      <c r="BM589" s="78"/>
      <c r="BN589" s="78"/>
      <c r="BO589" s="66"/>
      <c r="BP589" s="66"/>
    </row>
    <row r="590" spans="1:68" ht="13.2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/>
      <c r="AQ590" s="75"/>
      <c r="AR590" s="75"/>
      <c r="AS590" s="75"/>
      <c r="AT590" s="75"/>
      <c r="AU590" s="75"/>
      <c r="AV590" s="75"/>
      <c r="AW590" s="75"/>
      <c r="AX590" s="75"/>
      <c r="AY590" s="67"/>
      <c r="AZ590" s="75"/>
      <c r="BA590" s="67"/>
      <c r="BB590" s="66"/>
      <c r="BC590" s="4"/>
      <c r="BD590" s="67"/>
      <c r="BE590" s="67"/>
      <c r="BF590" s="68"/>
      <c r="BG590" s="69"/>
      <c r="BH590" s="84"/>
      <c r="BI590" s="70"/>
      <c r="BJ590" s="73"/>
      <c r="BK590" s="78"/>
      <c r="BL590" s="78"/>
      <c r="BM590" s="78"/>
      <c r="BN590" s="78"/>
      <c r="BO590" s="66"/>
      <c r="BP590" s="66"/>
    </row>
    <row r="591" spans="1:68" ht="13.2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/>
      <c r="AQ591" s="75"/>
      <c r="AR591" s="75"/>
      <c r="AS591" s="75"/>
      <c r="AT591" s="75"/>
      <c r="AU591" s="75"/>
      <c r="AV591" s="75"/>
      <c r="AW591" s="75"/>
      <c r="AX591" s="75"/>
      <c r="AY591" s="67"/>
      <c r="AZ591" s="75"/>
      <c r="BA591" s="67"/>
      <c r="BB591" s="66"/>
      <c r="BC591" s="4"/>
      <c r="BD591" s="67"/>
      <c r="BE591" s="67"/>
      <c r="BF591" s="68"/>
      <c r="BG591" s="69"/>
      <c r="BH591" s="84"/>
      <c r="BI591" s="70"/>
      <c r="BJ591" s="73"/>
      <c r="BK591" s="78"/>
      <c r="BL591" s="78"/>
      <c r="BM591" s="78"/>
      <c r="BN591" s="78"/>
      <c r="BO591" s="66"/>
      <c r="BP591" s="66"/>
    </row>
    <row r="592" spans="1:68" ht="13.2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/>
      <c r="AQ592" s="75"/>
      <c r="AR592" s="75"/>
      <c r="AS592" s="75"/>
      <c r="AT592" s="75"/>
      <c r="AU592" s="75"/>
      <c r="AV592" s="75"/>
      <c r="AW592" s="75"/>
      <c r="AX592" s="75"/>
      <c r="AY592" s="67"/>
      <c r="AZ592" s="75"/>
      <c r="BA592" s="67"/>
      <c r="BB592" s="66"/>
      <c r="BC592" s="4"/>
      <c r="BD592" s="67"/>
      <c r="BE592" s="67"/>
      <c r="BF592" s="68"/>
      <c r="BG592" s="69"/>
      <c r="BH592" s="84"/>
      <c r="BI592" s="70"/>
      <c r="BJ592" s="73"/>
      <c r="BK592" s="78"/>
      <c r="BL592" s="78"/>
      <c r="BM592" s="78"/>
      <c r="BN592" s="78"/>
      <c r="BO592" s="66"/>
      <c r="BP592" s="66"/>
    </row>
    <row r="593" spans="1:68" ht="13.2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/>
      <c r="AQ593" s="75"/>
      <c r="AR593" s="75"/>
      <c r="AS593" s="75"/>
      <c r="AT593" s="75"/>
      <c r="AU593" s="75"/>
      <c r="AV593" s="75"/>
      <c r="AW593" s="75"/>
      <c r="AX593" s="75"/>
      <c r="AY593" s="67"/>
      <c r="AZ593" s="75"/>
      <c r="BA593" s="67"/>
      <c r="BB593" s="66"/>
      <c r="BC593" s="4"/>
      <c r="BD593" s="67"/>
      <c r="BE593" s="67"/>
      <c r="BF593" s="68"/>
      <c r="BG593" s="69"/>
      <c r="BH593" s="84"/>
      <c r="BI593" s="70"/>
      <c r="BJ593" s="73"/>
      <c r="BK593" s="78"/>
      <c r="BL593" s="78"/>
      <c r="BM593" s="78"/>
      <c r="BN593" s="78"/>
      <c r="BO593" s="66"/>
      <c r="BP593" s="66"/>
    </row>
    <row r="594" spans="1:68" ht="13.2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/>
      <c r="AQ594" s="75"/>
      <c r="AR594" s="75"/>
      <c r="AS594" s="75"/>
      <c r="AT594" s="75"/>
      <c r="AU594" s="75"/>
      <c r="AV594" s="75"/>
      <c r="AW594" s="75"/>
      <c r="AX594" s="75"/>
      <c r="AY594" s="67"/>
      <c r="AZ594" s="75"/>
      <c r="BA594" s="67"/>
      <c r="BB594" s="66"/>
      <c r="BC594" s="4"/>
      <c r="BD594" s="67"/>
      <c r="BE594" s="67"/>
      <c r="BF594" s="68"/>
      <c r="BG594" s="69"/>
      <c r="BH594" s="84"/>
      <c r="BI594" s="70"/>
      <c r="BJ594" s="73"/>
      <c r="BK594" s="78"/>
      <c r="BL594" s="78"/>
      <c r="BM594" s="78"/>
      <c r="BN594" s="78"/>
      <c r="BO594" s="66"/>
      <c r="BP594" s="66"/>
    </row>
    <row r="595" spans="1:68" ht="13.2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/>
      <c r="AQ595" s="75"/>
      <c r="AR595" s="75"/>
      <c r="AS595" s="75"/>
      <c r="AT595" s="75"/>
      <c r="AU595" s="75"/>
      <c r="AV595" s="75"/>
      <c r="AW595" s="75"/>
      <c r="AX595" s="75"/>
      <c r="AY595" s="67"/>
      <c r="AZ595" s="75"/>
      <c r="BA595" s="67"/>
      <c r="BB595" s="66"/>
      <c r="BC595" s="4"/>
      <c r="BD595" s="67"/>
      <c r="BE595" s="67"/>
      <c r="BF595" s="68"/>
      <c r="BG595" s="69"/>
      <c r="BH595" s="84"/>
      <c r="BI595" s="70"/>
      <c r="BJ595" s="73"/>
      <c r="BK595" s="78"/>
      <c r="BL595" s="78"/>
      <c r="BM595" s="78"/>
      <c r="BN595" s="78"/>
      <c r="BO595" s="66"/>
      <c r="BP595" s="66"/>
    </row>
    <row r="596" spans="1:68" ht="13.2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/>
      <c r="AQ596" s="75"/>
      <c r="AR596" s="75"/>
      <c r="AS596" s="75"/>
      <c r="AT596" s="75"/>
      <c r="AU596" s="75"/>
      <c r="AV596" s="75"/>
      <c r="AW596" s="75"/>
      <c r="AX596" s="75"/>
      <c r="AY596" s="67"/>
      <c r="AZ596" s="75"/>
      <c r="BA596" s="67"/>
      <c r="BB596" s="66"/>
      <c r="BC596" s="4"/>
      <c r="BD596" s="67"/>
      <c r="BE596" s="67"/>
      <c r="BF596" s="68"/>
      <c r="BG596" s="69"/>
      <c r="BH596" s="84"/>
      <c r="BI596" s="70"/>
      <c r="BJ596" s="73"/>
      <c r="BK596" s="78"/>
      <c r="BL596" s="78"/>
      <c r="BM596" s="78"/>
      <c r="BN596" s="78"/>
      <c r="BO596" s="66"/>
      <c r="BP596" s="66"/>
    </row>
    <row r="597" spans="1:68" ht="13.2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/>
      <c r="AQ597" s="75"/>
      <c r="AR597" s="75"/>
      <c r="AS597" s="75"/>
      <c r="AT597" s="75"/>
      <c r="AU597" s="75"/>
      <c r="AV597" s="75"/>
      <c r="AW597" s="75"/>
      <c r="AX597" s="75"/>
      <c r="AY597" s="67"/>
      <c r="AZ597" s="75"/>
      <c r="BA597" s="67"/>
      <c r="BB597" s="66"/>
      <c r="BC597" s="4"/>
      <c r="BD597" s="67"/>
      <c r="BE597" s="67"/>
      <c r="BF597" s="68"/>
      <c r="BG597" s="69"/>
      <c r="BH597" s="84"/>
      <c r="BI597" s="70"/>
      <c r="BJ597" s="73"/>
      <c r="BK597" s="78"/>
      <c r="BL597" s="78"/>
      <c r="BM597" s="78"/>
      <c r="BN597" s="78"/>
      <c r="BO597" s="66"/>
      <c r="BP597" s="66"/>
    </row>
    <row r="598" spans="1:68" ht="13.2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/>
      <c r="AQ598" s="75"/>
      <c r="AR598" s="75"/>
      <c r="AS598" s="75"/>
      <c r="AT598" s="75"/>
      <c r="AU598" s="75"/>
      <c r="AV598" s="75"/>
      <c r="AW598" s="75"/>
      <c r="AX598" s="75"/>
      <c r="AY598" s="67"/>
      <c r="AZ598" s="75"/>
      <c r="BA598" s="67"/>
      <c r="BB598" s="66"/>
      <c r="BC598" s="4"/>
      <c r="BD598" s="67"/>
      <c r="BE598" s="67"/>
      <c r="BF598" s="68"/>
      <c r="BG598" s="69"/>
      <c r="BH598" s="84"/>
      <c r="BI598" s="70"/>
      <c r="BJ598" s="73"/>
      <c r="BK598" s="78"/>
      <c r="BL598" s="78"/>
      <c r="BM598" s="78"/>
      <c r="BN598" s="78"/>
      <c r="BO598" s="66"/>
      <c r="BP598" s="66"/>
    </row>
    <row r="599" spans="1:68" ht="13.2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/>
      <c r="AQ599" s="75"/>
      <c r="AR599" s="75"/>
      <c r="AS599" s="75"/>
      <c r="AT599" s="75"/>
      <c r="AU599" s="75"/>
      <c r="AV599" s="75"/>
      <c r="AW599" s="75"/>
      <c r="AX599" s="75"/>
      <c r="AY599" s="67"/>
      <c r="AZ599" s="75"/>
      <c r="BA599" s="67"/>
      <c r="BB599" s="66"/>
      <c r="BC599" s="4"/>
      <c r="BD599" s="67"/>
      <c r="BE599" s="67"/>
      <c r="BF599" s="68"/>
      <c r="BG599" s="69"/>
      <c r="BH599" s="84"/>
      <c r="BI599" s="70"/>
      <c r="BJ599" s="73"/>
      <c r="BK599" s="78"/>
      <c r="BL599" s="78"/>
      <c r="BM599" s="78"/>
      <c r="BN599" s="78"/>
      <c r="BO599" s="66"/>
      <c r="BP599" s="66"/>
    </row>
    <row r="600" spans="1:68" ht="13.2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/>
      <c r="AQ600" s="75"/>
      <c r="AR600" s="75"/>
      <c r="AS600" s="75"/>
      <c r="AT600" s="75"/>
      <c r="AU600" s="75"/>
      <c r="AV600" s="75"/>
      <c r="AW600" s="75"/>
      <c r="AX600" s="75"/>
      <c r="AY600" s="67"/>
      <c r="AZ600" s="75"/>
      <c r="BA600" s="67"/>
      <c r="BB600" s="66"/>
      <c r="BC600" s="4"/>
      <c r="BD600" s="67"/>
      <c r="BE600" s="67"/>
      <c r="BF600" s="68"/>
      <c r="BG600" s="69"/>
      <c r="BH600" s="84"/>
      <c r="BI600" s="70"/>
      <c r="BJ600" s="73"/>
      <c r="BK600" s="78"/>
      <c r="BL600" s="78"/>
      <c r="BM600" s="78"/>
      <c r="BN600" s="78"/>
      <c r="BO600" s="66"/>
      <c r="BP600" s="66"/>
    </row>
    <row r="601" spans="1:68" ht="13.2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/>
      <c r="AQ601" s="75"/>
      <c r="AR601" s="75"/>
      <c r="AS601" s="75"/>
      <c r="AT601" s="75"/>
      <c r="AU601" s="75"/>
      <c r="AV601" s="75"/>
      <c r="AW601" s="75"/>
      <c r="AX601" s="75"/>
      <c r="AY601" s="67"/>
      <c r="AZ601" s="75"/>
      <c r="BA601" s="67"/>
      <c r="BB601" s="66"/>
      <c r="BC601" s="4"/>
      <c r="BD601" s="67"/>
      <c r="BE601" s="67"/>
      <c r="BF601" s="68"/>
      <c r="BG601" s="69"/>
      <c r="BH601" s="84"/>
      <c r="BI601" s="70"/>
      <c r="BJ601" s="73"/>
      <c r="BK601" s="78"/>
      <c r="BL601" s="78"/>
      <c r="BM601" s="78"/>
      <c r="BN601" s="78"/>
      <c r="BO601" s="66"/>
      <c r="BP601" s="66"/>
    </row>
    <row r="602" spans="1:68" ht="13.2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/>
      <c r="AQ602" s="75"/>
      <c r="AR602" s="75"/>
      <c r="AS602" s="75"/>
      <c r="AT602" s="75"/>
      <c r="AU602" s="75"/>
      <c r="AV602" s="75"/>
      <c r="AW602" s="75"/>
      <c r="AX602" s="75"/>
      <c r="AY602" s="67"/>
      <c r="AZ602" s="75"/>
      <c r="BA602" s="67"/>
      <c r="BB602" s="66"/>
      <c r="BC602" s="4"/>
      <c r="BD602" s="67"/>
      <c r="BE602" s="67"/>
      <c r="BF602" s="68"/>
      <c r="BG602" s="69"/>
      <c r="BH602" s="84"/>
      <c r="BI602" s="70"/>
      <c r="BJ602" s="73"/>
      <c r="BK602" s="78"/>
      <c r="BL602" s="78"/>
      <c r="BM602" s="78"/>
      <c r="BN602" s="78"/>
      <c r="BO602" s="66"/>
      <c r="BP602" s="66"/>
    </row>
    <row r="603" spans="1:68" ht="13.2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/>
      <c r="AQ603" s="75"/>
      <c r="AR603" s="75"/>
      <c r="AS603" s="75"/>
      <c r="AT603" s="75"/>
      <c r="AU603" s="75"/>
      <c r="AV603" s="75"/>
      <c r="AW603" s="75"/>
      <c r="AX603" s="75"/>
      <c r="AY603" s="67"/>
      <c r="AZ603" s="75"/>
      <c r="BA603" s="67"/>
      <c r="BB603" s="66"/>
      <c r="BC603" s="4"/>
      <c r="BD603" s="67"/>
      <c r="BE603" s="67"/>
      <c r="BF603" s="68"/>
      <c r="BG603" s="69"/>
      <c r="BH603" s="84"/>
      <c r="BI603" s="70"/>
      <c r="BJ603" s="73"/>
      <c r="BK603" s="78"/>
      <c r="BL603" s="78"/>
      <c r="BM603" s="78"/>
      <c r="BN603" s="78"/>
      <c r="BO603" s="66"/>
      <c r="BP603" s="66"/>
    </row>
    <row r="604" spans="1:68" ht="13.2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/>
      <c r="AQ604" s="75"/>
      <c r="AR604" s="75"/>
      <c r="AS604" s="75"/>
      <c r="AT604" s="75"/>
      <c r="AU604" s="75"/>
      <c r="AV604" s="75"/>
      <c r="AW604" s="75"/>
      <c r="AX604" s="75"/>
      <c r="AY604" s="67"/>
      <c r="AZ604" s="75"/>
      <c r="BA604" s="67"/>
      <c r="BB604" s="66"/>
      <c r="BC604" s="4"/>
      <c r="BD604" s="67"/>
      <c r="BE604" s="67"/>
      <c r="BF604" s="68"/>
      <c r="BG604" s="69"/>
      <c r="BH604" s="84"/>
      <c r="BI604" s="70"/>
      <c r="BJ604" s="73"/>
      <c r="BK604" s="78"/>
      <c r="BL604" s="78"/>
      <c r="BM604" s="78"/>
      <c r="BN604" s="78"/>
      <c r="BO604" s="66"/>
      <c r="BP604" s="66"/>
    </row>
    <row r="605" spans="1:68" ht="13.2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/>
      <c r="AQ605" s="75"/>
      <c r="AR605" s="75"/>
      <c r="AS605" s="75"/>
      <c r="AT605" s="75"/>
      <c r="AU605" s="75"/>
      <c r="AV605" s="75"/>
      <c r="AW605" s="75"/>
      <c r="AX605" s="75"/>
      <c r="AY605" s="67"/>
      <c r="AZ605" s="75"/>
      <c r="BA605" s="67"/>
      <c r="BB605" s="66"/>
      <c r="BC605" s="4"/>
      <c r="BD605" s="67"/>
      <c r="BE605" s="67"/>
      <c r="BF605" s="68"/>
      <c r="BG605" s="69"/>
      <c r="BH605" s="84"/>
      <c r="BI605" s="70"/>
      <c r="BJ605" s="73"/>
      <c r="BK605" s="78"/>
      <c r="BL605" s="78"/>
      <c r="BM605" s="78"/>
      <c r="BN605" s="78"/>
      <c r="BO605" s="66"/>
      <c r="BP605" s="66"/>
    </row>
    <row r="606" spans="1:68" ht="13.2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/>
      <c r="AQ606" s="75"/>
      <c r="AR606" s="75"/>
      <c r="AS606" s="75"/>
      <c r="AT606" s="75"/>
      <c r="AU606" s="75"/>
      <c r="AV606" s="75"/>
      <c r="AW606" s="75"/>
      <c r="AX606" s="75"/>
      <c r="AY606" s="67"/>
      <c r="AZ606" s="75"/>
      <c r="BA606" s="67"/>
      <c r="BB606" s="66"/>
      <c r="BC606" s="4"/>
      <c r="BD606" s="67"/>
      <c r="BE606" s="67"/>
      <c r="BF606" s="68"/>
      <c r="BG606" s="69"/>
      <c r="BH606" s="84"/>
      <c r="BI606" s="70"/>
      <c r="BJ606" s="73"/>
      <c r="BK606" s="78"/>
      <c r="BL606" s="78"/>
      <c r="BM606" s="78"/>
      <c r="BN606" s="78"/>
      <c r="BO606" s="66"/>
      <c r="BP606" s="66"/>
    </row>
    <row r="607" spans="1:68" ht="13.2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/>
      <c r="AQ607" s="75"/>
      <c r="AR607" s="75"/>
      <c r="AS607" s="75"/>
      <c r="AT607" s="75"/>
      <c r="AU607" s="75"/>
      <c r="AV607" s="75"/>
      <c r="AW607" s="75"/>
      <c r="AX607" s="75"/>
      <c r="AY607" s="67"/>
      <c r="AZ607" s="75"/>
      <c r="BA607" s="67"/>
      <c r="BB607" s="66"/>
      <c r="BC607" s="4"/>
      <c r="BD607" s="67"/>
      <c r="BE607" s="67"/>
      <c r="BF607" s="68"/>
      <c r="BG607" s="69"/>
      <c r="BH607" s="84"/>
      <c r="BI607" s="70"/>
      <c r="BJ607" s="73"/>
      <c r="BK607" s="78"/>
      <c r="BL607" s="78"/>
      <c r="BM607" s="78"/>
      <c r="BN607" s="78"/>
      <c r="BO607" s="66"/>
      <c r="BP607" s="66"/>
    </row>
    <row r="608" spans="1:68" ht="13.2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/>
      <c r="AQ608" s="75"/>
      <c r="AR608" s="75"/>
      <c r="AS608" s="75"/>
      <c r="AT608" s="75"/>
      <c r="AU608" s="75"/>
      <c r="AV608" s="75"/>
      <c r="AW608" s="75"/>
      <c r="AX608" s="75"/>
      <c r="AY608" s="67"/>
      <c r="AZ608" s="75"/>
      <c r="BA608" s="67"/>
      <c r="BB608" s="66"/>
      <c r="BC608" s="4"/>
      <c r="BD608" s="67"/>
      <c r="BE608" s="67"/>
      <c r="BF608" s="68"/>
      <c r="BG608" s="69"/>
      <c r="BH608" s="84"/>
      <c r="BI608" s="70"/>
      <c r="BJ608" s="73"/>
      <c r="BK608" s="78"/>
      <c r="BL608" s="78"/>
      <c r="BM608" s="78"/>
      <c r="BN608" s="78"/>
      <c r="BO608" s="66"/>
      <c r="BP608" s="66"/>
    </row>
    <row r="609" spans="1:68" ht="13.2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/>
      <c r="AQ609" s="75"/>
      <c r="AR609" s="75"/>
      <c r="AS609" s="75"/>
      <c r="AT609" s="75"/>
      <c r="AU609" s="75"/>
      <c r="AV609" s="75"/>
      <c r="AW609" s="75"/>
      <c r="AX609" s="75"/>
      <c r="AY609" s="67"/>
      <c r="AZ609" s="75"/>
      <c r="BA609" s="67"/>
      <c r="BB609" s="66"/>
      <c r="BC609" s="4"/>
      <c r="BD609" s="67"/>
      <c r="BE609" s="67"/>
      <c r="BF609" s="68"/>
      <c r="BG609" s="69"/>
      <c r="BH609" s="84"/>
      <c r="BI609" s="70"/>
      <c r="BJ609" s="73"/>
      <c r="BK609" s="78"/>
      <c r="BL609" s="78"/>
      <c r="BM609" s="78"/>
      <c r="BN609" s="78"/>
      <c r="BO609" s="66"/>
      <c r="BP609" s="66"/>
    </row>
    <row r="610" spans="1:68" ht="13.2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/>
      <c r="AQ610" s="75"/>
      <c r="AR610" s="75"/>
      <c r="AS610" s="75"/>
      <c r="AT610" s="75"/>
      <c r="AU610" s="75"/>
      <c r="AV610" s="75"/>
      <c r="AW610" s="75"/>
      <c r="AX610" s="75"/>
      <c r="AY610" s="67"/>
      <c r="AZ610" s="75"/>
      <c r="BA610" s="67"/>
      <c r="BB610" s="66"/>
      <c r="BC610" s="4"/>
      <c r="BD610" s="67"/>
      <c r="BE610" s="67"/>
      <c r="BF610" s="68"/>
      <c r="BG610" s="69"/>
      <c r="BH610" s="84"/>
      <c r="BI610" s="70"/>
      <c r="BJ610" s="73"/>
      <c r="BK610" s="78"/>
      <c r="BL610" s="78"/>
      <c r="BM610" s="78"/>
      <c r="BN610" s="78"/>
      <c r="BO610" s="66"/>
      <c r="BP610" s="66"/>
    </row>
    <row r="611" spans="1:68" ht="13.2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/>
      <c r="AQ611" s="75"/>
      <c r="AR611" s="75"/>
      <c r="AS611" s="75"/>
      <c r="AT611" s="75"/>
      <c r="AU611" s="75"/>
      <c r="AV611" s="75"/>
      <c r="AW611" s="75"/>
      <c r="AX611" s="75"/>
      <c r="AY611" s="67"/>
      <c r="AZ611" s="75"/>
      <c r="BA611" s="67"/>
      <c r="BB611" s="66"/>
      <c r="BC611" s="4"/>
      <c r="BD611" s="67"/>
      <c r="BE611" s="67"/>
      <c r="BF611" s="68"/>
      <c r="BG611" s="69"/>
      <c r="BH611" s="84"/>
      <c r="BI611" s="70"/>
      <c r="BJ611" s="73"/>
      <c r="BK611" s="78"/>
      <c r="BL611" s="78"/>
      <c r="BM611" s="78"/>
      <c r="BN611" s="78"/>
      <c r="BO611" s="66"/>
      <c r="BP611" s="66"/>
    </row>
    <row r="612" spans="1:68" ht="13.2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/>
      <c r="AQ612" s="75"/>
      <c r="AR612" s="75"/>
      <c r="AS612" s="75"/>
      <c r="AT612" s="75"/>
      <c r="AU612" s="75"/>
      <c r="AV612" s="75"/>
      <c r="AW612" s="75"/>
      <c r="AX612" s="75"/>
      <c r="AY612" s="67"/>
      <c r="AZ612" s="75"/>
      <c r="BA612" s="67"/>
      <c r="BB612" s="66"/>
      <c r="BC612" s="4"/>
      <c r="BD612" s="67"/>
      <c r="BE612" s="67"/>
      <c r="BF612" s="68"/>
      <c r="BG612" s="69"/>
      <c r="BH612" s="84"/>
      <c r="BI612" s="70"/>
      <c r="BJ612" s="73"/>
      <c r="BK612" s="78"/>
      <c r="BL612" s="78"/>
      <c r="BM612" s="78"/>
      <c r="BN612" s="78"/>
      <c r="BO612" s="66"/>
      <c r="BP612" s="66"/>
    </row>
    <row r="613" spans="1:68" ht="13.2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/>
      <c r="AQ613" s="75"/>
      <c r="AR613" s="75"/>
      <c r="AS613" s="75"/>
      <c r="AT613" s="75"/>
      <c r="AU613" s="75"/>
      <c r="AV613" s="75"/>
      <c r="AW613" s="75"/>
      <c r="AX613" s="75"/>
      <c r="AY613" s="67"/>
      <c r="AZ613" s="75"/>
      <c r="BA613" s="67"/>
      <c r="BB613" s="66"/>
      <c r="BC613" s="4"/>
      <c r="BD613" s="67"/>
      <c r="BE613" s="67"/>
      <c r="BF613" s="68"/>
      <c r="BG613" s="69"/>
      <c r="BH613" s="84"/>
      <c r="BI613" s="70"/>
      <c r="BJ613" s="73"/>
      <c r="BK613" s="78"/>
      <c r="BL613" s="78"/>
      <c r="BM613" s="78"/>
      <c r="BN613" s="78"/>
      <c r="BO613" s="66"/>
      <c r="BP613" s="66"/>
    </row>
    <row r="614" spans="1:68" ht="13.2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/>
      <c r="AQ614" s="75"/>
      <c r="AR614" s="75"/>
      <c r="AS614" s="75"/>
      <c r="AT614" s="75"/>
      <c r="AU614" s="75"/>
      <c r="AV614" s="75"/>
      <c r="AW614" s="75"/>
      <c r="AX614" s="75"/>
      <c r="AY614" s="67"/>
      <c r="AZ614" s="75"/>
      <c r="BA614" s="67"/>
      <c r="BB614" s="66"/>
      <c r="BC614" s="4"/>
      <c r="BD614" s="67"/>
      <c r="BE614" s="67"/>
      <c r="BF614" s="68"/>
      <c r="BG614" s="69"/>
      <c r="BH614" s="84"/>
      <c r="BI614" s="70"/>
      <c r="BJ614" s="73"/>
      <c r="BK614" s="78"/>
      <c r="BL614" s="78"/>
      <c r="BM614" s="78"/>
      <c r="BN614" s="78"/>
      <c r="BO614" s="66"/>
      <c r="BP614" s="66"/>
    </row>
    <row r="615" spans="1:68" ht="13.2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/>
      <c r="AQ615" s="75"/>
      <c r="AR615" s="75"/>
      <c r="AS615" s="75"/>
      <c r="AT615" s="75"/>
      <c r="AU615" s="75"/>
      <c r="AV615" s="75"/>
      <c r="AW615" s="75"/>
      <c r="AX615" s="75"/>
      <c r="AY615" s="67"/>
      <c r="AZ615" s="75"/>
      <c r="BA615" s="67"/>
      <c r="BB615" s="66"/>
      <c r="BC615" s="4"/>
      <c r="BD615" s="67"/>
      <c r="BE615" s="67"/>
      <c r="BF615" s="68"/>
      <c r="BG615" s="69"/>
      <c r="BH615" s="84"/>
      <c r="BI615" s="70"/>
      <c r="BJ615" s="73"/>
      <c r="BK615" s="78"/>
      <c r="BL615" s="78"/>
      <c r="BM615" s="78"/>
      <c r="BN615" s="78"/>
      <c r="BO615" s="66"/>
      <c r="BP615" s="66"/>
    </row>
    <row r="616" spans="1:68" ht="13.2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/>
      <c r="AQ616" s="75"/>
      <c r="AR616" s="75"/>
      <c r="AS616" s="75"/>
      <c r="AT616" s="75"/>
      <c r="AU616" s="75"/>
      <c r="AV616" s="75"/>
      <c r="AW616" s="75"/>
      <c r="AX616" s="75"/>
      <c r="AY616" s="67"/>
      <c r="AZ616" s="75"/>
      <c r="BA616" s="67"/>
      <c r="BB616" s="66"/>
      <c r="BC616" s="4"/>
      <c r="BD616" s="67"/>
      <c r="BE616" s="67"/>
      <c r="BF616" s="68"/>
      <c r="BG616" s="69"/>
      <c r="BH616" s="84"/>
      <c r="BI616" s="70"/>
      <c r="BJ616" s="73"/>
      <c r="BK616" s="78"/>
      <c r="BL616" s="78"/>
      <c r="BM616" s="78"/>
      <c r="BN616" s="78"/>
      <c r="BO616" s="66"/>
      <c r="BP616" s="66"/>
    </row>
    <row r="617" spans="1:68" ht="13.2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/>
      <c r="AQ617" s="75"/>
      <c r="AR617" s="75"/>
      <c r="AS617" s="75"/>
      <c r="AT617" s="75"/>
      <c r="AU617" s="75"/>
      <c r="AV617" s="75"/>
      <c r="AW617" s="75"/>
      <c r="AX617" s="75"/>
      <c r="AY617" s="67"/>
      <c r="AZ617" s="75"/>
      <c r="BA617" s="67"/>
      <c r="BB617" s="66"/>
      <c r="BC617" s="4"/>
      <c r="BD617" s="67"/>
      <c r="BE617" s="67"/>
      <c r="BF617" s="68"/>
      <c r="BG617" s="69"/>
      <c r="BH617" s="84"/>
      <c r="BI617" s="70"/>
      <c r="BJ617" s="73"/>
      <c r="BK617" s="78"/>
      <c r="BL617" s="78"/>
      <c r="BM617" s="78"/>
      <c r="BN617" s="78"/>
      <c r="BO617" s="66"/>
      <c r="BP617" s="66"/>
    </row>
    <row r="618" spans="1:68" ht="13.2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/>
      <c r="AQ618" s="75"/>
      <c r="AR618" s="75"/>
      <c r="AS618" s="75"/>
      <c r="AT618" s="75"/>
      <c r="AU618" s="75"/>
      <c r="AV618" s="75"/>
      <c r="AW618" s="75"/>
      <c r="AX618" s="75"/>
      <c r="AY618" s="67"/>
      <c r="AZ618" s="75"/>
      <c r="BA618" s="67"/>
      <c r="BB618" s="66"/>
      <c r="BC618" s="4"/>
      <c r="BD618" s="67"/>
      <c r="BE618" s="67"/>
      <c r="BF618" s="68"/>
      <c r="BG618" s="69"/>
      <c r="BH618" s="84"/>
      <c r="BI618" s="70"/>
      <c r="BJ618" s="73"/>
      <c r="BK618" s="78"/>
      <c r="BL618" s="78"/>
      <c r="BM618" s="78"/>
      <c r="BN618" s="78"/>
      <c r="BO618" s="66"/>
      <c r="BP618" s="66"/>
    </row>
    <row r="619" spans="1:68" ht="13.2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/>
      <c r="AQ619" s="75"/>
      <c r="AR619" s="75"/>
      <c r="AS619" s="75"/>
      <c r="AT619" s="75"/>
      <c r="AU619" s="75"/>
      <c r="AV619" s="75"/>
      <c r="AW619" s="75"/>
      <c r="AX619" s="75"/>
      <c r="AY619" s="67"/>
      <c r="AZ619" s="75"/>
      <c r="BA619" s="67"/>
      <c r="BB619" s="66"/>
      <c r="BC619" s="4"/>
      <c r="BD619" s="67"/>
      <c r="BE619" s="67"/>
      <c r="BF619" s="68"/>
      <c r="BG619" s="69"/>
      <c r="BH619" s="84"/>
      <c r="BI619" s="70"/>
      <c r="BJ619" s="73"/>
      <c r="BK619" s="78"/>
      <c r="BL619" s="78"/>
      <c r="BM619" s="78"/>
      <c r="BN619" s="78"/>
      <c r="BO619" s="66"/>
      <c r="BP619" s="66"/>
    </row>
    <row r="620" spans="1:68" ht="13.2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/>
      <c r="AQ620" s="75"/>
      <c r="AR620" s="75"/>
      <c r="AS620" s="75"/>
      <c r="AT620" s="75"/>
      <c r="AU620" s="75"/>
      <c r="AV620" s="75"/>
      <c r="AW620" s="75"/>
      <c r="AX620" s="75"/>
      <c r="AY620" s="67"/>
      <c r="AZ620" s="75"/>
      <c r="BA620" s="67"/>
      <c r="BB620" s="66"/>
      <c r="BC620" s="4"/>
      <c r="BD620" s="67"/>
      <c r="BE620" s="67"/>
      <c r="BF620" s="68"/>
      <c r="BG620" s="69"/>
      <c r="BH620" s="84"/>
      <c r="BI620" s="70"/>
      <c r="BJ620" s="73"/>
      <c r="BK620" s="78"/>
      <c r="BL620" s="78"/>
      <c r="BM620" s="78"/>
      <c r="BN620" s="78"/>
      <c r="BO620" s="66"/>
      <c r="BP620" s="66"/>
    </row>
    <row r="621" spans="1:68" ht="13.2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/>
      <c r="AQ621" s="75"/>
      <c r="AR621" s="75"/>
      <c r="AS621" s="75"/>
      <c r="AT621" s="75"/>
      <c r="AU621" s="75"/>
      <c r="AV621" s="75"/>
      <c r="AW621" s="75"/>
      <c r="AX621" s="75"/>
      <c r="AY621" s="67"/>
      <c r="AZ621" s="75"/>
      <c r="BA621" s="67"/>
      <c r="BB621" s="66"/>
      <c r="BC621" s="4"/>
      <c r="BD621" s="67"/>
      <c r="BE621" s="67"/>
      <c r="BF621" s="68"/>
      <c r="BG621" s="69"/>
      <c r="BH621" s="84"/>
      <c r="BI621" s="70"/>
      <c r="BJ621" s="73"/>
      <c r="BK621" s="78"/>
      <c r="BL621" s="78"/>
      <c r="BM621" s="78"/>
      <c r="BN621" s="78"/>
      <c r="BO621" s="66"/>
      <c r="BP621" s="66"/>
    </row>
    <row r="622" spans="1:68" ht="13.2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/>
      <c r="AQ622" s="75"/>
      <c r="AR622" s="75"/>
      <c r="AS622" s="75"/>
      <c r="AT622" s="75"/>
      <c r="AU622" s="75"/>
      <c r="AV622" s="75"/>
      <c r="AW622" s="75"/>
      <c r="AX622" s="75"/>
      <c r="AY622" s="67"/>
      <c r="AZ622" s="75"/>
      <c r="BA622" s="67"/>
      <c r="BB622" s="66"/>
      <c r="BC622" s="4"/>
      <c r="BD622" s="67"/>
      <c r="BE622" s="67"/>
      <c r="BF622" s="68"/>
      <c r="BG622" s="69"/>
      <c r="BH622" s="84"/>
      <c r="BI622" s="70"/>
      <c r="BJ622" s="73"/>
      <c r="BK622" s="78"/>
      <c r="BL622" s="78"/>
      <c r="BM622" s="78"/>
      <c r="BN622" s="78"/>
      <c r="BO622" s="66"/>
      <c r="BP622" s="66"/>
    </row>
    <row r="623" spans="1:68" ht="13.2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/>
      <c r="AQ623" s="75"/>
      <c r="AR623" s="75"/>
      <c r="AS623" s="75"/>
      <c r="AT623" s="75"/>
      <c r="AU623" s="75"/>
      <c r="AV623" s="75"/>
      <c r="AW623" s="75"/>
      <c r="AX623" s="75"/>
      <c r="AY623" s="67"/>
      <c r="AZ623" s="75"/>
      <c r="BA623" s="67"/>
      <c r="BB623" s="66"/>
      <c r="BC623" s="4"/>
      <c r="BD623" s="67"/>
      <c r="BE623" s="67"/>
      <c r="BF623" s="68"/>
      <c r="BG623" s="69"/>
      <c r="BH623" s="84"/>
      <c r="BI623" s="70"/>
      <c r="BJ623" s="73"/>
      <c r="BK623" s="78"/>
      <c r="BL623" s="78"/>
      <c r="BM623" s="78"/>
      <c r="BN623" s="78"/>
      <c r="BO623" s="66"/>
      <c r="BP623" s="66"/>
    </row>
    <row r="624" spans="1:68" ht="13.2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/>
      <c r="AQ624" s="75"/>
      <c r="AR624" s="75"/>
      <c r="AS624" s="75"/>
      <c r="AT624" s="75"/>
      <c r="AU624" s="75"/>
      <c r="AV624" s="75"/>
      <c r="AW624" s="75"/>
      <c r="AX624" s="75"/>
      <c r="AY624" s="67"/>
      <c r="AZ624" s="75"/>
      <c r="BA624" s="67"/>
      <c r="BB624" s="66"/>
      <c r="BC624" s="4"/>
      <c r="BD624" s="67"/>
      <c r="BE624" s="67"/>
      <c r="BF624" s="68"/>
      <c r="BG624" s="69"/>
      <c r="BH624" s="84"/>
      <c r="BI624" s="70"/>
      <c r="BJ624" s="73"/>
      <c r="BK624" s="78"/>
      <c r="BL624" s="78"/>
      <c r="BM624" s="78"/>
      <c r="BN624" s="78"/>
      <c r="BO624" s="66"/>
      <c r="BP624" s="66"/>
    </row>
    <row r="625" spans="1:68" ht="13.2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/>
      <c r="AQ625" s="75"/>
      <c r="AR625" s="75"/>
      <c r="AS625" s="75"/>
      <c r="AT625" s="75"/>
      <c r="AU625" s="75"/>
      <c r="AV625" s="75"/>
      <c r="AW625" s="75"/>
      <c r="AX625" s="75"/>
      <c r="AY625" s="67"/>
      <c r="AZ625" s="75"/>
      <c r="BA625" s="67"/>
      <c r="BB625" s="66"/>
      <c r="BC625" s="4"/>
      <c r="BD625" s="67"/>
      <c r="BE625" s="67"/>
      <c r="BF625" s="68"/>
      <c r="BG625" s="69"/>
      <c r="BH625" s="84"/>
      <c r="BI625" s="70"/>
      <c r="BJ625" s="73"/>
      <c r="BK625" s="78"/>
      <c r="BL625" s="78"/>
      <c r="BM625" s="78"/>
      <c r="BN625" s="78"/>
      <c r="BO625" s="66"/>
      <c r="BP625" s="66"/>
    </row>
    <row r="626" spans="1:68" ht="13.2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/>
      <c r="AQ626" s="75"/>
      <c r="AR626" s="75"/>
      <c r="AS626" s="75"/>
      <c r="AT626" s="75"/>
      <c r="AU626" s="75"/>
      <c r="AV626" s="75"/>
      <c r="AW626" s="75"/>
      <c r="AX626" s="75"/>
      <c r="AY626" s="67"/>
      <c r="AZ626" s="75"/>
      <c r="BA626" s="67"/>
      <c r="BB626" s="66"/>
      <c r="BC626" s="4"/>
      <c r="BD626" s="67"/>
      <c r="BE626" s="67"/>
      <c r="BF626" s="68"/>
      <c r="BG626" s="69"/>
      <c r="BH626" s="84"/>
      <c r="BI626" s="70"/>
      <c r="BJ626" s="73"/>
      <c r="BK626" s="78"/>
      <c r="BL626" s="78"/>
      <c r="BM626" s="78"/>
      <c r="BN626" s="78"/>
      <c r="BO626" s="66"/>
      <c r="BP626" s="66"/>
    </row>
    <row r="627" spans="1:68" ht="13.2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/>
      <c r="AQ627" s="75"/>
      <c r="AR627" s="75"/>
      <c r="AS627" s="75"/>
      <c r="AT627" s="75"/>
      <c r="AU627" s="75"/>
      <c r="AV627" s="75"/>
      <c r="AW627" s="75"/>
      <c r="AX627" s="75"/>
      <c r="AY627" s="67"/>
      <c r="AZ627" s="75"/>
      <c r="BA627" s="67"/>
      <c r="BB627" s="66"/>
      <c r="BC627" s="4"/>
      <c r="BD627" s="67"/>
      <c r="BE627" s="67"/>
      <c r="BF627" s="68"/>
      <c r="BG627" s="69"/>
      <c r="BH627" s="84"/>
      <c r="BI627" s="70"/>
      <c r="BJ627" s="73"/>
      <c r="BK627" s="78"/>
      <c r="BL627" s="78"/>
      <c r="BM627" s="78"/>
      <c r="BN627" s="78"/>
      <c r="BO627" s="66"/>
      <c r="BP627" s="66"/>
    </row>
    <row r="628" spans="1:68" ht="13.2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/>
      <c r="AQ628" s="75"/>
      <c r="AR628" s="75"/>
      <c r="AS628" s="75"/>
      <c r="AT628" s="75"/>
      <c r="AU628" s="75"/>
      <c r="AV628" s="75"/>
      <c r="AW628" s="75"/>
      <c r="AX628" s="75"/>
      <c r="AY628" s="67"/>
      <c r="AZ628" s="75"/>
      <c r="BA628" s="67"/>
      <c r="BB628" s="66"/>
      <c r="BC628" s="4"/>
      <c r="BD628" s="67"/>
      <c r="BE628" s="67"/>
      <c r="BF628" s="68"/>
      <c r="BG628" s="69"/>
      <c r="BH628" s="84"/>
      <c r="BI628" s="70"/>
      <c r="BJ628" s="73"/>
      <c r="BK628" s="78"/>
      <c r="BL628" s="78"/>
      <c r="BM628" s="78"/>
      <c r="BN628" s="78"/>
      <c r="BO628" s="66"/>
      <c r="BP628" s="66"/>
    </row>
    <row r="629" spans="1:68" ht="13.2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/>
      <c r="AQ629" s="75"/>
      <c r="AR629" s="75"/>
      <c r="AS629" s="75"/>
      <c r="AT629" s="75"/>
      <c r="AU629" s="75"/>
      <c r="AV629" s="75"/>
      <c r="AW629" s="75"/>
      <c r="AX629" s="75"/>
      <c r="AY629" s="67"/>
      <c r="AZ629" s="75"/>
      <c r="BA629" s="67"/>
      <c r="BB629" s="66"/>
      <c r="BC629" s="4"/>
      <c r="BD629" s="67"/>
      <c r="BE629" s="67"/>
      <c r="BF629" s="68"/>
      <c r="BG629" s="69"/>
      <c r="BH629" s="84"/>
      <c r="BI629" s="70"/>
      <c r="BJ629" s="73"/>
      <c r="BK629" s="78"/>
      <c r="BL629" s="78"/>
      <c r="BM629" s="78"/>
      <c r="BN629" s="78"/>
      <c r="BO629" s="66"/>
      <c r="BP629" s="66"/>
    </row>
    <row r="630" spans="1:68" ht="13.2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/>
      <c r="AQ630" s="75"/>
      <c r="AR630" s="75"/>
      <c r="AS630" s="75"/>
      <c r="AT630" s="75"/>
      <c r="AU630" s="75"/>
      <c r="AV630" s="75"/>
      <c r="AW630" s="75"/>
      <c r="AX630" s="75"/>
      <c r="AY630" s="67"/>
      <c r="AZ630" s="75"/>
      <c r="BA630" s="67"/>
      <c r="BB630" s="66"/>
      <c r="BC630" s="4"/>
      <c r="BD630" s="67"/>
      <c r="BE630" s="67"/>
      <c r="BF630" s="68"/>
      <c r="BG630" s="69"/>
      <c r="BH630" s="84"/>
      <c r="BI630" s="70"/>
      <c r="BJ630" s="73"/>
      <c r="BK630" s="78"/>
      <c r="BL630" s="78"/>
      <c r="BM630" s="78"/>
      <c r="BN630" s="78"/>
      <c r="BO630" s="66"/>
      <c r="BP630" s="66"/>
    </row>
    <row r="631" spans="1:68" ht="13.2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/>
      <c r="AQ631" s="75"/>
      <c r="AR631" s="75"/>
      <c r="AS631" s="75"/>
      <c r="AT631" s="75"/>
      <c r="AU631" s="75"/>
      <c r="AV631" s="75"/>
      <c r="AW631" s="75"/>
      <c r="AX631" s="75"/>
      <c r="AY631" s="67"/>
      <c r="AZ631" s="75"/>
      <c r="BA631" s="67"/>
      <c r="BB631" s="66"/>
      <c r="BC631" s="4"/>
      <c r="BD631" s="67"/>
      <c r="BE631" s="67"/>
      <c r="BF631" s="68"/>
      <c r="BG631" s="69"/>
      <c r="BH631" s="84"/>
      <c r="BI631" s="70"/>
      <c r="BJ631" s="73"/>
      <c r="BK631" s="78"/>
      <c r="BL631" s="78"/>
      <c r="BM631" s="78"/>
      <c r="BN631" s="78"/>
      <c r="BO631" s="66"/>
      <c r="BP631" s="66"/>
    </row>
    <row r="632" spans="1:68" ht="13.2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/>
      <c r="AQ632" s="75"/>
      <c r="AR632" s="75"/>
      <c r="AS632" s="75"/>
      <c r="AT632" s="75"/>
      <c r="AU632" s="75"/>
      <c r="AV632" s="75"/>
      <c r="AW632" s="75"/>
      <c r="AX632" s="75"/>
      <c r="AY632" s="67"/>
      <c r="AZ632" s="75"/>
      <c r="BA632" s="67"/>
      <c r="BB632" s="66"/>
      <c r="BC632" s="4"/>
      <c r="BD632" s="67"/>
      <c r="BE632" s="67"/>
      <c r="BF632" s="68"/>
      <c r="BG632" s="69"/>
      <c r="BH632" s="84"/>
      <c r="BI632" s="70"/>
      <c r="BJ632" s="73"/>
      <c r="BK632" s="78"/>
      <c r="BL632" s="78"/>
      <c r="BM632" s="78"/>
      <c r="BN632" s="78"/>
      <c r="BO632" s="66"/>
      <c r="BP632" s="66"/>
    </row>
    <row r="633" spans="1:68" ht="13.2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/>
      <c r="AQ633" s="75"/>
      <c r="AR633" s="75"/>
      <c r="AS633" s="75"/>
      <c r="AT633" s="75"/>
      <c r="AU633" s="75"/>
      <c r="AV633" s="75"/>
      <c r="AW633" s="75"/>
      <c r="AX633" s="75"/>
      <c r="AY633" s="67"/>
      <c r="AZ633" s="75"/>
      <c r="BA633" s="67"/>
      <c r="BB633" s="66"/>
      <c r="BC633" s="4"/>
      <c r="BD633" s="67"/>
      <c r="BE633" s="67"/>
      <c r="BF633" s="68"/>
      <c r="BG633" s="69"/>
      <c r="BH633" s="84"/>
      <c r="BI633" s="70"/>
      <c r="BJ633" s="73"/>
      <c r="BK633" s="78"/>
      <c r="BL633" s="78"/>
      <c r="BM633" s="78"/>
      <c r="BN633" s="78"/>
      <c r="BO633" s="66"/>
      <c r="BP633" s="66"/>
    </row>
    <row r="634" spans="1:68" ht="13.2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/>
      <c r="AQ634" s="75"/>
      <c r="AR634" s="75"/>
      <c r="AS634" s="75"/>
      <c r="AT634" s="75"/>
      <c r="AU634" s="75"/>
      <c r="AV634" s="75"/>
      <c r="AW634" s="75"/>
      <c r="AX634" s="75"/>
      <c r="AY634" s="67"/>
      <c r="AZ634" s="75"/>
      <c r="BA634" s="67"/>
      <c r="BB634" s="66"/>
      <c r="BC634" s="4"/>
      <c r="BD634" s="67"/>
      <c r="BE634" s="67"/>
      <c r="BF634" s="68"/>
      <c r="BG634" s="69"/>
      <c r="BH634" s="84"/>
      <c r="BI634" s="70"/>
      <c r="BJ634" s="73"/>
      <c r="BK634" s="78"/>
      <c r="BL634" s="78"/>
      <c r="BM634" s="78"/>
      <c r="BN634" s="78"/>
      <c r="BO634" s="66"/>
      <c r="BP634" s="66"/>
    </row>
    <row r="635" spans="1:68" ht="13.2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/>
      <c r="AQ635" s="75"/>
      <c r="AR635" s="75"/>
      <c r="AS635" s="75"/>
      <c r="AT635" s="75"/>
      <c r="AU635" s="75"/>
      <c r="AV635" s="75"/>
      <c r="AW635" s="75"/>
      <c r="AX635" s="75"/>
      <c r="AY635" s="67"/>
      <c r="AZ635" s="75"/>
      <c r="BA635" s="67"/>
      <c r="BB635" s="66"/>
      <c r="BC635" s="4"/>
      <c r="BD635" s="67"/>
      <c r="BE635" s="67"/>
      <c r="BF635" s="68"/>
      <c r="BG635" s="69"/>
      <c r="BH635" s="84"/>
      <c r="BI635" s="70"/>
      <c r="BJ635" s="73"/>
      <c r="BK635" s="78"/>
      <c r="BL635" s="78"/>
      <c r="BM635" s="78"/>
      <c r="BN635" s="78"/>
      <c r="BO635" s="66"/>
      <c r="BP635" s="66"/>
    </row>
    <row r="636" spans="1:68" ht="13.2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/>
      <c r="AQ636" s="75"/>
      <c r="AR636" s="75"/>
      <c r="AS636" s="75"/>
      <c r="AT636" s="75"/>
      <c r="AU636" s="75"/>
      <c r="AV636" s="75"/>
      <c r="AW636" s="75"/>
      <c r="AX636" s="75"/>
      <c r="AY636" s="67"/>
      <c r="AZ636" s="75"/>
      <c r="BA636" s="67"/>
      <c r="BB636" s="66"/>
      <c r="BC636" s="4"/>
      <c r="BD636" s="67"/>
      <c r="BE636" s="67"/>
      <c r="BF636" s="68"/>
      <c r="BG636" s="69"/>
      <c r="BH636" s="84"/>
      <c r="BI636" s="70"/>
      <c r="BJ636" s="73"/>
      <c r="BK636" s="78"/>
      <c r="BL636" s="78"/>
      <c r="BM636" s="78"/>
      <c r="BN636" s="78"/>
      <c r="BO636" s="66"/>
      <c r="BP636" s="66"/>
    </row>
    <row r="637" spans="1:68" ht="13.2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/>
      <c r="AQ637" s="75"/>
      <c r="AR637" s="75"/>
      <c r="AS637" s="75"/>
      <c r="AT637" s="75"/>
      <c r="AU637" s="75"/>
      <c r="AV637" s="75"/>
      <c r="AW637" s="75"/>
      <c r="AX637" s="75"/>
      <c r="AY637" s="67"/>
      <c r="AZ637" s="75"/>
      <c r="BA637" s="67"/>
      <c r="BB637" s="66"/>
      <c r="BC637" s="4"/>
      <c r="BD637" s="67"/>
      <c r="BE637" s="67"/>
      <c r="BF637" s="68"/>
      <c r="BG637" s="69"/>
      <c r="BH637" s="84"/>
      <c r="BI637" s="70"/>
      <c r="BJ637" s="73"/>
      <c r="BK637" s="78"/>
      <c r="BL637" s="78"/>
      <c r="BM637" s="78"/>
      <c r="BN637" s="78"/>
      <c r="BO637" s="66"/>
      <c r="BP637" s="66"/>
    </row>
    <row r="638" spans="1:68" ht="13.2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/>
      <c r="AQ638" s="75"/>
      <c r="AR638" s="75"/>
      <c r="AS638" s="75"/>
      <c r="AT638" s="75"/>
      <c r="AU638" s="75"/>
      <c r="AV638" s="75"/>
      <c r="AW638" s="75"/>
      <c r="AX638" s="75"/>
      <c r="AY638" s="67"/>
      <c r="AZ638" s="75"/>
      <c r="BA638" s="67"/>
      <c r="BB638" s="66"/>
      <c r="BC638" s="4"/>
      <c r="BD638" s="67"/>
      <c r="BE638" s="67"/>
      <c r="BF638" s="68"/>
      <c r="BG638" s="69"/>
      <c r="BH638" s="84"/>
      <c r="BI638" s="70"/>
      <c r="BJ638" s="73"/>
      <c r="BK638" s="78"/>
      <c r="BL638" s="78"/>
      <c r="BM638" s="78"/>
      <c r="BN638" s="78"/>
      <c r="BO638" s="66"/>
      <c r="BP638" s="66"/>
    </row>
    <row r="639" spans="1:68" ht="13.2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/>
      <c r="AQ639" s="75"/>
      <c r="AR639" s="75"/>
      <c r="AS639" s="75"/>
      <c r="AT639" s="75"/>
      <c r="AU639" s="75"/>
      <c r="AV639" s="75"/>
      <c r="AW639" s="75"/>
      <c r="AX639" s="75"/>
      <c r="AY639" s="67"/>
      <c r="AZ639" s="75"/>
      <c r="BA639" s="67"/>
      <c r="BB639" s="66"/>
      <c r="BC639" s="4"/>
      <c r="BD639" s="67"/>
      <c r="BE639" s="67"/>
      <c r="BF639" s="68"/>
      <c r="BG639" s="69"/>
      <c r="BH639" s="84"/>
      <c r="BI639" s="70"/>
      <c r="BJ639" s="73"/>
      <c r="BK639" s="78"/>
      <c r="BL639" s="78"/>
      <c r="BM639" s="78"/>
      <c r="BN639" s="78"/>
      <c r="BO639" s="66"/>
      <c r="BP639" s="66"/>
    </row>
    <row r="640" spans="1:68" ht="13.2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/>
      <c r="AQ640" s="75"/>
      <c r="AR640" s="75"/>
      <c r="AS640" s="75"/>
      <c r="AT640" s="75"/>
      <c r="AU640" s="75"/>
      <c r="AV640" s="75"/>
      <c r="AW640" s="75"/>
      <c r="AX640" s="75"/>
      <c r="AY640" s="67"/>
      <c r="AZ640" s="75"/>
      <c r="BA640" s="67"/>
      <c r="BB640" s="66"/>
      <c r="BC640" s="4"/>
      <c r="BD640" s="67"/>
      <c r="BE640" s="67"/>
      <c r="BF640" s="68"/>
      <c r="BG640" s="69"/>
      <c r="BH640" s="70"/>
      <c r="BI640" s="70"/>
      <c r="BJ640" s="73"/>
      <c r="BK640" s="78"/>
      <c r="BL640" s="78"/>
      <c r="BM640" s="78"/>
      <c r="BN640" s="78"/>
      <c r="BO640" s="66"/>
      <c r="BP640" s="66"/>
    </row>
    <row r="641" spans="1:68" ht="13.2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/>
      <c r="AQ641" s="75"/>
      <c r="AR641" s="75"/>
      <c r="AS641" s="75"/>
      <c r="AT641" s="75"/>
      <c r="AU641" s="75"/>
      <c r="AV641" s="75"/>
      <c r="AW641" s="75"/>
      <c r="AX641" s="75"/>
      <c r="AY641" s="67"/>
      <c r="AZ641" s="75"/>
      <c r="BA641" s="67"/>
      <c r="BB641" s="66"/>
      <c r="BC641" s="4"/>
      <c r="BD641" s="67"/>
      <c r="BE641" s="67"/>
      <c r="BF641" s="68"/>
      <c r="BG641" s="69"/>
      <c r="BH641" s="70"/>
      <c r="BI641" s="70"/>
      <c r="BJ641" s="73"/>
      <c r="BK641" s="78"/>
      <c r="BL641" s="78"/>
      <c r="BM641" s="78"/>
      <c r="BN641" s="78"/>
      <c r="BO641" s="66"/>
      <c r="BP641" s="66"/>
    </row>
    <row r="642" spans="1:68" ht="13.2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/>
      <c r="AQ642" s="75"/>
      <c r="AR642" s="75"/>
      <c r="AS642" s="75"/>
      <c r="AT642" s="75"/>
      <c r="AU642" s="75"/>
      <c r="AV642" s="75"/>
      <c r="AW642" s="75"/>
      <c r="AX642" s="75"/>
      <c r="AY642" s="67"/>
      <c r="AZ642" s="75"/>
      <c r="BA642" s="67"/>
      <c r="BB642" s="66"/>
      <c r="BC642" s="4"/>
      <c r="BD642" s="67"/>
      <c r="BE642" s="67"/>
      <c r="BF642" s="68"/>
      <c r="BG642" s="69"/>
      <c r="BH642" s="70"/>
      <c r="BI642" s="70"/>
      <c r="BJ642" s="73"/>
      <c r="BK642" s="78"/>
      <c r="BL642" s="78"/>
      <c r="BM642" s="78"/>
      <c r="BN642" s="78"/>
      <c r="BO642" s="66"/>
      <c r="BP642" s="66"/>
    </row>
    <row r="643" spans="1:68" ht="13.2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/>
      <c r="AQ643" s="75"/>
      <c r="AR643" s="75"/>
      <c r="AS643" s="75"/>
      <c r="AT643" s="75"/>
      <c r="AU643" s="75"/>
      <c r="AV643" s="75"/>
      <c r="AW643" s="75"/>
      <c r="AX643" s="75"/>
      <c r="AY643" s="67"/>
      <c r="AZ643" s="75"/>
      <c r="BA643" s="67"/>
      <c r="BB643" s="66"/>
      <c r="BC643" s="4"/>
      <c r="BD643" s="67"/>
      <c r="BE643" s="67"/>
      <c r="BF643" s="68"/>
      <c r="BG643" s="69"/>
      <c r="BH643" s="70"/>
      <c r="BI643" s="70"/>
      <c r="BJ643" s="73"/>
      <c r="BK643" s="78"/>
      <c r="BL643" s="78"/>
      <c r="BM643" s="78"/>
      <c r="BN643" s="78"/>
      <c r="BO643" s="66"/>
      <c r="BP643" s="66"/>
    </row>
    <row r="644" spans="1:68" ht="13.2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/>
      <c r="AQ644" s="75"/>
      <c r="AR644" s="75"/>
      <c r="AS644" s="75"/>
      <c r="AT644" s="75"/>
      <c r="AU644" s="75"/>
      <c r="AV644" s="75"/>
      <c r="AW644" s="75"/>
      <c r="AX644" s="75"/>
      <c r="AY644" s="67"/>
      <c r="AZ644" s="75"/>
      <c r="BA644" s="67"/>
      <c r="BB644" s="66"/>
      <c r="BC644" s="4"/>
      <c r="BD644" s="67"/>
      <c r="BE644" s="67"/>
      <c r="BF644" s="68"/>
      <c r="BG644" s="69"/>
      <c r="BH644" s="70"/>
      <c r="BI644" s="70"/>
      <c r="BJ644" s="73"/>
      <c r="BK644" s="78"/>
      <c r="BL644" s="78"/>
      <c r="BM644" s="78"/>
      <c r="BN644" s="78"/>
      <c r="BO644" s="66"/>
      <c r="BP644" s="66"/>
    </row>
    <row r="645" spans="1:68" ht="13.2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/>
      <c r="AQ645" s="75"/>
      <c r="AR645" s="75"/>
      <c r="AS645" s="75"/>
      <c r="AT645" s="75"/>
      <c r="AU645" s="75"/>
      <c r="AV645" s="75"/>
      <c r="AW645" s="75"/>
      <c r="AX645" s="75"/>
      <c r="AY645" s="67"/>
      <c r="AZ645" s="75"/>
      <c r="BA645" s="67"/>
      <c r="BB645" s="66"/>
      <c r="BC645" s="4"/>
      <c r="BD645" s="67"/>
      <c r="BE645" s="67"/>
      <c r="BF645" s="68"/>
      <c r="BG645" s="69"/>
      <c r="BH645" s="70"/>
      <c r="BI645" s="70"/>
      <c r="BJ645" s="73"/>
      <c r="BK645" s="78"/>
      <c r="BL645" s="78"/>
      <c r="BM645" s="78"/>
      <c r="BN645" s="78"/>
      <c r="BO645" s="66"/>
      <c r="BP645" s="66"/>
    </row>
    <row r="646" spans="1:68" ht="13.2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/>
      <c r="AQ646" s="75"/>
      <c r="AR646" s="75"/>
      <c r="AS646" s="75"/>
      <c r="AT646" s="75"/>
      <c r="AU646" s="75"/>
      <c r="AV646" s="75"/>
      <c r="AW646" s="75"/>
      <c r="AX646" s="75"/>
      <c r="AY646" s="67"/>
      <c r="AZ646" s="75"/>
      <c r="BA646" s="67"/>
      <c r="BB646" s="66"/>
      <c r="BC646" s="4"/>
      <c r="BD646" s="67"/>
      <c r="BE646" s="67"/>
      <c r="BF646" s="68"/>
      <c r="BG646" s="69"/>
      <c r="BH646" s="84"/>
      <c r="BI646" s="70"/>
      <c r="BJ646" s="73"/>
      <c r="BK646" s="78"/>
      <c r="BL646" s="78"/>
      <c r="BM646" s="78"/>
      <c r="BN646" s="78"/>
      <c r="BO646" s="66"/>
      <c r="BP646" s="66"/>
    </row>
    <row r="647" spans="1:68" ht="13.2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/>
      <c r="AQ647" s="75"/>
      <c r="AR647" s="75"/>
      <c r="AS647" s="75"/>
      <c r="AT647" s="75"/>
      <c r="AU647" s="75"/>
      <c r="AV647" s="75"/>
      <c r="AW647" s="75"/>
      <c r="AX647" s="75"/>
      <c r="AY647" s="67"/>
      <c r="AZ647" s="75"/>
      <c r="BA647" s="67"/>
      <c r="BB647" s="66"/>
      <c r="BC647" s="4"/>
      <c r="BD647" s="67"/>
      <c r="BE647" s="67"/>
      <c r="BF647" s="68"/>
      <c r="BG647" s="69"/>
      <c r="BH647" s="84"/>
      <c r="BI647" s="70"/>
      <c r="BJ647" s="73"/>
      <c r="BK647" s="78"/>
      <c r="BL647" s="78"/>
      <c r="BM647" s="78"/>
      <c r="BN647" s="78"/>
      <c r="BO647" s="66"/>
      <c r="BP647" s="66"/>
    </row>
    <row r="648" spans="1:68" ht="13.2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/>
      <c r="AQ648" s="75"/>
      <c r="AR648" s="75"/>
      <c r="AS648" s="75"/>
      <c r="AT648" s="75"/>
      <c r="AU648" s="75"/>
      <c r="AV648" s="75"/>
      <c r="AW648" s="75"/>
      <c r="AX648" s="75"/>
      <c r="AY648" s="67"/>
      <c r="AZ648" s="75"/>
      <c r="BA648" s="67"/>
      <c r="BB648" s="66"/>
      <c r="BC648" s="4"/>
      <c r="BD648" s="67"/>
      <c r="BE648" s="67"/>
      <c r="BF648" s="68"/>
      <c r="BG648" s="69"/>
      <c r="BH648" s="70"/>
      <c r="BI648" s="70"/>
      <c r="BJ648" s="73"/>
      <c r="BK648" s="78"/>
      <c r="BL648" s="78"/>
      <c r="BM648" s="78"/>
      <c r="BN648" s="78"/>
      <c r="BO648" s="66"/>
      <c r="BP648" s="66"/>
    </row>
    <row r="649" spans="1:68" ht="13.2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/>
      <c r="AQ649" s="75"/>
      <c r="AR649" s="75"/>
      <c r="AS649" s="75"/>
      <c r="AT649" s="75"/>
      <c r="AU649" s="75"/>
      <c r="AV649" s="75"/>
      <c r="AW649" s="75"/>
      <c r="AX649" s="75"/>
      <c r="AY649" s="67"/>
      <c r="AZ649" s="75"/>
      <c r="BA649" s="67"/>
      <c r="BB649" s="66"/>
      <c r="BC649" s="4"/>
      <c r="BD649" s="67"/>
      <c r="BE649" s="67"/>
      <c r="BF649" s="68"/>
      <c r="BG649" s="69"/>
      <c r="BH649" s="70"/>
      <c r="BI649" s="70"/>
      <c r="BJ649" s="73"/>
      <c r="BK649" s="78"/>
      <c r="BL649" s="78"/>
      <c r="BM649" s="78"/>
      <c r="BN649" s="78"/>
      <c r="BO649" s="66"/>
      <c r="BP649" s="66"/>
    </row>
    <row r="650" spans="1:68" ht="13.2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/>
      <c r="AQ650" s="75"/>
      <c r="AR650" s="75"/>
      <c r="AS650" s="75"/>
      <c r="AT650" s="75"/>
      <c r="AU650" s="75"/>
      <c r="AV650" s="75"/>
      <c r="AW650" s="75"/>
      <c r="AX650" s="75"/>
      <c r="AY650" s="67"/>
      <c r="AZ650" s="75"/>
      <c r="BA650" s="67"/>
      <c r="BB650" s="66"/>
      <c r="BC650" s="4"/>
      <c r="BD650" s="67"/>
      <c r="BE650" s="67"/>
      <c r="BF650" s="68"/>
      <c r="BG650" s="69"/>
      <c r="BH650" s="70"/>
      <c r="BI650" s="70"/>
      <c r="BJ650" s="73"/>
      <c r="BK650" s="78"/>
      <c r="BL650" s="78"/>
      <c r="BM650" s="78"/>
      <c r="BN650" s="78"/>
      <c r="BO650" s="66"/>
      <c r="BP650" s="66"/>
    </row>
    <row r="651" spans="1:68" ht="13.2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/>
      <c r="AQ651" s="75"/>
      <c r="AR651" s="75"/>
      <c r="AS651" s="75"/>
      <c r="AT651" s="75"/>
      <c r="AU651" s="75"/>
      <c r="AV651" s="75"/>
      <c r="AW651" s="75"/>
      <c r="AX651" s="75"/>
      <c r="AY651" s="67"/>
      <c r="AZ651" s="75"/>
      <c r="BA651" s="67"/>
      <c r="BB651" s="66"/>
      <c r="BC651" s="4"/>
      <c r="BD651" s="67"/>
      <c r="BE651" s="67"/>
      <c r="BF651" s="68"/>
      <c r="BG651" s="69"/>
      <c r="BH651" s="84"/>
      <c r="BI651" s="70"/>
      <c r="BJ651" s="73"/>
      <c r="BK651" s="78"/>
      <c r="BL651" s="78"/>
      <c r="BM651" s="78"/>
      <c r="BN651" s="78"/>
      <c r="BO651" s="66"/>
      <c r="BP651" s="66"/>
    </row>
    <row r="652" spans="1:68" ht="13.2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/>
      <c r="AQ652" s="75"/>
      <c r="AR652" s="75"/>
      <c r="AS652" s="75"/>
      <c r="AT652" s="75"/>
      <c r="AU652" s="75"/>
      <c r="AV652" s="75"/>
      <c r="AW652" s="75"/>
      <c r="AX652" s="75"/>
      <c r="AY652" s="67"/>
      <c r="AZ652" s="75"/>
      <c r="BA652" s="67"/>
      <c r="BB652" s="66"/>
      <c r="BC652" s="4"/>
      <c r="BD652" s="67"/>
      <c r="BE652" s="67"/>
      <c r="BF652" s="68"/>
      <c r="BG652" s="69"/>
      <c r="BH652" s="84"/>
      <c r="BI652" s="70"/>
      <c r="BJ652" s="73"/>
      <c r="BK652" s="78"/>
      <c r="BL652" s="78"/>
      <c r="BM652" s="78"/>
      <c r="BN652" s="78"/>
      <c r="BO652" s="66"/>
      <c r="BP652" s="66"/>
    </row>
    <row r="653" spans="1:68" ht="13.2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/>
      <c r="AQ653" s="75"/>
      <c r="AR653" s="75"/>
      <c r="AS653" s="75"/>
      <c r="AT653" s="75"/>
      <c r="AU653" s="75"/>
      <c r="AV653" s="75"/>
      <c r="AW653" s="75"/>
      <c r="AX653" s="75"/>
      <c r="AY653" s="67"/>
      <c r="AZ653" s="75"/>
      <c r="BA653" s="67"/>
      <c r="BB653" s="66"/>
      <c r="BC653" s="4"/>
      <c r="BD653" s="67"/>
      <c r="BE653" s="67"/>
      <c r="BF653" s="68"/>
      <c r="BG653" s="69"/>
      <c r="BH653" s="84"/>
      <c r="BI653" s="70"/>
      <c r="BJ653" s="73"/>
      <c r="BK653" s="78"/>
      <c r="BL653" s="78"/>
      <c r="BM653" s="78"/>
      <c r="BN653" s="78"/>
      <c r="BO653" s="66"/>
      <c r="BP653" s="66"/>
    </row>
    <row r="654" spans="1:68" ht="13.2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/>
      <c r="AQ654" s="75"/>
      <c r="AR654" s="75"/>
      <c r="AS654" s="75"/>
      <c r="AT654" s="75"/>
      <c r="AU654" s="75"/>
      <c r="AV654" s="75"/>
      <c r="AW654" s="75"/>
      <c r="AX654" s="75"/>
      <c r="AY654" s="67"/>
      <c r="AZ654" s="75"/>
      <c r="BA654" s="67"/>
      <c r="BB654" s="66"/>
      <c r="BC654" s="4"/>
      <c r="BD654" s="67"/>
      <c r="BE654" s="67"/>
      <c r="BF654" s="68"/>
      <c r="BG654" s="69"/>
      <c r="BH654" s="84"/>
      <c r="BI654" s="70"/>
      <c r="BJ654" s="73"/>
      <c r="BK654" s="78"/>
      <c r="BL654" s="78"/>
      <c r="BM654" s="78"/>
      <c r="BN654" s="78"/>
      <c r="BO654" s="66"/>
      <c r="BP654" s="66"/>
    </row>
    <row r="655" spans="1:68" ht="13.2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/>
      <c r="AQ655" s="75"/>
      <c r="AR655" s="75"/>
      <c r="AS655" s="75"/>
      <c r="AT655" s="75"/>
      <c r="AU655" s="75"/>
      <c r="AV655" s="75"/>
      <c r="AW655" s="75"/>
      <c r="AX655" s="75"/>
      <c r="AY655" s="67"/>
      <c r="AZ655" s="75"/>
      <c r="BA655" s="67"/>
      <c r="BB655" s="66"/>
      <c r="BC655" s="4"/>
      <c r="BD655" s="67"/>
      <c r="BE655" s="67"/>
      <c r="BF655" s="68"/>
      <c r="BG655" s="69"/>
      <c r="BH655" s="84"/>
      <c r="BI655" s="70"/>
      <c r="BJ655" s="73"/>
      <c r="BK655" s="78"/>
      <c r="BL655" s="78"/>
      <c r="BM655" s="78"/>
      <c r="BN655" s="78"/>
      <c r="BO655" s="66"/>
      <c r="BP655" s="66"/>
    </row>
    <row r="656" spans="1:68" ht="13.2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/>
      <c r="AQ656" s="75"/>
      <c r="AR656" s="75"/>
      <c r="AS656" s="75"/>
      <c r="AT656" s="75"/>
      <c r="AU656" s="75"/>
      <c r="AV656" s="75"/>
      <c r="AW656" s="75"/>
      <c r="AX656" s="75"/>
      <c r="AY656" s="67"/>
      <c r="AZ656" s="75"/>
      <c r="BA656" s="67"/>
      <c r="BB656" s="66"/>
      <c r="BC656" s="4"/>
      <c r="BD656" s="67"/>
      <c r="BE656" s="67"/>
      <c r="BF656" s="68"/>
      <c r="BG656" s="69"/>
      <c r="BH656" s="84"/>
      <c r="BI656" s="70"/>
      <c r="BJ656" s="73"/>
      <c r="BK656" s="78"/>
      <c r="BL656" s="78"/>
      <c r="BM656" s="78"/>
      <c r="BN656" s="78"/>
      <c r="BO656" s="66"/>
      <c r="BP656" s="66"/>
    </row>
    <row r="657" spans="1:68" ht="13.2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/>
      <c r="AQ657" s="75"/>
      <c r="AR657" s="75"/>
      <c r="AS657" s="75"/>
      <c r="AT657" s="75"/>
      <c r="AU657" s="75"/>
      <c r="AV657" s="75"/>
      <c r="AW657" s="75"/>
      <c r="AX657" s="75"/>
      <c r="AY657" s="67"/>
      <c r="AZ657" s="75"/>
      <c r="BA657" s="67"/>
      <c r="BB657" s="66"/>
      <c r="BC657" s="4"/>
      <c r="BD657" s="67"/>
      <c r="BE657" s="67"/>
      <c r="BF657" s="68"/>
      <c r="BG657" s="69"/>
      <c r="BH657" s="84"/>
      <c r="BI657" s="70"/>
      <c r="BJ657" s="73"/>
      <c r="BK657" s="78"/>
      <c r="BL657" s="78"/>
      <c r="BM657" s="78"/>
      <c r="BN657" s="78"/>
      <c r="BO657" s="66"/>
      <c r="BP657" s="66"/>
    </row>
    <row r="658" spans="1:68" ht="13.2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/>
      <c r="AQ658" s="75"/>
      <c r="AR658" s="75"/>
      <c r="AS658" s="75"/>
      <c r="AT658" s="75"/>
      <c r="AU658" s="75"/>
      <c r="AV658" s="75"/>
      <c r="AW658" s="75"/>
      <c r="AX658" s="75"/>
      <c r="AY658" s="67"/>
      <c r="AZ658" s="75"/>
      <c r="BA658" s="67"/>
      <c r="BB658" s="66"/>
      <c r="BC658" s="4"/>
      <c r="BD658" s="67"/>
      <c r="BE658" s="67"/>
      <c r="BF658" s="68"/>
      <c r="BG658" s="69"/>
      <c r="BH658" s="84"/>
      <c r="BI658" s="70"/>
      <c r="BJ658" s="73"/>
      <c r="BK658" s="78"/>
      <c r="BL658" s="78"/>
      <c r="BM658" s="78"/>
      <c r="BN658" s="78"/>
      <c r="BO658" s="66"/>
      <c r="BP658" s="66"/>
    </row>
    <row r="659" spans="1:68" ht="13.2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/>
      <c r="AQ659" s="75"/>
      <c r="AR659" s="75"/>
      <c r="AS659" s="75"/>
      <c r="AT659" s="75"/>
      <c r="AU659" s="75"/>
      <c r="AV659" s="75"/>
      <c r="AW659" s="75"/>
      <c r="AX659" s="75"/>
      <c r="AY659" s="67"/>
      <c r="AZ659" s="75"/>
      <c r="BA659" s="67"/>
      <c r="BB659" s="66"/>
      <c r="BC659" s="4"/>
      <c r="BD659" s="67"/>
      <c r="BE659" s="67"/>
      <c r="BF659" s="68"/>
      <c r="BG659" s="69"/>
      <c r="BH659" s="84"/>
      <c r="BI659" s="70"/>
      <c r="BJ659" s="73"/>
      <c r="BK659" s="78"/>
      <c r="BL659" s="78"/>
      <c r="BM659" s="78"/>
      <c r="BN659" s="78"/>
      <c r="BO659" s="66"/>
      <c r="BP659" s="66"/>
    </row>
    <row r="660" spans="1:68" ht="13.2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/>
      <c r="AQ660" s="75"/>
      <c r="AR660" s="75"/>
      <c r="AS660" s="75"/>
      <c r="AT660" s="75"/>
      <c r="AU660" s="75"/>
      <c r="AV660" s="75"/>
      <c r="AW660" s="75"/>
      <c r="AX660" s="75"/>
      <c r="AY660" s="67"/>
      <c r="AZ660" s="75"/>
      <c r="BA660" s="67"/>
      <c r="BB660" s="66"/>
      <c r="BC660" s="4"/>
      <c r="BD660" s="67"/>
      <c r="BE660" s="67"/>
      <c r="BF660" s="68"/>
      <c r="BG660" s="69"/>
      <c r="BH660" s="84"/>
      <c r="BI660" s="70"/>
      <c r="BJ660" s="73"/>
      <c r="BK660" s="78"/>
      <c r="BL660" s="78"/>
      <c r="BM660" s="78"/>
      <c r="BN660" s="78"/>
      <c r="BO660" s="66"/>
      <c r="BP660" s="66"/>
    </row>
    <row r="661" spans="1:68" ht="13.2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/>
      <c r="AQ661" s="75"/>
      <c r="AR661" s="75"/>
      <c r="AS661" s="75"/>
      <c r="AT661" s="75"/>
      <c r="AU661" s="75"/>
      <c r="AV661" s="75"/>
      <c r="AW661" s="75"/>
      <c r="AX661" s="75"/>
      <c r="AY661" s="67"/>
      <c r="AZ661" s="75"/>
      <c r="BA661" s="67"/>
      <c r="BB661" s="66"/>
      <c r="BC661" s="4"/>
      <c r="BD661" s="67"/>
      <c r="BE661" s="67"/>
      <c r="BF661" s="68"/>
      <c r="BG661" s="69"/>
      <c r="BH661" s="84"/>
      <c r="BI661" s="70"/>
      <c r="BJ661" s="73"/>
      <c r="BK661" s="78"/>
      <c r="BL661" s="78"/>
      <c r="BM661" s="78"/>
      <c r="BN661" s="78"/>
      <c r="BO661" s="66"/>
      <c r="BP661" s="66"/>
    </row>
    <row r="662" spans="1:68" ht="13.2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/>
      <c r="AQ662" s="75"/>
      <c r="AR662" s="75"/>
      <c r="AS662" s="75"/>
      <c r="AT662" s="75"/>
      <c r="AU662" s="75"/>
      <c r="AV662" s="75"/>
      <c r="AW662" s="75"/>
      <c r="AX662" s="75"/>
      <c r="AY662" s="67"/>
      <c r="AZ662" s="75"/>
      <c r="BA662" s="67"/>
      <c r="BB662" s="66"/>
      <c r="BC662" s="4"/>
      <c r="BD662" s="67"/>
      <c r="BE662" s="67"/>
      <c r="BF662" s="68"/>
      <c r="BG662" s="69"/>
      <c r="BH662" s="70"/>
      <c r="BI662" s="70"/>
      <c r="BJ662" s="73"/>
      <c r="BK662" s="78"/>
      <c r="BL662" s="78"/>
      <c r="BM662" s="78"/>
      <c r="BN662" s="78"/>
      <c r="BO662" s="66"/>
      <c r="BP662" s="66"/>
    </row>
    <row r="663" spans="1:68" ht="13.2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/>
      <c r="AQ663" s="75"/>
      <c r="AR663" s="75"/>
      <c r="AS663" s="75"/>
      <c r="AT663" s="75"/>
      <c r="AU663" s="75"/>
      <c r="AV663" s="75"/>
      <c r="AW663" s="75"/>
      <c r="AX663" s="75"/>
      <c r="AY663" s="67"/>
      <c r="AZ663" s="75"/>
      <c r="BA663" s="67"/>
      <c r="BB663" s="66"/>
      <c r="BC663" s="4"/>
      <c r="BD663" s="67"/>
      <c r="BE663" s="67"/>
      <c r="BF663" s="68"/>
      <c r="BG663" s="69"/>
      <c r="BH663" s="84"/>
      <c r="BI663" s="70"/>
      <c r="BJ663" s="73"/>
      <c r="BK663" s="78"/>
      <c r="BL663" s="78"/>
      <c r="BM663" s="78"/>
      <c r="BN663" s="78"/>
      <c r="BO663" s="66"/>
      <c r="BP663" s="66"/>
    </row>
    <row r="664" spans="1:68" ht="13.2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/>
      <c r="AQ664" s="75"/>
      <c r="AR664" s="75"/>
      <c r="AS664" s="75"/>
      <c r="AT664" s="75"/>
      <c r="AU664" s="75"/>
      <c r="AV664" s="75"/>
      <c r="AW664" s="75"/>
      <c r="AX664" s="75"/>
      <c r="AY664" s="67"/>
      <c r="AZ664" s="75"/>
      <c r="BA664" s="67"/>
      <c r="BB664" s="66"/>
      <c r="BC664" s="4"/>
      <c r="BD664" s="67"/>
      <c r="BE664" s="67"/>
      <c r="BF664" s="68"/>
      <c r="BG664" s="69"/>
      <c r="BH664" s="84"/>
      <c r="BI664" s="70"/>
      <c r="BJ664" s="73"/>
      <c r="BK664" s="78"/>
      <c r="BL664" s="78"/>
      <c r="BM664" s="78"/>
      <c r="BN664" s="78"/>
      <c r="BO664" s="66"/>
      <c r="BP664" s="66"/>
    </row>
    <row r="665" spans="1:68" ht="13.2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/>
      <c r="AQ665" s="75"/>
      <c r="AR665" s="75"/>
      <c r="AS665" s="75"/>
      <c r="AT665" s="75"/>
      <c r="AU665" s="75"/>
      <c r="AV665" s="75"/>
      <c r="AW665" s="75"/>
      <c r="AX665" s="75"/>
      <c r="AY665" s="67"/>
      <c r="AZ665" s="75"/>
      <c r="BA665" s="67"/>
      <c r="BB665" s="66"/>
      <c r="BC665" s="4"/>
      <c r="BD665" s="67"/>
      <c r="BE665" s="67"/>
      <c r="BF665" s="68"/>
      <c r="BG665" s="69"/>
      <c r="BH665" s="84"/>
      <c r="BI665" s="70"/>
      <c r="BJ665" s="73"/>
      <c r="BK665" s="78"/>
      <c r="BL665" s="78"/>
      <c r="BM665" s="78"/>
      <c r="BN665" s="78"/>
      <c r="BO665" s="66"/>
      <c r="BP665" s="66"/>
    </row>
    <row r="666" spans="1:68" ht="13.2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/>
      <c r="AQ666" s="75"/>
      <c r="AR666" s="75"/>
      <c r="AS666" s="75"/>
      <c r="AT666" s="75"/>
      <c r="AU666" s="75"/>
      <c r="AV666" s="75"/>
      <c r="AW666" s="75"/>
      <c r="AX666" s="75"/>
      <c r="AY666" s="67"/>
      <c r="AZ666" s="75"/>
      <c r="BA666" s="67"/>
      <c r="BB666" s="66"/>
      <c r="BC666" s="4"/>
      <c r="BD666" s="67"/>
      <c r="BE666" s="67"/>
      <c r="BF666" s="68"/>
      <c r="BG666" s="69"/>
      <c r="BH666" s="84"/>
      <c r="BI666" s="70"/>
      <c r="BJ666" s="73"/>
      <c r="BK666" s="78"/>
      <c r="BL666" s="78"/>
      <c r="BM666" s="78"/>
      <c r="BN666" s="78"/>
      <c r="BO666" s="66"/>
      <c r="BP666" s="66"/>
    </row>
    <row r="667" spans="1:68" ht="13.2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/>
      <c r="AQ667" s="75"/>
      <c r="AR667" s="75"/>
      <c r="AS667" s="75"/>
      <c r="AT667" s="75"/>
      <c r="AU667" s="75"/>
      <c r="AV667" s="75"/>
      <c r="AW667" s="75"/>
      <c r="AX667" s="75"/>
      <c r="AY667" s="67"/>
      <c r="AZ667" s="75"/>
      <c r="BA667" s="67"/>
      <c r="BB667" s="66"/>
      <c r="BC667" s="4"/>
      <c r="BD667" s="67"/>
      <c r="BE667" s="67"/>
      <c r="BF667" s="68"/>
      <c r="BG667" s="69"/>
      <c r="BH667" s="84"/>
      <c r="BI667" s="70"/>
      <c r="BJ667" s="73"/>
      <c r="BK667" s="78"/>
      <c r="BL667" s="78"/>
      <c r="BM667" s="78"/>
      <c r="BN667" s="78"/>
      <c r="BO667" s="66"/>
      <c r="BP667" s="66"/>
    </row>
    <row r="668" spans="1:68" ht="13.2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/>
      <c r="AQ668" s="75"/>
      <c r="AR668" s="75"/>
      <c r="AS668" s="75"/>
      <c r="AT668" s="75"/>
      <c r="AU668" s="75"/>
      <c r="AV668" s="75"/>
      <c r="AW668" s="75"/>
      <c r="AX668" s="75"/>
      <c r="AY668" s="67"/>
      <c r="AZ668" s="75"/>
      <c r="BA668" s="67"/>
      <c r="BB668" s="66"/>
      <c r="BC668" s="4"/>
      <c r="BD668" s="67"/>
      <c r="BE668" s="67"/>
      <c r="BF668" s="68"/>
      <c r="BG668" s="69"/>
      <c r="BH668" s="84"/>
      <c r="BI668" s="70"/>
      <c r="BJ668" s="73"/>
      <c r="BK668" s="78"/>
      <c r="BL668" s="78"/>
      <c r="BM668" s="78"/>
      <c r="BN668" s="78"/>
      <c r="BO668" s="66"/>
      <c r="BP668" s="66"/>
    </row>
    <row r="669" spans="1:68" ht="13.2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/>
      <c r="AQ669" s="75"/>
      <c r="AR669" s="75"/>
      <c r="AS669" s="75"/>
      <c r="AT669" s="75"/>
      <c r="AU669" s="75"/>
      <c r="AV669" s="75"/>
      <c r="AW669" s="75"/>
      <c r="AX669" s="75"/>
      <c r="AY669" s="67"/>
      <c r="AZ669" s="75"/>
      <c r="BA669" s="67"/>
      <c r="BB669" s="66"/>
      <c r="BC669" s="4"/>
      <c r="BD669" s="67"/>
      <c r="BE669" s="67"/>
      <c r="BF669" s="68"/>
      <c r="BG669" s="69"/>
      <c r="BH669" s="84"/>
      <c r="BI669" s="70"/>
      <c r="BJ669" s="73"/>
      <c r="BK669" s="78"/>
      <c r="BL669" s="78"/>
      <c r="BM669" s="78"/>
      <c r="BN669" s="78"/>
      <c r="BO669" s="66"/>
      <c r="BP669" s="66"/>
    </row>
    <row r="670" spans="1:68" ht="13.2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/>
      <c r="AQ670" s="75"/>
      <c r="AR670" s="75"/>
      <c r="AS670" s="75"/>
      <c r="AT670" s="75"/>
      <c r="AU670" s="75"/>
      <c r="AV670" s="75"/>
      <c r="AW670" s="75"/>
      <c r="AX670" s="75"/>
      <c r="AY670" s="67"/>
      <c r="AZ670" s="75"/>
      <c r="BA670" s="67"/>
      <c r="BB670" s="66"/>
      <c r="BC670" s="4"/>
      <c r="BD670" s="67"/>
      <c r="BE670" s="67"/>
      <c r="BF670" s="68"/>
      <c r="BG670" s="69"/>
      <c r="BH670" s="84"/>
      <c r="BI670" s="70"/>
      <c r="BJ670" s="73"/>
      <c r="BK670" s="78"/>
      <c r="BL670" s="78"/>
      <c r="BM670" s="78"/>
      <c r="BN670" s="78"/>
      <c r="BO670" s="66"/>
      <c r="BP670" s="66"/>
    </row>
    <row r="671" spans="1:68" ht="13.2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/>
      <c r="AQ671" s="75"/>
      <c r="AR671" s="75"/>
      <c r="AS671" s="75"/>
      <c r="AT671" s="75"/>
      <c r="AU671" s="75"/>
      <c r="AV671" s="75"/>
      <c r="AW671" s="75"/>
      <c r="AX671" s="75"/>
      <c r="AY671" s="67"/>
      <c r="AZ671" s="75"/>
      <c r="BA671" s="67"/>
      <c r="BB671" s="66"/>
      <c r="BC671" s="4"/>
      <c r="BD671" s="67"/>
      <c r="BE671" s="67"/>
      <c r="BF671" s="68"/>
      <c r="BG671" s="69"/>
      <c r="BH671" s="84"/>
      <c r="BI671" s="70"/>
      <c r="BJ671" s="73"/>
      <c r="BK671" s="78"/>
      <c r="BL671" s="78"/>
      <c r="BM671" s="78"/>
      <c r="BN671" s="78"/>
      <c r="BO671" s="66"/>
      <c r="BP671" s="66"/>
    </row>
    <row r="672" spans="1:68" ht="13.2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/>
      <c r="AQ672" s="75"/>
      <c r="AR672" s="75"/>
      <c r="AS672" s="75"/>
      <c r="AT672" s="75"/>
      <c r="AU672" s="75"/>
      <c r="AV672" s="75"/>
      <c r="AW672" s="75"/>
      <c r="AX672" s="75"/>
      <c r="AY672" s="67"/>
      <c r="AZ672" s="75"/>
      <c r="BA672" s="67"/>
      <c r="BB672" s="66"/>
      <c r="BC672" s="4"/>
      <c r="BD672" s="67"/>
      <c r="BE672" s="67"/>
      <c r="BF672" s="68"/>
      <c r="BG672" s="69"/>
      <c r="BH672" s="84"/>
      <c r="BI672" s="70"/>
      <c r="BJ672" s="73"/>
      <c r="BK672" s="78"/>
      <c r="BL672" s="78"/>
      <c r="BM672" s="78"/>
      <c r="BN672" s="78"/>
      <c r="BO672" s="66"/>
      <c r="BP672" s="66"/>
    </row>
    <row r="673" spans="1:68" ht="13.2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/>
      <c r="AQ673" s="75"/>
      <c r="AR673" s="75"/>
      <c r="AS673" s="75"/>
      <c r="AT673" s="75"/>
      <c r="AU673" s="75"/>
      <c r="AV673" s="75"/>
      <c r="AW673" s="75"/>
      <c r="AX673" s="75"/>
      <c r="AY673" s="67"/>
      <c r="AZ673" s="75"/>
      <c r="BA673" s="67"/>
      <c r="BB673" s="66"/>
      <c r="BC673" s="4"/>
      <c r="BD673" s="67"/>
      <c r="BE673" s="67"/>
      <c r="BF673" s="68"/>
      <c r="BG673" s="69"/>
      <c r="BH673" s="84"/>
      <c r="BI673" s="70"/>
      <c r="BJ673" s="73"/>
      <c r="BK673" s="78"/>
      <c r="BL673" s="78"/>
      <c r="BM673" s="78"/>
      <c r="BN673" s="78"/>
      <c r="BO673" s="66"/>
      <c r="BP673" s="66"/>
    </row>
    <row r="674" spans="1:68" ht="13.2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/>
      <c r="AQ674" s="75"/>
      <c r="AR674" s="75"/>
      <c r="AS674" s="75"/>
      <c r="AT674" s="75"/>
      <c r="AU674" s="75"/>
      <c r="AV674" s="75"/>
      <c r="AW674" s="75"/>
      <c r="AX674" s="75"/>
      <c r="AY674" s="67"/>
      <c r="AZ674" s="75"/>
      <c r="BA674" s="67"/>
      <c r="BB674" s="66"/>
      <c r="BC674" s="4"/>
      <c r="BD674" s="67"/>
      <c r="BE674" s="67"/>
      <c r="BF674" s="68"/>
      <c r="BG674" s="69"/>
      <c r="BH674" s="84"/>
      <c r="BI674" s="70"/>
      <c r="BJ674" s="73"/>
      <c r="BK674" s="78"/>
      <c r="BL674" s="78"/>
      <c r="BM674" s="78"/>
      <c r="BN674" s="78"/>
      <c r="BO674" s="66"/>
      <c r="BP674" s="66"/>
    </row>
    <row r="675" spans="1:68" ht="13.2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/>
      <c r="AQ675" s="75"/>
      <c r="AR675" s="75"/>
      <c r="AS675" s="75"/>
      <c r="AT675" s="75"/>
      <c r="AU675" s="75"/>
      <c r="AV675" s="75"/>
      <c r="AW675" s="75"/>
      <c r="AX675" s="75"/>
      <c r="AY675" s="67"/>
      <c r="AZ675" s="75"/>
      <c r="BA675" s="67"/>
      <c r="BB675" s="66"/>
      <c r="BC675" s="4"/>
      <c r="BD675" s="67"/>
      <c r="BE675" s="67"/>
      <c r="BF675" s="68"/>
      <c r="BG675" s="69"/>
      <c r="BH675" s="84"/>
      <c r="BI675" s="70"/>
      <c r="BJ675" s="73"/>
      <c r="BK675" s="78"/>
      <c r="BL675" s="78"/>
      <c r="BM675" s="78"/>
      <c r="BN675" s="78"/>
      <c r="BO675" s="66"/>
      <c r="BP675" s="66"/>
    </row>
    <row r="676" spans="1:68" ht="13.2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/>
      <c r="AQ676" s="75"/>
      <c r="AR676" s="75"/>
      <c r="AS676" s="75"/>
      <c r="AT676" s="75"/>
      <c r="AU676" s="75"/>
      <c r="AV676" s="75"/>
      <c r="AW676" s="75"/>
      <c r="AX676" s="75"/>
      <c r="AY676" s="67"/>
      <c r="AZ676" s="75"/>
      <c r="BA676" s="67"/>
      <c r="BB676" s="66"/>
      <c r="BC676" s="4"/>
      <c r="BD676" s="67"/>
      <c r="BE676" s="67"/>
      <c r="BF676" s="68"/>
      <c r="BG676" s="69"/>
      <c r="BH676" s="84"/>
      <c r="BI676" s="70"/>
      <c r="BJ676" s="73"/>
      <c r="BK676" s="78"/>
      <c r="BL676" s="78"/>
      <c r="BM676" s="78"/>
      <c r="BN676" s="78"/>
      <c r="BO676" s="66"/>
      <c r="BP676" s="66"/>
    </row>
    <row r="677" spans="1:68" ht="13.2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/>
      <c r="AQ677" s="75"/>
      <c r="AR677" s="75"/>
      <c r="AS677" s="75"/>
      <c r="AT677" s="75"/>
      <c r="AU677" s="75"/>
      <c r="AV677" s="75"/>
      <c r="AW677" s="75"/>
      <c r="AX677" s="75"/>
      <c r="AY677" s="67"/>
      <c r="AZ677" s="75"/>
      <c r="BA677" s="67"/>
      <c r="BB677" s="66"/>
      <c r="BC677" s="4"/>
      <c r="BD677" s="67"/>
      <c r="BE677" s="67"/>
      <c r="BF677" s="68"/>
      <c r="BG677" s="69"/>
      <c r="BH677" s="84"/>
      <c r="BI677" s="70"/>
      <c r="BJ677" s="73"/>
      <c r="BK677" s="78"/>
      <c r="BL677" s="78"/>
      <c r="BM677" s="78"/>
      <c r="BN677" s="78"/>
      <c r="BO677" s="66"/>
      <c r="BP677" s="66"/>
    </row>
    <row r="678" spans="1:68" ht="13.2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/>
      <c r="AQ678" s="75"/>
      <c r="AR678" s="75"/>
      <c r="AS678" s="75"/>
      <c r="AT678" s="75"/>
      <c r="AU678" s="75"/>
      <c r="AV678" s="75"/>
      <c r="AW678" s="75"/>
      <c r="AX678" s="75"/>
      <c r="AY678" s="67"/>
      <c r="AZ678" s="75"/>
      <c r="BA678" s="67"/>
      <c r="BB678" s="66"/>
      <c r="BC678" s="4"/>
      <c r="BD678" s="67"/>
      <c r="BE678" s="67"/>
      <c r="BF678" s="68"/>
      <c r="BG678" s="69"/>
      <c r="BH678" s="84"/>
      <c r="BI678" s="70"/>
      <c r="BJ678" s="73"/>
      <c r="BK678" s="78"/>
      <c r="BL678" s="78"/>
      <c r="BM678" s="78"/>
      <c r="BN678" s="78"/>
      <c r="BO678" s="66"/>
      <c r="BP678" s="66"/>
    </row>
    <row r="679" spans="1:68" ht="13.2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/>
      <c r="AQ679" s="75"/>
      <c r="AR679" s="75"/>
      <c r="AS679" s="75"/>
      <c r="AT679" s="75"/>
      <c r="AU679" s="75"/>
      <c r="AV679" s="75"/>
      <c r="AW679" s="75"/>
      <c r="AX679" s="75"/>
      <c r="AY679" s="67"/>
      <c r="AZ679" s="75"/>
      <c r="BA679" s="67"/>
      <c r="BB679" s="66"/>
      <c r="BC679" s="4"/>
      <c r="BD679" s="67"/>
      <c r="BE679" s="67"/>
      <c r="BF679" s="68"/>
      <c r="BG679" s="69"/>
      <c r="BH679" s="84"/>
      <c r="BI679" s="70"/>
      <c r="BJ679" s="73"/>
      <c r="BK679" s="78"/>
      <c r="BL679" s="78"/>
      <c r="BM679" s="78"/>
      <c r="BN679" s="78"/>
      <c r="BO679" s="66"/>
      <c r="BP679" s="66"/>
    </row>
    <row r="680" spans="1:68" ht="13.2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/>
      <c r="AQ680" s="75"/>
      <c r="AR680" s="75"/>
      <c r="AS680" s="75"/>
      <c r="AT680" s="75"/>
      <c r="AU680" s="75"/>
      <c r="AV680" s="75"/>
      <c r="AW680" s="75"/>
      <c r="AX680" s="75"/>
      <c r="AY680" s="67"/>
      <c r="AZ680" s="75"/>
      <c r="BA680" s="67"/>
      <c r="BB680" s="66"/>
      <c r="BC680" s="4"/>
      <c r="BD680" s="67"/>
      <c r="BE680" s="67"/>
      <c r="BF680" s="68"/>
      <c r="BG680" s="69"/>
      <c r="BH680" s="84"/>
      <c r="BI680" s="70"/>
      <c r="BJ680" s="73"/>
      <c r="BK680" s="78"/>
      <c r="BL680" s="78"/>
      <c r="BM680" s="78"/>
      <c r="BN680" s="78"/>
      <c r="BO680" s="66"/>
      <c r="BP680" s="66"/>
    </row>
    <row r="681" spans="1:68" ht="13.2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/>
      <c r="AQ681" s="75"/>
      <c r="AR681" s="75"/>
      <c r="AS681" s="75"/>
      <c r="AT681" s="75"/>
      <c r="AU681" s="75"/>
      <c r="AV681" s="75"/>
      <c r="AW681" s="75"/>
      <c r="AX681" s="75"/>
      <c r="AY681" s="67"/>
      <c r="AZ681" s="75"/>
      <c r="BA681" s="67"/>
      <c r="BB681" s="66"/>
      <c r="BC681" s="4"/>
      <c r="BD681" s="67"/>
      <c r="BE681" s="67"/>
      <c r="BF681" s="68"/>
      <c r="BG681" s="69"/>
      <c r="BH681" s="84"/>
      <c r="BI681" s="70"/>
      <c r="BJ681" s="73"/>
      <c r="BK681" s="78"/>
      <c r="BL681" s="78"/>
      <c r="BM681" s="78"/>
      <c r="BN681" s="78"/>
      <c r="BO681" s="66"/>
      <c r="BP681" s="66"/>
    </row>
    <row r="682" spans="1:68" ht="13.2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/>
      <c r="AQ682" s="75"/>
      <c r="AR682" s="75"/>
      <c r="AS682" s="75"/>
      <c r="AT682" s="75"/>
      <c r="AU682" s="75"/>
      <c r="AV682" s="75"/>
      <c r="AW682" s="75"/>
      <c r="AX682" s="75"/>
      <c r="AY682" s="67"/>
      <c r="AZ682" s="75"/>
      <c r="BA682" s="67"/>
      <c r="BB682" s="66"/>
      <c r="BC682" s="4"/>
      <c r="BD682" s="67"/>
      <c r="BE682" s="67"/>
      <c r="BF682" s="68"/>
      <c r="BG682" s="69"/>
      <c r="BH682" s="70"/>
      <c r="BI682" s="70"/>
      <c r="BJ682" s="73"/>
      <c r="BK682" s="78"/>
      <c r="BL682" s="78"/>
      <c r="BM682" s="78"/>
      <c r="BN682" s="78"/>
      <c r="BO682" s="66"/>
      <c r="BP682" s="66"/>
    </row>
    <row r="683" spans="1:68" ht="13.2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/>
      <c r="AQ683" s="75"/>
      <c r="AR683" s="75"/>
      <c r="AS683" s="75"/>
      <c r="AT683" s="75"/>
      <c r="AU683" s="75"/>
      <c r="AV683" s="75"/>
      <c r="AW683" s="75"/>
      <c r="AX683" s="75"/>
      <c r="AY683" s="67"/>
      <c r="AZ683" s="75"/>
      <c r="BA683" s="67"/>
      <c r="BB683" s="66"/>
      <c r="BC683" s="4"/>
      <c r="BD683" s="67"/>
      <c r="BE683" s="67"/>
      <c r="BF683" s="68"/>
      <c r="BG683" s="69"/>
      <c r="BH683" s="84"/>
      <c r="BI683" s="70"/>
      <c r="BJ683" s="73"/>
      <c r="BK683" s="78"/>
      <c r="BL683" s="78"/>
      <c r="BM683" s="78"/>
      <c r="BN683" s="78"/>
      <c r="BO683" s="66"/>
      <c r="BP683" s="66"/>
    </row>
    <row r="684" spans="1:68" ht="13.2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/>
      <c r="AQ684" s="75"/>
      <c r="AR684" s="75"/>
      <c r="AS684" s="75"/>
      <c r="AT684" s="75"/>
      <c r="AU684" s="75"/>
      <c r="AV684" s="75"/>
      <c r="AW684" s="75"/>
      <c r="AX684" s="75"/>
      <c r="AY684" s="67"/>
      <c r="AZ684" s="75"/>
      <c r="BA684" s="67"/>
      <c r="BB684" s="66"/>
      <c r="BC684" s="4"/>
      <c r="BD684" s="67"/>
      <c r="BE684" s="67"/>
      <c r="BF684" s="68"/>
      <c r="BG684" s="69"/>
      <c r="BH684" s="84"/>
      <c r="BI684" s="70"/>
      <c r="BJ684" s="73"/>
      <c r="BK684" s="78"/>
      <c r="BL684" s="78"/>
      <c r="BM684" s="78"/>
      <c r="BN684" s="78"/>
      <c r="BO684" s="66"/>
      <c r="BP684" s="66"/>
    </row>
    <row r="685" spans="1:68" ht="13.2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/>
      <c r="AQ685" s="75"/>
      <c r="AR685" s="75"/>
      <c r="AS685" s="75"/>
      <c r="AT685" s="75"/>
      <c r="AU685" s="75"/>
      <c r="AV685" s="75"/>
      <c r="AW685" s="75"/>
      <c r="AX685" s="75"/>
      <c r="AY685" s="67"/>
      <c r="AZ685" s="75"/>
      <c r="BA685" s="67"/>
      <c r="BB685" s="66"/>
      <c r="BC685" s="4"/>
      <c r="BD685" s="67"/>
      <c r="BE685" s="67"/>
      <c r="BF685" s="68"/>
      <c r="BG685" s="69"/>
      <c r="BH685" s="84"/>
      <c r="BI685" s="70"/>
      <c r="BJ685" s="73"/>
      <c r="BK685" s="78"/>
      <c r="BL685" s="78"/>
      <c r="BM685" s="78"/>
      <c r="BN685" s="78"/>
      <c r="BO685" s="66"/>
      <c r="BP685" s="66"/>
    </row>
    <row r="686" spans="1:68" ht="13.2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/>
      <c r="AQ686" s="75"/>
      <c r="AR686" s="75"/>
      <c r="AS686" s="75"/>
      <c r="AT686" s="75"/>
      <c r="AU686" s="75"/>
      <c r="AV686" s="75"/>
      <c r="AW686" s="75"/>
      <c r="AX686" s="75"/>
      <c r="AY686" s="67"/>
      <c r="AZ686" s="75"/>
      <c r="BA686" s="67"/>
      <c r="BB686" s="66"/>
      <c r="BC686" s="4"/>
      <c r="BD686" s="67"/>
      <c r="BE686" s="67"/>
      <c r="BF686" s="68"/>
      <c r="BG686" s="69"/>
      <c r="BH686" s="84"/>
      <c r="BI686" s="70"/>
      <c r="BJ686" s="73"/>
      <c r="BK686" s="78"/>
      <c r="BL686" s="78"/>
      <c r="BM686" s="78"/>
      <c r="BN686" s="78"/>
      <c r="BO686" s="66"/>
      <c r="BP686" s="66"/>
    </row>
    <row r="687" spans="1:68" ht="13.2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/>
      <c r="AQ687" s="75"/>
      <c r="AR687" s="75"/>
      <c r="AS687" s="75"/>
      <c r="AT687" s="75"/>
      <c r="AU687" s="75"/>
      <c r="AV687" s="75"/>
      <c r="AW687" s="75"/>
      <c r="AX687" s="75"/>
      <c r="AY687" s="67"/>
      <c r="AZ687" s="75"/>
      <c r="BA687" s="67"/>
      <c r="BB687" s="66"/>
      <c r="BC687" s="4"/>
      <c r="BD687" s="67"/>
      <c r="BE687" s="67"/>
      <c r="BF687" s="68"/>
      <c r="BG687" s="69"/>
      <c r="BH687" s="84"/>
      <c r="BI687" s="70"/>
      <c r="BJ687" s="73"/>
      <c r="BK687" s="78"/>
      <c r="BL687" s="78"/>
      <c r="BM687" s="78"/>
      <c r="BN687" s="78"/>
      <c r="BO687" s="66"/>
      <c r="BP687" s="66"/>
    </row>
    <row r="688" spans="1:68" ht="13.2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/>
      <c r="AQ688" s="75"/>
      <c r="AR688" s="75"/>
      <c r="AS688" s="75"/>
      <c r="AT688" s="75"/>
      <c r="AU688" s="75"/>
      <c r="AV688" s="75"/>
      <c r="AW688" s="75"/>
      <c r="AX688" s="75"/>
      <c r="AY688" s="67"/>
      <c r="AZ688" s="75"/>
      <c r="BA688" s="67"/>
      <c r="BB688" s="66"/>
      <c r="BC688" s="4"/>
      <c r="BD688" s="67"/>
      <c r="BE688" s="67"/>
      <c r="BF688" s="68"/>
      <c r="BG688" s="69"/>
      <c r="BH688" s="84"/>
      <c r="BI688" s="70"/>
      <c r="BJ688" s="73"/>
      <c r="BK688" s="78"/>
      <c r="BL688" s="78"/>
      <c r="BM688" s="78"/>
      <c r="BN688" s="78"/>
      <c r="BO688" s="66"/>
      <c r="BP688" s="66"/>
    </row>
    <row r="689" spans="1:68" ht="13.2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/>
      <c r="AQ689" s="75"/>
      <c r="AR689" s="75"/>
      <c r="AS689" s="75"/>
      <c r="AT689" s="75"/>
      <c r="AU689" s="75"/>
      <c r="AV689" s="75"/>
      <c r="AW689" s="75"/>
      <c r="AX689" s="75"/>
      <c r="AY689" s="67"/>
      <c r="AZ689" s="75"/>
      <c r="BA689" s="67"/>
      <c r="BB689" s="66"/>
      <c r="BC689" s="4"/>
      <c r="BD689" s="67"/>
      <c r="BE689" s="67"/>
      <c r="BF689" s="68"/>
      <c r="BG689" s="69"/>
      <c r="BH689" s="84"/>
      <c r="BI689" s="70"/>
      <c r="BJ689" s="73"/>
      <c r="BK689" s="78"/>
      <c r="BL689" s="78"/>
      <c r="BM689" s="78"/>
      <c r="BN689" s="78"/>
      <c r="BO689" s="66"/>
      <c r="BP689" s="66"/>
    </row>
    <row r="690" spans="1:68" ht="13.2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/>
      <c r="AQ690" s="75"/>
      <c r="AR690" s="75"/>
      <c r="AS690" s="75"/>
      <c r="AT690" s="75"/>
      <c r="AU690" s="75"/>
      <c r="AV690" s="75"/>
      <c r="AW690" s="75"/>
      <c r="AX690" s="75"/>
      <c r="AY690" s="67"/>
      <c r="AZ690" s="75"/>
      <c r="BA690" s="67"/>
      <c r="BB690" s="66"/>
      <c r="BC690" s="4"/>
      <c r="BD690" s="67"/>
      <c r="BE690" s="67"/>
      <c r="BF690" s="68"/>
      <c r="BG690" s="69"/>
      <c r="BH690" s="84"/>
      <c r="BI690" s="70"/>
      <c r="BJ690" s="73"/>
      <c r="BK690" s="78"/>
      <c r="BL690" s="78"/>
      <c r="BM690" s="78"/>
      <c r="BN690" s="78"/>
      <c r="BO690" s="66"/>
      <c r="BP690" s="66"/>
    </row>
    <row r="691" spans="1:68" ht="13.2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/>
      <c r="AQ691" s="75"/>
      <c r="AR691" s="75"/>
      <c r="AS691" s="75"/>
      <c r="AT691" s="75"/>
      <c r="AU691" s="75"/>
      <c r="AV691" s="75"/>
      <c r="AW691" s="75"/>
      <c r="AX691" s="75"/>
      <c r="AY691" s="67"/>
      <c r="AZ691" s="75"/>
      <c r="BA691" s="67"/>
      <c r="BB691" s="66"/>
      <c r="BC691" s="4"/>
      <c r="BD691" s="67"/>
      <c r="BE691" s="67"/>
      <c r="BF691" s="68"/>
      <c r="BG691" s="69"/>
      <c r="BH691" s="84"/>
      <c r="BI691" s="70"/>
      <c r="BJ691" s="73"/>
      <c r="BK691" s="78"/>
      <c r="BL691" s="78"/>
      <c r="BM691" s="78"/>
      <c r="BN691" s="78"/>
      <c r="BO691" s="66"/>
      <c r="BP691" s="66"/>
    </row>
    <row r="692" spans="1:68" ht="13.2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/>
      <c r="AQ692" s="75"/>
      <c r="AR692" s="75"/>
      <c r="AS692" s="75"/>
      <c r="AT692" s="75"/>
      <c r="AU692" s="75"/>
      <c r="AV692" s="75"/>
      <c r="AW692" s="75"/>
      <c r="AX692" s="75"/>
      <c r="AY692" s="67"/>
      <c r="AZ692" s="75"/>
      <c r="BA692" s="67"/>
      <c r="BB692" s="66"/>
      <c r="BC692" s="4"/>
      <c r="BD692" s="67"/>
      <c r="BE692" s="67"/>
      <c r="BF692" s="68"/>
      <c r="BG692" s="69"/>
      <c r="BH692" s="84"/>
      <c r="BI692" s="70"/>
      <c r="BJ692" s="73"/>
      <c r="BK692" s="78"/>
      <c r="BL692" s="78"/>
      <c r="BM692" s="78"/>
      <c r="BN692" s="78"/>
      <c r="BO692" s="66"/>
      <c r="BP692" s="66"/>
    </row>
    <row r="693" spans="1:68" ht="13.2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/>
      <c r="AQ693" s="75"/>
      <c r="AR693" s="75"/>
      <c r="AS693" s="75"/>
      <c r="AT693" s="75"/>
      <c r="AU693" s="75"/>
      <c r="AV693" s="75"/>
      <c r="AW693" s="75"/>
      <c r="AX693" s="75"/>
      <c r="AY693" s="67"/>
      <c r="AZ693" s="75"/>
      <c r="BA693" s="67"/>
      <c r="BB693" s="66"/>
      <c r="BC693" s="4"/>
      <c r="BD693" s="67"/>
      <c r="BE693" s="67"/>
      <c r="BF693" s="68"/>
      <c r="BG693" s="69"/>
      <c r="BH693" s="84"/>
      <c r="BI693" s="70"/>
      <c r="BJ693" s="73"/>
      <c r="BK693" s="78"/>
      <c r="BL693" s="78"/>
      <c r="BM693" s="78"/>
      <c r="BN693" s="78"/>
      <c r="BO693" s="66"/>
      <c r="BP693" s="66"/>
    </row>
    <row r="694" spans="1:68" ht="13.2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/>
      <c r="AQ694" s="75"/>
      <c r="AR694" s="75"/>
      <c r="AS694" s="75"/>
      <c r="AT694" s="75"/>
      <c r="AU694" s="75"/>
      <c r="AV694" s="75"/>
      <c r="AW694" s="75"/>
      <c r="AX694" s="75"/>
      <c r="AY694" s="67"/>
      <c r="AZ694" s="75"/>
      <c r="BA694" s="67"/>
      <c r="BB694" s="66"/>
      <c r="BC694" s="4"/>
      <c r="BD694" s="67"/>
      <c r="BE694" s="67"/>
      <c r="BF694" s="68"/>
      <c r="BG694" s="69"/>
      <c r="BH694" s="84"/>
      <c r="BI694" s="70"/>
      <c r="BJ694" s="73"/>
      <c r="BK694" s="78"/>
      <c r="BL694" s="78"/>
      <c r="BM694" s="78"/>
      <c r="BN694" s="78"/>
      <c r="BO694" s="66"/>
      <c r="BP694" s="66"/>
    </row>
    <row r="695" spans="1:68" ht="13.2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/>
      <c r="AQ695" s="75"/>
      <c r="AR695" s="75"/>
      <c r="AS695" s="75"/>
      <c r="AT695" s="75"/>
      <c r="AU695" s="75"/>
      <c r="AV695" s="75"/>
      <c r="AW695" s="75"/>
      <c r="AX695" s="75"/>
      <c r="AY695" s="67"/>
      <c r="AZ695" s="75"/>
      <c r="BA695" s="67"/>
      <c r="BB695" s="66"/>
      <c r="BC695" s="4"/>
      <c r="BD695" s="67"/>
      <c r="BE695" s="67"/>
      <c r="BF695" s="68"/>
      <c r="BG695" s="69"/>
      <c r="BH695" s="84"/>
      <c r="BI695" s="70"/>
      <c r="BJ695" s="73"/>
      <c r="BK695" s="78"/>
      <c r="BL695" s="78"/>
      <c r="BM695" s="78"/>
      <c r="BN695" s="78"/>
      <c r="BO695" s="66"/>
      <c r="BP695" s="66"/>
    </row>
    <row r="696" spans="1:68" ht="13.2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/>
      <c r="AQ696" s="75"/>
      <c r="AR696" s="75"/>
      <c r="AS696" s="75"/>
      <c r="AT696" s="75"/>
      <c r="AU696" s="75"/>
      <c r="AV696" s="75"/>
      <c r="AW696" s="75"/>
      <c r="AX696" s="75"/>
      <c r="AY696" s="67"/>
      <c r="AZ696" s="75"/>
      <c r="BA696" s="67"/>
      <c r="BB696" s="66"/>
      <c r="BC696" s="4"/>
      <c r="BD696" s="67"/>
      <c r="BE696" s="67"/>
      <c r="BF696" s="68"/>
      <c r="BG696" s="69"/>
      <c r="BH696" s="84"/>
      <c r="BI696" s="70"/>
      <c r="BJ696" s="73"/>
      <c r="BK696" s="78"/>
      <c r="BL696" s="78"/>
      <c r="BM696" s="78"/>
      <c r="BN696" s="78"/>
      <c r="BO696" s="66"/>
      <c r="BP696" s="66"/>
    </row>
    <row r="697" spans="1:68" ht="13.2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/>
      <c r="AQ697" s="75"/>
      <c r="AR697" s="75"/>
      <c r="AS697" s="75"/>
      <c r="AT697" s="75"/>
      <c r="AU697" s="75"/>
      <c r="AV697" s="75"/>
      <c r="AW697" s="75"/>
      <c r="AX697" s="75"/>
      <c r="AY697" s="67"/>
      <c r="AZ697" s="75"/>
      <c r="BA697" s="67"/>
      <c r="BB697" s="66"/>
      <c r="BC697" s="4"/>
      <c r="BD697" s="67"/>
      <c r="BE697" s="67"/>
      <c r="BF697" s="68"/>
      <c r="BG697" s="69"/>
      <c r="BH697" s="84"/>
      <c r="BI697" s="70"/>
      <c r="BJ697" s="73"/>
      <c r="BK697" s="78"/>
      <c r="BL697" s="78"/>
      <c r="BM697" s="78"/>
      <c r="BN697" s="78"/>
      <c r="BO697" s="66"/>
      <c r="BP697" s="66"/>
    </row>
    <row r="698" spans="1:68" ht="13.2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/>
      <c r="AQ698" s="75"/>
      <c r="AR698" s="75"/>
      <c r="AS698" s="75"/>
      <c r="AT698" s="75"/>
      <c r="AU698" s="75"/>
      <c r="AV698" s="75"/>
      <c r="AW698" s="75"/>
      <c r="AX698" s="75"/>
      <c r="AY698" s="67"/>
      <c r="AZ698" s="75"/>
      <c r="BA698" s="67"/>
      <c r="BB698" s="66"/>
      <c r="BC698" s="4"/>
      <c r="BD698" s="67"/>
      <c r="BE698" s="67"/>
      <c r="BF698" s="68"/>
      <c r="BG698" s="69"/>
      <c r="BH698" s="84"/>
      <c r="BI698" s="70"/>
      <c r="BJ698" s="73"/>
      <c r="BK698" s="78"/>
      <c r="BL698" s="78"/>
      <c r="BM698" s="78"/>
      <c r="BN698" s="78"/>
      <c r="BO698" s="66"/>
      <c r="BP698" s="66"/>
    </row>
    <row r="699" spans="1:68" ht="13.2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/>
      <c r="AQ699" s="75"/>
      <c r="AR699" s="75"/>
      <c r="AS699" s="75"/>
      <c r="AT699" s="75"/>
      <c r="AU699" s="75"/>
      <c r="AV699" s="75"/>
      <c r="AW699" s="75"/>
      <c r="AX699" s="75"/>
      <c r="AY699" s="67"/>
      <c r="AZ699" s="75"/>
      <c r="BA699" s="67"/>
      <c r="BB699" s="66"/>
      <c r="BC699" s="4"/>
      <c r="BD699" s="67"/>
      <c r="BE699" s="67"/>
      <c r="BF699" s="68"/>
      <c r="BG699" s="69"/>
      <c r="BH699" s="84"/>
      <c r="BI699" s="70"/>
      <c r="BJ699" s="73"/>
      <c r="BK699" s="78"/>
      <c r="BL699" s="78"/>
      <c r="BM699" s="78"/>
      <c r="BN699" s="78"/>
      <c r="BO699" s="66"/>
      <c r="BP699" s="66"/>
    </row>
    <row r="700" spans="1:68" ht="13.2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/>
      <c r="AQ700" s="75"/>
      <c r="AR700" s="75"/>
      <c r="AS700" s="75"/>
      <c r="AT700" s="75"/>
      <c r="AU700" s="75"/>
      <c r="AV700" s="75"/>
      <c r="AW700" s="75"/>
      <c r="AX700" s="75"/>
      <c r="AY700" s="67"/>
      <c r="AZ700" s="75"/>
      <c r="BA700" s="67"/>
      <c r="BB700" s="66"/>
      <c r="BC700" s="4"/>
      <c r="BD700" s="67"/>
      <c r="BE700" s="67"/>
      <c r="BF700" s="68"/>
      <c r="BG700" s="69"/>
      <c r="BH700" s="84"/>
      <c r="BI700" s="70"/>
      <c r="BJ700" s="73"/>
      <c r="BK700" s="78"/>
      <c r="BL700" s="78"/>
      <c r="BM700" s="78"/>
      <c r="BN700" s="78"/>
      <c r="BO700" s="66"/>
      <c r="BP700" s="66"/>
    </row>
    <row r="701" spans="1:68" ht="13.2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/>
      <c r="AQ701" s="75"/>
      <c r="AR701" s="75"/>
      <c r="AS701" s="75"/>
      <c r="AT701" s="75"/>
      <c r="AU701" s="75"/>
      <c r="AV701" s="75"/>
      <c r="AW701" s="75"/>
      <c r="AX701" s="75"/>
      <c r="AY701" s="67"/>
      <c r="AZ701" s="75"/>
      <c r="BA701" s="67"/>
      <c r="BB701" s="66"/>
      <c r="BC701" s="4"/>
      <c r="BD701" s="67"/>
      <c r="BE701" s="67"/>
      <c r="BF701" s="68"/>
      <c r="BG701" s="69"/>
      <c r="BH701" s="84"/>
      <c r="BI701" s="70"/>
      <c r="BJ701" s="73"/>
      <c r="BK701" s="78"/>
      <c r="BL701" s="78"/>
      <c r="BM701" s="78"/>
      <c r="BN701" s="78"/>
      <c r="BO701" s="66"/>
      <c r="BP701" s="66"/>
    </row>
    <row r="702" spans="1:68" ht="13.2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/>
      <c r="AQ702" s="75"/>
      <c r="AR702" s="75"/>
      <c r="AS702" s="75"/>
      <c r="AT702" s="75"/>
      <c r="AU702" s="75"/>
      <c r="AV702" s="75"/>
      <c r="AW702" s="75"/>
      <c r="AX702" s="75"/>
      <c r="AY702" s="67"/>
      <c r="AZ702" s="75"/>
      <c r="BA702" s="67"/>
      <c r="BB702" s="66"/>
      <c r="BC702" s="4"/>
      <c r="BD702" s="67"/>
      <c r="BE702" s="67"/>
      <c r="BF702" s="68"/>
      <c r="BG702" s="69"/>
      <c r="BH702" s="84"/>
      <c r="BI702" s="70"/>
      <c r="BJ702" s="73"/>
      <c r="BK702" s="78"/>
      <c r="BL702" s="78"/>
      <c r="BM702" s="78"/>
      <c r="BN702" s="78"/>
      <c r="BO702" s="66"/>
      <c r="BP702" s="66"/>
    </row>
    <row r="703" spans="1:68" ht="13.2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/>
      <c r="AQ703" s="75"/>
      <c r="AR703" s="75"/>
      <c r="AS703" s="75"/>
      <c r="AT703" s="75"/>
      <c r="AU703" s="75"/>
      <c r="AV703" s="75"/>
      <c r="AW703" s="75"/>
      <c r="AX703" s="75"/>
      <c r="AY703" s="67"/>
      <c r="AZ703" s="75"/>
      <c r="BA703" s="67"/>
      <c r="BB703" s="66"/>
      <c r="BC703" s="4"/>
      <c r="BD703" s="67"/>
      <c r="BE703" s="67"/>
      <c r="BF703" s="68"/>
      <c r="BG703" s="69"/>
      <c r="BH703" s="84"/>
      <c r="BI703" s="70"/>
      <c r="BJ703" s="73"/>
      <c r="BK703" s="78"/>
      <c r="BL703" s="78"/>
      <c r="BM703" s="78"/>
      <c r="BN703" s="78"/>
      <c r="BO703" s="66"/>
      <c r="BP703" s="66"/>
    </row>
    <row r="704" spans="1:68" ht="13.2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/>
      <c r="AQ704" s="75"/>
      <c r="AR704" s="75"/>
      <c r="AS704" s="75"/>
      <c r="AT704" s="75"/>
      <c r="AU704" s="75"/>
      <c r="AV704" s="75"/>
      <c r="AW704" s="75"/>
      <c r="AX704" s="75"/>
      <c r="AY704" s="67"/>
      <c r="AZ704" s="75"/>
      <c r="BA704" s="67"/>
      <c r="BB704" s="66"/>
      <c r="BC704" s="4"/>
      <c r="BD704" s="67"/>
      <c r="BE704" s="67"/>
      <c r="BF704" s="68"/>
      <c r="BG704" s="69"/>
      <c r="BH704" s="84"/>
      <c r="BI704" s="70"/>
      <c r="BJ704" s="73"/>
      <c r="BK704" s="78"/>
      <c r="BL704" s="78"/>
      <c r="BM704" s="78"/>
      <c r="BN704" s="78"/>
      <c r="BO704" s="66"/>
      <c r="BP704" s="66"/>
    </row>
    <row r="705" spans="1:68" ht="13.2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/>
      <c r="AQ705" s="75"/>
      <c r="AR705" s="75"/>
      <c r="AS705" s="75"/>
      <c r="AT705" s="75"/>
      <c r="AU705" s="75"/>
      <c r="AV705" s="75"/>
      <c r="AW705" s="75"/>
      <c r="AX705" s="75"/>
      <c r="AY705" s="67"/>
      <c r="AZ705" s="75"/>
      <c r="BA705" s="67"/>
      <c r="BB705" s="66"/>
      <c r="BC705" s="4"/>
      <c r="BD705" s="67"/>
      <c r="BE705" s="67"/>
      <c r="BF705" s="68"/>
      <c r="BG705" s="69"/>
      <c r="BH705" s="84"/>
      <c r="BI705" s="70"/>
      <c r="BJ705" s="73"/>
      <c r="BK705" s="78"/>
      <c r="BL705" s="78"/>
      <c r="BM705" s="78"/>
      <c r="BN705" s="78"/>
      <c r="BO705" s="66"/>
      <c r="BP705" s="66"/>
    </row>
    <row r="706" spans="1:68" ht="13.2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/>
      <c r="AQ706" s="75"/>
      <c r="AR706" s="75"/>
      <c r="AS706" s="75"/>
      <c r="AT706" s="75"/>
      <c r="AU706" s="75"/>
      <c r="AV706" s="75"/>
      <c r="AW706" s="75"/>
      <c r="AX706" s="75"/>
      <c r="AY706" s="67"/>
      <c r="AZ706" s="75"/>
      <c r="BA706" s="67"/>
      <c r="BB706" s="66"/>
      <c r="BC706" s="4"/>
      <c r="BD706" s="67"/>
      <c r="BE706" s="67"/>
      <c r="BF706" s="68"/>
      <c r="BG706" s="69"/>
      <c r="BH706" s="84"/>
      <c r="BI706" s="70"/>
      <c r="BJ706" s="73"/>
      <c r="BK706" s="78"/>
      <c r="BL706" s="78"/>
      <c r="BM706" s="78"/>
      <c r="BN706" s="78"/>
      <c r="BO706" s="66"/>
      <c r="BP706" s="66"/>
    </row>
    <row r="707" spans="1:68" ht="13.2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/>
      <c r="AQ707" s="75"/>
      <c r="AR707" s="75"/>
      <c r="AS707" s="75"/>
      <c r="AT707" s="75"/>
      <c r="AU707" s="75"/>
      <c r="AV707" s="75"/>
      <c r="AW707" s="75"/>
      <c r="AX707" s="75"/>
      <c r="AY707" s="67"/>
      <c r="AZ707" s="75"/>
      <c r="BA707" s="67"/>
      <c r="BB707" s="66"/>
      <c r="BC707" s="4"/>
      <c r="BD707" s="67"/>
      <c r="BE707" s="67"/>
      <c r="BF707" s="68"/>
      <c r="BG707" s="69"/>
      <c r="BH707" s="84"/>
      <c r="BI707" s="70"/>
      <c r="BJ707" s="73"/>
      <c r="BK707" s="78"/>
      <c r="BL707" s="78"/>
      <c r="BM707" s="78"/>
      <c r="BN707" s="78"/>
      <c r="BO707" s="66"/>
      <c r="BP707" s="66"/>
    </row>
    <row r="708" spans="1:68" ht="13.2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/>
      <c r="AQ708" s="75"/>
      <c r="AR708" s="75"/>
      <c r="AS708" s="75"/>
      <c r="AT708" s="75"/>
      <c r="AU708" s="75"/>
      <c r="AV708" s="75"/>
      <c r="AW708" s="75"/>
      <c r="AX708" s="75"/>
      <c r="AY708" s="67"/>
      <c r="AZ708" s="75"/>
      <c r="BA708" s="67"/>
      <c r="BB708" s="66"/>
      <c r="BC708" s="4"/>
      <c r="BD708" s="67"/>
      <c r="BE708" s="67"/>
      <c r="BF708" s="68"/>
      <c r="BG708" s="69"/>
      <c r="BH708" s="84"/>
      <c r="BI708" s="70"/>
      <c r="BJ708" s="73"/>
      <c r="BK708" s="78"/>
      <c r="BL708" s="78"/>
      <c r="BM708" s="78"/>
      <c r="BN708" s="78"/>
      <c r="BO708" s="66"/>
      <c r="BP708" s="66"/>
    </row>
    <row r="709" spans="1:68" ht="13.2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/>
      <c r="AQ709" s="75"/>
      <c r="AR709" s="75"/>
      <c r="AS709" s="75"/>
      <c r="AT709" s="75"/>
      <c r="AU709" s="75"/>
      <c r="AV709" s="75"/>
      <c r="AW709" s="75"/>
      <c r="AX709" s="75"/>
      <c r="AY709" s="67"/>
      <c r="AZ709" s="75"/>
      <c r="BA709" s="67"/>
      <c r="BB709" s="66"/>
      <c r="BC709" s="4"/>
      <c r="BD709" s="67"/>
      <c r="BE709" s="67"/>
      <c r="BF709" s="68"/>
      <c r="BG709" s="69"/>
      <c r="BH709" s="84"/>
      <c r="BI709" s="70"/>
      <c r="BJ709" s="73"/>
      <c r="BK709" s="78"/>
      <c r="BL709" s="78"/>
      <c r="BM709" s="78"/>
      <c r="BN709" s="78"/>
      <c r="BO709" s="66"/>
      <c r="BP709" s="66"/>
    </row>
    <row r="710" spans="1:68" ht="13.2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/>
      <c r="AQ710" s="75"/>
      <c r="AR710" s="75"/>
      <c r="AS710" s="75"/>
      <c r="AT710" s="75"/>
      <c r="AU710" s="75"/>
      <c r="AV710" s="75"/>
      <c r="AW710" s="75"/>
      <c r="AX710" s="75"/>
      <c r="AY710" s="67"/>
      <c r="AZ710" s="75"/>
      <c r="BA710" s="67"/>
      <c r="BB710" s="66"/>
      <c r="BC710" s="4"/>
      <c r="BD710" s="67"/>
      <c r="BE710" s="67"/>
      <c r="BF710" s="68"/>
      <c r="BG710" s="69"/>
      <c r="BH710" s="84"/>
      <c r="BI710" s="70"/>
      <c r="BJ710" s="73"/>
      <c r="BK710" s="78"/>
      <c r="BL710" s="78"/>
      <c r="BM710" s="78"/>
      <c r="BN710" s="78"/>
      <c r="BO710" s="66"/>
      <c r="BP710" s="66"/>
    </row>
    <row r="711" spans="1:68" ht="13.2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/>
      <c r="AQ711" s="75"/>
      <c r="AR711" s="75"/>
      <c r="AS711" s="75"/>
      <c r="AT711" s="75"/>
      <c r="AU711" s="75"/>
      <c r="AV711" s="75"/>
      <c r="AW711" s="75"/>
      <c r="AX711" s="75"/>
      <c r="AY711" s="67"/>
      <c r="AZ711" s="75"/>
      <c r="BA711" s="67"/>
      <c r="BB711" s="66"/>
      <c r="BC711" s="4"/>
      <c r="BD711" s="67"/>
      <c r="BE711" s="67"/>
      <c r="BF711" s="68"/>
      <c r="BG711" s="69"/>
      <c r="BH711" s="84"/>
      <c r="BI711" s="70"/>
      <c r="BJ711" s="73"/>
      <c r="BK711" s="78"/>
      <c r="BL711" s="78"/>
      <c r="BM711" s="78"/>
      <c r="BN711" s="78"/>
      <c r="BO711" s="66"/>
      <c r="BP711" s="66"/>
    </row>
    <row r="712" spans="1:68" ht="13.2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/>
      <c r="AQ712" s="75"/>
      <c r="AR712" s="75"/>
      <c r="AS712" s="75"/>
      <c r="AT712" s="75"/>
      <c r="AU712" s="75"/>
      <c r="AV712" s="75"/>
      <c r="AW712" s="75"/>
      <c r="AX712" s="75"/>
      <c r="AY712" s="67"/>
      <c r="AZ712" s="75"/>
      <c r="BA712" s="67"/>
      <c r="BB712" s="66"/>
      <c r="BC712" s="4"/>
      <c r="BD712" s="67"/>
      <c r="BE712" s="67"/>
      <c r="BF712" s="68"/>
      <c r="BG712" s="69"/>
      <c r="BH712" s="84"/>
      <c r="BI712" s="70"/>
      <c r="BJ712" s="73"/>
      <c r="BK712" s="78"/>
      <c r="BL712" s="78"/>
      <c r="BM712" s="78"/>
      <c r="BN712" s="78"/>
      <c r="BO712" s="66"/>
      <c r="BP712" s="66"/>
    </row>
    <row r="713" spans="1:68" ht="13.2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/>
      <c r="AQ713" s="75"/>
      <c r="AR713" s="75"/>
      <c r="AS713" s="75"/>
      <c r="AT713" s="75"/>
      <c r="AU713" s="75"/>
      <c r="AV713" s="75"/>
      <c r="AW713" s="75"/>
      <c r="AX713" s="75"/>
      <c r="AY713" s="67"/>
      <c r="AZ713" s="75"/>
      <c r="BA713" s="67"/>
      <c r="BB713" s="66"/>
      <c r="BC713" s="4"/>
      <c r="BD713" s="67"/>
      <c r="BE713" s="67"/>
      <c r="BF713" s="68"/>
      <c r="BG713" s="69"/>
      <c r="BH713" s="84"/>
      <c r="BI713" s="70"/>
      <c r="BJ713" s="73"/>
      <c r="BK713" s="78"/>
      <c r="BL713" s="78"/>
      <c r="BM713" s="78"/>
      <c r="BN713" s="78"/>
      <c r="BO713" s="66"/>
      <c r="BP713" s="66"/>
    </row>
    <row r="714" spans="1:68" ht="13.2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/>
      <c r="AQ714" s="75"/>
      <c r="AR714" s="75"/>
      <c r="AS714" s="75"/>
      <c r="AT714" s="75"/>
      <c r="AU714" s="75"/>
      <c r="AV714" s="75"/>
      <c r="AW714" s="75"/>
      <c r="AX714" s="75"/>
      <c r="AY714" s="67"/>
      <c r="AZ714" s="75"/>
      <c r="BA714" s="67"/>
      <c r="BB714" s="66"/>
      <c r="BC714" s="4"/>
      <c r="BD714" s="67"/>
      <c r="BE714" s="67"/>
      <c r="BF714" s="68"/>
      <c r="BG714" s="69"/>
      <c r="BH714" s="84"/>
      <c r="BI714" s="70"/>
      <c r="BJ714" s="73"/>
      <c r="BK714" s="78"/>
      <c r="BL714" s="78"/>
      <c r="BM714" s="78"/>
      <c r="BN714" s="78"/>
      <c r="BO714" s="66"/>
      <c r="BP714" s="66"/>
    </row>
    <row r="715" spans="1:68" ht="13.2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/>
      <c r="AQ715" s="75"/>
      <c r="AR715" s="75"/>
      <c r="AS715" s="75"/>
      <c r="AT715" s="75"/>
      <c r="AU715" s="75"/>
      <c r="AV715" s="75"/>
      <c r="AW715" s="75"/>
      <c r="AX715" s="75"/>
      <c r="AY715" s="67"/>
      <c r="AZ715" s="75"/>
      <c r="BA715" s="67"/>
      <c r="BB715" s="66"/>
      <c r="BC715" s="4"/>
      <c r="BD715" s="67"/>
      <c r="BE715" s="67"/>
      <c r="BF715" s="68"/>
      <c r="BG715" s="69"/>
      <c r="BH715" s="84"/>
      <c r="BI715" s="70"/>
      <c r="BJ715" s="73"/>
      <c r="BK715" s="78"/>
      <c r="BL715" s="78"/>
      <c r="BM715" s="78"/>
      <c r="BN715" s="78"/>
      <c r="BO715" s="66"/>
      <c r="BP715" s="66"/>
    </row>
    <row r="716" spans="1:68" ht="13.2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/>
      <c r="AQ716" s="75"/>
      <c r="AR716" s="75"/>
      <c r="AS716" s="75"/>
      <c r="AT716" s="75"/>
      <c r="AU716" s="75"/>
      <c r="AV716" s="75"/>
      <c r="AW716" s="75"/>
      <c r="AX716" s="75"/>
      <c r="AY716" s="67"/>
      <c r="AZ716" s="75"/>
      <c r="BA716" s="67"/>
      <c r="BB716" s="66"/>
      <c r="BC716" s="4"/>
      <c r="BD716" s="67"/>
      <c r="BE716" s="67"/>
      <c r="BF716" s="68"/>
      <c r="BG716" s="69"/>
      <c r="BH716" s="84"/>
      <c r="BI716" s="70"/>
      <c r="BJ716" s="73"/>
      <c r="BK716" s="78"/>
      <c r="BL716" s="78"/>
      <c r="BM716" s="78"/>
      <c r="BN716" s="78"/>
      <c r="BO716" s="66"/>
      <c r="BP716" s="66"/>
    </row>
    <row r="717" spans="1:68" ht="13.2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/>
      <c r="AQ717" s="75"/>
      <c r="AR717" s="75"/>
      <c r="AS717" s="75"/>
      <c r="AT717" s="75"/>
      <c r="AU717" s="75"/>
      <c r="AV717" s="75"/>
      <c r="AW717" s="75"/>
      <c r="AX717" s="75"/>
      <c r="AY717" s="67"/>
      <c r="AZ717" s="75"/>
      <c r="BA717" s="67"/>
      <c r="BB717" s="66"/>
      <c r="BC717" s="4"/>
      <c r="BD717" s="67"/>
      <c r="BE717" s="67"/>
      <c r="BF717" s="68"/>
      <c r="BG717" s="69"/>
      <c r="BH717" s="84"/>
      <c r="BI717" s="70"/>
      <c r="BJ717" s="73"/>
      <c r="BK717" s="78"/>
      <c r="BL717" s="78"/>
      <c r="BM717" s="78"/>
      <c r="BN717" s="78"/>
      <c r="BO717" s="66"/>
      <c r="BP717" s="66"/>
    </row>
    <row r="718" spans="1:68" ht="13.2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/>
      <c r="AQ718" s="75"/>
      <c r="AR718" s="75"/>
      <c r="AS718" s="75"/>
      <c r="AT718" s="75"/>
      <c r="AU718" s="75"/>
      <c r="AV718" s="75"/>
      <c r="AW718" s="75"/>
      <c r="AX718" s="75"/>
      <c r="AY718" s="67"/>
      <c r="AZ718" s="75"/>
      <c r="BA718" s="67"/>
      <c r="BB718" s="66"/>
      <c r="BC718" s="4"/>
      <c r="BD718" s="67"/>
      <c r="BE718" s="67"/>
      <c r="BF718" s="68"/>
      <c r="BG718" s="69"/>
      <c r="BH718" s="84"/>
      <c r="BI718" s="70"/>
      <c r="BJ718" s="73"/>
      <c r="BK718" s="78"/>
      <c r="BL718" s="78"/>
      <c r="BM718" s="78"/>
      <c r="BN718" s="78"/>
      <c r="BO718" s="66"/>
      <c r="BP718" s="66"/>
    </row>
    <row r="719" spans="1:68" ht="13.2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/>
      <c r="AQ719" s="75"/>
      <c r="AR719" s="75"/>
      <c r="AS719" s="75"/>
      <c r="AT719" s="75"/>
      <c r="AU719" s="75"/>
      <c r="AV719" s="75"/>
      <c r="AW719" s="75"/>
      <c r="AX719" s="75"/>
      <c r="AY719" s="67"/>
      <c r="AZ719" s="75"/>
      <c r="BA719" s="67"/>
      <c r="BB719" s="66"/>
      <c r="BC719" s="4"/>
      <c r="BD719" s="67"/>
      <c r="BE719" s="67"/>
      <c r="BF719" s="68"/>
      <c r="BG719" s="69"/>
      <c r="BH719" s="84"/>
      <c r="BI719" s="70"/>
      <c r="BJ719" s="73"/>
      <c r="BK719" s="78"/>
      <c r="BL719" s="78"/>
      <c r="BM719" s="78"/>
      <c r="BN719" s="78"/>
      <c r="BO719" s="66"/>
      <c r="BP719" s="66"/>
    </row>
    <row r="720" spans="1:68" ht="13.2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/>
      <c r="AQ720" s="75"/>
      <c r="AR720" s="75"/>
      <c r="AS720" s="75"/>
      <c r="AT720" s="75"/>
      <c r="AU720" s="75"/>
      <c r="AV720" s="75"/>
      <c r="AW720" s="75"/>
      <c r="AX720" s="75"/>
      <c r="AY720" s="67"/>
      <c r="AZ720" s="75"/>
      <c r="BA720" s="67"/>
      <c r="BB720" s="66"/>
      <c r="BC720" s="4"/>
      <c r="BD720" s="67"/>
      <c r="BE720" s="67"/>
      <c r="BF720" s="68"/>
      <c r="BG720" s="69"/>
      <c r="BH720" s="84"/>
      <c r="BI720" s="70"/>
      <c r="BJ720" s="73"/>
      <c r="BK720" s="78"/>
      <c r="BL720" s="78"/>
      <c r="BM720" s="78"/>
      <c r="BN720" s="78"/>
      <c r="BO720" s="66"/>
      <c r="BP720" s="66"/>
    </row>
    <row r="721" spans="1:68" ht="13.2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/>
      <c r="AQ721" s="75"/>
      <c r="AR721" s="75"/>
      <c r="AS721" s="75"/>
      <c r="AT721" s="75"/>
      <c r="AU721" s="75"/>
      <c r="AV721" s="75"/>
      <c r="AW721" s="75"/>
      <c r="AX721" s="75"/>
      <c r="AY721" s="67"/>
      <c r="AZ721" s="75"/>
      <c r="BA721" s="67"/>
      <c r="BB721" s="66"/>
      <c r="BC721" s="4"/>
      <c r="BD721" s="67"/>
      <c r="BE721" s="67"/>
      <c r="BF721" s="68"/>
      <c r="BG721" s="69"/>
      <c r="BH721" s="84"/>
      <c r="BI721" s="70"/>
      <c r="BJ721" s="73"/>
      <c r="BK721" s="78"/>
      <c r="BL721" s="78"/>
      <c r="BM721" s="78"/>
      <c r="BN721" s="78"/>
      <c r="BO721" s="66"/>
      <c r="BP721" s="66"/>
    </row>
    <row r="722" spans="1:68" ht="13.2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/>
      <c r="AQ722" s="75"/>
      <c r="AR722" s="75"/>
      <c r="AS722" s="75"/>
      <c r="AT722" s="75"/>
      <c r="AU722" s="75"/>
      <c r="AV722" s="75"/>
      <c r="AW722" s="75"/>
      <c r="AX722" s="75"/>
      <c r="AY722" s="67"/>
      <c r="AZ722" s="75"/>
      <c r="BA722" s="67"/>
      <c r="BB722" s="66"/>
      <c r="BC722" s="4"/>
      <c r="BD722" s="67"/>
      <c r="BE722" s="67"/>
      <c r="BF722" s="68"/>
      <c r="BG722" s="69"/>
      <c r="BH722" s="84"/>
      <c r="BI722" s="70"/>
      <c r="BJ722" s="73"/>
      <c r="BK722" s="78"/>
      <c r="BL722" s="78"/>
      <c r="BM722" s="78"/>
      <c r="BN722" s="78"/>
      <c r="BO722" s="66"/>
      <c r="BP722" s="66"/>
    </row>
    <row r="723" spans="1:68" ht="13.2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/>
      <c r="AQ723" s="75"/>
      <c r="AR723" s="75"/>
      <c r="AS723" s="75"/>
      <c r="AT723" s="75"/>
      <c r="AU723" s="75"/>
      <c r="AV723" s="75"/>
      <c r="AW723" s="75"/>
      <c r="AX723" s="75"/>
      <c r="AY723" s="67"/>
      <c r="AZ723" s="75"/>
      <c r="BA723" s="67"/>
      <c r="BB723" s="66"/>
      <c r="BC723" s="4"/>
      <c r="BD723" s="67"/>
      <c r="BE723" s="67"/>
      <c r="BF723" s="68"/>
      <c r="BG723" s="69"/>
      <c r="BH723" s="84"/>
      <c r="BI723" s="70"/>
      <c r="BJ723" s="73"/>
      <c r="BK723" s="78"/>
      <c r="BL723" s="78"/>
      <c r="BM723" s="78"/>
      <c r="BN723" s="78"/>
      <c r="BO723" s="66"/>
      <c r="BP723" s="66"/>
    </row>
    <row r="724" spans="1:68" ht="13.2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/>
      <c r="AQ724" s="75"/>
      <c r="AR724" s="75"/>
      <c r="AS724" s="75"/>
      <c r="AT724" s="75"/>
      <c r="AU724" s="75"/>
      <c r="AV724" s="75"/>
      <c r="AW724" s="75"/>
      <c r="AX724" s="75"/>
      <c r="AY724" s="67"/>
      <c r="AZ724" s="75"/>
      <c r="BA724" s="67"/>
      <c r="BB724" s="66"/>
      <c r="BC724" s="4"/>
      <c r="BD724" s="67"/>
      <c r="BE724" s="67"/>
      <c r="BF724" s="68"/>
      <c r="BG724" s="69"/>
      <c r="BH724" s="84"/>
      <c r="BI724" s="70"/>
      <c r="BJ724" s="73"/>
      <c r="BK724" s="78"/>
      <c r="BL724" s="78"/>
      <c r="BM724" s="78"/>
      <c r="BN724" s="78"/>
      <c r="BO724" s="66"/>
      <c r="BP724" s="66"/>
    </row>
    <row r="725" spans="1:68" ht="13.2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/>
      <c r="AQ725" s="75"/>
      <c r="AR725" s="75"/>
      <c r="AS725" s="75"/>
      <c r="AT725" s="75"/>
      <c r="AU725" s="75"/>
      <c r="AV725" s="75"/>
      <c r="AW725" s="75"/>
      <c r="AX725" s="75"/>
      <c r="AY725" s="67"/>
      <c r="AZ725" s="75"/>
      <c r="BA725" s="67"/>
      <c r="BB725" s="66"/>
      <c r="BC725" s="4"/>
      <c r="BD725" s="67"/>
      <c r="BE725" s="67"/>
      <c r="BF725" s="68"/>
      <c r="BG725" s="69"/>
      <c r="BH725" s="84"/>
      <c r="BI725" s="70"/>
      <c r="BJ725" s="73"/>
      <c r="BK725" s="78"/>
      <c r="BL725" s="78"/>
      <c r="BM725" s="78"/>
      <c r="BN725" s="78"/>
      <c r="BO725" s="66"/>
      <c r="BP725" s="66"/>
    </row>
    <row r="726" spans="1:68" ht="13.2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/>
      <c r="AQ726" s="75"/>
      <c r="AR726" s="75"/>
      <c r="AS726" s="75"/>
      <c r="AT726" s="75"/>
      <c r="AU726" s="75"/>
      <c r="AV726" s="75"/>
      <c r="AW726" s="75"/>
      <c r="AX726" s="75"/>
      <c r="AY726" s="67"/>
      <c r="AZ726" s="75"/>
      <c r="BA726" s="67"/>
      <c r="BB726" s="66"/>
      <c r="BC726" s="4"/>
      <c r="BD726" s="67"/>
      <c r="BE726" s="67"/>
      <c r="BF726" s="68"/>
      <c r="BG726" s="69"/>
      <c r="BH726" s="84"/>
      <c r="BI726" s="70"/>
      <c r="BJ726" s="73"/>
      <c r="BK726" s="78"/>
      <c r="BL726" s="78"/>
      <c r="BM726" s="78"/>
      <c r="BN726" s="78"/>
      <c r="BO726" s="66"/>
      <c r="BP726" s="66"/>
    </row>
    <row r="727" spans="1:68" ht="13.2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/>
      <c r="AQ727" s="75"/>
      <c r="AR727" s="75"/>
      <c r="AS727" s="75"/>
      <c r="AT727" s="75"/>
      <c r="AU727" s="75"/>
      <c r="AV727" s="75"/>
      <c r="AW727" s="75"/>
      <c r="AX727" s="75"/>
      <c r="AY727" s="67"/>
      <c r="AZ727" s="75"/>
      <c r="BA727" s="67"/>
      <c r="BB727" s="66"/>
      <c r="BC727" s="4"/>
      <c r="BD727" s="67"/>
      <c r="BE727" s="67"/>
      <c r="BF727" s="68"/>
      <c r="BG727" s="69"/>
      <c r="BH727" s="84"/>
      <c r="BI727" s="70"/>
      <c r="BJ727" s="73"/>
      <c r="BK727" s="78"/>
      <c r="BL727" s="78"/>
      <c r="BM727" s="78"/>
      <c r="BN727" s="78"/>
      <c r="BO727" s="66"/>
      <c r="BP727" s="66"/>
    </row>
    <row r="728" spans="1:68" ht="13.2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/>
      <c r="AQ728" s="75"/>
      <c r="AR728" s="75"/>
      <c r="AS728" s="75"/>
      <c r="AT728" s="75"/>
      <c r="AU728" s="75"/>
      <c r="AV728" s="75"/>
      <c r="AW728" s="75"/>
      <c r="AX728" s="75"/>
      <c r="AY728" s="67"/>
      <c r="AZ728" s="75"/>
      <c r="BA728" s="67"/>
      <c r="BB728" s="66"/>
      <c r="BC728" s="4"/>
      <c r="BD728" s="67"/>
      <c r="BE728" s="67"/>
      <c r="BF728" s="68"/>
      <c r="BG728" s="69"/>
      <c r="BH728" s="84"/>
      <c r="BI728" s="70"/>
      <c r="BJ728" s="73"/>
      <c r="BK728" s="78"/>
      <c r="BL728" s="78"/>
      <c r="BM728" s="78"/>
      <c r="BN728" s="78"/>
      <c r="BO728" s="66"/>
      <c r="BP728" s="66"/>
    </row>
    <row r="729" spans="1:68" ht="13.2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/>
      <c r="AQ729" s="75"/>
      <c r="AR729" s="75"/>
      <c r="AS729" s="75"/>
      <c r="AT729" s="75"/>
      <c r="AU729" s="75"/>
      <c r="AV729" s="75"/>
      <c r="AW729" s="75"/>
      <c r="AX729" s="75"/>
      <c r="AY729" s="67"/>
      <c r="AZ729" s="75"/>
      <c r="BA729" s="67"/>
      <c r="BB729" s="66"/>
      <c r="BC729" s="4"/>
      <c r="BD729" s="67"/>
      <c r="BE729" s="67"/>
      <c r="BF729" s="68"/>
      <c r="BG729" s="69"/>
      <c r="BH729" s="84"/>
      <c r="BI729" s="70"/>
      <c r="BJ729" s="73"/>
      <c r="BK729" s="78"/>
      <c r="BL729" s="78"/>
      <c r="BM729" s="78"/>
      <c r="BN729" s="78"/>
      <c r="BO729" s="66"/>
      <c r="BP729" s="66"/>
    </row>
    <row r="730" spans="1:68" ht="13.2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/>
      <c r="AQ730" s="75"/>
      <c r="AR730" s="75"/>
      <c r="AS730" s="75"/>
      <c r="AT730" s="75"/>
      <c r="AU730" s="75"/>
      <c r="AV730" s="75"/>
      <c r="AW730" s="75"/>
      <c r="AX730" s="75"/>
      <c r="AY730" s="67"/>
      <c r="AZ730" s="75"/>
      <c r="BA730" s="67"/>
      <c r="BB730" s="66"/>
      <c r="BC730" s="4"/>
      <c r="BD730" s="67"/>
      <c r="BE730" s="67"/>
      <c r="BF730" s="68"/>
      <c r="BG730" s="69"/>
      <c r="BH730" s="84"/>
      <c r="BI730" s="70"/>
      <c r="BJ730" s="73"/>
      <c r="BK730" s="78"/>
      <c r="BL730" s="78"/>
      <c r="BM730" s="78"/>
      <c r="BN730" s="78"/>
      <c r="BO730" s="66"/>
      <c r="BP730" s="66"/>
    </row>
    <row r="731" spans="1:68" ht="13.2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/>
      <c r="AQ731" s="75"/>
      <c r="AR731" s="75"/>
      <c r="AS731" s="75"/>
      <c r="AT731" s="75"/>
      <c r="AU731" s="75"/>
      <c r="AV731" s="75"/>
      <c r="AW731" s="75"/>
      <c r="AX731" s="75"/>
      <c r="AY731" s="67"/>
      <c r="AZ731" s="75"/>
      <c r="BA731" s="67"/>
      <c r="BB731" s="66"/>
      <c r="BC731" s="4"/>
      <c r="BD731" s="67"/>
      <c r="BE731" s="67"/>
      <c r="BF731" s="68"/>
      <c r="BG731" s="69"/>
      <c r="BH731" s="84"/>
      <c r="BI731" s="70"/>
      <c r="BJ731" s="73"/>
      <c r="BK731" s="78"/>
      <c r="BL731" s="78"/>
      <c r="BM731" s="78"/>
      <c r="BN731" s="78"/>
      <c r="BO731" s="66"/>
      <c r="BP731" s="66"/>
    </row>
    <row r="732" spans="1:68" ht="13.2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/>
      <c r="AQ732" s="75"/>
      <c r="AR732" s="75"/>
      <c r="AS732" s="75"/>
      <c r="AT732" s="75"/>
      <c r="AU732" s="75"/>
      <c r="AV732" s="75"/>
      <c r="AW732" s="75"/>
      <c r="AX732" s="75"/>
      <c r="AY732" s="67"/>
      <c r="AZ732" s="75"/>
      <c r="BA732" s="67"/>
      <c r="BB732" s="66"/>
      <c r="BC732" s="4"/>
      <c r="BD732" s="67"/>
      <c r="BE732" s="67"/>
      <c r="BF732" s="68"/>
      <c r="BG732" s="69"/>
      <c r="BH732" s="84"/>
      <c r="BI732" s="70"/>
      <c r="BJ732" s="73"/>
      <c r="BK732" s="78"/>
      <c r="BL732" s="78"/>
      <c r="BM732" s="78"/>
      <c r="BN732" s="78"/>
      <c r="BO732" s="66"/>
      <c r="BP732" s="66"/>
    </row>
    <row r="733" spans="1:68" ht="13.2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/>
      <c r="AQ733" s="75"/>
      <c r="AR733" s="75"/>
      <c r="AS733" s="75"/>
      <c r="AT733" s="75"/>
      <c r="AU733" s="75"/>
      <c r="AV733" s="75"/>
      <c r="AW733" s="75"/>
      <c r="AX733" s="75"/>
      <c r="AY733" s="67"/>
      <c r="AZ733" s="75"/>
      <c r="BA733" s="67"/>
      <c r="BB733" s="66"/>
      <c r="BC733" s="4"/>
      <c r="BD733" s="67"/>
      <c r="BE733" s="67"/>
      <c r="BF733" s="68"/>
      <c r="BG733" s="69"/>
      <c r="BH733" s="84"/>
      <c r="BI733" s="70"/>
      <c r="BJ733" s="73"/>
      <c r="BK733" s="78"/>
      <c r="BL733" s="78"/>
      <c r="BM733" s="78"/>
      <c r="BN733" s="78"/>
      <c r="BO733" s="66"/>
      <c r="BP733" s="66"/>
    </row>
    <row r="734" spans="1:68" ht="13.2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/>
      <c r="AQ734" s="75"/>
      <c r="AR734" s="75"/>
      <c r="AS734" s="75"/>
      <c r="AT734" s="75"/>
      <c r="AU734" s="75"/>
      <c r="AV734" s="75"/>
      <c r="AW734" s="75"/>
      <c r="AX734" s="75"/>
      <c r="AY734" s="67"/>
      <c r="AZ734" s="75"/>
      <c r="BA734" s="67"/>
      <c r="BB734" s="66"/>
      <c r="BC734" s="4"/>
      <c r="BD734" s="67"/>
      <c r="BE734" s="67"/>
      <c r="BF734" s="68"/>
      <c r="BG734" s="69"/>
      <c r="BH734" s="84"/>
      <c r="BI734" s="70"/>
      <c r="BJ734" s="73"/>
      <c r="BK734" s="78"/>
      <c r="BL734" s="78"/>
      <c r="BM734" s="78"/>
      <c r="BN734" s="78"/>
      <c r="BO734" s="66"/>
      <c r="BP734" s="66"/>
    </row>
    <row r="735" spans="1:68" ht="13.2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/>
      <c r="AQ735" s="75"/>
      <c r="AR735" s="75"/>
      <c r="AS735" s="75"/>
      <c r="AT735" s="75"/>
      <c r="AU735" s="75"/>
      <c r="AV735" s="75"/>
      <c r="AW735" s="75"/>
      <c r="AX735" s="75"/>
      <c r="AY735" s="67"/>
      <c r="AZ735" s="75"/>
      <c r="BA735" s="67"/>
      <c r="BB735" s="66"/>
      <c r="BC735" s="4"/>
      <c r="BD735" s="67"/>
      <c r="BE735" s="67"/>
      <c r="BF735" s="68"/>
      <c r="BG735" s="69"/>
      <c r="BH735" s="84"/>
      <c r="BI735" s="70"/>
      <c r="BJ735" s="73"/>
      <c r="BK735" s="78"/>
      <c r="BL735" s="78"/>
      <c r="BM735" s="78"/>
      <c r="BN735" s="78"/>
      <c r="BO735" s="66"/>
      <c r="BP735" s="66"/>
    </row>
    <row r="736" spans="1:68" ht="13.2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/>
      <c r="AQ736" s="75"/>
      <c r="AR736" s="75"/>
      <c r="AS736" s="75"/>
      <c r="AT736" s="75"/>
      <c r="AU736" s="75"/>
      <c r="AV736" s="75"/>
      <c r="AW736" s="75"/>
      <c r="AX736" s="75"/>
      <c r="AY736" s="67"/>
      <c r="AZ736" s="75"/>
      <c r="BA736" s="67"/>
      <c r="BB736" s="66"/>
      <c r="BC736" s="4"/>
      <c r="BD736" s="67"/>
      <c r="BE736" s="67"/>
      <c r="BF736" s="68"/>
      <c r="BG736" s="69"/>
      <c r="BH736" s="84"/>
      <c r="BI736" s="70"/>
      <c r="BJ736" s="73"/>
      <c r="BK736" s="78"/>
      <c r="BL736" s="78"/>
      <c r="BM736" s="78"/>
      <c r="BN736" s="78"/>
      <c r="BO736" s="66"/>
      <c r="BP736" s="66"/>
    </row>
    <row r="737" spans="1:68" ht="13.2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/>
      <c r="AQ737" s="75"/>
      <c r="AR737" s="75"/>
      <c r="AS737" s="75"/>
      <c r="AT737" s="75"/>
      <c r="AU737" s="75"/>
      <c r="AV737" s="75"/>
      <c r="AW737" s="75"/>
      <c r="AX737" s="75"/>
      <c r="AY737" s="67"/>
      <c r="AZ737" s="75"/>
      <c r="BA737" s="67"/>
      <c r="BB737" s="66"/>
      <c r="BC737" s="4"/>
      <c r="BD737" s="67"/>
      <c r="BE737" s="67"/>
      <c r="BF737" s="68"/>
      <c r="BG737" s="69"/>
      <c r="BH737" s="84"/>
      <c r="BI737" s="70"/>
      <c r="BJ737" s="73"/>
      <c r="BK737" s="78"/>
      <c r="BL737" s="78"/>
      <c r="BM737" s="78"/>
      <c r="BN737" s="78"/>
      <c r="BO737" s="66"/>
      <c r="BP737" s="66"/>
    </row>
    <row r="738" spans="1:68" ht="13.2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/>
      <c r="AQ738" s="75"/>
      <c r="AR738" s="75"/>
      <c r="AS738" s="75"/>
      <c r="AT738" s="75"/>
      <c r="AU738" s="75"/>
      <c r="AV738" s="75"/>
      <c r="AW738" s="75"/>
      <c r="AX738" s="75"/>
      <c r="AY738" s="67"/>
      <c r="AZ738" s="75"/>
      <c r="BA738" s="67"/>
      <c r="BB738" s="66"/>
      <c r="BC738" s="4"/>
      <c r="BD738" s="67"/>
      <c r="BE738" s="67"/>
      <c r="BF738" s="68"/>
      <c r="BG738" s="69"/>
      <c r="BH738" s="84"/>
      <c r="BI738" s="70"/>
      <c r="BJ738" s="73"/>
      <c r="BK738" s="78"/>
      <c r="BL738" s="78"/>
      <c r="BM738" s="78"/>
      <c r="BN738" s="78"/>
      <c r="BO738" s="66"/>
      <c r="BP738" s="66"/>
    </row>
    <row r="739" spans="1:68" ht="13.2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/>
      <c r="AQ739" s="75"/>
      <c r="AR739" s="75"/>
      <c r="AS739" s="75"/>
      <c r="AT739" s="75"/>
      <c r="AU739" s="75"/>
      <c r="AV739" s="75"/>
      <c r="AW739" s="75"/>
      <c r="AX739" s="75"/>
      <c r="AY739" s="67"/>
      <c r="AZ739" s="75"/>
      <c r="BA739" s="67"/>
      <c r="BB739" s="66"/>
      <c r="BC739" s="4"/>
      <c r="BD739" s="67"/>
      <c r="BE739" s="67"/>
      <c r="BF739" s="68"/>
      <c r="BG739" s="69"/>
      <c r="BH739" s="84"/>
      <c r="BI739" s="70"/>
      <c r="BJ739" s="73"/>
      <c r="BK739" s="78"/>
      <c r="BL739" s="78"/>
      <c r="BM739" s="78"/>
      <c r="BN739" s="78"/>
      <c r="BO739" s="66"/>
      <c r="BP739" s="66"/>
    </row>
    <row r="740" spans="1:68" ht="13.2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/>
      <c r="AQ740" s="75"/>
      <c r="AR740" s="75"/>
      <c r="AS740" s="75"/>
      <c r="AT740" s="75"/>
      <c r="AU740" s="75"/>
      <c r="AV740" s="75"/>
      <c r="AW740" s="75"/>
      <c r="AX740" s="75"/>
      <c r="AY740" s="67"/>
      <c r="AZ740" s="75"/>
      <c r="BA740" s="67"/>
      <c r="BB740" s="66"/>
      <c r="BC740" s="4"/>
      <c r="BD740" s="67"/>
      <c r="BE740" s="67"/>
      <c r="BF740" s="68"/>
      <c r="BG740" s="69"/>
      <c r="BH740" s="84"/>
      <c r="BI740" s="70"/>
      <c r="BJ740" s="73"/>
      <c r="BK740" s="78"/>
      <c r="BL740" s="78"/>
      <c r="BM740" s="78"/>
      <c r="BN740" s="78"/>
      <c r="BO740" s="66"/>
      <c r="BP740" s="66"/>
    </row>
    <row r="741" spans="1:68" ht="13.2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/>
      <c r="AQ741" s="75"/>
      <c r="AR741" s="75"/>
      <c r="AS741" s="75"/>
      <c r="AT741" s="75"/>
      <c r="AU741" s="75"/>
      <c r="AV741" s="75"/>
      <c r="AW741" s="75"/>
      <c r="AX741" s="75"/>
      <c r="AY741" s="67"/>
      <c r="AZ741" s="75"/>
      <c r="BA741" s="67"/>
      <c r="BB741" s="66"/>
      <c r="BC741" s="4"/>
      <c r="BD741" s="67"/>
      <c r="BE741" s="67"/>
      <c r="BF741" s="68"/>
      <c r="BG741" s="69"/>
      <c r="BH741" s="84"/>
      <c r="BI741" s="70"/>
      <c r="BJ741" s="73"/>
      <c r="BK741" s="78"/>
      <c r="BL741" s="78"/>
      <c r="BM741" s="78"/>
      <c r="BN741" s="78"/>
      <c r="BO741" s="66"/>
      <c r="BP741" s="66"/>
    </row>
    <row r="742" spans="1:68" ht="13.2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/>
      <c r="AQ742" s="75"/>
      <c r="AR742" s="75"/>
      <c r="AS742" s="75"/>
      <c r="AT742" s="75"/>
      <c r="AU742" s="75"/>
      <c r="AV742" s="75"/>
      <c r="AW742" s="75"/>
      <c r="AX742" s="75"/>
      <c r="AY742" s="67"/>
      <c r="AZ742" s="75"/>
      <c r="BA742" s="67"/>
      <c r="BB742" s="66"/>
      <c r="BC742" s="4"/>
      <c r="BD742" s="67"/>
      <c r="BE742" s="67"/>
      <c r="BF742" s="68"/>
      <c r="BG742" s="69"/>
      <c r="BH742" s="84"/>
      <c r="BI742" s="70"/>
      <c r="BJ742" s="73"/>
      <c r="BK742" s="78"/>
      <c r="BL742" s="78"/>
      <c r="BM742" s="78"/>
      <c r="BN742" s="78"/>
      <c r="BO742" s="66"/>
      <c r="BP742" s="66"/>
    </row>
    <row r="743" spans="1:68" ht="13.2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/>
      <c r="AQ743" s="75"/>
      <c r="AR743" s="75"/>
      <c r="AS743" s="75"/>
      <c r="AT743" s="75"/>
      <c r="AU743" s="75"/>
      <c r="AV743" s="75"/>
      <c r="AW743" s="75"/>
      <c r="AX743" s="75"/>
      <c r="AY743" s="67"/>
      <c r="AZ743" s="75"/>
      <c r="BA743" s="67"/>
      <c r="BB743" s="66"/>
      <c r="BC743" s="4"/>
      <c r="BD743" s="67"/>
      <c r="BE743" s="67"/>
      <c r="BF743" s="68"/>
      <c r="BG743" s="69"/>
      <c r="BH743" s="84"/>
      <c r="BI743" s="70"/>
      <c r="BJ743" s="73"/>
      <c r="BK743" s="78"/>
      <c r="BL743" s="78"/>
      <c r="BM743" s="78"/>
      <c r="BN743" s="78"/>
      <c r="BO743" s="66"/>
      <c r="BP743" s="66"/>
    </row>
    <row r="744" spans="1:68" ht="13.2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/>
      <c r="AQ744" s="75"/>
      <c r="AR744" s="75"/>
      <c r="AS744" s="75"/>
      <c r="AT744" s="75"/>
      <c r="AU744" s="75"/>
      <c r="AV744" s="75"/>
      <c r="AW744" s="75"/>
      <c r="AX744" s="75"/>
      <c r="AY744" s="67"/>
      <c r="AZ744" s="75"/>
      <c r="BA744" s="67"/>
      <c r="BB744" s="66"/>
      <c r="BC744" s="4"/>
      <c r="BD744" s="67"/>
      <c r="BE744" s="67"/>
      <c r="BF744" s="68"/>
      <c r="BG744" s="69"/>
      <c r="BH744" s="84"/>
      <c r="BI744" s="70"/>
      <c r="BJ744" s="73"/>
      <c r="BK744" s="78"/>
      <c r="BL744" s="78"/>
      <c r="BM744" s="78"/>
      <c r="BN744" s="78"/>
      <c r="BO744" s="66"/>
      <c r="BP744" s="66"/>
    </row>
    <row r="745" spans="1:68" ht="13.2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/>
      <c r="AQ745" s="75"/>
      <c r="AR745" s="75"/>
      <c r="AS745" s="75"/>
      <c r="AT745" s="75"/>
      <c r="AU745" s="75"/>
      <c r="AV745" s="75"/>
      <c r="AW745" s="75"/>
      <c r="AX745" s="75"/>
      <c r="AY745" s="67"/>
      <c r="AZ745" s="75"/>
      <c r="BA745" s="67"/>
      <c r="BB745" s="66"/>
      <c r="BC745" s="4"/>
      <c r="BD745" s="67"/>
      <c r="BE745" s="67"/>
      <c r="BF745" s="68"/>
      <c r="BG745" s="69"/>
      <c r="BH745" s="84"/>
      <c r="BI745" s="70"/>
      <c r="BJ745" s="73"/>
      <c r="BK745" s="78"/>
      <c r="BL745" s="78"/>
      <c r="BM745" s="78"/>
      <c r="BN745" s="78"/>
      <c r="BO745" s="66"/>
      <c r="BP745" s="66"/>
    </row>
    <row r="746" spans="1:68" ht="13.2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/>
      <c r="AQ746" s="75"/>
      <c r="AR746" s="75"/>
      <c r="AS746" s="75"/>
      <c r="AT746" s="75"/>
      <c r="AU746" s="75"/>
      <c r="AV746" s="75"/>
      <c r="AW746" s="75"/>
      <c r="AX746" s="75"/>
      <c r="AY746" s="67"/>
      <c r="AZ746" s="75"/>
      <c r="BA746" s="67"/>
      <c r="BB746" s="66"/>
      <c r="BC746" s="4"/>
      <c r="BD746" s="67"/>
      <c r="BE746" s="67"/>
      <c r="BF746" s="68"/>
      <c r="BG746" s="69"/>
      <c r="BH746" s="84"/>
      <c r="BI746" s="70"/>
      <c r="BJ746" s="73"/>
      <c r="BK746" s="78"/>
      <c r="BL746" s="78"/>
      <c r="BM746" s="78"/>
      <c r="BN746" s="78"/>
      <c r="BO746" s="66"/>
      <c r="BP746" s="66"/>
    </row>
    <row r="747" spans="1:68" ht="13.2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/>
      <c r="AQ747" s="75"/>
      <c r="AR747" s="75"/>
      <c r="AS747" s="75"/>
      <c r="AT747" s="75"/>
      <c r="AU747" s="75"/>
      <c r="AV747" s="75"/>
      <c r="AW747" s="75"/>
      <c r="AX747" s="75"/>
      <c r="AY747" s="67"/>
      <c r="AZ747" s="75"/>
      <c r="BA747" s="67"/>
      <c r="BB747" s="66"/>
      <c r="BC747" s="4"/>
      <c r="BD747" s="67"/>
      <c r="BE747" s="67"/>
      <c r="BF747" s="68"/>
      <c r="BG747" s="69"/>
      <c r="BH747" s="84"/>
      <c r="BI747" s="70"/>
      <c r="BJ747" s="73"/>
      <c r="BK747" s="78"/>
      <c r="BL747" s="78"/>
      <c r="BM747" s="78"/>
      <c r="BN747" s="78"/>
      <c r="BO747" s="66"/>
      <c r="BP747" s="66"/>
    </row>
    <row r="748" spans="1:68" ht="13.2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/>
      <c r="AQ748" s="75"/>
      <c r="AR748" s="75"/>
      <c r="AS748" s="75"/>
      <c r="AT748" s="75"/>
      <c r="AU748" s="75"/>
      <c r="AV748" s="75"/>
      <c r="AW748" s="75"/>
      <c r="AX748" s="75"/>
      <c r="AY748" s="67"/>
      <c r="AZ748" s="75"/>
      <c r="BA748" s="67"/>
      <c r="BB748" s="66"/>
      <c r="BC748" s="4"/>
      <c r="BD748" s="67"/>
      <c r="BE748" s="67"/>
      <c r="BF748" s="68"/>
      <c r="BG748" s="69"/>
      <c r="BH748" s="84"/>
      <c r="BI748" s="70"/>
      <c r="BJ748" s="73"/>
      <c r="BK748" s="78"/>
      <c r="BL748" s="78"/>
      <c r="BM748" s="78"/>
      <c r="BN748" s="78"/>
      <c r="BO748" s="66"/>
      <c r="BP748" s="66"/>
    </row>
    <row r="749" spans="1:68" ht="13.2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/>
      <c r="AQ749" s="75"/>
      <c r="AR749" s="75"/>
      <c r="AS749" s="75"/>
      <c r="AT749" s="75"/>
      <c r="AU749" s="75"/>
      <c r="AV749" s="75"/>
      <c r="AW749" s="75"/>
      <c r="AX749" s="75"/>
      <c r="AY749" s="67"/>
      <c r="AZ749" s="75"/>
      <c r="BA749" s="67"/>
      <c r="BB749" s="66"/>
      <c r="BC749" s="4"/>
      <c r="BD749" s="67"/>
      <c r="BE749" s="67"/>
      <c r="BF749" s="68"/>
      <c r="BG749" s="69"/>
      <c r="BH749" s="84"/>
      <c r="BI749" s="70"/>
      <c r="BJ749" s="73"/>
      <c r="BK749" s="78"/>
      <c r="BL749" s="78"/>
      <c r="BM749" s="78"/>
      <c r="BN749" s="78"/>
      <c r="BO749" s="66"/>
      <c r="BP749" s="66"/>
    </row>
    <row r="750" spans="1:68" ht="13.2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/>
      <c r="AQ750" s="75"/>
      <c r="AR750" s="75"/>
      <c r="AS750" s="75"/>
      <c r="AT750" s="75"/>
      <c r="AU750" s="75"/>
      <c r="AV750" s="75"/>
      <c r="AW750" s="75"/>
      <c r="AX750" s="75"/>
      <c r="AY750" s="67"/>
      <c r="AZ750" s="75"/>
      <c r="BA750" s="67"/>
      <c r="BB750" s="66"/>
      <c r="BC750" s="4"/>
      <c r="BD750" s="67"/>
      <c r="BE750" s="67"/>
      <c r="BF750" s="68"/>
      <c r="BG750" s="69"/>
      <c r="BH750" s="84"/>
      <c r="BI750" s="70"/>
      <c r="BJ750" s="73"/>
      <c r="BK750" s="78"/>
      <c r="BL750" s="78"/>
      <c r="BM750" s="78"/>
      <c r="BN750" s="78"/>
      <c r="BO750" s="66"/>
      <c r="BP750" s="66"/>
    </row>
    <row r="751" spans="1:68" ht="13.2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/>
      <c r="AQ751" s="75"/>
      <c r="AR751" s="75"/>
      <c r="AS751" s="75"/>
      <c r="AT751" s="75"/>
      <c r="AU751" s="75"/>
      <c r="AV751" s="75"/>
      <c r="AW751" s="75"/>
      <c r="AX751" s="75"/>
      <c r="AY751" s="67"/>
      <c r="AZ751" s="75"/>
      <c r="BA751" s="67"/>
      <c r="BB751" s="66"/>
      <c r="BC751" s="4"/>
      <c r="BD751" s="67"/>
      <c r="BE751" s="67"/>
      <c r="BF751" s="68"/>
      <c r="BG751" s="69"/>
      <c r="BH751" s="84"/>
      <c r="BI751" s="70"/>
      <c r="BJ751" s="73"/>
      <c r="BK751" s="78"/>
      <c r="BL751" s="78"/>
      <c r="BM751" s="78"/>
      <c r="BN751" s="78"/>
      <c r="BO751" s="66"/>
      <c r="BP751" s="66"/>
    </row>
    <row r="752" spans="1:68" ht="13.2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/>
      <c r="AQ752" s="75"/>
      <c r="AR752" s="75"/>
      <c r="AS752" s="75"/>
      <c r="AT752" s="75"/>
      <c r="AU752" s="75"/>
      <c r="AV752" s="75"/>
      <c r="AW752" s="75"/>
      <c r="AX752" s="75"/>
      <c r="AY752" s="67"/>
      <c r="AZ752" s="75"/>
      <c r="BA752" s="67"/>
      <c r="BB752" s="66"/>
      <c r="BC752" s="4"/>
      <c r="BD752" s="67"/>
      <c r="BE752" s="67"/>
      <c r="BF752" s="68"/>
      <c r="BG752" s="69"/>
      <c r="BH752" s="84"/>
      <c r="BI752" s="70"/>
      <c r="BJ752" s="73"/>
      <c r="BK752" s="78"/>
      <c r="BL752" s="78"/>
      <c r="BM752" s="78"/>
      <c r="BN752" s="78"/>
      <c r="BO752" s="66"/>
      <c r="BP752" s="66"/>
    </row>
    <row r="753" spans="1:68" ht="13.2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/>
      <c r="AQ753" s="75"/>
      <c r="AR753" s="75"/>
      <c r="AS753" s="75"/>
      <c r="AT753" s="75"/>
      <c r="AU753" s="75"/>
      <c r="AV753" s="75"/>
      <c r="AW753" s="75"/>
      <c r="AX753" s="75"/>
      <c r="AY753" s="67"/>
      <c r="AZ753" s="75"/>
      <c r="BA753" s="67"/>
      <c r="BB753" s="66"/>
      <c r="BC753" s="4"/>
      <c r="BD753" s="67"/>
      <c r="BE753" s="67"/>
      <c r="BF753" s="68"/>
      <c r="BG753" s="69"/>
      <c r="BH753" s="84"/>
      <c r="BI753" s="70"/>
      <c r="BJ753" s="73"/>
      <c r="BK753" s="78"/>
      <c r="BL753" s="78"/>
      <c r="BM753" s="78"/>
      <c r="BN753" s="78"/>
      <c r="BO753" s="66"/>
      <c r="BP753" s="66"/>
    </row>
    <row r="754" spans="1:68" ht="13.2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/>
      <c r="AQ754" s="75"/>
      <c r="AR754" s="75"/>
      <c r="AS754" s="75"/>
      <c r="AT754" s="75"/>
      <c r="AU754" s="75"/>
      <c r="AV754" s="75"/>
      <c r="AW754" s="75"/>
      <c r="AX754" s="75"/>
      <c r="AY754" s="67"/>
      <c r="AZ754" s="75"/>
      <c r="BA754" s="67"/>
      <c r="BB754" s="66"/>
      <c r="BC754" s="4"/>
      <c r="BD754" s="67"/>
      <c r="BE754" s="67"/>
      <c r="BF754" s="68"/>
      <c r="BG754" s="69"/>
      <c r="BH754" s="84"/>
      <c r="BI754" s="70"/>
      <c r="BJ754" s="73"/>
      <c r="BK754" s="78"/>
      <c r="BL754" s="78"/>
      <c r="BM754" s="78"/>
      <c r="BN754" s="78"/>
      <c r="BO754" s="66"/>
      <c r="BP754" s="66"/>
    </row>
    <row r="755" spans="1:68" ht="13.2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/>
      <c r="AQ755" s="75"/>
      <c r="AR755" s="75"/>
      <c r="AS755" s="75"/>
      <c r="AT755" s="75"/>
      <c r="AU755" s="75"/>
      <c r="AV755" s="75"/>
      <c r="AW755" s="75"/>
      <c r="AX755" s="75"/>
      <c r="AY755" s="67"/>
      <c r="AZ755" s="75"/>
      <c r="BA755" s="67"/>
      <c r="BB755" s="66"/>
      <c r="BC755" s="4"/>
      <c r="BD755" s="67"/>
      <c r="BE755" s="67"/>
      <c r="BF755" s="68"/>
      <c r="BG755" s="69"/>
      <c r="BH755" s="84"/>
      <c r="BI755" s="70"/>
      <c r="BJ755" s="73"/>
      <c r="BK755" s="78"/>
      <c r="BL755" s="78"/>
      <c r="BM755" s="78"/>
      <c r="BN755" s="78"/>
      <c r="BO755" s="66"/>
      <c r="BP755" s="66"/>
    </row>
    <row r="756" spans="1:68" ht="13.2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/>
      <c r="AQ756" s="75"/>
      <c r="AR756" s="75"/>
      <c r="AS756" s="75"/>
      <c r="AT756" s="75"/>
      <c r="AU756" s="75"/>
      <c r="AV756" s="75"/>
      <c r="AW756" s="75"/>
      <c r="AX756" s="75"/>
      <c r="AY756" s="67"/>
      <c r="AZ756" s="75"/>
      <c r="BA756" s="67"/>
      <c r="BB756" s="66"/>
      <c r="BC756" s="4"/>
      <c r="BD756" s="67"/>
      <c r="BE756" s="67"/>
      <c r="BF756" s="68"/>
      <c r="BG756" s="69"/>
      <c r="BH756" s="84"/>
      <c r="BI756" s="70"/>
      <c r="BJ756" s="73"/>
      <c r="BK756" s="78"/>
      <c r="BL756" s="78"/>
      <c r="BM756" s="78"/>
      <c r="BN756" s="78"/>
      <c r="BO756" s="66"/>
      <c r="BP756" s="66"/>
    </row>
    <row r="757" spans="1:68" ht="13.2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/>
      <c r="AQ757" s="75"/>
      <c r="AR757" s="75"/>
      <c r="AS757" s="75"/>
      <c r="AT757" s="75"/>
      <c r="AU757" s="75"/>
      <c r="AV757" s="75"/>
      <c r="AW757" s="75"/>
      <c r="AX757" s="75"/>
      <c r="AY757" s="67"/>
      <c r="AZ757" s="75"/>
      <c r="BA757" s="67"/>
      <c r="BB757" s="66"/>
      <c r="BC757" s="4"/>
      <c r="BD757" s="67"/>
      <c r="BE757" s="67"/>
      <c r="BF757" s="68"/>
      <c r="BG757" s="69"/>
      <c r="BH757" s="84"/>
      <c r="BI757" s="70"/>
      <c r="BJ757" s="73"/>
      <c r="BK757" s="78"/>
      <c r="BL757" s="78"/>
      <c r="BM757" s="78"/>
      <c r="BN757" s="78"/>
      <c r="BO757" s="66"/>
      <c r="BP757" s="66"/>
    </row>
    <row r="758" spans="1:68" ht="13.2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/>
      <c r="AQ758" s="75"/>
      <c r="AR758" s="75"/>
      <c r="AS758" s="75"/>
      <c r="AT758" s="75"/>
      <c r="AU758" s="75"/>
      <c r="AV758" s="75"/>
      <c r="AW758" s="75"/>
      <c r="AX758" s="75"/>
      <c r="AY758" s="67"/>
      <c r="AZ758" s="75"/>
      <c r="BA758" s="67"/>
      <c r="BB758" s="66"/>
      <c r="BC758" s="4"/>
      <c r="BD758" s="67"/>
      <c r="BE758" s="67"/>
      <c r="BF758" s="68"/>
      <c r="BG758" s="69"/>
      <c r="BH758" s="84"/>
      <c r="BI758" s="70"/>
      <c r="BJ758" s="73"/>
      <c r="BK758" s="78"/>
      <c r="BL758" s="78"/>
      <c r="BM758" s="78"/>
      <c r="BN758" s="78"/>
      <c r="BO758" s="66"/>
      <c r="BP758" s="66"/>
    </row>
    <row r="759" spans="1:68" ht="13.2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/>
      <c r="AQ759" s="75"/>
      <c r="AR759" s="75"/>
      <c r="AS759" s="75"/>
      <c r="AT759" s="75"/>
      <c r="AU759" s="75"/>
      <c r="AV759" s="75"/>
      <c r="AW759" s="75"/>
      <c r="AX759" s="75"/>
      <c r="AY759" s="67"/>
      <c r="AZ759" s="75"/>
      <c r="BA759" s="67"/>
      <c r="BB759" s="66"/>
      <c r="BC759" s="4"/>
      <c r="BD759" s="67"/>
      <c r="BE759" s="67"/>
      <c r="BF759" s="68"/>
      <c r="BG759" s="69"/>
      <c r="BH759" s="84"/>
      <c r="BI759" s="70"/>
      <c r="BJ759" s="73"/>
      <c r="BK759" s="78"/>
      <c r="BL759" s="78"/>
      <c r="BM759" s="78"/>
      <c r="BN759" s="78"/>
      <c r="BO759" s="66"/>
      <c r="BP759" s="66"/>
    </row>
    <row r="760" spans="1:68" ht="13.2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/>
      <c r="AQ760" s="75"/>
      <c r="AR760" s="75"/>
      <c r="AS760" s="75"/>
      <c r="AT760" s="75"/>
      <c r="AU760" s="75"/>
      <c r="AV760" s="75"/>
      <c r="AW760" s="75"/>
      <c r="AX760" s="75"/>
      <c r="AY760" s="67"/>
      <c r="AZ760" s="75"/>
      <c r="BA760" s="67"/>
      <c r="BB760" s="66"/>
      <c r="BC760" s="4"/>
      <c r="BD760" s="67"/>
      <c r="BE760" s="67"/>
      <c r="BF760" s="68"/>
      <c r="BG760" s="69"/>
      <c r="BH760" s="84"/>
      <c r="BI760" s="70"/>
      <c r="BJ760" s="73"/>
      <c r="BK760" s="78"/>
      <c r="BL760" s="78"/>
      <c r="BM760" s="78"/>
      <c r="BN760" s="78"/>
      <c r="BO760" s="66"/>
      <c r="BP760" s="66"/>
    </row>
    <row r="761" spans="1:68" ht="13.2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/>
      <c r="AQ761" s="75"/>
      <c r="AR761" s="75"/>
      <c r="AS761" s="75"/>
      <c r="AT761" s="75"/>
      <c r="AU761" s="75"/>
      <c r="AV761" s="75"/>
      <c r="AW761" s="75"/>
      <c r="AX761" s="75"/>
      <c r="AY761" s="67"/>
      <c r="AZ761" s="75"/>
      <c r="BA761" s="67"/>
      <c r="BB761" s="66"/>
      <c r="BC761" s="4"/>
      <c r="BD761" s="67"/>
      <c r="BE761" s="67"/>
      <c r="BF761" s="68"/>
      <c r="BG761" s="69"/>
      <c r="BH761" s="84"/>
      <c r="BI761" s="70"/>
      <c r="BJ761" s="73"/>
      <c r="BK761" s="78"/>
      <c r="BL761" s="78"/>
      <c r="BM761" s="78"/>
      <c r="BN761" s="78"/>
      <c r="BO761" s="66"/>
      <c r="BP761" s="66"/>
    </row>
    <row r="762" spans="1:68" ht="13.2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/>
      <c r="AQ762" s="75"/>
      <c r="AR762" s="75"/>
      <c r="AS762" s="75"/>
      <c r="AT762" s="75"/>
      <c r="AU762" s="75"/>
      <c r="AV762" s="75"/>
      <c r="AW762" s="75"/>
      <c r="AX762" s="75"/>
      <c r="AY762" s="67"/>
      <c r="AZ762" s="75"/>
      <c r="BA762" s="67"/>
      <c r="BB762" s="66"/>
      <c r="BC762" s="4"/>
      <c r="BD762" s="67"/>
      <c r="BE762" s="67"/>
      <c r="BF762" s="68"/>
      <c r="BG762" s="69"/>
      <c r="BH762" s="84"/>
      <c r="BI762" s="70"/>
      <c r="BJ762" s="73"/>
      <c r="BK762" s="78"/>
      <c r="BL762" s="78"/>
      <c r="BM762" s="78"/>
      <c r="BN762" s="78"/>
      <c r="BO762" s="66"/>
      <c r="BP762" s="66"/>
    </row>
    <row r="763" spans="1:68" ht="13.2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/>
      <c r="AQ763" s="75"/>
      <c r="AR763" s="75"/>
      <c r="AS763" s="75"/>
      <c r="AT763" s="75"/>
      <c r="AU763" s="75"/>
      <c r="AV763" s="75"/>
      <c r="AW763" s="75"/>
      <c r="AX763" s="75"/>
      <c r="AY763" s="67"/>
      <c r="AZ763" s="75"/>
      <c r="BA763" s="67"/>
      <c r="BB763" s="66"/>
      <c r="BC763" s="4"/>
      <c r="BD763" s="67"/>
      <c r="BE763" s="67"/>
      <c r="BF763" s="68"/>
      <c r="BG763" s="69"/>
      <c r="BH763" s="84"/>
      <c r="BI763" s="70"/>
      <c r="BJ763" s="73"/>
      <c r="BK763" s="78"/>
      <c r="BL763" s="78"/>
      <c r="BM763" s="78"/>
      <c r="BN763" s="78"/>
      <c r="BO763" s="66"/>
      <c r="BP763" s="66"/>
    </row>
    <row r="764" spans="1:68" ht="13.2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/>
      <c r="AQ764" s="75"/>
      <c r="AR764" s="75"/>
      <c r="AS764" s="75"/>
      <c r="AT764" s="75"/>
      <c r="AU764" s="75"/>
      <c r="AV764" s="75"/>
      <c r="AW764" s="75"/>
      <c r="AX764" s="75"/>
      <c r="AY764" s="67"/>
      <c r="AZ764" s="75"/>
      <c r="BA764" s="67"/>
      <c r="BB764" s="66"/>
      <c r="BC764" s="4"/>
      <c r="BD764" s="67"/>
      <c r="BE764" s="67"/>
      <c r="BF764" s="68"/>
      <c r="BG764" s="69"/>
      <c r="BH764" s="84"/>
      <c r="BI764" s="70"/>
      <c r="BJ764" s="73"/>
      <c r="BK764" s="78"/>
      <c r="BL764" s="78"/>
      <c r="BM764" s="78"/>
      <c r="BN764" s="78"/>
      <c r="BO764" s="66"/>
      <c r="BP764" s="66"/>
    </row>
    <row r="765" spans="1:68" ht="13.2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/>
      <c r="AQ765" s="75"/>
      <c r="AR765" s="75"/>
      <c r="AS765" s="75"/>
      <c r="AT765" s="75"/>
      <c r="AU765" s="75"/>
      <c r="AV765" s="75"/>
      <c r="AW765" s="75"/>
      <c r="AX765" s="75"/>
      <c r="AY765" s="67"/>
      <c r="AZ765" s="75"/>
      <c r="BA765" s="67"/>
      <c r="BB765" s="66"/>
      <c r="BC765" s="4"/>
      <c r="BD765" s="67"/>
      <c r="BE765" s="67"/>
      <c r="BF765" s="68"/>
      <c r="BG765" s="69"/>
      <c r="BH765" s="84"/>
      <c r="BI765" s="70"/>
      <c r="BJ765" s="73"/>
      <c r="BK765" s="78"/>
      <c r="BL765" s="78"/>
      <c r="BM765" s="78"/>
      <c r="BN765" s="78"/>
      <c r="BO765" s="66"/>
      <c r="BP765" s="66"/>
    </row>
    <row r="766" spans="1:68" ht="13.2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/>
      <c r="AQ766" s="75"/>
      <c r="AR766" s="75"/>
      <c r="AS766" s="75"/>
      <c r="AT766" s="75"/>
      <c r="AU766" s="75"/>
      <c r="AV766" s="75"/>
      <c r="AW766" s="75"/>
      <c r="AX766" s="75"/>
      <c r="AY766" s="67"/>
      <c r="AZ766" s="75"/>
      <c r="BA766" s="67"/>
      <c r="BB766" s="66"/>
      <c r="BC766" s="4"/>
      <c r="BD766" s="67"/>
      <c r="BE766" s="67"/>
      <c r="BF766" s="68"/>
      <c r="BG766" s="69"/>
      <c r="BH766" s="84"/>
      <c r="BI766" s="70"/>
      <c r="BJ766" s="73"/>
      <c r="BK766" s="78"/>
      <c r="BL766" s="78"/>
      <c r="BM766" s="78"/>
      <c r="BN766" s="78"/>
      <c r="BO766" s="66"/>
      <c r="BP766" s="66"/>
    </row>
    <row r="767" spans="1:68" ht="13.2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/>
      <c r="AQ767" s="75"/>
      <c r="AR767" s="75"/>
      <c r="AS767" s="75"/>
      <c r="AT767" s="75"/>
      <c r="AU767" s="75"/>
      <c r="AV767" s="75"/>
      <c r="AW767" s="75"/>
      <c r="AX767" s="75"/>
      <c r="AY767" s="67"/>
      <c r="AZ767" s="75"/>
      <c r="BA767" s="67"/>
      <c r="BB767" s="66"/>
      <c r="BC767" s="4"/>
      <c r="BD767" s="67"/>
      <c r="BE767" s="67"/>
      <c r="BF767" s="68"/>
      <c r="BG767" s="69"/>
      <c r="BH767" s="84"/>
      <c r="BI767" s="70"/>
      <c r="BJ767" s="73"/>
      <c r="BK767" s="78"/>
      <c r="BL767" s="78"/>
      <c r="BM767" s="78"/>
      <c r="BN767" s="78"/>
      <c r="BO767" s="66"/>
      <c r="BP767" s="66"/>
    </row>
    <row r="768" spans="1:68" ht="13.2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/>
      <c r="AQ768" s="75"/>
      <c r="AR768" s="75"/>
      <c r="AS768" s="75"/>
      <c r="AT768" s="75"/>
      <c r="AU768" s="75"/>
      <c r="AV768" s="75"/>
      <c r="AW768" s="75"/>
      <c r="AX768" s="75"/>
      <c r="AY768" s="67"/>
      <c r="AZ768" s="75"/>
      <c r="BA768" s="67"/>
      <c r="BB768" s="66"/>
      <c r="BC768" s="4"/>
      <c r="BD768" s="67"/>
      <c r="BE768" s="67"/>
      <c r="BF768" s="68"/>
      <c r="BG768" s="69"/>
      <c r="BH768" s="84"/>
      <c r="BI768" s="70"/>
      <c r="BJ768" s="73"/>
      <c r="BK768" s="78"/>
      <c r="BL768" s="78"/>
      <c r="BM768" s="78"/>
      <c r="BN768" s="78"/>
      <c r="BO768" s="66"/>
      <c r="BP768" s="66"/>
    </row>
    <row r="769" spans="1:68" ht="13.2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/>
      <c r="AQ769" s="75"/>
      <c r="AR769" s="75"/>
      <c r="AS769" s="75"/>
      <c r="AT769" s="75"/>
      <c r="AU769" s="75"/>
      <c r="AV769" s="75"/>
      <c r="AW769" s="75"/>
      <c r="AX769" s="75"/>
      <c r="AY769" s="67"/>
      <c r="AZ769" s="75"/>
      <c r="BA769" s="67"/>
      <c r="BB769" s="66"/>
      <c r="BC769" s="4"/>
      <c r="BD769" s="67"/>
      <c r="BE769" s="67"/>
      <c r="BF769" s="68"/>
      <c r="BG769" s="69"/>
      <c r="BH769" s="84"/>
      <c r="BI769" s="70"/>
      <c r="BJ769" s="73"/>
      <c r="BK769" s="78"/>
      <c r="BL769" s="78"/>
      <c r="BM769" s="78"/>
      <c r="BN769" s="78"/>
      <c r="BO769" s="66"/>
      <c r="BP769" s="66"/>
    </row>
    <row r="770" spans="1:68" ht="13.2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/>
      <c r="AQ770" s="75"/>
      <c r="AR770" s="75"/>
      <c r="AS770" s="75"/>
      <c r="AT770" s="75"/>
      <c r="AU770" s="75"/>
      <c r="AV770" s="75"/>
      <c r="AW770" s="75"/>
      <c r="AX770" s="75"/>
      <c r="AY770" s="67"/>
      <c r="AZ770" s="75"/>
      <c r="BA770" s="67"/>
      <c r="BB770" s="66"/>
      <c r="BC770" s="4"/>
      <c r="BD770" s="67"/>
      <c r="BE770" s="67"/>
      <c r="BF770" s="68"/>
      <c r="BG770" s="69"/>
      <c r="BH770" s="84"/>
      <c r="BI770" s="70"/>
      <c r="BJ770" s="73"/>
      <c r="BK770" s="78"/>
      <c r="BL770" s="78"/>
      <c r="BM770" s="78"/>
      <c r="BN770" s="78"/>
      <c r="BO770" s="66"/>
      <c r="BP770" s="66"/>
    </row>
    <row r="771" spans="1:68" ht="13.2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/>
      <c r="AQ771" s="75"/>
      <c r="AR771" s="75"/>
      <c r="AS771" s="75"/>
      <c r="AT771" s="75"/>
      <c r="AU771" s="75"/>
      <c r="AV771" s="75"/>
      <c r="AW771" s="75"/>
      <c r="AX771" s="75"/>
      <c r="AY771" s="67"/>
      <c r="AZ771" s="75"/>
      <c r="BA771" s="67"/>
      <c r="BB771" s="66"/>
      <c r="BC771" s="4"/>
      <c r="BD771" s="67"/>
      <c r="BE771" s="67"/>
      <c r="BF771" s="68"/>
      <c r="BG771" s="69"/>
      <c r="BH771" s="84"/>
      <c r="BI771" s="70"/>
      <c r="BJ771" s="73"/>
      <c r="BK771" s="78"/>
      <c r="BL771" s="78"/>
      <c r="BM771" s="78"/>
      <c r="BN771" s="78"/>
      <c r="BO771" s="66"/>
      <c r="BP771" s="66"/>
    </row>
    <row r="772" spans="1:68" ht="13.2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/>
      <c r="AQ772" s="75"/>
      <c r="AR772" s="75"/>
      <c r="AS772" s="75"/>
      <c r="AT772" s="75"/>
      <c r="AU772" s="75"/>
      <c r="AV772" s="75"/>
      <c r="AW772" s="75"/>
      <c r="AX772" s="75"/>
      <c r="AY772" s="67"/>
      <c r="AZ772" s="75"/>
      <c r="BA772" s="67"/>
      <c r="BB772" s="66"/>
      <c r="BC772" s="4"/>
      <c r="BD772" s="67"/>
      <c r="BE772" s="67"/>
      <c r="BF772" s="68"/>
      <c r="BG772" s="69"/>
      <c r="BH772" s="84"/>
      <c r="BI772" s="70"/>
      <c r="BJ772" s="73"/>
      <c r="BK772" s="78"/>
      <c r="BL772" s="78"/>
      <c r="BM772" s="78"/>
      <c r="BN772" s="78"/>
      <c r="BO772" s="66"/>
      <c r="BP772" s="66"/>
    </row>
    <row r="773" spans="1:68" ht="13.2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/>
      <c r="AQ773" s="75"/>
      <c r="AR773" s="75"/>
      <c r="AS773" s="75"/>
      <c r="AT773" s="75"/>
      <c r="AU773" s="75"/>
      <c r="AV773" s="75"/>
      <c r="AW773" s="75"/>
      <c r="AX773" s="75"/>
      <c r="AY773" s="67"/>
      <c r="AZ773" s="75"/>
      <c r="BA773" s="67"/>
      <c r="BB773" s="66"/>
      <c r="BC773" s="4"/>
      <c r="BD773" s="67"/>
      <c r="BE773" s="67"/>
      <c r="BF773" s="68"/>
      <c r="BG773" s="69"/>
      <c r="BH773" s="84"/>
      <c r="BI773" s="70"/>
      <c r="BJ773" s="73"/>
      <c r="BK773" s="78"/>
      <c r="BL773" s="78"/>
      <c r="BM773" s="78"/>
      <c r="BN773" s="78"/>
      <c r="BO773" s="66"/>
      <c r="BP773" s="66"/>
    </row>
    <row r="774" spans="1:68" ht="13.2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/>
      <c r="AQ774" s="75"/>
      <c r="AR774" s="75"/>
      <c r="AS774" s="75"/>
      <c r="AT774" s="75"/>
      <c r="AU774" s="75"/>
      <c r="AV774" s="75"/>
      <c r="AW774" s="75"/>
      <c r="AX774" s="75"/>
      <c r="AY774" s="67"/>
      <c r="AZ774" s="75"/>
      <c r="BA774" s="67"/>
      <c r="BB774" s="66"/>
      <c r="BC774" s="4"/>
      <c r="BD774" s="67"/>
      <c r="BE774" s="67"/>
      <c r="BF774" s="68"/>
      <c r="BG774" s="69"/>
      <c r="BH774" s="84"/>
      <c r="BI774" s="70"/>
      <c r="BJ774" s="73"/>
      <c r="BK774" s="78"/>
      <c r="BL774" s="78"/>
      <c r="BM774" s="78"/>
      <c r="BN774" s="78"/>
      <c r="BO774" s="66"/>
      <c r="BP774" s="66"/>
    </row>
    <row r="775" spans="1:68" ht="13.2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/>
      <c r="AQ775" s="75"/>
      <c r="AR775" s="75"/>
      <c r="AS775" s="75"/>
      <c r="AT775" s="75"/>
      <c r="AU775" s="75"/>
      <c r="AV775" s="75"/>
      <c r="AW775" s="75"/>
      <c r="AX775" s="75"/>
      <c r="AY775" s="67"/>
      <c r="AZ775" s="75"/>
      <c r="BA775" s="67"/>
      <c r="BB775" s="66"/>
      <c r="BC775" s="4"/>
      <c r="BD775" s="67"/>
      <c r="BE775" s="67"/>
      <c r="BF775" s="68"/>
      <c r="BG775" s="69"/>
      <c r="BH775" s="84"/>
      <c r="BI775" s="70"/>
      <c r="BJ775" s="73"/>
      <c r="BK775" s="78"/>
      <c r="BL775" s="78"/>
      <c r="BM775" s="78"/>
      <c r="BN775" s="78"/>
      <c r="BO775" s="66"/>
      <c r="BP775" s="66"/>
    </row>
    <row r="776" spans="1:68" ht="13.2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/>
      <c r="AQ776" s="75"/>
      <c r="AR776" s="75"/>
      <c r="AS776" s="75"/>
      <c r="AT776" s="75"/>
      <c r="AU776" s="75"/>
      <c r="AV776" s="75"/>
      <c r="AW776" s="75"/>
      <c r="AX776" s="75"/>
      <c r="AY776" s="67"/>
      <c r="AZ776" s="75"/>
      <c r="BA776" s="67"/>
      <c r="BB776" s="66"/>
      <c r="BC776" s="4"/>
      <c r="BD776" s="67"/>
      <c r="BE776" s="67"/>
      <c r="BF776" s="68"/>
      <c r="BG776" s="69"/>
      <c r="BH776" s="84"/>
      <c r="BI776" s="70"/>
      <c r="BJ776" s="73"/>
      <c r="BK776" s="78"/>
      <c r="BL776" s="78"/>
      <c r="BM776" s="78"/>
      <c r="BN776" s="78"/>
      <c r="BO776" s="66"/>
      <c r="BP776" s="66"/>
    </row>
    <row r="777" spans="1:68" ht="13.2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/>
      <c r="AQ777" s="75"/>
      <c r="AR777" s="75"/>
      <c r="AS777" s="75"/>
      <c r="AT777" s="75"/>
      <c r="AU777" s="75"/>
      <c r="AV777" s="75"/>
      <c r="AW777" s="75"/>
      <c r="AX777" s="75"/>
      <c r="AY777" s="67"/>
      <c r="AZ777" s="75"/>
      <c r="BA777" s="67"/>
      <c r="BB777" s="66"/>
      <c r="BC777" s="4"/>
      <c r="BD777" s="67"/>
      <c r="BE777" s="67"/>
      <c r="BF777" s="68"/>
      <c r="BG777" s="69"/>
      <c r="BH777" s="84"/>
      <c r="BI777" s="70"/>
      <c r="BJ777" s="73"/>
      <c r="BK777" s="78"/>
      <c r="BL777" s="78"/>
      <c r="BM777" s="78"/>
      <c r="BN777" s="78"/>
      <c r="BO777" s="66"/>
      <c r="BP777" s="66"/>
    </row>
    <row r="778" spans="1:68" ht="13.2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/>
      <c r="AQ778" s="75"/>
      <c r="AR778" s="75"/>
      <c r="AS778" s="75"/>
      <c r="AT778" s="75"/>
      <c r="AU778" s="75"/>
      <c r="AV778" s="75"/>
      <c r="AW778" s="75"/>
      <c r="AX778" s="75"/>
      <c r="AY778" s="67"/>
      <c r="AZ778" s="75"/>
      <c r="BA778" s="67"/>
      <c r="BB778" s="66"/>
      <c r="BC778" s="4"/>
      <c r="BD778" s="67"/>
      <c r="BE778" s="67"/>
      <c r="BF778" s="68"/>
      <c r="BG778" s="69"/>
      <c r="BH778" s="84"/>
      <c r="BI778" s="70"/>
      <c r="BJ778" s="73"/>
      <c r="BK778" s="78"/>
      <c r="BL778" s="78"/>
      <c r="BM778" s="78"/>
      <c r="BN778" s="78"/>
      <c r="BO778" s="66"/>
      <c r="BP778" s="66"/>
    </row>
    <row r="779" spans="1:68" ht="13.2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/>
      <c r="AQ779" s="75"/>
      <c r="AR779" s="75"/>
      <c r="AS779" s="75"/>
      <c r="AT779" s="75"/>
      <c r="AU779" s="75"/>
      <c r="AV779" s="75"/>
      <c r="AW779" s="75"/>
      <c r="AX779" s="75"/>
      <c r="AY779" s="67"/>
      <c r="AZ779" s="75"/>
      <c r="BA779" s="67"/>
      <c r="BB779" s="66"/>
      <c r="BC779" s="4"/>
      <c r="BD779" s="67"/>
      <c r="BE779" s="67"/>
      <c r="BF779" s="68"/>
      <c r="BG779" s="69"/>
      <c r="BH779" s="84"/>
      <c r="BI779" s="70"/>
      <c r="BJ779" s="73"/>
      <c r="BK779" s="78"/>
      <c r="BL779" s="78"/>
      <c r="BM779" s="78"/>
      <c r="BN779" s="78"/>
      <c r="BO779" s="66"/>
      <c r="BP779" s="66"/>
    </row>
    <row r="780" spans="1:68" ht="13.2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/>
      <c r="AQ780" s="75"/>
      <c r="AR780" s="75"/>
      <c r="AS780" s="75"/>
      <c r="AT780" s="75"/>
      <c r="AU780" s="75"/>
      <c r="AV780" s="75"/>
      <c r="AW780" s="75"/>
      <c r="AX780" s="75"/>
      <c r="AY780" s="67"/>
      <c r="AZ780" s="75"/>
      <c r="BA780" s="67"/>
      <c r="BB780" s="66"/>
      <c r="BC780" s="4"/>
      <c r="BD780" s="67"/>
      <c r="BE780" s="67"/>
      <c r="BF780" s="68"/>
      <c r="BG780" s="69"/>
      <c r="BH780" s="84"/>
      <c r="BI780" s="70"/>
      <c r="BJ780" s="73"/>
      <c r="BK780" s="78"/>
      <c r="BL780" s="78"/>
      <c r="BM780" s="78"/>
      <c r="BN780" s="78"/>
      <c r="BO780" s="66"/>
      <c r="BP780" s="66"/>
    </row>
    <row r="781" spans="1:68" ht="13.2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/>
      <c r="AQ781" s="75"/>
      <c r="AR781" s="75"/>
      <c r="AS781" s="75"/>
      <c r="AT781" s="75"/>
      <c r="AU781" s="75"/>
      <c r="AV781" s="75"/>
      <c r="AW781" s="75"/>
      <c r="AX781" s="75"/>
      <c r="AY781" s="67"/>
      <c r="AZ781" s="75"/>
      <c r="BA781" s="67"/>
      <c r="BB781" s="66"/>
      <c r="BC781" s="4"/>
      <c r="BD781" s="67"/>
      <c r="BE781" s="67"/>
      <c r="BF781" s="68"/>
      <c r="BG781" s="69"/>
      <c r="BH781" s="84"/>
      <c r="BI781" s="70"/>
      <c r="BJ781" s="73"/>
      <c r="BK781" s="78"/>
      <c r="BL781" s="78"/>
      <c r="BM781" s="78"/>
      <c r="BN781" s="78"/>
      <c r="BO781" s="66"/>
      <c r="BP781" s="66"/>
    </row>
    <row r="782" spans="1:68" ht="13.2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/>
      <c r="AQ782" s="75"/>
      <c r="AR782" s="75"/>
      <c r="AS782" s="75"/>
      <c r="AT782" s="75"/>
      <c r="AU782" s="75"/>
      <c r="AV782" s="75"/>
      <c r="AW782" s="75"/>
      <c r="AX782" s="75"/>
      <c r="AY782" s="67"/>
      <c r="AZ782" s="75"/>
      <c r="BA782" s="67"/>
      <c r="BB782" s="66"/>
      <c r="BC782" s="4"/>
      <c r="BD782" s="67"/>
      <c r="BE782" s="67"/>
      <c r="BF782" s="68"/>
      <c r="BG782" s="69"/>
      <c r="BH782" s="84"/>
      <c r="BI782" s="70"/>
      <c r="BJ782" s="73"/>
      <c r="BK782" s="78"/>
      <c r="BL782" s="78"/>
      <c r="BM782" s="78"/>
      <c r="BN782" s="78"/>
      <c r="BO782" s="66"/>
      <c r="BP782" s="66"/>
    </row>
    <row r="783" spans="1:68" ht="13.2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/>
      <c r="AQ783" s="75"/>
      <c r="AR783" s="75"/>
      <c r="AS783" s="75"/>
      <c r="AT783" s="75"/>
      <c r="AU783" s="75"/>
      <c r="AV783" s="75"/>
      <c r="AW783" s="75"/>
      <c r="AX783" s="75"/>
      <c r="AY783" s="67"/>
      <c r="AZ783" s="75"/>
      <c r="BA783" s="67"/>
      <c r="BB783" s="66"/>
      <c r="BC783" s="4"/>
      <c r="BD783" s="67"/>
      <c r="BE783" s="67"/>
      <c r="BF783" s="68"/>
      <c r="BG783" s="69"/>
      <c r="BH783" s="84"/>
      <c r="BI783" s="70"/>
      <c r="BJ783" s="73"/>
      <c r="BK783" s="78"/>
      <c r="BL783" s="78"/>
      <c r="BM783" s="78"/>
      <c r="BN783" s="78"/>
      <c r="BO783" s="66"/>
      <c r="BP783" s="66"/>
    </row>
    <row r="784" spans="1:68" ht="13.2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/>
      <c r="AQ784" s="75"/>
      <c r="AR784" s="75"/>
      <c r="AS784" s="75"/>
      <c r="AT784" s="75"/>
      <c r="AU784" s="75"/>
      <c r="AV784" s="75"/>
      <c r="AW784" s="75"/>
      <c r="AX784" s="75"/>
      <c r="AY784" s="67"/>
      <c r="AZ784" s="75"/>
      <c r="BA784" s="67"/>
      <c r="BB784" s="66"/>
      <c r="BC784" s="4"/>
      <c r="BD784" s="67"/>
      <c r="BE784" s="67"/>
      <c r="BF784" s="68"/>
      <c r="BG784" s="69"/>
      <c r="BH784" s="84"/>
      <c r="BI784" s="70"/>
      <c r="BJ784" s="73"/>
      <c r="BK784" s="78"/>
      <c r="BL784" s="78"/>
      <c r="BM784" s="78"/>
      <c r="BN784" s="78"/>
      <c r="BO784" s="66"/>
      <c r="BP784" s="66"/>
    </row>
    <row r="785" spans="1:68" ht="13.2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/>
      <c r="AQ785" s="75"/>
      <c r="AR785" s="75"/>
      <c r="AS785" s="75"/>
      <c r="AT785" s="75"/>
      <c r="AU785" s="75"/>
      <c r="AV785" s="75"/>
      <c r="AW785" s="75"/>
      <c r="AX785" s="75"/>
      <c r="AY785" s="67"/>
      <c r="AZ785" s="75"/>
      <c r="BA785" s="67"/>
      <c r="BB785" s="66"/>
      <c r="BC785" s="4"/>
      <c r="BD785" s="67"/>
      <c r="BE785" s="67"/>
      <c r="BF785" s="68"/>
      <c r="BG785" s="69"/>
      <c r="BH785" s="84"/>
      <c r="BI785" s="70"/>
      <c r="BJ785" s="73"/>
      <c r="BK785" s="78"/>
      <c r="BL785" s="78"/>
      <c r="BM785" s="78"/>
      <c r="BN785" s="78"/>
      <c r="BO785" s="66"/>
      <c r="BP785" s="66"/>
    </row>
    <row r="786" spans="1:68" ht="13.2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/>
      <c r="AQ786" s="75"/>
      <c r="AR786" s="75"/>
      <c r="AS786" s="75"/>
      <c r="AT786" s="75"/>
      <c r="AU786" s="75"/>
      <c r="AV786" s="75"/>
      <c r="AW786" s="75"/>
      <c r="AX786" s="75"/>
      <c r="AY786" s="67"/>
      <c r="AZ786" s="75"/>
      <c r="BA786" s="67"/>
      <c r="BB786" s="66"/>
      <c r="BC786" s="4"/>
      <c r="BD786" s="67"/>
      <c r="BE786" s="67"/>
      <c r="BF786" s="68"/>
      <c r="BG786" s="69"/>
      <c r="BH786" s="84"/>
      <c r="BI786" s="70"/>
      <c r="BJ786" s="73"/>
      <c r="BK786" s="78"/>
      <c r="BL786" s="78"/>
      <c r="BM786" s="78"/>
      <c r="BN786" s="78"/>
      <c r="BO786" s="66"/>
      <c r="BP786" s="66"/>
    </row>
    <row r="787" spans="1:68" ht="13.2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/>
      <c r="AQ787" s="75"/>
      <c r="AR787" s="75"/>
      <c r="AS787" s="75"/>
      <c r="AT787" s="75"/>
      <c r="AU787" s="75"/>
      <c r="AV787" s="75"/>
      <c r="AW787" s="75"/>
      <c r="AX787" s="75"/>
      <c r="AY787" s="67"/>
      <c r="AZ787" s="75"/>
      <c r="BA787" s="67"/>
      <c r="BB787" s="66"/>
      <c r="BC787" s="4"/>
      <c r="BD787" s="67"/>
      <c r="BE787" s="67"/>
      <c r="BF787" s="68"/>
      <c r="BG787" s="69"/>
      <c r="BH787" s="84"/>
      <c r="BI787" s="70"/>
      <c r="BJ787" s="73"/>
      <c r="BK787" s="78"/>
      <c r="BL787" s="78"/>
      <c r="BM787" s="78"/>
      <c r="BN787" s="78"/>
      <c r="BO787" s="66"/>
      <c r="BP787" s="66"/>
    </row>
    <row r="788" spans="1:68" ht="13.2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/>
      <c r="AQ788" s="75"/>
      <c r="AR788" s="75"/>
      <c r="AS788" s="75"/>
      <c r="AT788" s="75"/>
      <c r="AU788" s="75"/>
      <c r="AV788" s="75"/>
      <c r="AW788" s="75"/>
      <c r="AX788" s="75"/>
      <c r="AY788" s="67"/>
      <c r="AZ788" s="75"/>
      <c r="BA788" s="67"/>
      <c r="BB788" s="66"/>
      <c r="BC788" s="4"/>
      <c r="BD788" s="67"/>
      <c r="BE788" s="67"/>
      <c r="BF788" s="68"/>
      <c r="BG788" s="69"/>
      <c r="BH788" s="84"/>
      <c r="BI788" s="70"/>
      <c r="BJ788" s="73"/>
      <c r="BK788" s="78"/>
      <c r="BL788" s="78"/>
      <c r="BM788" s="78"/>
      <c r="BN788" s="78"/>
      <c r="BO788" s="66"/>
      <c r="BP788" s="66"/>
    </row>
    <row r="789" spans="1:68" ht="13.2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/>
      <c r="AQ789" s="75"/>
      <c r="AR789" s="75"/>
      <c r="AS789" s="75"/>
      <c r="AT789" s="75"/>
      <c r="AU789" s="75"/>
      <c r="AV789" s="75"/>
      <c r="AW789" s="75"/>
      <c r="AX789" s="75"/>
      <c r="AY789" s="67"/>
      <c r="AZ789" s="75"/>
      <c r="BA789" s="67"/>
      <c r="BB789" s="66"/>
      <c r="BC789" s="4"/>
      <c r="BD789" s="67"/>
      <c r="BE789" s="67"/>
      <c r="BF789" s="68"/>
      <c r="BG789" s="69"/>
      <c r="BH789" s="84"/>
      <c r="BI789" s="70"/>
      <c r="BJ789" s="73"/>
      <c r="BK789" s="78"/>
      <c r="BL789" s="78"/>
      <c r="BM789" s="78"/>
      <c r="BN789" s="78"/>
      <c r="BO789" s="66"/>
      <c r="BP789" s="66"/>
    </row>
    <row r="790" spans="1:68" ht="13.2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/>
      <c r="AQ790" s="75"/>
      <c r="AR790" s="75"/>
      <c r="AS790" s="75"/>
      <c r="AT790" s="75"/>
      <c r="AU790" s="75"/>
      <c r="AV790" s="75"/>
      <c r="AW790" s="75"/>
      <c r="AX790" s="75"/>
      <c r="AY790" s="67"/>
      <c r="AZ790" s="75"/>
      <c r="BA790" s="67"/>
      <c r="BB790" s="66"/>
      <c r="BC790" s="4"/>
      <c r="BD790" s="67"/>
      <c r="BE790" s="67"/>
      <c r="BF790" s="68"/>
      <c r="BG790" s="69"/>
      <c r="BH790" s="84"/>
      <c r="BI790" s="70"/>
      <c r="BJ790" s="73"/>
      <c r="BK790" s="78"/>
      <c r="BL790" s="78"/>
      <c r="BM790" s="78"/>
      <c r="BN790" s="78"/>
      <c r="BO790" s="66"/>
      <c r="BP790" s="66"/>
    </row>
    <row r="791" spans="1:68" ht="13.2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/>
      <c r="AQ791" s="75"/>
      <c r="AR791" s="75"/>
      <c r="AS791" s="75"/>
      <c r="AT791" s="75"/>
      <c r="AU791" s="75"/>
      <c r="AV791" s="75"/>
      <c r="AW791" s="75"/>
      <c r="AX791" s="75"/>
      <c r="AY791" s="67"/>
      <c r="AZ791" s="75"/>
      <c r="BA791" s="67"/>
      <c r="BB791" s="66"/>
      <c r="BC791" s="4"/>
      <c r="BD791" s="67"/>
      <c r="BE791" s="67"/>
      <c r="BF791" s="68"/>
      <c r="BG791" s="69"/>
      <c r="BH791" s="84"/>
      <c r="BI791" s="70"/>
      <c r="BJ791" s="73"/>
      <c r="BK791" s="78"/>
      <c r="BL791" s="78"/>
      <c r="BM791" s="78"/>
      <c r="BN791" s="78"/>
      <c r="BO791" s="66"/>
      <c r="BP791" s="66"/>
    </row>
    <row r="792" spans="1:68" ht="13.2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/>
      <c r="AQ792" s="75"/>
      <c r="AR792" s="75"/>
      <c r="AS792" s="75"/>
      <c r="AT792" s="75"/>
      <c r="AU792" s="75"/>
      <c r="AV792" s="75"/>
      <c r="AW792" s="75"/>
      <c r="AX792" s="75"/>
      <c r="AY792" s="67"/>
      <c r="AZ792" s="75"/>
      <c r="BA792" s="67"/>
      <c r="BB792" s="66"/>
      <c r="BC792" s="4"/>
      <c r="BD792" s="67"/>
      <c r="BE792" s="67"/>
      <c r="BF792" s="68"/>
      <c r="BG792" s="69"/>
      <c r="BH792" s="84"/>
      <c r="BI792" s="70"/>
      <c r="BJ792" s="73"/>
      <c r="BK792" s="78"/>
      <c r="BL792" s="78"/>
      <c r="BM792" s="78"/>
      <c r="BN792" s="78"/>
      <c r="BO792" s="66"/>
      <c r="BP792" s="66"/>
    </row>
    <row r="793" spans="1:68" ht="13.2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/>
      <c r="AQ793" s="75"/>
      <c r="AR793" s="75"/>
      <c r="AS793" s="75"/>
      <c r="AT793" s="75"/>
      <c r="AU793" s="75"/>
      <c r="AV793" s="75"/>
      <c r="AW793" s="75"/>
      <c r="AX793" s="75"/>
      <c r="AY793" s="67"/>
      <c r="AZ793" s="75"/>
      <c r="BA793" s="67"/>
      <c r="BB793" s="66"/>
      <c r="BC793" s="4"/>
      <c r="BD793" s="67"/>
      <c r="BE793" s="67"/>
      <c r="BF793" s="68"/>
      <c r="BG793" s="69"/>
      <c r="BH793" s="84"/>
      <c r="BI793" s="70"/>
      <c r="BJ793" s="73"/>
      <c r="BK793" s="78"/>
      <c r="BL793" s="78"/>
      <c r="BM793" s="78"/>
      <c r="BN793" s="78"/>
      <c r="BO793" s="66"/>
      <c r="BP793" s="66"/>
    </row>
    <row r="794" spans="1:68" ht="13.2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/>
      <c r="AQ794" s="75"/>
      <c r="AR794" s="75"/>
      <c r="AS794" s="75"/>
      <c r="AT794" s="75"/>
      <c r="AU794" s="75"/>
      <c r="AV794" s="75"/>
      <c r="AW794" s="75"/>
      <c r="AX794" s="75"/>
      <c r="AY794" s="67"/>
      <c r="AZ794" s="75"/>
      <c r="BA794" s="67"/>
      <c r="BB794" s="66"/>
      <c r="BC794" s="4"/>
      <c r="BD794" s="67"/>
      <c r="BE794" s="67"/>
      <c r="BF794" s="68"/>
      <c r="BG794" s="69"/>
      <c r="BH794" s="84"/>
      <c r="BI794" s="70"/>
      <c r="BJ794" s="73"/>
      <c r="BK794" s="78"/>
      <c r="BL794" s="78"/>
      <c r="BM794" s="78"/>
      <c r="BN794" s="78"/>
      <c r="BO794" s="66"/>
      <c r="BP794" s="66"/>
    </row>
    <row r="795" spans="1:68" ht="13.2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/>
      <c r="AQ795" s="75"/>
      <c r="AR795" s="75"/>
      <c r="AS795" s="75"/>
      <c r="AT795" s="75"/>
      <c r="AU795" s="75"/>
      <c r="AV795" s="75"/>
      <c r="AW795" s="75"/>
      <c r="AX795" s="75"/>
      <c r="AY795" s="67"/>
      <c r="AZ795" s="75"/>
      <c r="BA795" s="67"/>
      <c r="BB795" s="66"/>
      <c r="BC795" s="4"/>
      <c r="BD795" s="67"/>
      <c r="BE795" s="67"/>
      <c r="BF795" s="68"/>
      <c r="BG795" s="69"/>
      <c r="BH795" s="84"/>
      <c r="BI795" s="70"/>
      <c r="BJ795" s="73"/>
      <c r="BK795" s="78"/>
      <c r="BL795" s="78"/>
      <c r="BM795" s="78"/>
      <c r="BN795" s="78"/>
      <c r="BO795" s="66"/>
      <c r="BP795" s="66"/>
    </row>
    <row r="796" spans="1:68" ht="13.2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/>
      <c r="AQ796" s="75"/>
      <c r="AR796" s="75"/>
      <c r="AS796" s="75"/>
      <c r="AT796" s="75"/>
      <c r="AU796" s="75"/>
      <c r="AV796" s="75"/>
      <c r="AW796" s="75"/>
      <c r="AX796" s="75"/>
      <c r="AY796" s="67"/>
      <c r="AZ796" s="75"/>
      <c r="BA796" s="67"/>
      <c r="BB796" s="66"/>
      <c r="BC796" s="4"/>
      <c r="BD796" s="67"/>
      <c r="BE796" s="67"/>
      <c r="BF796" s="68"/>
      <c r="BG796" s="69"/>
      <c r="BH796" s="84"/>
      <c r="BI796" s="70"/>
      <c r="BJ796" s="73"/>
      <c r="BK796" s="78"/>
      <c r="BL796" s="78"/>
      <c r="BM796" s="78"/>
      <c r="BN796" s="78"/>
      <c r="BO796" s="66"/>
      <c r="BP796" s="66"/>
    </row>
    <row r="797" spans="1:68" ht="13.2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/>
      <c r="AQ797" s="75"/>
      <c r="AR797" s="75"/>
      <c r="AS797" s="75"/>
      <c r="AT797" s="75"/>
      <c r="AU797" s="75"/>
      <c r="AV797" s="75"/>
      <c r="AW797" s="75"/>
      <c r="AX797" s="75"/>
      <c r="AY797" s="67"/>
      <c r="AZ797" s="75"/>
      <c r="BA797" s="67"/>
      <c r="BB797" s="66"/>
      <c r="BC797" s="4"/>
      <c r="BD797" s="67"/>
      <c r="BE797" s="67"/>
      <c r="BF797" s="68"/>
      <c r="BG797" s="69"/>
      <c r="BH797" s="84"/>
      <c r="BI797" s="70"/>
      <c r="BJ797" s="73"/>
      <c r="BK797" s="78"/>
      <c r="BL797" s="78"/>
      <c r="BM797" s="78"/>
      <c r="BN797" s="78"/>
      <c r="BO797" s="66"/>
      <c r="BP797" s="66"/>
    </row>
    <row r="798" spans="1:68" ht="13.2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/>
      <c r="AQ798" s="75"/>
      <c r="AR798" s="75"/>
      <c r="AS798" s="75"/>
      <c r="AT798" s="75"/>
      <c r="AU798" s="75"/>
      <c r="AV798" s="75"/>
      <c r="AW798" s="75"/>
      <c r="AX798" s="75"/>
      <c r="AY798" s="67"/>
      <c r="AZ798" s="75"/>
      <c r="BA798" s="67"/>
      <c r="BB798" s="66"/>
      <c r="BC798" s="4"/>
      <c r="BD798" s="67"/>
      <c r="BE798" s="67"/>
      <c r="BF798" s="68"/>
      <c r="BG798" s="69"/>
      <c r="BH798" s="84"/>
      <c r="BI798" s="70"/>
      <c r="BJ798" s="73"/>
      <c r="BK798" s="78"/>
      <c r="BL798" s="78"/>
      <c r="BM798" s="78"/>
      <c r="BN798" s="78"/>
      <c r="BO798" s="66"/>
      <c r="BP798" s="66"/>
    </row>
    <row r="799" spans="1:68" ht="13.2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/>
      <c r="AQ799" s="75"/>
      <c r="AR799" s="75"/>
      <c r="AS799" s="75"/>
      <c r="AT799" s="75"/>
      <c r="AU799" s="75"/>
      <c r="AV799" s="75"/>
      <c r="AW799" s="75"/>
      <c r="AX799" s="75"/>
      <c r="AY799" s="67"/>
      <c r="AZ799" s="75"/>
      <c r="BA799" s="67"/>
      <c r="BB799" s="66"/>
      <c r="BC799" s="4"/>
      <c r="BD799" s="67"/>
      <c r="BE799" s="67"/>
      <c r="BF799" s="68"/>
      <c r="BG799" s="69"/>
      <c r="BH799" s="84"/>
      <c r="BI799" s="70"/>
      <c r="BJ799" s="73"/>
      <c r="BK799" s="78"/>
      <c r="BL799" s="78"/>
      <c r="BM799" s="78"/>
      <c r="BN799" s="78"/>
      <c r="BO799" s="66"/>
      <c r="BP799" s="66"/>
    </row>
    <row r="800" spans="1:68" ht="13.2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/>
      <c r="AQ800" s="75"/>
      <c r="AR800" s="75"/>
      <c r="AS800" s="75"/>
      <c r="AT800" s="75"/>
      <c r="AU800" s="75"/>
      <c r="AV800" s="75"/>
      <c r="AW800" s="75"/>
      <c r="AX800" s="75"/>
      <c r="AY800" s="67"/>
      <c r="AZ800" s="75"/>
      <c r="BA800" s="67"/>
      <c r="BB800" s="66"/>
      <c r="BC800" s="4"/>
      <c r="BD800" s="67"/>
      <c r="BE800" s="67"/>
      <c r="BF800" s="68"/>
      <c r="BG800" s="69"/>
      <c r="BH800" s="84"/>
      <c r="BI800" s="70"/>
      <c r="BJ800" s="73"/>
      <c r="BK800" s="78"/>
      <c r="BL800" s="78"/>
      <c r="BM800" s="78"/>
      <c r="BN800" s="78"/>
      <c r="BO800" s="66"/>
      <c r="BP800" s="66"/>
    </row>
    <row r="801" spans="1:68" ht="13.2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/>
      <c r="AQ801" s="75"/>
      <c r="AR801" s="75"/>
      <c r="AS801" s="75"/>
      <c r="AT801" s="75"/>
      <c r="AU801" s="75"/>
      <c r="AV801" s="75"/>
      <c r="AW801" s="75"/>
      <c r="AX801" s="75"/>
      <c r="AY801" s="67"/>
      <c r="AZ801" s="75"/>
      <c r="BA801" s="67"/>
      <c r="BB801" s="66"/>
      <c r="BC801" s="4"/>
      <c r="BD801" s="67"/>
      <c r="BE801" s="67"/>
      <c r="BF801" s="68"/>
      <c r="BG801" s="69"/>
      <c r="BH801" s="84"/>
      <c r="BI801" s="70"/>
      <c r="BJ801" s="73"/>
      <c r="BK801" s="78"/>
      <c r="BL801" s="78"/>
      <c r="BM801" s="78"/>
      <c r="BN801" s="78"/>
      <c r="BO801" s="66"/>
      <c r="BP801" s="66"/>
    </row>
    <row r="802" spans="1:68" ht="13.2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/>
      <c r="AQ802" s="75"/>
      <c r="AR802" s="75"/>
      <c r="AS802" s="75"/>
      <c r="AT802" s="75"/>
      <c r="AU802" s="75"/>
      <c r="AV802" s="75"/>
      <c r="AW802" s="75"/>
      <c r="AX802" s="75"/>
      <c r="AY802" s="67"/>
      <c r="AZ802" s="75"/>
      <c r="BA802" s="67"/>
      <c r="BB802" s="66"/>
      <c r="BC802" s="4"/>
      <c r="BD802" s="67"/>
      <c r="BE802" s="67"/>
      <c r="BF802" s="68"/>
      <c r="BG802" s="69"/>
      <c r="BH802" s="84"/>
      <c r="BI802" s="70"/>
      <c r="BJ802" s="73"/>
      <c r="BK802" s="78"/>
      <c r="BL802" s="78"/>
      <c r="BM802" s="78"/>
      <c r="BN802" s="78"/>
      <c r="BO802" s="66"/>
      <c r="BP802" s="66"/>
    </row>
    <row r="803" spans="1:68" ht="13.2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/>
      <c r="AQ803" s="75"/>
      <c r="AR803" s="75"/>
      <c r="AS803" s="75"/>
      <c r="AT803" s="75"/>
      <c r="AU803" s="75"/>
      <c r="AV803" s="75"/>
      <c r="AW803" s="75"/>
      <c r="AX803" s="75"/>
      <c r="AY803" s="67"/>
      <c r="AZ803" s="75"/>
      <c r="BA803" s="67"/>
      <c r="BB803" s="66"/>
      <c r="BC803" s="4"/>
      <c r="BD803" s="67"/>
      <c r="BE803" s="67"/>
      <c r="BF803" s="68"/>
      <c r="BG803" s="69"/>
      <c r="BH803" s="84"/>
      <c r="BI803" s="70"/>
      <c r="BJ803" s="73"/>
      <c r="BK803" s="78"/>
      <c r="BL803" s="78"/>
      <c r="BM803" s="78"/>
      <c r="BN803" s="78"/>
      <c r="BO803" s="66"/>
      <c r="BP803" s="66"/>
    </row>
    <row r="804" spans="1:68" ht="13.2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/>
      <c r="AQ804" s="75"/>
      <c r="AR804" s="75"/>
      <c r="AS804" s="75"/>
      <c r="AT804" s="75"/>
      <c r="AU804" s="75"/>
      <c r="AV804" s="75"/>
      <c r="AW804" s="75"/>
      <c r="AX804" s="75"/>
      <c r="AY804" s="67"/>
      <c r="AZ804" s="75"/>
      <c r="BA804" s="67"/>
      <c r="BB804" s="66"/>
      <c r="BC804" s="4"/>
      <c r="BD804" s="67"/>
      <c r="BE804" s="67"/>
      <c r="BF804" s="68"/>
      <c r="BG804" s="69"/>
      <c r="BH804" s="84"/>
      <c r="BI804" s="70"/>
      <c r="BJ804" s="73"/>
      <c r="BK804" s="78"/>
      <c r="BL804" s="78"/>
      <c r="BM804" s="78"/>
      <c r="BN804" s="78"/>
      <c r="BO804" s="66"/>
      <c r="BP804" s="66"/>
    </row>
    <row r="805" spans="1:68" ht="13.2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/>
      <c r="AQ805" s="75"/>
      <c r="AR805" s="75"/>
      <c r="AS805" s="75"/>
      <c r="AT805" s="75"/>
      <c r="AU805" s="75"/>
      <c r="AV805" s="75"/>
      <c r="AW805" s="75"/>
      <c r="AX805" s="75"/>
      <c r="AY805" s="67"/>
      <c r="AZ805" s="75"/>
      <c r="BA805" s="67"/>
      <c r="BB805" s="66"/>
      <c r="BC805" s="4"/>
      <c r="BD805" s="67"/>
      <c r="BE805" s="67"/>
      <c r="BF805" s="68"/>
      <c r="BG805" s="69"/>
      <c r="BH805" s="84"/>
      <c r="BI805" s="70"/>
      <c r="BJ805" s="73"/>
      <c r="BK805" s="78"/>
      <c r="BL805" s="78"/>
      <c r="BM805" s="78"/>
      <c r="BN805" s="78"/>
      <c r="BO805" s="66"/>
      <c r="BP805" s="66"/>
    </row>
    <row r="806" spans="1:68" ht="13.2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/>
      <c r="AQ806" s="75"/>
      <c r="AR806" s="75"/>
      <c r="AS806" s="75"/>
      <c r="AT806" s="75"/>
      <c r="AU806" s="75"/>
      <c r="AV806" s="75"/>
      <c r="AW806" s="75"/>
      <c r="AX806" s="75"/>
      <c r="AY806" s="67"/>
      <c r="AZ806" s="75"/>
      <c r="BA806" s="67"/>
      <c r="BB806" s="66"/>
      <c r="BC806" s="4"/>
      <c r="BD806" s="67"/>
      <c r="BE806" s="67"/>
      <c r="BF806" s="68"/>
      <c r="BG806" s="69"/>
      <c r="BH806" s="84"/>
      <c r="BI806" s="70"/>
      <c r="BJ806" s="73"/>
      <c r="BK806" s="78"/>
      <c r="BL806" s="78"/>
      <c r="BM806" s="78"/>
      <c r="BN806" s="78"/>
      <c r="BO806" s="66"/>
      <c r="BP806" s="66"/>
    </row>
    <row r="807" spans="1:68" ht="13.2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/>
      <c r="AQ807" s="75"/>
      <c r="AR807" s="75"/>
      <c r="AS807" s="75"/>
      <c r="AT807" s="75"/>
      <c r="AU807" s="75"/>
      <c r="AV807" s="75"/>
      <c r="AW807" s="75"/>
      <c r="AX807" s="75"/>
      <c r="AY807" s="67"/>
      <c r="AZ807" s="75"/>
      <c r="BA807" s="67"/>
      <c r="BB807" s="66"/>
      <c r="BC807" s="4"/>
      <c r="BD807" s="67"/>
      <c r="BE807" s="67"/>
      <c r="BF807" s="68"/>
      <c r="BG807" s="69"/>
      <c r="BH807" s="70"/>
      <c r="BI807" s="70"/>
      <c r="BJ807" s="73"/>
      <c r="BK807" s="78"/>
      <c r="BL807" s="78"/>
      <c r="BM807" s="78"/>
      <c r="BN807" s="78"/>
      <c r="BO807" s="66"/>
      <c r="BP807" s="66"/>
    </row>
    <row r="808" spans="1:68" ht="13.2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/>
      <c r="AQ808" s="75"/>
      <c r="AR808" s="75"/>
      <c r="AS808" s="75"/>
      <c r="AT808" s="75"/>
      <c r="AU808" s="75"/>
      <c r="AV808" s="75"/>
      <c r="AW808" s="75"/>
      <c r="AX808" s="75"/>
      <c r="AY808" s="67"/>
      <c r="AZ808" s="75"/>
      <c r="BA808" s="67"/>
      <c r="BB808" s="66"/>
      <c r="BC808" s="4"/>
      <c r="BD808" s="67"/>
      <c r="BE808" s="67"/>
      <c r="BF808" s="68"/>
      <c r="BG808" s="69"/>
      <c r="BH808" s="70"/>
      <c r="BI808" s="70"/>
      <c r="BJ808" s="73"/>
      <c r="BK808" s="78"/>
      <c r="BL808" s="78"/>
      <c r="BM808" s="78"/>
      <c r="BN808" s="78"/>
      <c r="BO808" s="66"/>
      <c r="BP808" s="66"/>
    </row>
    <row r="809" spans="1:68" ht="13.2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/>
      <c r="AQ809" s="75"/>
      <c r="AR809" s="75"/>
      <c r="AS809" s="75"/>
      <c r="AT809" s="75"/>
      <c r="AU809" s="75"/>
      <c r="AV809" s="75"/>
      <c r="AW809" s="75"/>
      <c r="AX809" s="75"/>
      <c r="AY809" s="67"/>
      <c r="AZ809" s="75"/>
      <c r="BA809" s="67"/>
      <c r="BB809" s="66"/>
      <c r="BC809" s="4"/>
      <c r="BD809" s="67"/>
      <c r="BE809" s="67"/>
      <c r="BF809" s="68"/>
      <c r="BG809" s="69"/>
      <c r="BH809" s="70"/>
      <c r="BI809" s="70"/>
      <c r="BJ809" s="73"/>
      <c r="BK809" s="78"/>
      <c r="BL809" s="78"/>
      <c r="BM809" s="78"/>
      <c r="BN809" s="78"/>
      <c r="BO809" s="66"/>
      <c r="BP809" s="66"/>
    </row>
    <row r="810" spans="1:68" ht="13.2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/>
      <c r="AQ810" s="75"/>
      <c r="AR810" s="75"/>
      <c r="AS810" s="75"/>
      <c r="AT810" s="75"/>
      <c r="AU810" s="75"/>
      <c r="AV810" s="75"/>
      <c r="AW810" s="75"/>
      <c r="AX810" s="75"/>
      <c r="AY810" s="67"/>
      <c r="AZ810" s="75"/>
      <c r="BA810" s="67"/>
      <c r="BB810" s="66"/>
      <c r="BC810" s="4"/>
      <c r="BD810" s="67"/>
      <c r="BE810" s="67"/>
      <c r="BF810" s="68"/>
      <c r="BG810" s="69"/>
      <c r="BH810" s="70"/>
      <c r="BI810" s="70"/>
      <c r="BJ810" s="73"/>
      <c r="BK810" s="78"/>
      <c r="BL810" s="78"/>
      <c r="BM810" s="78"/>
      <c r="BN810" s="78"/>
      <c r="BO810" s="66"/>
      <c r="BP810" s="66"/>
    </row>
    <row r="811" spans="1:68" ht="13.2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/>
      <c r="AQ811" s="75"/>
      <c r="AR811" s="75"/>
      <c r="AS811" s="75"/>
      <c r="AT811" s="75"/>
      <c r="AU811" s="75"/>
      <c r="AV811" s="75"/>
      <c r="AW811" s="75"/>
      <c r="AX811" s="75"/>
      <c r="AY811" s="67"/>
      <c r="AZ811" s="75"/>
      <c r="BA811" s="67"/>
      <c r="BB811" s="66"/>
      <c r="BC811" s="4"/>
      <c r="BD811" s="67"/>
      <c r="BE811" s="67"/>
      <c r="BF811" s="68"/>
      <c r="BG811" s="69"/>
      <c r="BH811" s="84"/>
      <c r="BI811" s="70"/>
      <c r="BJ811" s="73"/>
      <c r="BK811" s="78"/>
      <c r="BL811" s="78"/>
      <c r="BM811" s="78"/>
      <c r="BN811" s="78"/>
      <c r="BO811" s="66"/>
      <c r="BP811" s="66"/>
    </row>
    <row r="812" spans="1:68" ht="13.2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/>
      <c r="AQ812" s="75"/>
      <c r="AR812" s="75"/>
      <c r="AS812" s="75"/>
      <c r="AT812" s="75"/>
      <c r="AU812" s="75"/>
      <c r="AV812" s="75"/>
      <c r="AW812" s="75"/>
      <c r="AX812" s="75"/>
      <c r="AY812" s="67"/>
      <c r="AZ812" s="75"/>
      <c r="BA812" s="67"/>
      <c r="BB812" s="66"/>
      <c r="BC812" s="4"/>
      <c r="BD812" s="67"/>
      <c r="BE812" s="67"/>
      <c r="BF812" s="68"/>
      <c r="BG812" s="69"/>
      <c r="BH812" s="70"/>
      <c r="BI812" s="70"/>
      <c r="BJ812" s="73"/>
      <c r="BK812" s="78"/>
      <c r="BL812" s="78"/>
      <c r="BM812" s="78"/>
      <c r="BN812" s="78"/>
      <c r="BO812" s="66"/>
      <c r="BP812" s="66"/>
    </row>
    <row r="813" spans="1:68" ht="13.2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/>
      <c r="AQ813" s="75"/>
      <c r="AR813" s="75"/>
      <c r="AS813" s="75"/>
      <c r="AT813" s="75"/>
      <c r="AU813" s="75"/>
      <c r="AV813" s="75"/>
      <c r="AW813" s="75"/>
      <c r="AX813" s="75"/>
      <c r="AY813" s="67"/>
      <c r="AZ813" s="75"/>
      <c r="BA813" s="67"/>
      <c r="BB813" s="66"/>
      <c r="BC813" s="4"/>
      <c r="BD813" s="67"/>
      <c r="BE813" s="67"/>
      <c r="BF813" s="68"/>
      <c r="BG813" s="69"/>
      <c r="BH813" s="70"/>
      <c r="BI813" s="70"/>
      <c r="BJ813" s="73"/>
      <c r="BK813" s="78"/>
      <c r="BL813" s="78"/>
      <c r="BM813" s="78"/>
      <c r="BN813" s="78"/>
      <c r="BO813" s="66"/>
      <c r="BP813" s="66"/>
    </row>
    <row r="814" spans="1:68" ht="13.2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/>
      <c r="AQ814" s="75"/>
      <c r="AR814" s="75"/>
      <c r="AS814" s="75"/>
      <c r="AT814" s="75"/>
      <c r="AU814" s="75"/>
      <c r="AV814" s="75"/>
      <c r="AW814" s="75"/>
      <c r="AX814" s="75"/>
      <c r="AY814" s="67"/>
      <c r="AZ814" s="75"/>
      <c r="BA814" s="67"/>
      <c r="BB814" s="66"/>
      <c r="BC814" s="4"/>
      <c r="BD814" s="67"/>
      <c r="BE814" s="67"/>
      <c r="BF814" s="68"/>
      <c r="BG814" s="69"/>
      <c r="BH814" s="70"/>
      <c r="BI814" s="70"/>
      <c r="BJ814" s="73"/>
      <c r="BK814" s="78"/>
      <c r="BL814" s="78"/>
      <c r="BM814" s="78"/>
      <c r="BN814" s="78"/>
      <c r="BO814" s="66"/>
      <c r="BP814" s="66"/>
    </row>
    <row r="815" spans="1:68" ht="13.2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/>
      <c r="AQ815" s="75"/>
      <c r="AR815" s="75"/>
      <c r="AS815" s="75"/>
      <c r="AT815" s="75"/>
      <c r="AU815" s="75"/>
      <c r="AV815" s="75"/>
      <c r="AW815" s="75"/>
      <c r="AX815" s="75"/>
      <c r="AY815" s="67"/>
      <c r="AZ815" s="75"/>
      <c r="BA815" s="67"/>
      <c r="BB815" s="66"/>
      <c r="BC815" s="4"/>
      <c r="BD815" s="67"/>
      <c r="BE815" s="67"/>
      <c r="BF815" s="68"/>
      <c r="BG815" s="69"/>
      <c r="BH815" s="70"/>
      <c r="BI815" s="70"/>
      <c r="BJ815" s="73"/>
      <c r="BK815" s="78"/>
      <c r="BL815" s="78"/>
      <c r="BM815" s="78"/>
      <c r="BN815" s="78"/>
      <c r="BO815" s="66"/>
      <c r="BP815" s="66"/>
    </row>
    <row r="816" spans="1:68" ht="13.2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/>
      <c r="AQ816" s="75"/>
      <c r="AR816" s="75"/>
      <c r="AS816" s="75"/>
      <c r="AT816" s="75"/>
      <c r="AU816" s="75"/>
      <c r="AV816" s="75"/>
      <c r="AW816" s="75"/>
      <c r="AX816" s="75"/>
      <c r="AY816" s="67"/>
      <c r="AZ816" s="75"/>
      <c r="BA816" s="67"/>
      <c r="BB816" s="66"/>
      <c r="BC816" s="4"/>
      <c r="BD816" s="67"/>
      <c r="BE816" s="67"/>
      <c r="BF816" s="68"/>
      <c r="BG816" s="69"/>
      <c r="BH816" s="70"/>
      <c r="BI816" s="70"/>
      <c r="BJ816" s="73"/>
      <c r="BK816" s="78"/>
      <c r="BL816" s="78"/>
      <c r="BM816" s="78"/>
      <c r="BN816" s="78"/>
      <c r="BO816" s="66"/>
      <c r="BP816" s="66"/>
    </row>
    <row r="817" spans="1:68" ht="13.2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/>
      <c r="AQ817" s="75"/>
      <c r="AR817" s="75"/>
      <c r="AS817" s="75"/>
      <c r="AT817" s="75"/>
      <c r="AU817" s="75"/>
      <c r="AV817" s="75"/>
      <c r="AW817" s="75"/>
      <c r="AX817" s="75"/>
      <c r="AY817" s="67"/>
      <c r="AZ817" s="75"/>
      <c r="BA817" s="67"/>
      <c r="BB817" s="66"/>
      <c r="BC817" s="4"/>
      <c r="BD817" s="67"/>
      <c r="BE817" s="67"/>
      <c r="BF817" s="68"/>
      <c r="BG817" s="69"/>
      <c r="BH817" s="70"/>
      <c r="BI817" s="70"/>
      <c r="BJ817" s="73"/>
      <c r="BK817" s="78"/>
      <c r="BL817" s="78"/>
      <c r="BM817" s="78"/>
      <c r="BN817" s="78"/>
      <c r="BO817" s="66"/>
      <c r="BP817" s="66"/>
    </row>
    <row r="818" spans="1:68" ht="13.2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/>
      <c r="AQ818" s="75"/>
      <c r="AR818" s="75"/>
      <c r="AS818" s="75"/>
      <c r="AT818" s="75"/>
      <c r="AU818" s="75"/>
      <c r="AV818" s="75"/>
      <c r="AW818" s="75"/>
      <c r="AX818" s="75"/>
      <c r="AY818" s="67"/>
      <c r="AZ818" s="75"/>
      <c r="BA818" s="67"/>
      <c r="BB818" s="66"/>
      <c r="BC818" s="4"/>
      <c r="BD818" s="67"/>
      <c r="BE818" s="67"/>
      <c r="BF818" s="68"/>
      <c r="BG818" s="69"/>
      <c r="BH818" s="70"/>
      <c r="BI818" s="70"/>
      <c r="BJ818" s="73"/>
      <c r="BK818" s="78"/>
      <c r="BL818" s="78"/>
      <c r="BM818" s="78"/>
      <c r="BN818" s="78"/>
      <c r="BO818" s="66"/>
      <c r="BP818" s="66"/>
    </row>
    <row r="819" spans="1:68" ht="13.2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/>
      <c r="AQ819" s="75"/>
      <c r="AR819" s="75"/>
      <c r="AS819" s="75"/>
      <c r="AT819" s="75"/>
      <c r="AU819" s="75"/>
      <c r="AV819" s="75"/>
      <c r="AW819" s="75"/>
      <c r="AX819" s="75"/>
      <c r="AY819" s="67"/>
      <c r="AZ819" s="75"/>
      <c r="BA819" s="67"/>
      <c r="BB819" s="66"/>
      <c r="BC819" s="4"/>
      <c r="BD819" s="67"/>
      <c r="BE819" s="67"/>
      <c r="BF819" s="68"/>
      <c r="BG819" s="69"/>
      <c r="BH819" s="70"/>
      <c r="BI819" s="70"/>
      <c r="BJ819" s="73"/>
      <c r="BK819" s="78"/>
      <c r="BL819" s="78"/>
      <c r="BM819" s="78"/>
      <c r="BN819" s="78"/>
      <c r="BO819" s="66"/>
      <c r="BP819" s="66"/>
    </row>
    <row r="820" spans="1:68" ht="13.2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/>
      <c r="AQ820" s="75"/>
      <c r="AR820" s="75"/>
      <c r="AS820" s="75"/>
      <c r="AT820" s="75"/>
      <c r="AU820" s="75"/>
      <c r="AV820" s="75"/>
      <c r="AW820" s="75"/>
      <c r="AX820" s="75"/>
      <c r="AY820" s="67"/>
      <c r="AZ820" s="75"/>
      <c r="BA820" s="67"/>
      <c r="BB820" s="66"/>
      <c r="BC820" s="4"/>
      <c r="BD820" s="67"/>
      <c r="BE820" s="67"/>
      <c r="BF820" s="68"/>
      <c r="BG820" s="69"/>
      <c r="BH820" s="70"/>
      <c r="BI820" s="70"/>
      <c r="BJ820" s="73"/>
      <c r="BK820" s="78"/>
      <c r="BL820" s="78"/>
      <c r="BM820" s="78"/>
      <c r="BN820" s="78"/>
      <c r="BO820" s="66"/>
      <c r="BP820" s="66"/>
    </row>
    <row r="821" spans="1:68" ht="13.2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/>
      <c r="AQ821" s="75"/>
      <c r="AR821" s="75"/>
      <c r="AS821" s="75"/>
      <c r="AT821" s="75"/>
      <c r="AU821" s="75"/>
      <c r="AV821" s="75"/>
      <c r="AW821" s="75"/>
      <c r="AX821" s="75"/>
      <c r="AY821" s="67"/>
      <c r="AZ821" s="75"/>
      <c r="BA821" s="67"/>
      <c r="BB821" s="66"/>
      <c r="BC821" s="4"/>
      <c r="BD821" s="67"/>
      <c r="BE821" s="67"/>
      <c r="BF821" s="68"/>
      <c r="BG821" s="69"/>
      <c r="BH821" s="84"/>
      <c r="BI821" s="70"/>
      <c r="BJ821" s="73"/>
      <c r="BK821" s="78"/>
      <c r="BL821" s="78"/>
      <c r="BM821" s="78"/>
      <c r="BN821" s="78"/>
      <c r="BO821" s="66"/>
      <c r="BP821" s="66"/>
    </row>
    <row r="822" spans="1:68" ht="13.2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/>
      <c r="AQ822" s="75"/>
      <c r="AR822" s="75"/>
      <c r="AS822" s="75"/>
      <c r="AT822" s="75"/>
      <c r="AU822" s="75"/>
      <c r="AV822" s="75"/>
      <c r="AW822" s="75"/>
      <c r="AX822" s="75"/>
      <c r="AY822" s="67"/>
      <c r="AZ822" s="75"/>
      <c r="BA822" s="67"/>
      <c r="BB822" s="66"/>
      <c r="BC822" s="4"/>
      <c r="BD822" s="67"/>
      <c r="BE822" s="67"/>
      <c r="BF822" s="68"/>
      <c r="BG822" s="69"/>
      <c r="BH822" s="70"/>
      <c r="BI822" s="70"/>
      <c r="BJ822" s="73"/>
      <c r="BK822" s="78"/>
      <c r="BL822" s="78"/>
      <c r="BM822" s="78"/>
      <c r="BN822" s="78"/>
      <c r="BO822" s="66"/>
      <c r="BP822" s="66"/>
    </row>
    <row r="823" spans="1:68" ht="13.2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/>
      <c r="AQ823" s="75"/>
      <c r="AR823" s="75"/>
      <c r="AS823" s="75"/>
      <c r="AT823" s="75"/>
      <c r="AU823" s="75"/>
      <c r="AV823" s="75"/>
      <c r="AW823" s="75"/>
      <c r="AX823" s="75"/>
      <c r="AY823" s="67"/>
      <c r="AZ823" s="75"/>
      <c r="BA823" s="67"/>
      <c r="BB823" s="66"/>
      <c r="BC823" s="4"/>
      <c r="BD823" s="67"/>
      <c r="BE823" s="67"/>
      <c r="BF823" s="68"/>
      <c r="BG823" s="69"/>
      <c r="BH823" s="70"/>
      <c r="BI823" s="70"/>
      <c r="BJ823" s="73"/>
      <c r="BK823" s="78"/>
      <c r="BL823" s="78"/>
      <c r="BM823" s="78"/>
      <c r="BN823" s="78"/>
      <c r="BO823" s="66"/>
      <c r="BP823" s="66"/>
    </row>
    <row r="824" spans="1:68" ht="13.2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/>
      <c r="AQ824" s="75"/>
      <c r="AR824" s="75"/>
      <c r="AS824" s="75"/>
      <c r="AT824" s="75"/>
      <c r="AU824" s="75"/>
      <c r="AV824" s="75"/>
      <c r="AW824" s="75"/>
      <c r="AX824" s="75"/>
      <c r="AY824" s="67"/>
      <c r="AZ824" s="75"/>
      <c r="BA824" s="67"/>
      <c r="BB824" s="66"/>
      <c r="BC824" s="4"/>
      <c r="BD824" s="67"/>
      <c r="BE824" s="67"/>
      <c r="BF824" s="68"/>
      <c r="BG824" s="69"/>
      <c r="BH824" s="84"/>
      <c r="BI824" s="70"/>
      <c r="BJ824" s="73"/>
      <c r="BK824" s="78"/>
      <c r="BL824" s="78"/>
      <c r="BM824" s="78"/>
      <c r="BN824" s="78"/>
      <c r="BO824" s="66"/>
      <c r="BP824" s="66"/>
    </row>
    <row r="825" spans="1:68" ht="13.2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/>
      <c r="AQ825" s="75"/>
      <c r="AR825" s="75"/>
      <c r="AS825" s="75"/>
      <c r="AT825" s="75"/>
      <c r="AU825" s="75"/>
      <c r="AV825" s="75"/>
      <c r="AW825" s="75"/>
      <c r="AX825" s="75"/>
      <c r="AY825" s="67"/>
      <c r="AZ825" s="75"/>
      <c r="BA825" s="67"/>
      <c r="BB825" s="66"/>
      <c r="BC825" s="4"/>
      <c r="BD825" s="67"/>
      <c r="BE825" s="67"/>
      <c r="BF825" s="68"/>
      <c r="BG825" s="69"/>
      <c r="BH825" s="84"/>
      <c r="BI825" s="70"/>
      <c r="BJ825" s="73"/>
      <c r="BK825" s="78"/>
      <c r="BL825" s="78"/>
      <c r="BM825" s="78"/>
      <c r="BN825" s="78"/>
      <c r="BO825" s="66"/>
      <c r="BP825" s="66"/>
    </row>
    <row r="826" spans="1:68" ht="13.2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/>
      <c r="AQ826" s="75"/>
      <c r="AR826" s="75"/>
      <c r="AS826" s="75"/>
      <c r="AT826" s="75"/>
      <c r="AU826" s="75"/>
      <c r="AV826" s="75"/>
      <c r="AW826" s="75"/>
      <c r="AX826" s="75"/>
      <c r="AY826" s="67"/>
      <c r="AZ826" s="75"/>
      <c r="BA826" s="67"/>
      <c r="BB826" s="66"/>
      <c r="BC826" s="4"/>
      <c r="BD826" s="67"/>
      <c r="BE826" s="67"/>
      <c r="BF826" s="68"/>
      <c r="BG826" s="69"/>
      <c r="BH826" s="84"/>
      <c r="BI826" s="70"/>
      <c r="BJ826" s="73"/>
      <c r="BK826" s="78"/>
      <c r="BL826" s="78"/>
      <c r="BM826" s="78"/>
      <c r="BN826" s="78"/>
      <c r="BO826" s="66"/>
      <c r="BP826" s="66"/>
    </row>
    <row r="827" spans="1:68" ht="13.2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/>
      <c r="AQ827" s="75"/>
      <c r="AR827" s="75"/>
      <c r="AS827" s="75"/>
      <c r="AT827" s="75"/>
      <c r="AU827" s="75"/>
      <c r="AV827" s="75"/>
      <c r="AW827" s="75"/>
      <c r="AX827" s="75"/>
      <c r="AY827" s="67"/>
      <c r="AZ827" s="75"/>
      <c r="BA827" s="67"/>
      <c r="BB827" s="66"/>
      <c r="BC827" s="4"/>
      <c r="BD827" s="67"/>
      <c r="BE827" s="67"/>
      <c r="BF827" s="68"/>
      <c r="BG827" s="69"/>
      <c r="BH827" s="84"/>
      <c r="BI827" s="70"/>
      <c r="BJ827" s="73"/>
      <c r="BK827" s="78"/>
      <c r="BL827" s="78"/>
      <c r="BM827" s="78"/>
      <c r="BN827" s="78"/>
      <c r="BO827" s="66"/>
      <c r="BP827" s="66"/>
    </row>
    <row r="828" spans="1:68" ht="13.2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/>
      <c r="AQ828" s="75"/>
      <c r="AR828" s="75"/>
      <c r="AS828" s="75"/>
      <c r="AT828" s="75"/>
      <c r="AU828" s="75"/>
      <c r="AV828" s="75"/>
      <c r="AW828" s="75"/>
      <c r="AX828" s="75"/>
      <c r="AY828" s="67"/>
      <c r="AZ828" s="75"/>
      <c r="BA828" s="67"/>
      <c r="BB828" s="66"/>
      <c r="BC828" s="4"/>
      <c r="BD828" s="67"/>
      <c r="BE828" s="67"/>
      <c r="BF828" s="68"/>
      <c r="BG828" s="69"/>
      <c r="BH828" s="84"/>
      <c r="BI828" s="70"/>
      <c r="BJ828" s="73"/>
      <c r="BK828" s="78"/>
      <c r="BL828" s="78"/>
      <c r="BM828" s="78"/>
      <c r="BN828" s="78"/>
      <c r="BO828" s="66"/>
      <c r="BP828" s="66"/>
    </row>
    <row r="829" spans="1:68" ht="13.2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/>
      <c r="AQ829" s="75"/>
      <c r="AR829" s="75"/>
      <c r="AS829" s="75"/>
      <c r="AT829" s="75"/>
      <c r="AU829" s="75"/>
      <c r="AV829" s="75"/>
      <c r="AW829" s="75"/>
      <c r="AX829" s="75"/>
      <c r="AY829" s="67"/>
      <c r="AZ829" s="75"/>
      <c r="BA829" s="67"/>
      <c r="BB829" s="66"/>
      <c r="BC829" s="4"/>
      <c r="BD829" s="67"/>
      <c r="BE829" s="67"/>
      <c r="BF829" s="68"/>
      <c r="BG829" s="69"/>
      <c r="BH829" s="84"/>
      <c r="BI829" s="70"/>
      <c r="BJ829" s="73"/>
      <c r="BK829" s="78"/>
      <c r="BL829" s="78"/>
      <c r="BM829" s="78"/>
      <c r="BN829" s="78"/>
      <c r="BO829" s="66"/>
      <c r="BP829" s="66"/>
    </row>
    <row r="830" spans="1:68" ht="13.2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/>
      <c r="AQ830" s="75"/>
      <c r="AR830" s="75"/>
      <c r="AS830" s="75"/>
      <c r="AT830" s="75"/>
      <c r="AU830" s="75"/>
      <c r="AV830" s="75"/>
      <c r="AW830" s="75"/>
      <c r="AX830" s="75"/>
      <c r="AY830" s="67"/>
      <c r="AZ830" s="75"/>
      <c r="BA830" s="67"/>
      <c r="BB830" s="66"/>
      <c r="BC830" s="4"/>
      <c r="BD830" s="67"/>
      <c r="BE830" s="67"/>
      <c r="BF830" s="68"/>
      <c r="BG830" s="69"/>
      <c r="BH830" s="84"/>
      <c r="BI830" s="70"/>
      <c r="BJ830" s="73"/>
      <c r="BK830" s="78"/>
      <c r="BL830" s="78"/>
      <c r="BM830" s="78"/>
      <c r="BN830" s="78"/>
      <c r="BO830" s="66"/>
      <c r="BP830" s="66"/>
    </row>
    <row r="831" spans="1:68" ht="13.2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/>
      <c r="AQ831" s="75"/>
      <c r="AR831" s="75"/>
      <c r="AS831" s="75"/>
      <c r="AT831" s="75"/>
      <c r="AU831" s="75"/>
      <c r="AV831" s="75"/>
      <c r="AW831" s="75"/>
      <c r="AX831" s="75"/>
      <c r="AY831" s="67"/>
      <c r="AZ831" s="75"/>
      <c r="BA831" s="67"/>
      <c r="BB831" s="66"/>
      <c r="BC831" s="4"/>
      <c r="BD831" s="67"/>
      <c r="BE831" s="67"/>
      <c r="BF831" s="68"/>
      <c r="BG831" s="69"/>
      <c r="BH831" s="84"/>
      <c r="BI831" s="70"/>
      <c r="BJ831" s="73"/>
      <c r="BK831" s="78"/>
      <c r="BL831" s="78"/>
      <c r="BM831" s="78"/>
      <c r="BN831" s="78"/>
      <c r="BO831" s="66"/>
      <c r="BP831" s="66"/>
    </row>
    <row r="832" spans="1:68" ht="13.2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/>
      <c r="AQ832" s="75"/>
      <c r="AR832" s="75"/>
      <c r="AS832" s="75"/>
      <c r="AT832" s="75"/>
      <c r="AU832" s="75"/>
      <c r="AV832" s="75"/>
      <c r="AW832" s="75"/>
      <c r="AX832" s="75"/>
      <c r="AY832" s="67"/>
      <c r="AZ832" s="75"/>
      <c r="BA832" s="67"/>
      <c r="BB832" s="66"/>
      <c r="BC832" s="4"/>
      <c r="BD832" s="67"/>
      <c r="BE832" s="67"/>
      <c r="BF832" s="68"/>
      <c r="BG832" s="69"/>
      <c r="BH832" s="84"/>
      <c r="BI832" s="70"/>
      <c r="BJ832" s="73"/>
      <c r="BK832" s="78"/>
      <c r="BL832" s="78"/>
      <c r="BM832" s="78"/>
      <c r="BN832" s="78"/>
      <c r="BO832" s="66"/>
      <c r="BP832" s="66"/>
    </row>
    <row r="833" spans="1:68" ht="13.2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/>
      <c r="AQ833" s="75"/>
      <c r="AR833" s="75"/>
      <c r="AS833" s="75"/>
      <c r="AT833" s="75"/>
      <c r="AU833" s="75"/>
      <c r="AV833" s="75"/>
      <c r="AW833" s="75"/>
      <c r="AX833" s="75"/>
      <c r="AY833" s="67"/>
      <c r="AZ833" s="75"/>
      <c r="BA833" s="67"/>
      <c r="BB833" s="66"/>
      <c r="BC833" s="4"/>
      <c r="BD833" s="67"/>
      <c r="BE833" s="67"/>
      <c r="BF833" s="68"/>
      <c r="BG833" s="69"/>
      <c r="BH833" s="84"/>
      <c r="BI833" s="70"/>
      <c r="BJ833" s="73"/>
      <c r="BK833" s="78"/>
      <c r="BL833" s="78"/>
      <c r="BM833" s="78"/>
      <c r="BN833" s="78"/>
      <c r="BO833" s="66"/>
      <c r="BP833" s="66"/>
    </row>
    <row r="834" spans="1:68" ht="13.2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/>
      <c r="AQ834" s="75"/>
      <c r="AR834" s="75"/>
      <c r="AS834" s="75"/>
      <c r="AT834" s="75"/>
      <c r="AU834" s="75"/>
      <c r="AV834" s="75"/>
      <c r="AW834" s="75"/>
      <c r="AX834" s="75"/>
      <c r="AY834" s="67"/>
      <c r="AZ834" s="75"/>
      <c r="BA834" s="67"/>
      <c r="BB834" s="66"/>
      <c r="BC834" s="4"/>
      <c r="BD834" s="67"/>
      <c r="BE834" s="67"/>
      <c r="BF834" s="68"/>
      <c r="BG834" s="69"/>
      <c r="BH834" s="84"/>
      <c r="BI834" s="70"/>
      <c r="BJ834" s="73"/>
      <c r="BK834" s="78"/>
      <c r="BL834" s="78"/>
      <c r="BM834" s="78"/>
      <c r="BN834" s="78"/>
      <c r="BO834" s="66"/>
      <c r="BP834" s="66"/>
    </row>
    <row r="835" spans="1:68" ht="13.2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/>
      <c r="AQ835" s="75"/>
      <c r="AR835" s="75"/>
      <c r="AS835" s="75"/>
      <c r="AT835" s="75"/>
      <c r="AU835" s="75"/>
      <c r="AV835" s="75"/>
      <c r="AW835" s="75"/>
      <c r="AX835" s="75"/>
      <c r="AY835" s="67"/>
      <c r="AZ835" s="75"/>
      <c r="BA835" s="67"/>
      <c r="BB835" s="66"/>
      <c r="BC835" s="4"/>
      <c r="BD835" s="67"/>
      <c r="BE835" s="67"/>
      <c r="BF835" s="68"/>
      <c r="BG835" s="69"/>
      <c r="BH835" s="84"/>
      <c r="BI835" s="70"/>
      <c r="BJ835" s="73"/>
      <c r="BK835" s="78"/>
      <c r="BL835" s="78"/>
      <c r="BM835" s="78"/>
      <c r="BN835" s="78"/>
      <c r="BO835" s="66"/>
      <c r="BP835" s="66"/>
    </row>
    <row r="836" spans="1:68" ht="13.2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/>
      <c r="AQ836" s="75"/>
      <c r="AR836" s="75"/>
      <c r="AS836" s="75"/>
      <c r="AT836" s="75"/>
      <c r="AU836" s="75"/>
      <c r="AV836" s="75"/>
      <c r="AW836" s="75"/>
      <c r="AX836" s="75"/>
      <c r="AY836" s="67"/>
      <c r="AZ836" s="75"/>
      <c r="BA836" s="67"/>
      <c r="BB836" s="66"/>
      <c r="BC836" s="4"/>
      <c r="BD836" s="67"/>
      <c r="BE836" s="67"/>
      <c r="BF836" s="68"/>
      <c r="BG836" s="69"/>
      <c r="BH836" s="84"/>
      <c r="BI836" s="70"/>
      <c r="BJ836" s="73"/>
      <c r="BK836" s="78"/>
      <c r="BL836" s="78"/>
      <c r="BM836" s="78"/>
      <c r="BN836" s="78"/>
      <c r="BO836" s="66"/>
      <c r="BP836" s="66"/>
    </row>
    <row r="837" spans="1:68" ht="13.2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/>
      <c r="AQ837" s="75"/>
      <c r="AR837" s="75"/>
      <c r="AS837" s="75"/>
      <c r="AT837" s="75"/>
      <c r="AU837" s="75"/>
      <c r="AV837" s="75"/>
      <c r="AW837" s="75"/>
      <c r="AX837" s="75"/>
      <c r="AY837" s="67"/>
      <c r="AZ837" s="75"/>
      <c r="BA837" s="67"/>
      <c r="BB837" s="66"/>
      <c r="BC837" s="4"/>
      <c r="BD837" s="67"/>
      <c r="BE837" s="67"/>
      <c r="BF837" s="68"/>
      <c r="BG837" s="69"/>
      <c r="BH837" s="84"/>
      <c r="BI837" s="70"/>
      <c r="BJ837" s="73"/>
      <c r="BK837" s="78"/>
      <c r="BL837" s="78"/>
      <c r="BM837" s="78"/>
      <c r="BN837" s="78"/>
      <c r="BO837" s="66"/>
      <c r="BP837" s="66"/>
    </row>
    <row r="838" spans="1:68" ht="13.2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/>
      <c r="AQ838" s="75"/>
      <c r="AR838" s="75"/>
      <c r="AS838" s="75"/>
      <c r="AT838" s="75"/>
      <c r="AU838" s="75"/>
      <c r="AV838" s="75"/>
      <c r="AW838" s="75"/>
      <c r="AX838" s="75"/>
      <c r="AY838" s="67"/>
      <c r="AZ838" s="75"/>
      <c r="BA838" s="67"/>
      <c r="BB838" s="66"/>
      <c r="BC838" s="4"/>
      <c r="BD838" s="67"/>
      <c r="BE838" s="67"/>
      <c r="BF838" s="68"/>
      <c r="BG838" s="69"/>
      <c r="BH838" s="84"/>
      <c r="BI838" s="70"/>
      <c r="BJ838" s="73"/>
      <c r="BK838" s="78"/>
      <c r="BL838" s="78"/>
      <c r="BM838" s="78"/>
      <c r="BN838" s="78"/>
      <c r="BO838" s="66"/>
      <c r="BP838" s="66"/>
    </row>
    <row r="839" spans="1:68" ht="13.2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/>
      <c r="AQ839" s="75"/>
      <c r="AR839" s="75"/>
      <c r="AS839" s="75"/>
      <c r="AT839" s="75"/>
      <c r="AU839" s="75"/>
      <c r="AV839" s="75"/>
      <c r="AW839" s="75"/>
      <c r="AX839" s="75"/>
      <c r="AY839" s="67"/>
      <c r="AZ839" s="75"/>
      <c r="BA839" s="67"/>
      <c r="BB839" s="66"/>
      <c r="BC839" s="4"/>
      <c r="BD839" s="67"/>
      <c r="BE839" s="67"/>
      <c r="BF839" s="68"/>
      <c r="BG839" s="69"/>
      <c r="BH839" s="84"/>
      <c r="BI839" s="70"/>
      <c r="BJ839" s="73"/>
      <c r="BK839" s="78"/>
      <c r="BL839" s="78"/>
      <c r="BM839" s="78"/>
      <c r="BN839" s="78"/>
      <c r="BO839" s="66"/>
      <c r="BP839" s="66"/>
    </row>
    <row r="840" spans="1:68" ht="13.2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/>
      <c r="AQ840" s="75"/>
      <c r="AR840" s="75"/>
      <c r="AS840" s="75"/>
      <c r="AT840" s="75"/>
      <c r="AU840" s="75"/>
      <c r="AV840" s="75"/>
      <c r="AW840" s="75"/>
      <c r="AX840" s="75"/>
      <c r="AY840" s="67"/>
      <c r="AZ840" s="75"/>
      <c r="BA840" s="67"/>
      <c r="BB840" s="66"/>
      <c r="BC840" s="4"/>
      <c r="BD840" s="67"/>
      <c r="BE840" s="67"/>
      <c r="BF840" s="68"/>
      <c r="BG840" s="69"/>
      <c r="BH840" s="84"/>
      <c r="BI840" s="70"/>
      <c r="BJ840" s="73"/>
      <c r="BK840" s="78"/>
      <c r="BL840" s="78"/>
      <c r="BM840" s="78"/>
      <c r="BN840" s="78"/>
      <c r="BO840" s="66"/>
      <c r="BP840" s="66"/>
    </row>
    <row r="841" spans="1:68" ht="13.2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/>
      <c r="AQ841" s="75"/>
      <c r="AR841" s="75"/>
      <c r="AS841" s="75"/>
      <c r="AT841" s="75"/>
      <c r="AU841" s="75"/>
      <c r="AV841" s="75"/>
      <c r="AW841" s="75"/>
      <c r="AX841" s="75"/>
      <c r="AY841" s="67"/>
      <c r="AZ841" s="75"/>
      <c r="BA841" s="67"/>
      <c r="BB841" s="66"/>
      <c r="BC841" s="4"/>
      <c r="BD841" s="67"/>
      <c r="BE841" s="67"/>
      <c r="BF841" s="68"/>
      <c r="BG841" s="69"/>
      <c r="BH841" s="84"/>
      <c r="BI841" s="70"/>
      <c r="BJ841" s="73"/>
      <c r="BK841" s="78"/>
      <c r="BL841" s="78"/>
      <c r="BM841" s="78"/>
      <c r="BN841" s="78"/>
      <c r="BO841" s="66"/>
      <c r="BP841" s="66"/>
    </row>
    <row r="842" spans="1:68" ht="13.2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/>
      <c r="AQ842" s="75"/>
      <c r="AR842" s="75"/>
      <c r="AS842" s="75"/>
      <c r="AT842" s="75"/>
      <c r="AU842" s="75"/>
      <c r="AV842" s="75"/>
      <c r="AW842" s="75"/>
      <c r="AX842" s="75"/>
      <c r="AY842" s="67"/>
      <c r="AZ842" s="75"/>
      <c r="BA842" s="67"/>
      <c r="BB842" s="66"/>
      <c r="BC842" s="4"/>
      <c r="BD842" s="67"/>
      <c r="BE842" s="67"/>
      <c r="BF842" s="68"/>
      <c r="BG842" s="69"/>
      <c r="BH842" s="84"/>
      <c r="BI842" s="70"/>
      <c r="BJ842" s="73"/>
      <c r="BK842" s="78"/>
      <c r="BL842" s="78"/>
      <c r="BM842" s="78"/>
      <c r="BN842" s="78"/>
      <c r="BO842" s="66"/>
      <c r="BP842" s="66"/>
    </row>
    <row r="843" spans="1:68" ht="13.2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/>
      <c r="AQ843" s="75"/>
      <c r="AR843" s="75"/>
      <c r="AS843" s="75"/>
      <c r="AT843" s="75"/>
      <c r="AU843" s="75"/>
      <c r="AV843" s="75"/>
      <c r="AW843" s="75"/>
      <c r="AX843" s="75"/>
      <c r="AY843" s="67"/>
      <c r="AZ843" s="75"/>
      <c r="BA843" s="67"/>
      <c r="BB843" s="66"/>
      <c r="BC843" s="4"/>
      <c r="BD843" s="67"/>
      <c r="BE843" s="67"/>
      <c r="BF843" s="68"/>
      <c r="BG843" s="69"/>
      <c r="BH843" s="84"/>
      <c r="BI843" s="70"/>
      <c r="BJ843" s="73"/>
      <c r="BK843" s="78"/>
      <c r="BL843" s="78"/>
      <c r="BM843" s="78"/>
      <c r="BN843" s="78"/>
      <c r="BO843" s="66"/>
      <c r="BP843" s="66"/>
    </row>
    <row r="844" spans="1:68" ht="13.2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/>
      <c r="AQ844" s="75"/>
      <c r="AR844" s="75"/>
      <c r="AS844" s="75"/>
      <c r="AT844" s="75"/>
      <c r="AU844" s="75"/>
      <c r="AV844" s="75"/>
      <c r="AW844" s="75"/>
      <c r="AX844" s="75"/>
      <c r="AY844" s="67"/>
      <c r="AZ844" s="75"/>
      <c r="BA844" s="67"/>
      <c r="BB844" s="66"/>
      <c r="BC844" s="4"/>
      <c r="BD844" s="67"/>
      <c r="BE844" s="67"/>
      <c r="BF844" s="68"/>
      <c r="BG844" s="69"/>
      <c r="BH844" s="84"/>
      <c r="BI844" s="70"/>
      <c r="BJ844" s="73"/>
      <c r="BK844" s="78"/>
      <c r="BL844" s="78"/>
      <c r="BM844" s="78"/>
      <c r="BN844" s="78"/>
      <c r="BO844" s="66"/>
      <c r="BP844" s="66"/>
    </row>
    <row r="845" spans="1:68" ht="13.2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/>
      <c r="AQ845" s="75"/>
      <c r="AR845" s="75"/>
      <c r="AS845" s="75"/>
      <c r="AT845" s="75"/>
      <c r="AU845" s="75"/>
      <c r="AV845" s="75"/>
      <c r="AW845" s="75"/>
      <c r="AX845" s="75"/>
      <c r="AY845" s="67"/>
      <c r="AZ845" s="75"/>
      <c r="BA845" s="67"/>
      <c r="BB845" s="66"/>
      <c r="BC845" s="4"/>
      <c r="BD845" s="67"/>
      <c r="BE845" s="67"/>
      <c r="BF845" s="68"/>
      <c r="BG845" s="69"/>
      <c r="BH845" s="84"/>
      <c r="BI845" s="70"/>
      <c r="BJ845" s="73"/>
      <c r="BK845" s="78"/>
      <c r="BL845" s="78"/>
      <c r="BM845" s="78"/>
      <c r="BN845" s="78"/>
      <c r="BO845" s="66"/>
      <c r="BP845" s="66"/>
    </row>
    <row r="846" spans="1:68" ht="13.2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/>
      <c r="AQ846" s="75"/>
      <c r="AR846" s="75"/>
      <c r="AS846" s="75"/>
      <c r="AT846" s="75"/>
      <c r="AU846" s="75"/>
      <c r="AV846" s="75"/>
      <c r="AW846" s="75"/>
      <c r="AX846" s="75"/>
      <c r="AY846" s="67"/>
      <c r="AZ846" s="75"/>
      <c r="BA846" s="67"/>
      <c r="BB846" s="66"/>
      <c r="BC846" s="4"/>
      <c r="BD846" s="67"/>
      <c r="BE846" s="67"/>
      <c r="BF846" s="68"/>
      <c r="BG846" s="69"/>
      <c r="BH846" s="84"/>
      <c r="BI846" s="70"/>
      <c r="BJ846" s="73"/>
      <c r="BK846" s="78"/>
      <c r="BL846" s="78"/>
      <c r="BM846" s="78"/>
      <c r="BN846" s="78"/>
      <c r="BO846" s="66"/>
      <c r="BP846" s="66"/>
    </row>
    <row r="847" spans="1:68" ht="13.2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/>
      <c r="AQ847" s="75"/>
      <c r="AR847" s="75"/>
      <c r="AS847" s="75"/>
      <c r="AT847" s="75"/>
      <c r="AU847" s="75"/>
      <c r="AV847" s="75"/>
      <c r="AW847" s="75"/>
      <c r="AX847" s="75"/>
      <c r="AY847" s="67"/>
      <c r="AZ847" s="75"/>
      <c r="BA847" s="67"/>
      <c r="BB847" s="66"/>
      <c r="BC847" s="4"/>
      <c r="BD847" s="67"/>
      <c r="BE847" s="67"/>
      <c r="BF847" s="68"/>
      <c r="BG847" s="69"/>
      <c r="BH847" s="84"/>
      <c r="BI847" s="70"/>
      <c r="BJ847" s="73"/>
      <c r="BK847" s="78"/>
      <c r="BL847" s="78"/>
      <c r="BM847" s="78"/>
      <c r="BN847" s="78"/>
      <c r="BO847" s="66"/>
      <c r="BP847" s="66"/>
    </row>
    <row r="848" spans="1:68" ht="13.2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/>
      <c r="AQ848" s="75"/>
      <c r="AR848" s="75"/>
      <c r="AS848" s="75"/>
      <c r="AT848" s="75"/>
      <c r="AU848" s="75"/>
      <c r="AV848" s="75"/>
      <c r="AW848" s="75"/>
      <c r="AX848" s="75"/>
      <c r="AY848" s="67"/>
      <c r="AZ848" s="75"/>
      <c r="BA848" s="67"/>
      <c r="BB848" s="66"/>
      <c r="BC848" s="4"/>
      <c r="BD848" s="67"/>
      <c r="BE848" s="67"/>
      <c r="BF848" s="68"/>
      <c r="BG848" s="69"/>
      <c r="BH848" s="84"/>
      <c r="BI848" s="70"/>
      <c r="BJ848" s="73"/>
      <c r="BK848" s="78"/>
      <c r="BL848" s="78"/>
      <c r="BM848" s="78"/>
      <c r="BN848" s="78"/>
      <c r="BO848" s="66"/>
      <c r="BP848" s="66"/>
    </row>
    <row r="849" spans="1:68" ht="13.2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/>
      <c r="AQ849" s="75"/>
      <c r="AR849" s="75"/>
      <c r="AS849" s="75"/>
      <c r="AT849" s="75"/>
      <c r="AU849" s="75"/>
      <c r="AV849" s="75"/>
      <c r="AW849" s="75"/>
      <c r="AX849" s="75"/>
      <c r="AY849" s="67"/>
      <c r="AZ849" s="75"/>
      <c r="BA849" s="67"/>
      <c r="BB849" s="66"/>
      <c r="BC849" s="4"/>
      <c r="BD849" s="67"/>
      <c r="BE849" s="67"/>
      <c r="BF849" s="68"/>
      <c r="BG849" s="69"/>
      <c r="BH849" s="84"/>
      <c r="BI849" s="70"/>
      <c r="BJ849" s="73"/>
      <c r="BK849" s="78"/>
      <c r="BL849" s="78"/>
      <c r="BM849" s="78"/>
      <c r="BN849" s="78"/>
      <c r="BO849" s="66"/>
      <c r="BP849" s="66"/>
    </row>
    <row r="850" spans="1:68" ht="13.2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/>
      <c r="AQ850" s="75"/>
      <c r="AR850" s="75"/>
      <c r="AS850" s="75"/>
      <c r="AT850" s="75"/>
      <c r="AU850" s="75"/>
      <c r="AV850" s="75"/>
      <c r="AW850" s="75"/>
      <c r="AX850" s="75"/>
      <c r="AY850" s="67"/>
      <c r="AZ850" s="75"/>
      <c r="BA850" s="67"/>
      <c r="BB850" s="66"/>
      <c r="BC850" s="4"/>
      <c r="BD850" s="67"/>
      <c r="BE850" s="67"/>
      <c r="BF850" s="68"/>
      <c r="BG850" s="69"/>
      <c r="BH850" s="84"/>
      <c r="BI850" s="70"/>
      <c r="BJ850" s="73"/>
      <c r="BK850" s="78"/>
      <c r="BL850" s="78"/>
      <c r="BM850" s="78"/>
      <c r="BN850" s="78"/>
      <c r="BO850" s="66"/>
      <c r="BP850" s="66"/>
    </row>
    <row r="851" spans="1:68" ht="13.2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/>
      <c r="AQ851" s="75"/>
      <c r="AR851" s="75"/>
      <c r="AS851" s="75"/>
      <c r="AT851" s="75"/>
      <c r="AU851" s="75"/>
      <c r="AV851" s="75"/>
      <c r="AW851" s="75"/>
      <c r="AX851" s="75"/>
      <c r="AY851" s="67"/>
      <c r="AZ851" s="75"/>
      <c r="BA851" s="67"/>
      <c r="BB851" s="66"/>
      <c r="BC851" s="4"/>
      <c r="BD851" s="67"/>
      <c r="BE851" s="67"/>
      <c r="BF851" s="68"/>
      <c r="BG851" s="69"/>
      <c r="BH851" s="84"/>
      <c r="BI851" s="70"/>
      <c r="BJ851" s="73"/>
      <c r="BK851" s="78"/>
      <c r="BL851" s="78"/>
      <c r="BM851" s="78"/>
      <c r="BN851" s="78"/>
      <c r="BO851" s="66"/>
      <c r="BP851" s="66"/>
    </row>
    <row r="852" spans="1:68" ht="13.2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/>
      <c r="AQ852" s="75"/>
      <c r="AR852" s="75"/>
      <c r="AS852" s="75"/>
      <c r="AT852" s="75"/>
      <c r="AU852" s="75"/>
      <c r="AV852" s="75"/>
      <c r="AW852" s="75"/>
      <c r="AX852" s="75"/>
      <c r="AY852" s="67"/>
      <c r="AZ852" s="75"/>
      <c r="BA852" s="67"/>
      <c r="BB852" s="66"/>
      <c r="BC852" s="4"/>
      <c r="BD852" s="67"/>
      <c r="BE852" s="67"/>
      <c r="BF852" s="68"/>
      <c r="BG852" s="69"/>
      <c r="BH852" s="84"/>
      <c r="BI852" s="70"/>
      <c r="BJ852" s="73"/>
      <c r="BK852" s="78"/>
      <c r="BL852" s="78"/>
      <c r="BM852" s="78"/>
      <c r="BN852" s="78"/>
      <c r="BO852" s="66"/>
      <c r="BP852" s="66"/>
    </row>
    <row r="853" spans="1:68" ht="13.2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/>
      <c r="AQ853" s="75"/>
      <c r="AR853" s="75"/>
      <c r="AS853" s="75"/>
      <c r="AT853" s="75"/>
      <c r="AU853" s="75"/>
      <c r="AV853" s="75"/>
      <c r="AW853" s="75"/>
      <c r="AX853" s="75"/>
      <c r="AY853" s="67"/>
      <c r="AZ853" s="75"/>
      <c r="BA853" s="67"/>
      <c r="BB853" s="66"/>
      <c r="BC853" s="4"/>
      <c r="BD853" s="67"/>
      <c r="BE853" s="67"/>
      <c r="BF853" s="68"/>
      <c r="BG853" s="69"/>
      <c r="BH853" s="84"/>
      <c r="BI853" s="70"/>
      <c r="BJ853" s="73"/>
      <c r="BK853" s="78"/>
      <c r="BL853" s="78"/>
      <c r="BM853" s="78"/>
      <c r="BN853" s="78"/>
      <c r="BO853" s="66"/>
      <c r="BP853" s="66"/>
    </row>
    <row r="854" spans="1:68" ht="13.2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/>
      <c r="AQ854" s="75"/>
      <c r="AR854" s="75"/>
      <c r="AS854" s="75"/>
      <c r="AT854" s="75"/>
      <c r="AU854" s="75"/>
      <c r="AV854" s="75"/>
      <c r="AW854" s="75"/>
      <c r="AX854" s="75"/>
      <c r="AY854" s="67"/>
      <c r="AZ854" s="75"/>
      <c r="BA854" s="67"/>
      <c r="BB854" s="66"/>
      <c r="BC854" s="4"/>
      <c r="BD854" s="67"/>
      <c r="BE854" s="67"/>
      <c r="BF854" s="68"/>
      <c r="BG854" s="69"/>
      <c r="BH854" s="84"/>
      <c r="BI854" s="70"/>
      <c r="BJ854" s="73"/>
      <c r="BK854" s="78"/>
      <c r="BL854" s="78"/>
      <c r="BM854" s="78"/>
      <c r="BN854" s="78"/>
      <c r="BO854" s="66"/>
      <c r="BP854" s="66"/>
    </row>
    <row r="855" spans="1:68" ht="13.2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/>
      <c r="AQ855" s="75"/>
      <c r="AR855" s="75"/>
      <c r="AS855" s="75"/>
      <c r="AT855" s="75"/>
      <c r="AU855" s="75"/>
      <c r="AV855" s="75"/>
      <c r="AW855" s="75"/>
      <c r="AX855" s="75"/>
      <c r="AY855" s="67"/>
      <c r="AZ855" s="75"/>
      <c r="BA855" s="67"/>
      <c r="BB855" s="66"/>
      <c r="BC855" s="4"/>
      <c r="BD855" s="67"/>
      <c r="BE855" s="67"/>
      <c r="BF855" s="68"/>
      <c r="BG855" s="69"/>
      <c r="BH855" s="84"/>
      <c r="BI855" s="70"/>
      <c r="BJ855" s="73"/>
      <c r="BK855" s="78"/>
      <c r="BL855" s="78"/>
      <c r="BM855" s="78"/>
      <c r="BN855" s="78"/>
      <c r="BO855" s="66"/>
      <c r="BP855" s="66"/>
    </row>
    <row r="856" spans="1:68" ht="13.2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/>
      <c r="AQ856" s="75"/>
      <c r="AR856" s="75"/>
      <c r="AS856" s="75"/>
      <c r="AT856" s="75"/>
      <c r="AU856" s="75"/>
      <c r="AV856" s="75"/>
      <c r="AW856" s="75"/>
      <c r="AX856" s="75"/>
      <c r="AY856" s="67"/>
      <c r="AZ856" s="75"/>
      <c r="BA856" s="67"/>
      <c r="BB856" s="66"/>
      <c r="BC856" s="4"/>
      <c r="BD856" s="67"/>
      <c r="BE856" s="67"/>
      <c r="BF856" s="68"/>
      <c r="BG856" s="69"/>
      <c r="BH856" s="84"/>
      <c r="BI856" s="70"/>
      <c r="BJ856" s="73"/>
      <c r="BK856" s="78"/>
      <c r="BL856" s="78"/>
      <c r="BM856" s="78"/>
      <c r="BN856" s="78"/>
      <c r="BO856" s="66"/>
      <c r="BP856" s="66"/>
    </row>
    <row r="857" spans="1:68" ht="13.2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/>
      <c r="AQ857" s="75"/>
      <c r="AR857" s="75"/>
      <c r="AS857" s="75"/>
      <c r="AT857" s="75"/>
      <c r="AU857" s="75"/>
      <c r="AV857" s="75"/>
      <c r="AW857" s="75"/>
      <c r="AX857" s="75"/>
      <c r="AY857" s="67"/>
      <c r="AZ857" s="75"/>
      <c r="BA857" s="67"/>
      <c r="BB857" s="66"/>
      <c r="BC857" s="4"/>
      <c r="BD857" s="67"/>
      <c r="BE857" s="67"/>
      <c r="BF857" s="68"/>
      <c r="BG857" s="69"/>
      <c r="BH857" s="84"/>
      <c r="BI857" s="70"/>
      <c r="BJ857" s="73"/>
      <c r="BK857" s="78"/>
      <c r="BL857" s="78"/>
      <c r="BM857" s="78"/>
      <c r="BN857" s="78"/>
      <c r="BO857" s="66"/>
      <c r="BP857" s="66"/>
    </row>
    <row r="858" spans="1:68" ht="13.2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/>
      <c r="AQ858" s="75"/>
      <c r="AR858" s="75"/>
      <c r="AS858" s="75"/>
      <c r="AT858" s="75"/>
      <c r="AU858" s="75"/>
      <c r="AV858" s="75"/>
      <c r="AW858" s="75"/>
      <c r="AX858" s="75"/>
      <c r="AY858" s="67"/>
      <c r="AZ858" s="75"/>
      <c r="BA858" s="67"/>
      <c r="BB858" s="66"/>
      <c r="BC858" s="4"/>
      <c r="BD858" s="67"/>
      <c r="BE858" s="67"/>
      <c r="BF858" s="68"/>
      <c r="BG858" s="69"/>
      <c r="BH858" s="84"/>
      <c r="BI858" s="70"/>
      <c r="BJ858" s="73"/>
      <c r="BK858" s="78"/>
      <c r="BL858" s="78"/>
      <c r="BM858" s="78"/>
      <c r="BN858" s="78"/>
      <c r="BO858" s="66"/>
      <c r="BP858" s="66"/>
    </row>
    <row r="859" spans="1:68" ht="13.2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/>
      <c r="AQ859" s="75"/>
      <c r="AR859" s="75"/>
      <c r="AS859" s="75"/>
      <c r="AT859" s="75"/>
      <c r="AU859" s="75"/>
      <c r="AV859" s="75"/>
      <c r="AW859" s="75"/>
      <c r="AX859" s="75"/>
      <c r="AY859" s="67"/>
      <c r="AZ859" s="75"/>
      <c r="BA859" s="67"/>
      <c r="BB859" s="66"/>
      <c r="BC859" s="4"/>
      <c r="BD859" s="67"/>
      <c r="BE859" s="67"/>
      <c r="BF859" s="68"/>
      <c r="BG859" s="69"/>
      <c r="BH859" s="84"/>
      <c r="BI859" s="70"/>
      <c r="BJ859" s="73"/>
      <c r="BK859" s="78"/>
      <c r="BL859" s="78"/>
      <c r="BM859" s="78"/>
      <c r="BN859" s="78"/>
      <c r="BO859" s="66"/>
      <c r="BP859" s="66"/>
    </row>
    <row r="860" spans="1:68" ht="13.2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/>
      <c r="AQ860" s="75"/>
      <c r="AR860" s="75"/>
      <c r="AS860" s="75"/>
      <c r="AT860" s="75"/>
      <c r="AU860" s="75"/>
      <c r="AV860" s="75"/>
      <c r="AW860" s="75"/>
      <c r="AX860" s="75"/>
      <c r="AY860" s="67"/>
      <c r="AZ860" s="75"/>
      <c r="BA860" s="67"/>
      <c r="BB860" s="66"/>
      <c r="BC860" s="4"/>
      <c r="BD860" s="67"/>
      <c r="BE860" s="67"/>
      <c r="BF860" s="68"/>
      <c r="BG860" s="69"/>
      <c r="BH860" s="84"/>
      <c r="BI860" s="70"/>
      <c r="BJ860" s="73"/>
      <c r="BK860" s="78"/>
      <c r="BL860" s="78"/>
      <c r="BM860" s="78"/>
      <c r="BN860" s="78"/>
      <c r="BO860" s="66"/>
      <c r="BP860" s="66"/>
    </row>
    <row r="861" spans="1:68" ht="13.2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/>
      <c r="AQ861" s="75"/>
      <c r="AR861" s="75"/>
      <c r="AS861" s="75"/>
      <c r="AT861" s="75"/>
      <c r="AU861" s="75"/>
      <c r="AV861" s="75"/>
      <c r="AW861" s="75"/>
      <c r="AX861" s="75"/>
      <c r="AY861" s="67"/>
      <c r="AZ861" s="75"/>
      <c r="BA861" s="67"/>
      <c r="BB861" s="66"/>
      <c r="BC861" s="4"/>
      <c r="BD861" s="67"/>
      <c r="BE861" s="67"/>
      <c r="BF861" s="68"/>
      <c r="BG861" s="69"/>
      <c r="BH861" s="84"/>
      <c r="BI861" s="70"/>
      <c r="BJ861" s="73"/>
      <c r="BK861" s="78"/>
      <c r="BL861" s="78"/>
      <c r="BM861" s="78"/>
      <c r="BN861" s="78"/>
      <c r="BO861" s="66"/>
      <c r="BP861" s="66"/>
    </row>
    <row r="862" spans="1:68" ht="13.2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/>
      <c r="AQ862" s="75"/>
      <c r="AR862" s="75"/>
      <c r="AS862" s="75"/>
      <c r="AT862" s="75"/>
      <c r="AU862" s="75"/>
      <c r="AV862" s="75"/>
      <c r="AW862" s="75"/>
      <c r="AX862" s="75"/>
      <c r="AY862" s="67"/>
      <c r="AZ862" s="75"/>
      <c r="BA862" s="67"/>
      <c r="BB862" s="66"/>
      <c r="BC862" s="4"/>
      <c r="BD862" s="67"/>
      <c r="BE862" s="67"/>
      <c r="BF862" s="68"/>
      <c r="BG862" s="69"/>
      <c r="BH862" s="84"/>
      <c r="BI862" s="70"/>
      <c r="BJ862" s="73"/>
      <c r="BK862" s="78"/>
      <c r="BL862" s="78"/>
      <c r="BM862" s="78"/>
      <c r="BN862" s="78"/>
      <c r="BO862" s="66"/>
      <c r="BP862" s="66"/>
    </row>
    <row r="863" spans="1:68" ht="13.2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/>
      <c r="AQ863" s="75"/>
      <c r="AR863" s="75"/>
      <c r="AS863" s="75"/>
      <c r="AT863" s="75"/>
      <c r="AU863" s="75"/>
      <c r="AV863" s="75"/>
      <c r="AW863" s="75"/>
      <c r="AX863" s="75"/>
      <c r="AY863" s="67"/>
      <c r="AZ863" s="75"/>
      <c r="BA863" s="67"/>
      <c r="BB863" s="66"/>
      <c r="BC863" s="4"/>
      <c r="BD863" s="67"/>
      <c r="BE863" s="67"/>
      <c r="BF863" s="68"/>
      <c r="BG863" s="69"/>
      <c r="BH863" s="84"/>
      <c r="BI863" s="70"/>
      <c r="BJ863" s="73"/>
      <c r="BK863" s="78"/>
      <c r="BL863" s="78"/>
      <c r="BM863" s="78"/>
      <c r="BN863" s="78"/>
      <c r="BO863" s="66"/>
      <c r="BP863" s="66"/>
    </row>
    <row r="864" spans="1:68" ht="13.2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/>
      <c r="AQ864" s="75"/>
      <c r="AR864" s="75"/>
      <c r="AS864" s="75"/>
      <c r="AT864" s="75"/>
      <c r="AU864" s="75"/>
      <c r="AV864" s="75"/>
      <c r="AW864" s="75"/>
      <c r="AX864" s="75"/>
      <c r="AY864" s="67"/>
      <c r="AZ864" s="75"/>
      <c r="BA864" s="67"/>
      <c r="BB864" s="66"/>
      <c r="BC864" s="4"/>
      <c r="BD864" s="67"/>
      <c r="BE864" s="67"/>
      <c r="BF864" s="68"/>
      <c r="BG864" s="69"/>
      <c r="BH864" s="84"/>
      <c r="BI864" s="70"/>
      <c r="BJ864" s="73"/>
      <c r="BK864" s="78"/>
      <c r="BL864" s="78"/>
      <c r="BM864" s="78"/>
      <c r="BN864" s="78"/>
      <c r="BO864" s="66"/>
      <c r="BP864" s="66"/>
    </row>
    <row r="865" spans="1:68" ht="13.2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/>
      <c r="AQ865" s="75"/>
      <c r="AR865" s="75"/>
      <c r="AS865" s="75"/>
      <c r="AT865" s="75"/>
      <c r="AU865" s="75"/>
      <c r="AV865" s="75"/>
      <c r="AW865" s="75"/>
      <c r="AX865" s="75"/>
      <c r="AY865" s="67"/>
      <c r="AZ865" s="75"/>
      <c r="BA865" s="67"/>
      <c r="BB865" s="66"/>
      <c r="BC865" s="4"/>
      <c r="BD865" s="67"/>
      <c r="BE865" s="67"/>
      <c r="BF865" s="68"/>
      <c r="BG865" s="69"/>
      <c r="BH865" s="84"/>
      <c r="BI865" s="70"/>
      <c r="BJ865" s="73"/>
      <c r="BK865" s="78"/>
      <c r="BL865" s="78"/>
      <c r="BM865" s="78"/>
      <c r="BN865" s="78"/>
      <c r="BO865" s="66"/>
      <c r="BP865" s="66"/>
    </row>
    <row r="866" spans="1:68" ht="13.2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/>
      <c r="AQ866" s="75"/>
      <c r="AR866" s="75"/>
      <c r="AS866" s="75"/>
      <c r="AT866" s="75"/>
      <c r="AU866" s="75"/>
      <c r="AV866" s="75"/>
      <c r="AW866" s="75"/>
      <c r="AX866" s="75"/>
      <c r="AY866" s="67"/>
      <c r="AZ866" s="75"/>
      <c r="BA866" s="67"/>
      <c r="BB866" s="66"/>
      <c r="BC866" s="4"/>
      <c r="BD866" s="67"/>
      <c r="BE866" s="67"/>
      <c r="BF866" s="68"/>
      <c r="BG866" s="69"/>
      <c r="BH866" s="84"/>
      <c r="BI866" s="70"/>
      <c r="BJ866" s="73"/>
      <c r="BK866" s="78"/>
      <c r="BL866" s="78"/>
      <c r="BM866" s="78"/>
      <c r="BN866" s="78"/>
      <c r="BO866" s="66"/>
      <c r="BP866" s="66"/>
    </row>
    <row r="867" spans="1:68" ht="13.2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/>
      <c r="AQ867" s="75"/>
      <c r="AR867" s="75"/>
      <c r="AS867" s="75"/>
      <c r="AT867" s="75"/>
      <c r="AU867" s="75"/>
      <c r="AV867" s="75"/>
      <c r="AW867" s="75"/>
      <c r="AX867" s="75"/>
      <c r="AY867" s="67"/>
      <c r="AZ867" s="75"/>
      <c r="BA867" s="67"/>
      <c r="BB867" s="66"/>
      <c r="BC867" s="4"/>
      <c r="BD867" s="67"/>
      <c r="BE867" s="67"/>
      <c r="BF867" s="68"/>
      <c r="BG867" s="69"/>
      <c r="BH867" s="84"/>
      <c r="BI867" s="70"/>
      <c r="BJ867" s="73"/>
      <c r="BK867" s="78"/>
      <c r="BL867" s="78"/>
      <c r="BM867" s="78"/>
      <c r="BN867" s="78"/>
      <c r="BO867" s="66"/>
      <c r="BP867" s="66"/>
    </row>
    <row r="868" spans="1:68" ht="13.2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/>
      <c r="AQ868" s="75"/>
      <c r="AR868" s="75"/>
      <c r="AS868" s="75"/>
      <c r="AT868" s="75"/>
      <c r="AU868" s="75"/>
      <c r="AV868" s="75"/>
      <c r="AW868" s="75"/>
      <c r="AX868" s="75"/>
      <c r="AY868" s="67"/>
      <c r="AZ868" s="75"/>
      <c r="BA868" s="67"/>
      <c r="BB868" s="66"/>
      <c r="BC868" s="4"/>
      <c r="BD868" s="67"/>
      <c r="BE868" s="67"/>
      <c r="BF868" s="68"/>
      <c r="BG868" s="69"/>
      <c r="BH868" s="84"/>
      <c r="BI868" s="70"/>
      <c r="BJ868" s="73"/>
      <c r="BK868" s="78"/>
      <c r="BL868" s="78"/>
      <c r="BM868" s="78"/>
      <c r="BN868" s="78"/>
      <c r="BO868" s="66"/>
      <c r="BP868" s="66"/>
    </row>
    <row r="869" spans="1:68" ht="13.2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/>
      <c r="AQ869" s="75"/>
      <c r="AR869" s="75"/>
      <c r="AS869" s="75"/>
      <c r="AT869" s="75"/>
      <c r="AU869" s="75"/>
      <c r="AV869" s="75"/>
      <c r="AW869" s="75"/>
      <c r="AX869" s="75"/>
      <c r="AY869" s="67"/>
      <c r="AZ869" s="75"/>
      <c r="BA869" s="67"/>
      <c r="BB869" s="66"/>
      <c r="BC869" s="4"/>
      <c r="BD869" s="67"/>
      <c r="BE869" s="67"/>
      <c r="BF869" s="68"/>
      <c r="BG869" s="69"/>
      <c r="BH869" s="84"/>
      <c r="BI869" s="70"/>
      <c r="BJ869" s="73"/>
      <c r="BK869" s="78"/>
      <c r="BL869" s="78"/>
      <c r="BM869" s="78"/>
      <c r="BN869" s="78"/>
      <c r="BO869" s="66"/>
      <c r="BP869" s="66"/>
    </row>
    <row r="870" spans="1:68" ht="13.2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/>
      <c r="AQ870" s="75"/>
      <c r="AR870" s="75"/>
      <c r="AS870" s="75"/>
      <c r="AT870" s="75"/>
      <c r="AU870" s="75"/>
      <c r="AV870" s="75"/>
      <c r="AW870" s="75"/>
      <c r="AX870" s="75"/>
      <c r="AY870" s="67"/>
      <c r="AZ870" s="75"/>
      <c r="BA870" s="67"/>
      <c r="BB870" s="66"/>
      <c r="BC870" s="4"/>
      <c r="BD870" s="67"/>
      <c r="BE870" s="67"/>
      <c r="BF870" s="68"/>
      <c r="BG870" s="69"/>
      <c r="BH870" s="84"/>
      <c r="BI870" s="70"/>
      <c r="BJ870" s="73"/>
      <c r="BK870" s="78"/>
      <c r="BL870" s="78"/>
      <c r="BM870" s="78"/>
      <c r="BN870" s="78"/>
      <c r="BO870" s="66"/>
      <c r="BP870" s="66"/>
    </row>
    <row r="871" spans="1:68" ht="13.2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/>
      <c r="AQ871" s="75"/>
      <c r="AR871" s="75"/>
      <c r="AS871" s="75"/>
      <c r="AT871" s="75"/>
      <c r="AU871" s="75"/>
      <c r="AV871" s="75"/>
      <c r="AW871" s="75"/>
      <c r="AX871" s="75"/>
      <c r="AY871" s="67"/>
      <c r="AZ871" s="75"/>
      <c r="BA871" s="67"/>
      <c r="BB871" s="66"/>
      <c r="BC871" s="4"/>
      <c r="BD871" s="67"/>
      <c r="BE871" s="67"/>
      <c r="BF871" s="68"/>
      <c r="BG871" s="69"/>
      <c r="BH871" s="84"/>
      <c r="BI871" s="70"/>
      <c r="BJ871" s="73"/>
      <c r="BK871" s="78"/>
      <c r="BL871" s="78"/>
      <c r="BM871" s="78"/>
      <c r="BN871" s="78"/>
      <c r="BO871" s="66"/>
      <c r="BP871" s="66"/>
    </row>
    <row r="872" spans="1:68" ht="13.2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/>
      <c r="AQ872" s="75"/>
      <c r="AR872" s="75"/>
      <c r="AS872" s="75"/>
      <c r="AT872" s="75"/>
      <c r="AU872" s="75"/>
      <c r="AV872" s="75"/>
      <c r="AW872" s="75"/>
      <c r="AX872" s="75"/>
      <c r="AY872" s="67"/>
      <c r="AZ872" s="75"/>
      <c r="BA872" s="67"/>
      <c r="BB872" s="66"/>
      <c r="BC872" s="4"/>
      <c r="BD872" s="67"/>
      <c r="BE872" s="67"/>
      <c r="BF872" s="68"/>
      <c r="BG872" s="69"/>
      <c r="BH872" s="84"/>
      <c r="BI872" s="70"/>
      <c r="BJ872" s="73"/>
      <c r="BK872" s="78"/>
      <c r="BL872" s="78"/>
      <c r="BM872" s="78"/>
      <c r="BN872" s="78"/>
      <c r="BO872" s="66"/>
      <c r="BP872" s="66"/>
    </row>
    <row r="873" spans="1:68" ht="13.2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/>
      <c r="AQ873" s="75"/>
      <c r="AR873" s="75"/>
      <c r="AS873" s="75"/>
      <c r="AT873" s="75"/>
      <c r="AU873" s="75"/>
      <c r="AV873" s="75"/>
      <c r="AW873" s="75"/>
      <c r="AX873" s="75"/>
      <c r="AY873" s="67"/>
      <c r="AZ873" s="75"/>
      <c r="BA873" s="67"/>
      <c r="BB873" s="66"/>
      <c r="BC873" s="4"/>
      <c r="BD873" s="67"/>
      <c r="BE873" s="67"/>
      <c r="BF873" s="68"/>
      <c r="BG873" s="69"/>
      <c r="BH873" s="84"/>
      <c r="BI873" s="70"/>
      <c r="BJ873" s="73"/>
      <c r="BK873" s="78"/>
      <c r="BL873" s="78"/>
      <c r="BM873" s="78"/>
      <c r="BN873" s="78"/>
      <c r="BO873" s="66"/>
      <c r="BP873" s="66"/>
    </row>
    <row r="874" spans="1:68" ht="13.2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/>
      <c r="AQ874" s="75"/>
      <c r="AR874" s="75"/>
      <c r="AS874" s="75"/>
      <c r="AT874" s="75"/>
      <c r="AU874" s="75"/>
      <c r="AV874" s="75"/>
      <c r="AW874" s="75"/>
      <c r="AX874" s="75"/>
      <c r="AY874" s="67"/>
      <c r="AZ874" s="75"/>
      <c r="BA874" s="67"/>
      <c r="BB874" s="66"/>
      <c r="BC874" s="4"/>
      <c r="BD874" s="67"/>
      <c r="BE874" s="67"/>
      <c r="BF874" s="68"/>
      <c r="BG874" s="69"/>
      <c r="BH874" s="84"/>
      <c r="BI874" s="70"/>
      <c r="BJ874" s="73"/>
      <c r="BK874" s="78"/>
      <c r="BL874" s="78"/>
      <c r="BM874" s="78"/>
      <c r="BN874" s="78"/>
      <c r="BO874" s="66"/>
      <c r="BP874" s="66"/>
    </row>
    <row r="875" spans="1:68" ht="13.2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/>
      <c r="AQ875" s="75"/>
      <c r="AR875" s="75"/>
      <c r="AS875" s="75"/>
      <c r="AT875" s="75"/>
      <c r="AU875" s="75"/>
      <c r="AV875" s="75"/>
      <c r="AW875" s="75"/>
      <c r="AX875" s="75"/>
      <c r="AY875" s="67"/>
      <c r="AZ875" s="75"/>
      <c r="BA875" s="67"/>
      <c r="BB875" s="66"/>
      <c r="BC875" s="4"/>
      <c r="BD875" s="67"/>
      <c r="BE875" s="67"/>
      <c r="BF875" s="68"/>
      <c r="BG875" s="69"/>
      <c r="BH875" s="84"/>
      <c r="BI875" s="70"/>
      <c r="BJ875" s="73"/>
      <c r="BK875" s="78"/>
      <c r="BL875" s="78"/>
      <c r="BM875" s="78"/>
      <c r="BN875" s="78"/>
      <c r="BO875" s="66"/>
      <c r="BP875" s="66"/>
    </row>
    <row r="876" spans="1:68" ht="13.2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/>
      <c r="AQ876" s="75"/>
      <c r="AR876" s="75"/>
      <c r="AS876" s="75"/>
      <c r="AT876" s="75"/>
      <c r="AU876" s="75"/>
      <c r="AV876" s="75"/>
      <c r="AW876" s="75"/>
      <c r="AX876" s="75"/>
      <c r="AY876" s="67"/>
      <c r="AZ876" s="75"/>
      <c r="BA876" s="67"/>
      <c r="BB876" s="66"/>
      <c r="BC876" s="4"/>
      <c r="BD876" s="67"/>
      <c r="BE876" s="67"/>
      <c r="BF876" s="68"/>
      <c r="BG876" s="69"/>
      <c r="BH876" s="84"/>
      <c r="BI876" s="70"/>
      <c r="BJ876" s="73"/>
      <c r="BK876" s="78"/>
      <c r="BL876" s="78"/>
      <c r="BM876" s="78"/>
      <c r="BN876" s="78"/>
      <c r="BO876" s="66"/>
      <c r="BP876" s="66"/>
    </row>
    <row r="877" spans="1:68" ht="13.2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/>
      <c r="AQ877" s="75"/>
      <c r="AR877" s="75"/>
      <c r="AS877" s="75"/>
      <c r="AT877" s="75"/>
      <c r="AU877" s="75"/>
      <c r="AV877" s="75"/>
      <c r="AW877" s="75"/>
      <c r="AX877" s="75"/>
      <c r="AY877" s="67"/>
      <c r="AZ877" s="75"/>
      <c r="BA877" s="67"/>
      <c r="BB877" s="66"/>
      <c r="BC877" s="4"/>
      <c r="BD877" s="67"/>
      <c r="BE877" s="67"/>
      <c r="BF877" s="68"/>
      <c r="BG877" s="69"/>
      <c r="BH877" s="84"/>
      <c r="BI877" s="70"/>
      <c r="BJ877" s="73"/>
      <c r="BK877" s="78"/>
      <c r="BL877" s="78"/>
      <c r="BM877" s="78"/>
      <c r="BN877" s="78"/>
      <c r="BO877" s="66"/>
      <c r="BP877" s="66"/>
    </row>
    <row r="878" spans="1:68" ht="13.2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/>
      <c r="AQ878" s="75"/>
      <c r="AR878" s="75"/>
      <c r="AS878" s="75"/>
      <c r="AT878" s="75"/>
      <c r="AU878" s="75"/>
      <c r="AV878" s="75"/>
      <c r="AW878" s="75"/>
      <c r="AX878" s="75"/>
      <c r="AY878" s="67"/>
      <c r="AZ878" s="75"/>
      <c r="BA878" s="67"/>
      <c r="BB878" s="66"/>
      <c r="BC878" s="4"/>
      <c r="BD878" s="67"/>
      <c r="BE878" s="67"/>
      <c r="BF878" s="68"/>
      <c r="BG878" s="69"/>
      <c r="BH878" s="84"/>
      <c r="BI878" s="70"/>
      <c r="BJ878" s="73"/>
      <c r="BK878" s="78"/>
      <c r="BL878" s="78"/>
      <c r="BM878" s="78"/>
      <c r="BN878" s="78"/>
      <c r="BO878" s="66"/>
      <c r="BP878" s="66"/>
    </row>
    <row r="879" spans="1:68" ht="13.2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/>
      <c r="AQ879" s="75"/>
      <c r="AR879" s="75"/>
      <c r="AS879" s="75"/>
      <c r="AT879" s="75"/>
      <c r="AU879" s="75"/>
      <c r="AV879" s="75"/>
      <c r="AW879" s="75"/>
      <c r="AX879" s="75"/>
      <c r="AY879" s="67"/>
      <c r="AZ879" s="75"/>
      <c r="BA879" s="67"/>
      <c r="BB879" s="66"/>
      <c r="BC879" s="4"/>
      <c r="BD879" s="67"/>
      <c r="BE879" s="67"/>
      <c r="BF879" s="68"/>
      <c r="BG879" s="69"/>
      <c r="BH879" s="84"/>
      <c r="BI879" s="70"/>
      <c r="BJ879" s="73"/>
      <c r="BK879" s="78"/>
      <c r="BL879" s="78"/>
      <c r="BM879" s="78"/>
      <c r="BN879" s="78"/>
      <c r="BO879" s="66"/>
      <c r="BP879" s="66"/>
    </row>
    <row r="880" spans="1:68" ht="13.2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/>
      <c r="AQ880" s="75"/>
      <c r="AR880" s="75"/>
      <c r="AS880" s="75"/>
      <c r="AT880" s="75"/>
      <c r="AU880" s="75"/>
      <c r="AV880" s="75"/>
      <c r="AW880" s="75"/>
      <c r="AX880" s="75"/>
      <c r="AY880" s="67"/>
      <c r="AZ880" s="75"/>
      <c r="BA880" s="67"/>
      <c r="BB880" s="66"/>
      <c r="BC880" s="4"/>
      <c r="BD880" s="67"/>
      <c r="BE880" s="67"/>
      <c r="BF880" s="68"/>
      <c r="BG880" s="69"/>
      <c r="BH880" s="84"/>
      <c r="BI880" s="70"/>
      <c r="BJ880" s="73"/>
      <c r="BK880" s="78"/>
      <c r="BL880" s="78"/>
      <c r="BM880" s="78"/>
      <c r="BN880" s="78"/>
      <c r="BO880" s="66"/>
      <c r="BP880" s="66"/>
    </row>
    <row r="881" spans="1:68" ht="13.2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/>
      <c r="AQ881" s="75"/>
      <c r="AR881" s="75"/>
      <c r="AS881" s="75"/>
      <c r="AT881" s="75"/>
      <c r="AU881" s="75"/>
      <c r="AV881" s="75"/>
      <c r="AW881" s="75"/>
      <c r="AX881" s="75"/>
      <c r="AY881" s="67"/>
      <c r="AZ881" s="75"/>
      <c r="BA881" s="67"/>
      <c r="BB881" s="66"/>
      <c r="BC881" s="4"/>
      <c r="BD881" s="67"/>
      <c r="BE881" s="67"/>
      <c r="BF881" s="68"/>
      <c r="BG881" s="69"/>
      <c r="BH881" s="84"/>
      <c r="BI881" s="70"/>
      <c r="BJ881" s="73"/>
      <c r="BK881" s="78"/>
      <c r="BL881" s="78"/>
      <c r="BM881" s="78"/>
      <c r="BN881" s="78"/>
      <c r="BO881" s="66"/>
      <c r="BP881" s="66"/>
    </row>
    <row r="882" spans="1:68" ht="13.2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/>
      <c r="AQ882" s="75"/>
      <c r="AR882" s="75"/>
      <c r="AS882" s="75"/>
      <c r="AT882" s="75"/>
      <c r="AU882" s="75"/>
      <c r="AV882" s="75"/>
      <c r="AW882" s="75"/>
      <c r="AX882" s="75"/>
      <c r="AY882" s="67"/>
      <c r="AZ882" s="75"/>
      <c r="BA882" s="67"/>
      <c r="BB882" s="66"/>
      <c r="BC882" s="4"/>
      <c r="BD882" s="67"/>
      <c r="BE882" s="67"/>
      <c r="BF882" s="68"/>
      <c r="BG882" s="69"/>
      <c r="BH882" s="84"/>
      <c r="BI882" s="70"/>
      <c r="BJ882" s="73"/>
      <c r="BK882" s="78"/>
      <c r="BL882" s="78"/>
      <c r="BM882" s="78"/>
      <c r="BN882" s="78"/>
      <c r="BO882" s="66"/>
      <c r="BP882" s="66"/>
    </row>
    <row r="883" spans="1:68" ht="13.2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/>
      <c r="AQ883" s="75"/>
      <c r="AR883" s="75"/>
      <c r="AS883" s="75"/>
      <c r="AT883" s="75"/>
      <c r="AU883" s="75"/>
      <c r="AV883" s="75"/>
      <c r="AW883" s="75"/>
      <c r="AX883" s="75"/>
      <c r="AY883" s="67"/>
      <c r="AZ883" s="75"/>
      <c r="BA883" s="67"/>
      <c r="BB883" s="66"/>
      <c r="BC883" s="4"/>
      <c r="BD883" s="67"/>
      <c r="BE883" s="67"/>
      <c r="BF883" s="68"/>
      <c r="BG883" s="69"/>
      <c r="BH883" s="84"/>
      <c r="BI883" s="70"/>
      <c r="BJ883" s="73"/>
      <c r="BK883" s="78"/>
      <c r="BL883" s="78"/>
      <c r="BM883" s="78"/>
      <c r="BN883" s="78"/>
      <c r="BO883" s="66"/>
      <c r="BP883" s="66"/>
    </row>
    <row r="884" spans="1:68" ht="13.2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/>
      <c r="AQ884" s="75"/>
      <c r="AR884" s="75"/>
      <c r="AS884" s="75"/>
      <c r="AT884" s="75"/>
      <c r="AU884" s="75"/>
      <c r="AV884" s="75"/>
      <c r="AW884" s="75"/>
      <c r="AX884" s="75"/>
      <c r="AY884" s="67"/>
      <c r="AZ884" s="75"/>
      <c r="BA884" s="67"/>
      <c r="BB884" s="66"/>
      <c r="BC884" s="4"/>
      <c r="BD884" s="67"/>
      <c r="BE884" s="67"/>
      <c r="BF884" s="68"/>
      <c r="BG884" s="69"/>
      <c r="BH884" s="84"/>
      <c r="BI884" s="70"/>
      <c r="BJ884" s="73"/>
      <c r="BK884" s="78"/>
      <c r="BL884" s="78"/>
      <c r="BM884" s="78"/>
      <c r="BN884" s="78"/>
      <c r="BO884" s="66"/>
      <c r="BP884" s="66"/>
    </row>
    <row r="885" spans="1:68" ht="13.2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/>
      <c r="AQ885" s="75"/>
      <c r="AR885" s="75"/>
      <c r="AS885" s="75"/>
      <c r="AT885" s="75"/>
      <c r="AU885" s="75"/>
      <c r="AV885" s="75"/>
      <c r="AW885" s="75"/>
      <c r="AX885" s="75"/>
      <c r="AY885" s="67"/>
      <c r="AZ885" s="75"/>
      <c r="BA885" s="67"/>
      <c r="BB885" s="66"/>
      <c r="BC885" s="4"/>
      <c r="BD885" s="67"/>
      <c r="BE885" s="67"/>
      <c r="BF885" s="68"/>
      <c r="BG885" s="69"/>
      <c r="BH885" s="84"/>
      <c r="BI885" s="70"/>
      <c r="BJ885" s="73"/>
      <c r="BK885" s="78"/>
      <c r="BL885" s="78"/>
      <c r="BM885" s="78"/>
      <c r="BN885" s="78"/>
      <c r="BO885" s="66"/>
      <c r="BP885" s="66"/>
    </row>
    <row r="886" spans="1:68" ht="13.2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/>
      <c r="AQ886" s="75"/>
      <c r="AR886" s="75"/>
      <c r="AS886" s="75"/>
      <c r="AT886" s="75"/>
      <c r="AU886" s="75"/>
      <c r="AV886" s="75"/>
      <c r="AW886" s="75"/>
      <c r="AX886" s="75"/>
      <c r="AY886" s="67"/>
      <c r="AZ886" s="75"/>
      <c r="BA886" s="67"/>
      <c r="BB886" s="66"/>
      <c r="BC886" s="4"/>
      <c r="BD886" s="67"/>
      <c r="BE886" s="67"/>
      <c r="BF886" s="68"/>
      <c r="BG886" s="69"/>
      <c r="BH886" s="84"/>
      <c r="BI886" s="70"/>
      <c r="BJ886" s="73"/>
      <c r="BK886" s="78"/>
      <c r="BL886" s="78"/>
      <c r="BM886" s="78"/>
      <c r="BN886" s="78"/>
      <c r="BO886" s="66"/>
      <c r="BP886" s="66"/>
    </row>
    <row r="887" spans="1:68" ht="13.2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/>
      <c r="AQ887" s="75"/>
      <c r="AR887" s="75"/>
      <c r="AS887" s="75"/>
      <c r="AT887" s="75"/>
      <c r="AU887" s="75"/>
      <c r="AV887" s="75"/>
      <c r="AW887" s="75"/>
      <c r="AX887" s="75"/>
      <c r="AY887" s="67"/>
      <c r="AZ887" s="75"/>
      <c r="BA887" s="67"/>
      <c r="BB887" s="66"/>
      <c r="BC887" s="4"/>
      <c r="BD887" s="67"/>
      <c r="BE887" s="67"/>
      <c r="BF887" s="68"/>
      <c r="BG887" s="69"/>
      <c r="BH887" s="84"/>
      <c r="BI887" s="70"/>
      <c r="BJ887" s="73"/>
      <c r="BK887" s="78"/>
      <c r="BL887" s="78"/>
      <c r="BM887" s="78"/>
      <c r="BN887" s="78"/>
      <c r="BO887" s="66"/>
      <c r="BP887" s="66"/>
    </row>
    <row r="888" spans="1:68" ht="13.2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/>
      <c r="AQ888" s="75"/>
      <c r="AR888" s="75"/>
      <c r="AS888" s="75"/>
      <c r="AT888" s="75"/>
      <c r="AU888" s="75"/>
      <c r="AV888" s="75"/>
      <c r="AW888" s="75"/>
      <c r="AX888" s="75"/>
      <c r="AY888" s="67"/>
      <c r="AZ888" s="75"/>
      <c r="BA888" s="67"/>
      <c r="BB888" s="66"/>
      <c r="BC888" s="4"/>
      <c r="BD888" s="67"/>
      <c r="BE888" s="67"/>
      <c r="BF888" s="68"/>
      <c r="BG888" s="69"/>
      <c r="BH888" s="84"/>
      <c r="BI888" s="70"/>
      <c r="BJ888" s="73"/>
      <c r="BK888" s="78"/>
      <c r="BL888" s="78"/>
      <c r="BM888" s="78"/>
      <c r="BN888" s="78"/>
      <c r="BO888" s="66"/>
      <c r="BP888" s="66"/>
    </row>
    <row r="889" spans="1:68" ht="13.2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/>
      <c r="AQ889" s="75"/>
      <c r="AR889" s="75"/>
      <c r="AS889" s="75"/>
      <c r="AT889" s="75"/>
      <c r="AU889" s="75"/>
      <c r="AV889" s="75"/>
      <c r="AW889" s="75"/>
      <c r="AX889" s="75"/>
      <c r="AY889" s="67"/>
      <c r="AZ889" s="75"/>
      <c r="BA889" s="67"/>
      <c r="BB889" s="66"/>
      <c r="BC889" s="4"/>
      <c r="BD889" s="67"/>
      <c r="BE889" s="67"/>
      <c r="BF889" s="68"/>
      <c r="BG889" s="69"/>
      <c r="BH889" s="84"/>
      <c r="BI889" s="70"/>
      <c r="BJ889" s="73"/>
      <c r="BK889" s="78"/>
      <c r="BL889" s="78"/>
      <c r="BM889" s="78"/>
      <c r="BN889" s="78"/>
      <c r="BO889" s="66"/>
      <c r="BP889" s="66"/>
    </row>
    <row r="890" spans="1:68" ht="13.2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/>
      <c r="AQ890" s="75"/>
      <c r="AR890" s="75"/>
      <c r="AS890" s="75"/>
      <c r="AT890" s="75"/>
      <c r="AU890" s="75"/>
      <c r="AV890" s="75"/>
      <c r="AW890" s="75"/>
      <c r="AX890" s="75"/>
      <c r="AY890" s="67"/>
      <c r="AZ890" s="75"/>
      <c r="BA890" s="67"/>
      <c r="BB890" s="66"/>
      <c r="BC890" s="4"/>
      <c r="BD890" s="67"/>
      <c r="BE890" s="67"/>
      <c r="BF890" s="68"/>
      <c r="BG890" s="69"/>
      <c r="BH890" s="84"/>
      <c r="BI890" s="70"/>
      <c r="BJ890" s="73"/>
      <c r="BK890" s="78"/>
      <c r="BL890" s="78"/>
      <c r="BM890" s="78"/>
      <c r="BN890" s="78"/>
      <c r="BO890" s="66"/>
      <c r="BP890" s="66"/>
    </row>
    <row r="891" spans="1:68" ht="13.2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/>
      <c r="AQ891" s="75"/>
      <c r="AR891" s="75"/>
      <c r="AS891" s="75"/>
      <c r="AT891" s="75"/>
      <c r="AU891" s="75"/>
      <c r="AV891" s="75"/>
      <c r="AW891" s="75"/>
      <c r="AX891" s="75"/>
      <c r="AY891" s="67"/>
      <c r="AZ891" s="75"/>
      <c r="BA891" s="67"/>
      <c r="BB891" s="66"/>
      <c r="BC891" s="4"/>
      <c r="BD891" s="67"/>
      <c r="BE891" s="67"/>
      <c r="BF891" s="68"/>
      <c r="BG891" s="69"/>
      <c r="BH891" s="84"/>
      <c r="BI891" s="70"/>
      <c r="BJ891" s="73"/>
      <c r="BK891" s="78"/>
      <c r="BL891" s="78"/>
      <c r="BM891" s="78"/>
      <c r="BN891" s="78"/>
      <c r="BO891" s="66"/>
      <c r="BP891" s="66"/>
    </row>
    <row r="892" spans="1:68" ht="13.2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/>
      <c r="AQ892" s="75"/>
      <c r="AR892" s="75"/>
      <c r="AS892" s="75"/>
      <c r="AT892" s="75"/>
      <c r="AU892" s="75"/>
      <c r="AV892" s="75"/>
      <c r="AW892" s="75"/>
      <c r="AX892" s="75"/>
      <c r="AY892" s="67"/>
      <c r="AZ892" s="75"/>
      <c r="BA892" s="67"/>
      <c r="BB892" s="66"/>
      <c r="BC892" s="4"/>
      <c r="BD892" s="67"/>
      <c r="BE892" s="67"/>
      <c r="BF892" s="68"/>
      <c r="BG892" s="69"/>
      <c r="BH892" s="84"/>
      <c r="BI892" s="70"/>
      <c r="BJ892" s="73"/>
      <c r="BK892" s="78"/>
      <c r="BL892" s="78"/>
      <c r="BM892" s="78"/>
      <c r="BN892" s="78"/>
      <c r="BO892" s="66"/>
      <c r="BP892" s="66"/>
    </row>
    <row r="893" spans="1:68" ht="13.2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/>
      <c r="AQ893" s="75"/>
      <c r="AR893" s="75"/>
      <c r="AS893" s="75"/>
      <c r="AT893" s="75"/>
      <c r="AU893" s="75"/>
      <c r="AV893" s="75"/>
      <c r="AW893" s="75"/>
      <c r="AX893" s="75"/>
      <c r="AY893" s="67"/>
      <c r="AZ893" s="75"/>
      <c r="BA893" s="67"/>
      <c r="BB893" s="66"/>
      <c r="BC893" s="4"/>
      <c r="BD893" s="67"/>
      <c r="BE893" s="67"/>
      <c r="BF893" s="68"/>
      <c r="BG893" s="69"/>
      <c r="BH893" s="84"/>
      <c r="BI893" s="70"/>
      <c r="BJ893" s="73"/>
      <c r="BK893" s="78"/>
      <c r="BL893" s="78"/>
      <c r="BM893" s="78"/>
      <c r="BN893" s="78"/>
      <c r="BO893" s="66"/>
      <c r="BP893" s="66"/>
    </row>
    <row r="894" spans="1:68" ht="13.2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/>
      <c r="AQ894" s="75"/>
      <c r="AR894" s="75"/>
      <c r="AS894" s="75"/>
      <c r="AT894" s="75"/>
      <c r="AU894" s="75"/>
      <c r="AV894" s="75"/>
      <c r="AW894" s="75"/>
      <c r="AX894" s="75"/>
      <c r="AY894" s="67"/>
      <c r="AZ894" s="75"/>
      <c r="BA894" s="67"/>
      <c r="BB894" s="66"/>
      <c r="BC894" s="4"/>
      <c r="BD894" s="67"/>
      <c r="BE894" s="67"/>
      <c r="BF894" s="68"/>
      <c r="BG894" s="69"/>
      <c r="BH894" s="84"/>
      <c r="BI894" s="70"/>
      <c r="BJ894" s="73"/>
      <c r="BK894" s="78"/>
      <c r="BL894" s="78"/>
      <c r="BM894" s="78"/>
      <c r="BN894" s="78"/>
      <c r="BO894" s="66"/>
      <c r="BP894" s="66"/>
    </row>
    <row r="895" spans="1:68" ht="13.2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/>
      <c r="AQ895" s="75"/>
      <c r="AR895" s="75"/>
      <c r="AS895" s="75"/>
      <c r="AT895" s="75"/>
      <c r="AU895" s="75"/>
      <c r="AV895" s="75"/>
      <c r="AW895" s="75"/>
      <c r="AX895" s="75"/>
      <c r="AY895" s="67"/>
      <c r="AZ895" s="75"/>
      <c r="BA895" s="67"/>
      <c r="BB895" s="66"/>
      <c r="BC895" s="4"/>
      <c r="BD895" s="67"/>
      <c r="BE895" s="67"/>
      <c r="BF895" s="68"/>
      <c r="BG895" s="69"/>
      <c r="BH895" s="84"/>
      <c r="BI895" s="70"/>
      <c r="BJ895" s="73"/>
      <c r="BK895" s="78"/>
      <c r="BL895" s="78"/>
      <c r="BM895" s="78"/>
      <c r="BN895" s="78"/>
      <c r="BO895" s="66"/>
      <c r="BP895" s="66"/>
    </row>
    <row r="896" spans="1:68" ht="13.2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/>
      <c r="AQ896" s="75"/>
      <c r="AR896" s="75"/>
      <c r="AS896" s="75"/>
      <c r="AT896" s="75"/>
      <c r="AU896" s="75"/>
      <c r="AV896" s="75"/>
      <c r="AW896" s="75"/>
      <c r="AX896" s="75"/>
      <c r="AY896" s="67"/>
      <c r="AZ896" s="75"/>
      <c r="BA896" s="67"/>
      <c r="BB896" s="66"/>
      <c r="BC896" s="4"/>
      <c r="BD896" s="67"/>
      <c r="BE896" s="67"/>
      <c r="BF896" s="68"/>
      <c r="BG896" s="69"/>
      <c r="BH896" s="84"/>
      <c r="BI896" s="70"/>
      <c r="BJ896" s="73"/>
      <c r="BK896" s="78"/>
      <c r="BL896" s="78"/>
      <c r="BM896" s="78"/>
      <c r="BN896" s="78"/>
      <c r="BO896" s="66"/>
      <c r="BP896" s="66"/>
    </row>
    <row r="897" spans="1:68" ht="13.2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/>
      <c r="AQ897" s="75"/>
      <c r="AR897" s="75"/>
      <c r="AS897" s="75"/>
      <c r="AT897" s="75"/>
      <c r="AU897" s="75"/>
      <c r="AV897" s="75"/>
      <c r="AW897" s="75"/>
      <c r="AX897" s="75"/>
      <c r="AY897" s="67"/>
      <c r="AZ897" s="75"/>
      <c r="BA897" s="67"/>
      <c r="BB897" s="66"/>
      <c r="BC897" s="4"/>
      <c r="BD897" s="67"/>
      <c r="BE897" s="67"/>
      <c r="BF897" s="68"/>
      <c r="BG897" s="69"/>
      <c r="BH897" s="84"/>
      <c r="BI897" s="70"/>
      <c r="BJ897" s="73"/>
      <c r="BK897" s="78"/>
      <c r="BL897" s="78"/>
      <c r="BM897" s="78"/>
      <c r="BN897" s="78"/>
      <c r="BO897" s="66"/>
      <c r="BP897" s="66"/>
    </row>
    <row r="898" spans="1:68" ht="13.2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/>
      <c r="AQ898" s="75"/>
      <c r="AR898" s="75"/>
      <c r="AS898" s="75"/>
      <c r="AT898" s="75"/>
      <c r="AU898" s="75"/>
      <c r="AV898" s="75"/>
      <c r="AW898" s="75"/>
      <c r="AX898" s="75"/>
      <c r="AY898" s="67"/>
      <c r="AZ898" s="75"/>
      <c r="BA898" s="67"/>
      <c r="BB898" s="66"/>
      <c r="BC898" s="4"/>
      <c r="BD898" s="67"/>
      <c r="BE898" s="67"/>
      <c r="BF898" s="68"/>
      <c r="BG898" s="69"/>
      <c r="BH898" s="84"/>
      <c r="BI898" s="70"/>
      <c r="BJ898" s="73"/>
      <c r="BK898" s="78"/>
      <c r="BL898" s="78"/>
      <c r="BM898" s="78"/>
      <c r="BN898" s="78"/>
      <c r="BO898" s="66"/>
      <c r="BP898" s="66"/>
    </row>
    <row r="899" spans="1:68" ht="13.2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/>
      <c r="AQ899" s="75"/>
      <c r="AR899" s="75"/>
      <c r="AS899" s="75"/>
      <c r="AT899" s="75"/>
      <c r="AU899" s="75"/>
      <c r="AV899" s="75"/>
      <c r="AW899" s="75"/>
      <c r="AX899" s="75"/>
      <c r="AY899" s="67"/>
      <c r="AZ899" s="75"/>
      <c r="BA899" s="67"/>
      <c r="BB899" s="66"/>
      <c r="BC899" s="4"/>
      <c r="BD899" s="67"/>
      <c r="BE899" s="67"/>
      <c r="BF899" s="68"/>
      <c r="BG899" s="69"/>
      <c r="BH899" s="84"/>
      <c r="BI899" s="70"/>
      <c r="BJ899" s="73"/>
      <c r="BK899" s="78"/>
      <c r="BL899" s="78"/>
      <c r="BM899" s="78"/>
      <c r="BN899" s="78"/>
      <c r="BO899" s="66"/>
      <c r="BP899" s="66"/>
    </row>
    <row r="900" spans="1:68" ht="13.2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/>
      <c r="AQ900" s="75"/>
      <c r="AR900" s="75"/>
      <c r="AS900" s="75"/>
      <c r="AT900" s="75"/>
      <c r="AU900" s="75"/>
      <c r="AV900" s="75"/>
      <c r="AW900" s="75"/>
      <c r="AX900" s="75"/>
      <c r="AY900" s="67"/>
      <c r="AZ900" s="75"/>
      <c r="BA900" s="67"/>
      <c r="BB900" s="66"/>
      <c r="BC900" s="4"/>
      <c r="BD900" s="67"/>
      <c r="BE900" s="67"/>
      <c r="BF900" s="68"/>
      <c r="BG900" s="69"/>
      <c r="BH900" s="84"/>
      <c r="BI900" s="70"/>
      <c r="BJ900" s="73"/>
      <c r="BK900" s="78"/>
      <c r="BL900" s="78"/>
      <c r="BM900" s="78"/>
      <c r="BN900" s="78"/>
      <c r="BO900" s="66"/>
      <c r="BP900" s="66"/>
    </row>
    <row r="901" spans="1:68" ht="13.2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/>
      <c r="AQ901" s="75"/>
      <c r="AR901" s="75"/>
      <c r="AS901" s="75"/>
      <c r="AT901" s="75"/>
      <c r="AU901" s="75"/>
      <c r="AV901" s="75"/>
      <c r="AW901" s="75"/>
      <c r="AX901" s="75"/>
      <c r="AY901" s="67"/>
      <c r="AZ901" s="75"/>
      <c r="BA901" s="67"/>
      <c r="BB901" s="66"/>
      <c r="BC901" s="4"/>
      <c r="BD901" s="67"/>
      <c r="BE901" s="67"/>
      <c r="BF901" s="68"/>
      <c r="BG901" s="69"/>
      <c r="BH901" s="84"/>
      <c r="BI901" s="70"/>
      <c r="BJ901" s="73"/>
      <c r="BK901" s="78"/>
      <c r="BL901" s="78"/>
      <c r="BM901" s="78"/>
      <c r="BN901" s="78"/>
      <c r="BO901" s="66"/>
      <c r="BP901" s="66"/>
    </row>
    <row r="902" spans="1:68" ht="13.2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/>
      <c r="AQ902" s="75"/>
      <c r="AR902" s="75"/>
      <c r="AS902" s="75"/>
      <c r="AT902" s="75"/>
      <c r="AU902" s="75"/>
      <c r="AV902" s="75"/>
      <c r="AW902" s="75"/>
      <c r="AX902" s="75"/>
      <c r="AY902" s="67"/>
      <c r="AZ902" s="75"/>
      <c r="BA902" s="67"/>
      <c r="BB902" s="66"/>
      <c r="BC902" s="4"/>
      <c r="BD902" s="67"/>
      <c r="BE902" s="67"/>
      <c r="BF902" s="68"/>
      <c r="BG902" s="69"/>
      <c r="BH902" s="84"/>
      <c r="BI902" s="70"/>
      <c r="BJ902" s="73"/>
      <c r="BK902" s="78"/>
      <c r="BL902" s="78"/>
      <c r="BM902" s="78"/>
      <c r="BN902" s="78"/>
      <c r="BO902" s="66"/>
      <c r="BP902" s="66"/>
    </row>
    <row r="903" spans="1:68" ht="13.2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/>
      <c r="AQ903" s="75"/>
      <c r="AR903" s="75"/>
      <c r="AS903" s="75"/>
      <c r="AT903" s="75"/>
      <c r="AU903" s="75"/>
      <c r="AV903" s="75"/>
      <c r="AW903" s="75"/>
      <c r="AX903" s="75"/>
      <c r="AY903" s="67"/>
      <c r="AZ903" s="75"/>
      <c r="BA903" s="67"/>
      <c r="BB903" s="66"/>
      <c r="BC903" s="4"/>
      <c r="BD903" s="67"/>
      <c r="BE903" s="67"/>
      <c r="BF903" s="68"/>
      <c r="BG903" s="69"/>
      <c r="BH903" s="84"/>
      <c r="BI903" s="70"/>
      <c r="BJ903" s="73"/>
      <c r="BK903" s="78"/>
      <c r="BL903" s="78"/>
      <c r="BM903" s="78"/>
      <c r="BN903" s="78"/>
      <c r="BO903" s="66"/>
      <c r="BP903" s="66"/>
    </row>
    <row r="904" spans="1:68" ht="13.2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/>
      <c r="AQ904" s="75"/>
      <c r="AR904" s="75"/>
      <c r="AS904" s="75"/>
      <c r="AT904" s="75"/>
      <c r="AU904" s="75"/>
      <c r="AV904" s="75"/>
      <c r="AW904" s="75"/>
      <c r="AX904" s="75"/>
      <c r="AY904" s="67"/>
      <c r="AZ904" s="75"/>
      <c r="BA904" s="67"/>
      <c r="BB904" s="66"/>
      <c r="BC904" s="4"/>
      <c r="BD904" s="67"/>
      <c r="BE904" s="67"/>
      <c r="BF904" s="68"/>
      <c r="BG904" s="69"/>
      <c r="BH904" s="84"/>
      <c r="BI904" s="70"/>
      <c r="BJ904" s="73"/>
      <c r="BK904" s="78"/>
      <c r="BL904" s="78"/>
      <c r="BM904" s="78"/>
      <c r="BN904" s="78"/>
      <c r="BO904" s="66"/>
      <c r="BP904" s="66"/>
    </row>
    <row r="905" spans="1:68" ht="13.2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/>
      <c r="AQ905" s="75"/>
      <c r="AR905" s="75"/>
      <c r="AS905" s="75"/>
      <c r="AT905" s="75"/>
      <c r="AU905" s="75"/>
      <c r="AV905" s="75"/>
      <c r="AW905" s="75"/>
      <c r="AX905" s="75"/>
      <c r="AY905" s="67"/>
      <c r="AZ905" s="75"/>
      <c r="BA905" s="67"/>
      <c r="BB905" s="66"/>
      <c r="BC905" s="4"/>
      <c r="BD905" s="67"/>
      <c r="BE905" s="67"/>
      <c r="BF905" s="68"/>
      <c r="BG905" s="69"/>
      <c r="BH905" s="84"/>
      <c r="BI905" s="70"/>
      <c r="BJ905" s="73"/>
      <c r="BK905" s="78"/>
      <c r="BL905" s="78"/>
      <c r="BM905" s="78"/>
      <c r="BN905" s="78"/>
      <c r="BO905" s="66"/>
      <c r="BP905" s="66"/>
    </row>
    <row r="906" spans="1:68" ht="13.2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/>
      <c r="AQ906" s="75"/>
      <c r="AR906" s="75"/>
      <c r="AS906" s="75"/>
      <c r="AT906" s="75"/>
      <c r="AU906" s="75"/>
      <c r="AV906" s="75"/>
      <c r="AW906" s="75"/>
      <c r="AX906" s="75"/>
      <c r="AY906" s="67"/>
      <c r="AZ906" s="75"/>
      <c r="BA906" s="67"/>
      <c r="BB906" s="66"/>
      <c r="BC906" s="4"/>
      <c r="BD906" s="67"/>
      <c r="BE906" s="67"/>
      <c r="BF906" s="68"/>
      <c r="BG906" s="69"/>
      <c r="BH906" s="84"/>
      <c r="BI906" s="70"/>
      <c r="BJ906" s="73"/>
      <c r="BK906" s="78"/>
      <c r="BL906" s="78"/>
      <c r="BM906" s="78"/>
      <c r="BN906" s="78"/>
      <c r="BO906" s="66"/>
      <c r="BP906" s="66"/>
    </row>
    <row r="907" spans="1:68" ht="13.2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/>
      <c r="AQ907" s="75"/>
      <c r="AR907" s="75"/>
      <c r="AS907" s="75"/>
      <c r="AT907" s="75"/>
      <c r="AU907" s="75"/>
      <c r="AV907" s="75"/>
      <c r="AW907" s="75"/>
      <c r="AX907" s="75"/>
      <c r="AY907" s="67"/>
      <c r="AZ907" s="75"/>
      <c r="BA907" s="67"/>
      <c r="BB907" s="66"/>
      <c r="BC907" s="4"/>
      <c r="BD907" s="67"/>
      <c r="BE907" s="67"/>
      <c r="BF907" s="68"/>
      <c r="BG907" s="69"/>
      <c r="BH907" s="84"/>
      <c r="BI907" s="70"/>
      <c r="BJ907" s="73"/>
      <c r="BK907" s="78"/>
      <c r="BL907" s="78"/>
      <c r="BM907" s="78"/>
      <c r="BN907" s="78"/>
      <c r="BO907" s="66"/>
      <c r="BP907" s="66"/>
    </row>
    <row r="908" spans="1:68" ht="13.2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/>
      <c r="AQ908" s="75"/>
      <c r="AR908" s="75"/>
      <c r="AS908" s="75"/>
      <c r="AT908" s="75"/>
      <c r="AU908" s="75"/>
      <c r="AV908" s="75"/>
      <c r="AW908" s="75"/>
      <c r="AX908" s="75"/>
      <c r="AY908" s="67"/>
      <c r="AZ908" s="75"/>
      <c r="BA908" s="67"/>
      <c r="BB908" s="66"/>
      <c r="BC908" s="4"/>
      <c r="BD908" s="67"/>
      <c r="BE908" s="67"/>
      <c r="BF908" s="68"/>
      <c r="BG908" s="69"/>
      <c r="BH908" s="84"/>
      <c r="BI908" s="70"/>
      <c r="BJ908" s="73"/>
      <c r="BK908" s="78"/>
      <c r="BL908" s="78"/>
      <c r="BM908" s="78"/>
      <c r="BN908" s="78"/>
      <c r="BO908" s="66"/>
      <c r="BP908" s="66"/>
    </row>
    <row r="909" spans="1:68" ht="13.2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/>
      <c r="AQ909" s="75"/>
      <c r="AR909" s="75"/>
      <c r="AS909" s="75"/>
      <c r="AT909" s="75"/>
      <c r="AU909" s="75"/>
      <c r="AV909" s="75"/>
      <c r="AW909" s="75"/>
      <c r="AX909" s="75"/>
      <c r="AY909" s="67"/>
      <c r="AZ909" s="75"/>
      <c r="BA909" s="67"/>
      <c r="BB909" s="66"/>
      <c r="BC909" s="4"/>
      <c r="BD909" s="67"/>
      <c r="BE909" s="67"/>
      <c r="BF909" s="68"/>
      <c r="BG909" s="69"/>
      <c r="BH909" s="84"/>
      <c r="BI909" s="70"/>
      <c r="BJ909" s="73"/>
      <c r="BK909" s="78"/>
      <c r="BL909" s="78"/>
      <c r="BM909" s="78"/>
      <c r="BN909" s="78"/>
      <c r="BO909" s="66"/>
      <c r="BP909" s="66"/>
    </row>
    <row r="910" spans="1:68" ht="13.2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/>
      <c r="AQ910" s="75"/>
      <c r="AR910" s="75"/>
      <c r="AS910" s="75"/>
      <c r="AT910" s="75"/>
      <c r="AU910" s="75"/>
      <c r="AV910" s="75"/>
      <c r="AW910" s="75"/>
      <c r="AX910" s="75"/>
      <c r="AY910" s="67"/>
      <c r="AZ910" s="75"/>
      <c r="BA910" s="67"/>
      <c r="BB910" s="66"/>
      <c r="BC910" s="4"/>
      <c r="BD910" s="67"/>
      <c r="BE910" s="67"/>
      <c r="BF910" s="68"/>
      <c r="BG910" s="69"/>
      <c r="BH910" s="84"/>
      <c r="BI910" s="70"/>
      <c r="BJ910" s="73"/>
      <c r="BK910" s="78"/>
      <c r="BL910" s="78"/>
      <c r="BM910" s="78"/>
      <c r="BN910" s="78"/>
      <c r="BO910" s="66"/>
      <c r="BP910" s="66"/>
    </row>
    <row r="911" spans="1:68" ht="13.2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/>
      <c r="AQ911" s="75"/>
      <c r="AR911" s="75"/>
      <c r="AS911" s="75"/>
      <c r="AT911" s="75"/>
      <c r="AU911" s="75"/>
      <c r="AV911" s="75"/>
      <c r="AW911" s="75"/>
      <c r="AX911" s="75"/>
      <c r="AY911" s="67"/>
      <c r="AZ911" s="75"/>
      <c r="BA911" s="67"/>
      <c r="BB911" s="66"/>
      <c r="BC911" s="4"/>
      <c r="BD911" s="67"/>
      <c r="BE911" s="67"/>
      <c r="BF911" s="68"/>
      <c r="BG911" s="69"/>
      <c r="BH911" s="84"/>
      <c r="BI911" s="70"/>
      <c r="BJ911" s="73"/>
      <c r="BK911" s="78"/>
      <c r="BL911" s="78"/>
      <c r="BM911" s="78"/>
      <c r="BN911" s="78"/>
      <c r="BO911" s="66"/>
      <c r="BP911" s="66"/>
    </row>
    <row r="912" spans="1:68" ht="13.2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/>
      <c r="AQ912" s="75"/>
      <c r="AR912" s="75"/>
      <c r="AS912" s="75"/>
      <c r="AT912" s="75"/>
      <c r="AU912" s="75"/>
      <c r="AV912" s="75"/>
      <c r="AW912" s="75"/>
      <c r="AX912" s="75"/>
      <c r="AY912" s="67"/>
      <c r="AZ912" s="75"/>
      <c r="BA912" s="67"/>
      <c r="BB912" s="66"/>
      <c r="BC912" s="4"/>
      <c r="BD912" s="67"/>
      <c r="BE912" s="67"/>
      <c r="BF912" s="68"/>
      <c r="BG912" s="69"/>
      <c r="BH912" s="84"/>
      <c r="BI912" s="70"/>
      <c r="BJ912" s="73"/>
      <c r="BK912" s="78"/>
      <c r="BL912" s="78"/>
      <c r="BM912" s="78"/>
      <c r="BN912" s="78"/>
      <c r="BO912" s="66"/>
      <c r="BP912" s="66"/>
    </row>
    <row r="913" spans="1:68" ht="13.2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/>
      <c r="AQ913" s="75"/>
      <c r="AR913" s="75"/>
      <c r="AS913" s="75"/>
      <c r="AT913" s="75"/>
      <c r="AU913" s="75"/>
      <c r="AV913" s="75"/>
      <c r="AW913" s="75"/>
      <c r="AX913" s="75"/>
      <c r="AY913" s="67"/>
      <c r="AZ913" s="75"/>
      <c r="BA913" s="67"/>
      <c r="BB913" s="66"/>
      <c r="BC913" s="4"/>
      <c r="BD913" s="67"/>
      <c r="BE913" s="67"/>
      <c r="BF913" s="68"/>
      <c r="BG913" s="69"/>
      <c r="BH913" s="84"/>
      <c r="BI913" s="70"/>
      <c r="BJ913" s="73"/>
      <c r="BK913" s="78"/>
      <c r="BL913" s="78"/>
      <c r="BM913" s="78"/>
      <c r="BN913" s="78"/>
      <c r="BO913" s="66"/>
      <c r="BP913" s="66"/>
    </row>
    <row r="914" spans="1:68" ht="13.2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/>
      <c r="AQ914" s="75"/>
      <c r="AR914" s="75"/>
      <c r="AS914" s="75"/>
      <c r="AT914" s="75"/>
      <c r="AU914" s="75"/>
      <c r="AV914" s="75"/>
      <c r="AW914" s="75"/>
      <c r="AX914" s="75"/>
      <c r="AY914" s="67"/>
      <c r="AZ914" s="75"/>
      <c r="BA914" s="67"/>
      <c r="BB914" s="66"/>
      <c r="BC914" s="4"/>
      <c r="BD914" s="67"/>
      <c r="BE914" s="67"/>
      <c r="BF914" s="68"/>
      <c r="BG914" s="69"/>
      <c r="BH914" s="84"/>
      <c r="BI914" s="70"/>
      <c r="BJ914" s="73"/>
      <c r="BK914" s="78"/>
      <c r="BL914" s="78"/>
      <c r="BM914" s="78"/>
      <c r="BN914" s="78"/>
      <c r="BO914" s="66"/>
      <c r="BP914" s="66"/>
    </row>
    <row r="915" spans="1:68" ht="13.2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/>
      <c r="AQ915" s="75"/>
      <c r="AR915" s="75"/>
      <c r="AS915" s="75"/>
      <c r="AT915" s="75"/>
      <c r="AU915" s="75"/>
      <c r="AV915" s="75"/>
      <c r="AW915" s="75"/>
      <c r="AX915" s="75"/>
      <c r="AY915" s="67"/>
      <c r="AZ915" s="75"/>
      <c r="BA915" s="67"/>
      <c r="BB915" s="66"/>
      <c r="BC915" s="4"/>
      <c r="BD915" s="67"/>
      <c r="BE915" s="67"/>
      <c r="BF915" s="68"/>
      <c r="BG915" s="69"/>
      <c r="BH915" s="84"/>
      <c r="BI915" s="70"/>
      <c r="BJ915" s="73"/>
      <c r="BK915" s="78"/>
      <c r="BL915" s="78"/>
      <c r="BM915" s="78"/>
      <c r="BN915" s="78"/>
      <c r="BO915" s="66"/>
      <c r="BP915" s="66"/>
    </row>
    <row r="916" spans="1:68" ht="13.2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/>
      <c r="AQ916" s="75"/>
      <c r="AR916" s="75"/>
      <c r="AS916" s="75"/>
      <c r="AT916" s="75"/>
      <c r="AU916" s="75"/>
      <c r="AV916" s="75"/>
      <c r="AW916" s="75"/>
      <c r="AX916" s="75"/>
      <c r="AY916" s="67"/>
      <c r="AZ916" s="75"/>
      <c r="BA916" s="67"/>
      <c r="BB916" s="66"/>
      <c r="BC916" s="4"/>
      <c r="BD916" s="67"/>
      <c r="BE916" s="67"/>
      <c r="BF916" s="68"/>
      <c r="BG916" s="69"/>
      <c r="BH916" s="84"/>
      <c r="BI916" s="70"/>
      <c r="BJ916" s="73"/>
      <c r="BK916" s="78"/>
      <c r="BL916" s="78"/>
      <c r="BM916" s="78"/>
      <c r="BN916" s="78"/>
      <c r="BO916" s="66"/>
      <c r="BP916" s="66"/>
    </row>
    <row r="917" spans="1:68" ht="13.2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/>
      <c r="AQ917" s="75"/>
      <c r="AR917" s="75"/>
      <c r="AS917" s="75"/>
      <c r="AT917" s="75"/>
      <c r="AU917" s="75"/>
      <c r="AV917" s="75"/>
      <c r="AW917" s="75"/>
      <c r="AX917" s="75"/>
      <c r="AY917" s="67"/>
      <c r="AZ917" s="75"/>
      <c r="BA917" s="67"/>
      <c r="BB917" s="66"/>
      <c r="BC917" s="4"/>
      <c r="BD917" s="67"/>
      <c r="BE917" s="67"/>
      <c r="BF917" s="68"/>
      <c r="BG917" s="69"/>
      <c r="BH917" s="84"/>
      <c r="BI917" s="70"/>
      <c r="BJ917" s="73"/>
      <c r="BK917" s="78"/>
      <c r="BL917" s="78"/>
      <c r="BM917" s="78"/>
      <c r="BN917" s="78"/>
      <c r="BO917" s="66"/>
      <c r="BP917" s="66"/>
    </row>
    <row r="918" spans="1:68" ht="13.2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/>
      <c r="AQ918" s="75"/>
      <c r="AR918" s="75"/>
      <c r="AS918" s="75"/>
      <c r="AT918" s="75"/>
      <c r="AU918" s="75"/>
      <c r="AV918" s="75"/>
      <c r="AW918" s="75"/>
      <c r="AX918" s="75"/>
      <c r="AY918" s="67"/>
      <c r="AZ918" s="75"/>
      <c r="BA918" s="67"/>
      <c r="BB918" s="66"/>
      <c r="BC918" s="4"/>
      <c r="BD918" s="67"/>
      <c r="BE918" s="67"/>
      <c r="BF918" s="68"/>
      <c r="BG918" s="69"/>
      <c r="BH918" s="84"/>
      <c r="BI918" s="70"/>
      <c r="BJ918" s="73"/>
      <c r="BK918" s="78"/>
      <c r="BL918" s="78"/>
      <c r="BM918" s="78"/>
      <c r="BN918" s="78"/>
      <c r="BO918" s="66"/>
      <c r="BP918" s="66"/>
    </row>
    <row r="919" spans="1:68" ht="13.2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/>
      <c r="AQ919" s="75"/>
      <c r="AR919" s="75"/>
      <c r="AS919" s="75"/>
      <c r="AT919" s="75"/>
      <c r="AU919" s="75"/>
      <c r="AV919" s="75"/>
      <c r="AW919" s="75"/>
      <c r="AX919" s="75"/>
      <c r="AY919" s="67"/>
      <c r="AZ919" s="75"/>
      <c r="BA919" s="67"/>
      <c r="BB919" s="66"/>
      <c r="BC919" s="4"/>
      <c r="BD919" s="67"/>
      <c r="BE919" s="67"/>
      <c r="BF919" s="68"/>
      <c r="BG919" s="69"/>
      <c r="BH919" s="84"/>
      <c r="BI919" s="70"/>
      <c r="BJ919" s="73"/>
      <c r="BK919" s="78"/>
      <c r="BL919" s="78"/>
      <c r="BM919" s="78"/>
      <c r="BN919" s="78"/>
      <c r="BO919" s="66"/>
      <c r="BP919" s="66"/>
    </row>
    <row r="920" spans="1:68" ht="13.2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/>
      <c r="AQ920" s="75"/>
      <c r="AR920" s="75"/>
      <c r="AS920" s="75"/>
      <c r="AT920" s="75"/>
      <c r="AU920" s="75"/>
      <c r="AV920" s="75"/>
      <c r="AW920" s="75"/>
      <c r="AX920" s="75"/>
      <c r="AY920" s="67"/>
      <c r="AZ920" s="75"/>
      <c r="BA920" s="67"/>
      <c r="BB920" s="66"/>
      <c r="BC920" s="4"/>
      <c r="BD920" s="67"/>
      <c r="BE920" s="67"/>
      <c r="BF920" s="68"/>
      <c r="BG920" s="69"/>
      <c r="BH920" s="84"/>
      <c r="BI920" s="70"/>
      <c r="BJ920" s="73"/>
      <c r="BK920" s="78"/>
      <c r="BL920" s="78"/>
      <c r="BM920" s="78"/>
      <c r="BN920" s="78"/>
      <c r="BO920" s="66"/>
      <c r="BP920" s="66"/>
    </row>
    <row r="921" spans="1:68" ht="13.2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/>
      <c r="AQ921" s="75"/>
      <c r="AR921" s="75"/>
      <c r="AS921" s="75"/>
      <c r="AT921" s="75"/>
      <c r="AU921" s="75"/>
      <c r="AV921" s="75"/>
      <c r="AW921" s="75"/>
      <c r="AX921" s="75"/>
      <c r="AY921" s="67"/>
      <c r="AZ921" s="75"/>
      <c r="BA921" s="67"/>
      <c r="BB921" s="66"/>
      <c r="BC921" s="4"/>
      <c r="BD921" s="67"/>
      <c r="BE921" s="67"/>
      <c r="BF921" s="68"/>
      <c r="BG921" s="69"/>
      <c r="BH921" s="84"/>
      <c r="BI921" s="70"/>
      <c r="BJ921" s="73"/>
      <c r="BK921" s="78"/>
      <c r="BL921" s="78"/>
      <c r="BM921" s="78"/>
      <c r="BN921" s="78"/>
      <c r="BO921" s="66"/>
      <c r="BP921" s="66"/>
    </row>
    <row r="922" spans="1:68" ht="13.2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/>
      <c r="AQ922" s="75"/>
      <c r="AR922" s="75"/>
      <c r="AS922" s="75"/>
      <c r="AT922" s="75"/>
      <c r="AU922" s="75"/>
      <c r="AV922" s="75"/>
      <c r="AW922" s="75"/>
      <c r="AX922" s="75"/>
      <c r="AY922" s="67"/>
      <c r="AZ922" s="75"/>
      <c r="BA922" s="67"/>
      <c r="BB922" s="66"/>
      <c r="BC922" s="4"/>
      <c r="BD922" s="67"/>
      <c r="BE922" s="67"/>
      <c r="BF922" s="68"/>
      <c r="BG922" s="69"/>
      <c r="BH922" s="84"/>
      <c r="BI922" s="70"/>
      <c r="BJ922" s="73"/>
      <c r="BK922" s="78"/>
      <c r="BL922" s="78"/>
      <c r="BM922" s="78"/>
      <c r="BN922" s="78"/>
      <c r="BO922" s="66"/>
      <c r="BP922" s="66"/>
    </row>
    <row r="923" spans="1:68" ht="13.2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/>
      <c r="AQ923" s="75"/>
      <c r="AR923" s="75"/>
      <c r="AS923" s="75"/>
      <c r="AT923" s="75"/>
      <c r="AU923" s="75"/>
      <c r="AV923" s="75"/>
      <c r="AW923" s="75"/>
      <c r="AX923" s="75"/>
      <c r="AY923" s="67"/>
      <c r="AZ923" s="75"/>
      <c r="BA923" s="67"/>
      <c r="BB923" s="66"/>
      <c r="BC923" s="4"/>
      <c r="BD923" s="67"/>
      <c r="BE923" s="67"/>
      <c r="BF923" s="68"/>
      <c r="BG923" s="69"/>
      <c r="BH923" s="84"/>
      <c r="BI923" s="70"/>
      <c r="BJ923" s="73"/>
      <c r="BK923" s="78"/>
      <c r="BL923" s="78"/>
      <c r="BM923" s="78"/>
      <c r="BN923" s="78"/>
      <c r="BO923" s="66"/>
      <c r="BP923" s="66"/>
    </row>
    <row r="924" spans="1:68" ht="13.2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/>
      <c r="AQ924" s="75"/>
      <c r="AR924" s="75"/>
      <c r="AS924" s="75"/>
      <c r="AT924" s="75"/>
      <c r="AU924" s="75"/>
      <c r="AV924" s="75"/>
      <c r="AW924" s="75"/>
      <c r="AX924" s="75"/>
      <c r="AY924" s="67"/>
      <c r="AZ924" s="75"/>
      <c r="BA924" s="67"/>
      <c r="BB924" s="66"/>
      <c r="BC924" s="4"/>
      <c r="BD924" s="67"/>
      <c r="BE924" s="67"/>
      <c r="BF924" s="68"/>
      <c r="BG924" s="69"/>
      <c r="BH924" s="84"/>
      <c r="BI924" s="70"/>
      <c r="BJ924" s="73"/>
      <c r="BK924" s="78"/>
      <c r="BL924" s="78"/>
      <c r="BM924" s="78"/>
      <c r="BN924" s="78"/>
      <c r="BO924" s="66"/>
      <c r="BP924" s="66"/>
    </row>
    <row r="925" spans="1:68" ht="13.2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/>
      <c r="AQ925" s="75"/>
      <c r="AR925" s="75"/>
      <c r="AS925" s="75"/>
      <c r="AT925" s="75"/>
      <c r="AU925" s="75"/>
      <c r="AV925" s="75"/>
      <c r="AW925" s="75"/>
      <c r="AX925" s="75"/>
      <c r="AY925" s="67"/>
      <c r="AZ925" s="75"/>
      <c r="BA925" s="67"/>
      <c r="BB925" s="66"/>
      <c r="BC925" s="4"/>
      <c r="BD925" s="67"/>
      <c r="BE925" s="67"/>
      <c r="BF925" s="68"/>
      <c r="BG925" s="69"/>
      <c r="BH925" s="84"/>
      <c r="BI925" s="70"/>
      <c r="BJ925" s="73"/>
      <c r="BK925" s="78"/>
      <c r="BL925" s="78"/>
      <c r="BM925" s="78"/>
      <c r="BN925" s="78"/>
      <c r="BO925" s="66"/>
      <c r="BP925" s="66"/>
    </row>
    <row r="926" spans="1:68" ht="13.2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/>
      <c r="AQ926" s="75"/>
      <c r="AR926" s="75"/>
      <c r="AS926" s="75"/>
      <c r="AT926" s="75"/>
      <c r="AU926" s="75"/>
      <c r="AV926" s="75"/>
      <c r="AW926" s="75"/>
      <c r="AX926" s="75"/>
      <c r="AY926" s="67"/>
      <c r="AZ926" s="75"/>
      <c r="BA926" s="67"/>
      <c r="BB926" s="66"/>
      <c r="BC926" s="4"/>
      <c r="BD926" s="67"/>
      <c r="BE926" s="67"/>
      <c r="BF926" s="68"/>
      <c r="BG926" s="69"/>
      <c r="BH926" s="84"/>
      <c r="BI926" s="70"/>
      <c r="BJ926" s="73"/>
      <c r="BK926" s="78"/>
      <c r="BL926" s="78"/>
      <c r="BM926" s="78"/>
      <c r="BN926" s="78"/>
      <c r="BO926" s="66"/>
      <c r="BP926" s="66"/>
    </row>
    <row r="927" spans="1:68" ht="13.2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/>
      <c r="AQ927" s="75"/>
      <c r="AR927" s="75"/>
      <c r="AS927" s="75"/>
      <c r="AT927" s="75"/>
      <c r="AU927" s="75"/>
      <c r="AV927" s="75"/>
      <c r="AW927" s="75"/>
      <c r="AX927" s="75"/>
      <c r="AY927" s="67"/>
      <c r="AZ927" s="75"/>
      <c r="BA927" s="67"/>
      <c r="BB927" s="66"/>
      <c r="BC927" s="4"/>
      <c r="BD927" s="67"/>
      <c r="BE927" s="67"/>
      <c r="BF927" s="68"/>
      <c r="BG927" s="69"/>
      <c r="BH927" s="84"/>
      <c r="BI927" s="70"/>
      <c r="BJ927" s="73"/>
      <c r="BK927" s="78"/>
      <c r="BL927" s="78"/>
      <c r="BM927" s="78"/>
      <c r="BN927" s="78"/>
      <c r="BO927" s="66"/>
      <c r="BP927" s="66"/>
    </row>
    <row r="928" spans="1:68" ht="13.2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/>
      <c r="AQ928" s="75"/>
      <c r="AR928" s="75"/>
      <c r="AS928" s="75"/>
      <c r="AT928" s="75"/>
      <c r="AU928" s="75"/>
      <c r="AV928" s="75"/>
      <c r="AW928" s="75"/>
      <c r="AX928" s="75"/>
      <c r="AY928" s="67"/>
      <c r="AZ928" s="75"/>
      <c r="BA928" s="67"/>
      <c r="BB928" s="66"/>
      <c r="BC928" s="4"/>
      <c r="BD928" s="67"/>
      <c r="BE928" s="67"/>
      <c r="BF928" s="68"/>
      <c r="BG928" s="69"/>
      <c r="BH928" s="84"/>
      <c r="BI928" s="70"/>
      <c r="BJ928" s="73"/>
      <c r="BK928" s="78"/>
      <c r="BL928" s="78"/>
      <c r="BM928" s="78"/>
      <c r="BN928" s="78"/>
      <c r="BO928" s="66"/>
      <c r="BP928" s="66"/>
    </row>
    <row r="929" spans="1:68" ht="13.2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/>
      <c r="AQ929" s="75"/>
      <c r="AR929" s="75"/>
      <c r="AS929" s="75"/>
      <c r="AT929" s="75"/>
      <c r="AU929" s="75"/>
      <c r="AV929" s="75"/>
      <c r="AW929" s="75"/>
      <c r="AX929" s="75"/>
      <c r="AY929" s="67"/>
      <c r="AZ929" s="75"/>
      <c r="BA929" s="67"/>
      <c r="BB929" s="66"/>
      <c r="BC929" s="4"/>
      <c r="BD929" s="67"/>
      <c r="BE929" s="67"/>
      <c r="BF929" s="68"/>
      <c r="BG929" s="69"/>
      <c r="BH929" s="84"/>
      <c r="BI929" s="70"/>
      <c r="BJ929" s="73"/>
      <c r="BK929" s="78"/>
      <c r="BL929" s="78"/>
      <c r="BM929" s="78"/>
      <c r="BN929" s="78"/>
      <c r="BO929" s="66"/>
      <c r="BP929" s="66"/>
    </row>
    <row r="930" spans="1:68" ht="13.2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/>
      <c r="AQ930" s="75"/>
      <c r="AR930" s="75"/>
      <c r="AS930" s="75"/>
      <c r="AT930" s="75"/>
      <c r="AU930" s="75"/>
      <c r="AV930" s="75"/>
      <c r="AW930" s="75"/>
      <c r="AX930" s="75"/>
      <c r="AY930" s="67"/>
      <c r="AZ930" s="75"/>
      <c r="BA930" s="67"/>
      <c r="BB930" s="66"/>
      <c r="BC930" s="4"/>
      <c r="BD930" s="67"/>
      <c r="BE930" s="67"/>
      <c r="BF930" s="68"/>
      <c r="BG930" s="69"/>
      <c r="BH930" s="84"/>
      <c r="BI930" s="70"/>
      <c r="BJ930" s="73"/>
      <c r="BK930" s="78"/>
      <c r="BL930" s="78"/>
      <c r="BM930" s="78"/>
      <c r="BN930" s="78"/>
      <c r="BO930" s="66"/>
      <c r="BP930" s="66"/>
    </row>
    <row r="931" spans="1:68" ht="13.2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/>
      <c r="AQ931" s="75"/>
      <c r="AR931" s="75"/>
      <c r="AS931" s="75"/>
      <c r="AT931" s="75"/>
      <c r="AU931" s="75"/>
      <c r="AV931" s="75"/>
      <c r="AW931" s="75"/>
      <c r="AX931" s="75"/>
      <c r="AY931" s="67"/>
      <c r="AZ931" s="75"/>
      <c r="BA931" s="67"/>
      <c r="BB931" s="66"/>
      <c r="BC931" s="4"/>
      <c r="BD931" s="67"/>
      <c r="BE931" s="67"/>
      <c r="BF931" s="68"/>
      <c r="BG931" s="69"/>
      <c r="BH931" s="84"/>
      <c r="BI931" s="70"/>
      <c r="BJ931" s="73"/>
      <c r="BK931" s="78"/>
      <c r="BL931" s="78"/>
      <c r="BM931" s="78"/>
      <c r="BN931" s="78"/>
      <c r="BO931" s="66"/>
      <c r="BP931" s="66"/>
    </row>
    <row r="932" spans="1:68" ht="13.2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/>
      <c r="AQ932" s="75"/>
      <c r="AR932" s="75"/>
      <c r="AS932" s="75"/>
      <c r="AT932" s="75"/>
      <c r="AU932" s="75"/>
      <c r="AV932" s="75"/>
      <c r="AW932" s="75"/>
      <c r="AX932" s="75"/>
      <c r="AY932" s="67"/>
      <c r="AZ932" s="75"/>
      <c r="BA932" s="67"/>
      <c r="BB932" s="66"/>
      <c r="BC932" s="4"/>
      <c r="BD932" s="67"/>
      <c r="BE932" s="67"/>
      <c r="BF932" s="68"/>
      <c r="BG932" s="69"/>
      <c r="BH932" s="84"/>
      <c r="BI932" s="70"/>
      <c r="BJ932" s="73"/>
      <c r="BK932" s="78"/>
      <c r="BL932" s="78"/>
      <c r="BM932" s="78"/>
      <c r="BN932" s="78"/>
      <c r="BO932" s="66"/>
      <c r="BP932" s="66"/>
    </row>
    <row r="933" spans="1:68" ht="13.2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/>
      <c r="AQ933" s="75"/>
      <c r="AR933" s="75"/>
      <c r="AS933" s="75"/>
      <c r="AT933" s="75"/>
      <c r="AU933" s="75"/>
      <c r="AV933" s="75"/>
      <c r="AW933" s="75"/>
      <c r="AX933" s="75"/>
      <c r="AY933" s="67"/>
      <c r="AZ933" s="75"/>
      <c r="BA933" s="67"/>
      <c r="BB933" s="66"/>
      <c r="BC933" s="4"/>
      <c r="BD933" s="67"/>
      <c r="BE933" s="67"/>
      <c r="BF933" s="68"/>
      <c r="BG933" s="69"/>
      <c r="BH933" s="84"/>
      <c r="BI933" s="70"/>
      <c r="BJ933" s="73"/>
      <c r="BK933" s="78"/>
      <c r="BL933" s="78"/>
      <c r="BM933" s="78"/>
      <c r="BN933" s="78"/>
      <c r="BO933" s="66"/>
      <c r="BP933" s="66"/>
    </row>
    <row r="934" spans="1:68" ht="13.2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/>
      <c r="AQ934" s="75"/>
      <c r="AR934" s="75"/>
      <c r="AS934" s="75"/>
      <c r="AT934" s="75"/>
      <c r="AU934" s="75"/>
      <c r="AV934" s="75"/>
      <c r="AW934" s="75"/>
      <c r="AX934" s="75"/>
      <c r="AY934" s="67"/>
      <c r="AZ934" s="75"/>
      <c r="BA934" s="67"/>
      <c r="BB934" s="66"/>
      <c r="BC934" s="4"/>
      <c r="BD934" s="67"/>
      <c r="BE934" s="67"/>
      <c r="BF934" s="68"/>
      <c r="BG934" s="69"/>
      <c r="BH934" s="84"/>
      <c r="BI934" s="70"/>
      <c r="BJ934" s="73"/>
      <c r="BK934" s="78"/>
      <c r="BL934" s="78"/>
      <c r="BM934" s="78"/>
      <c r="BN934" s="78"/>
      <c r="BO934" s="66"/>
      <c r="BP934" s="66"/>
    </row>
    <row r="935" spans="1:68" ht="13.2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/>
      <c r="AQ935" s="75"/>
      <c r="AR935" s="75"/>
      <c r="AS935" s="75"/>
      <c r="AT935" s="75"/>
      <c r="AU935" s="75"/>
      <c r="AV935" s="75"/>
      <c r="AW935" s="75"/>
      <c r="AX935" s="75"/>
      <c r="AY935" s="67"/>
      <c r="AZ935" s="75"/>
      <c r="BA935" s="67"/>
      <c r="BB935" s="66"/>
      <c r="BC935" s="4"/>
      <c r="BD935" s="67"/>
      <c r="BE935" s="67"/>
      <c r="BF935" s="68"/>
      <c r="BG935" s="69"/>
      <c r="BH935" s="84"/>
      <c r="BI935" s="70"/>
      <c r="BJ935" s="73"/>
      <c r="BK935" s="78"/>
      <c r="BL935" s="78"/>
      <c r="BM935" s="78"/>
      <c r="BN935" s="78"/>
      <c r="BO935" s="66"/>
      <c r="BP935" s="66"/>
    </row>
    <row r="936" spans="1:68" ht="13.2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/>
      <c r="AQ936" s="75"/>
      <c r="AR936" s="75"/>
      <c r="AS936" s="75"/>
      <c r="AT936" s="75"/>
      <c r="AU936" s="75"/>
      <c r="AV936" s="75"/>
      <c r="AW936" s="75"/>
      <c r="AX936" s="75"/>
      <c r="AY936" s="67"/>
      <c r="AZ936" s="75"/>
      <c r="BA936" s="67"/>
      <c r="BB936" s="66"/>
      <c r="BC936" s="4"/>
      <c r="BD936" s="67"/>
      <c r="BE936" s="67"/>
      <c r="BF936" s="68"/>
      <c r="BG936" s="69"/>
      <c r="BH936" s="84"/>
      <c r="BI936" s="70"/>
      <c r="BJ936" s="73"/>
      <c r="BK936" s="78"/>
      <c r="BL936" s="78"/>
      <c r="BM936" s="78"/>
      <c r="BN936" s="78"/>
      <c r="BO936" s="66"/>
      <c r="BP936" s="66"/>
    </row>
    <row r="937" spans="1:68" ht="13.2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/>
      <c r="AQ937" s="75"/>
      <c r="AR937" s="75"/>
      <c r="AS937" s="75"/>
      <c r="AT937" s="75"/>
      <c r="AU937" s="75"/>
      <c r="AV937" s="75"/>
      <c r="AW937" s="75"/>
      <c r="AX937" s="75"/>
      <c r="AY937" s="67"/>
      <c r="AZ937" s="75"/>
      <c r="BA937" s="67"/>
      <c r="BB937" s="66"/>
      <c r="BC937" s="4"/>
      <c r="BD937" s="67"/>
      <c r="BE937" s="67"/>
      <c r="BF937" s="68"/>
      <c r="BG937" s="69"/>
      <c r="BH937" s="84"/>
      <c r="BI937" s="70"/>
      <c r="BJ937" s="73"/>
      <c r="BK937" s="78"/>
      <c r="BL937" s="78"/>
      <c r="BM937" s="78"/>
      <c r="BN937" s="78"/>
      <c r="BO937" s="66"/>
      <c r="BP937" s="66"/>
    </row>
    <row r="938" spans="1:68" ht="13.2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/>
      <c r="AQ938" s="75"/>
      <c r="AR938" s="75"/>
      <c r="AS938" s="75"/>
      <c r="AT938" s="75"/>
      <c r="AU938" s="75"/>
      <c r="AV938" s="75"/>
      <c r="AW938" s="75"/>
      <c r="AX938" s="75"/>
      <c r="AY938" s="67"/>
      <c r="AZ938" s="75"/>
      <c r="BA938" s="67"/>
      <c r="BB938" s="66"/>
      <c r="BC938" s="4"/>
      <c r="BD938" s="67"/>
      <c r="BE938" s="67"/>
      <c r="BF938" s="68"/>
      <c r="BG938" s="69"/>
      <c r="BH938" s="84"/>
      <c r="BI938" s="70"/>
      <c r="BJ938" s="73"/>
      <c r="BK938" s="78"/>
      <c r="BL938" s="78"/>
      <c r="BM938" s="78"/>
      <c r="BN938" s="78"/>
      <c r="BO938" s="66"/>
      <c r="BP938" s="66"/>
    </row>
    <row r="939" spans="1:68" ht="13.2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/>
      <c r="AQ939" s="75"/>
      <c r="AR939" s="75"/>
      <c r="AS939" s="75"/>
      <c r="AT939" s="75"/>
      <c r="AU939" s="75"/>
      <c r="AV939" s="75"/>
      <c r="AW939" s="75"/>
      <c r="AX939" s="75"/>
      <c r="AY939" s="67"/>
      <c r="AZ939" s="75"/>
      <c r="BA939" s="67"/>
      <c r="BB939" s="66"/>
      <c r="BC939" s="4"/>
      <c r="BD939" s="67"/>
      <c r="BE939" s="67"/>
      <c r="BF939" s="68"/>
      <c r="BG939" s="69"/>
      <c r="BH939" s="84"/>
      <c r="BI939" s="70"/>
      <c r="BJ939" s="73"/>
      <c r="BK939" s="78"/>
      <c r="BL939" s="78"/>
      <c r="BM939" s="78"/>
      <c r="BN939" s="78"/>
      <c r="BO939" s="66"/>
      <c r="BP939" s="66"/>
    </row>
    <row r="940" spans="1:68" ht="13.2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/>
      <c r="AQ940" s="75"/>
      <c r="AR940" s="75"/>
      <c r="AS940" s="75"/>
      <c r="AT940" s="75"/>
      <c r="AU940" s="75"/>
      <c r="AV940" s="75"/>
      <c r="AW940" s="75"/>
      <c r="AX940" s="75"/>
      <c r="AY940" s="67"/>
      <c r="AZ940" s="75"/>
      <c r="BA940" s="67"/>
      <c r="BB940" s="66"/>
      <c r="BC940" s="4"/>
      <c r="BD940" s="67"/>
      <c r="BE940" s="67"/>
      <c r="BF940" s="68"/>
      <c r="BG940" s="69"/>
      <c r="BH940" s="84"/>
      <c r="BI940" s="70"/>
      <c r="BJ940" s="73"/>
      <c r="BK940" s="78"/>
      <c r="BL940" s="78"/>
      <c r="BM940" s="78"/>
      <c r="BN940" s="78"/>
      <c r="BO940" s="66"/>
      <c r="BP940" s="66"/>
    </row>
    <row r="941" spans="1:68" ht="13.2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/>
      <c r="AQ941" s="75"/>
      <c r="AR941" s="75"/>
      <c r="AS941" s="75"/>
      <c r="AT941" s="75"/>
      <c r="AU941" s="75"/>
      <c r="AV941" s="75"/>
      <c r="AW941" s="75"/>
      <c r="AX941" s="75"/>
      <c r="AY941" s="67"/>
      <c r="AZ941" s="75"/>
      <c r="BA941" s="67"/>
      <c r="BB941" s="66"/>
      <c r="BC941" s="4"/>
      <c r="BD941" s="67"/>
      <c r="BE941" s="67"/>
      <c r="BF941" s="68"/>
      <c r="BG941" s="69"/>
      <c r="BH941" s="84"/>
      <c r="BI941" s="70"/>
      <c r="BJ941" s="73"/>
      <c r="BK941" s="78"/>
      <c r="BL941" s="78"/>
      <c r="BM941" s="78"/>
      <c r="BN941" s="78"/>
      <c r="BO941" s="66"/>
      <c r="BP941" s="66"/>
    </row>
    <row r="942" spans="1:68" ht="13.2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/>
      <c r="AQ942" s="75"/>
      <c r="AR942" s="75"/>
      <c r="AS942" s="75"/>
      <c r="AT942" s="75"/>
      <c r="AU942" s="75"/>
      <c r="AV942" s="75"/>
      <c r="AW942" s="75"/>
      <c r="AX942" s="75"/>
      <c r="AY942" s="67"/>
      <c r="AZ942" s="75"/>
      <c r="BA942" s="67"/>
      <c r="BB942" s="66"/>
      <c r="BC942" s="4"/>
      <c r="BD942" s="67"/>
      <c r="BE942" s="67"/>
      <c r="BF942" s="68"/>
      <c r="BG942" s="69"/>
      <c r="BH942" s="84"/>
      <c r="BI942" s="70"/>
      <c r="BJ942" s="73"/>
      <c r="BK942" s="78"/>
      <c r="BL942" s="78"/>
      <c r="BM942" s="78"/>
      <c r="BN942" s="78"/>
      <c r="BO942" s="66"/>
      <c r="BP942" s="66"/>
    </row>
    <row r="943" spans="1:68" ht="13.2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/>
      <c r="AQ943" s="75"/>
      <c r="AR943" s="75"/>
      <c r="AS943" s="75"/>
      <c r="AT943" s="75"/>
      <c r="AU943" s="75"/>
      <c r="AV943" s="75"/>
      <c r="AW943" s="75"/>
      <c r="AX943" s="75"/>
      <c r="AY943" s="67"/>
      <c r="AZ943" s="75"/>
      <c r="BA943" s="67"/>
      <c r="BB943" s="66"/>
      <c r="BC943" s="4"/>
      <c r="BD943" s="67"/>
      <c r="BE943" s="67"/>
      <c r="BF943" s="68"/>
      <c r="BG943" s="69"/>
      <c r="BH943" s="84"/>
      <c r="BI943" s="70"/>
      <c r="BJ943" s="73"/>
      <c r="BK943" s="78"/>
      <c r="BL943" s="78"/>
      <c r="BM943" s="78"/>
      <c r="BN943" s="78"/>
      <c r="BO943" s="66"/>
      <c r="BP943" s="66"/>
    </row>
    <row r="944" spans="1:68" ht="13.2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/>
      <c r="AQ944" s="75"/>
      <c r="AR944" s="75"/>
      <c r="AS944" s="75"/>
      <c r="AT944" s="75"/>
      <c r="AU944" s="75"/>
      <c r="AV944" s="75"/>
      <c r="AW944" s="75"/>
      <c r="AX944" s="75"/>
      <c r="AY944" s="67"/>
      <c r="AZ944" s="75"/>
      <c r="BA944" s="67"/>
      <c r="BB944" s="66"/>
      <c r="BC944" s="4"/>
      <c r="BD944" s="67"/>
      <c r="BE944" s="67"/>
      <c r="BF944" s="68"/>
      <c r="BG944" s="69"/>
      <c r="BH944" s="84"/>
      <c r="BI944" s="70"/>
      <c r="BJ944" s="73"/>
      <c r="BK944" s="78"/>
      <c r="BL944" s="78"/>
      <c r="BM944" s="78"/>
      <c r="BN944" s="78"/>
      <c r="BO944" s="66"/>
      <c r="BP944" s="66"/>
    </row>
    <row r="945" spans="1:68" ht="13.2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/>
      <c r="AQ945" s="75"/>
      <c r="AR945" s="75"/>
      <c r="AS945" s="75"/>
      <c r="AT945" s="75"/>
      <c r="AU945" s="75"/>
      <c r="AV945" s="75"/>
      <c r="AW945" s="75"/>
      <c r="AX945" s="75"/>
      <c r="AY945" s="67"/>
      <c r="AZ945" s="75"/>
      <c r="BA945" s="67"/>
      <c r="BB945" s="66"/>
      <c r="BC945" s="4"/>
      <c r="BD945" s="67"/>
      <c r="BE945" s="67"/>
      <c r="BF945" s="68"/>
      <c r="BG945" s="69"/>
      <c r="BH945" s="84"/>
      <c r="BI945" s="70"/>
      <c r="BJ945" s="73"/>
      <c r="BK945" s="78"/>
      <c r="BL945" s="78"/>
      <c r="BM945" s="78"/>
      <c r="BN945" s="78"/>
      <c r="BO945" s="66"/>
      <c r="BP945" s="66"/>
    </row>
    <row r="946" spans="1:68" ht="13.2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/>
      <c r="AQ946" s="75"/>
      <c r="AR946" s="75"/>
      <c r="AS946" s="75"/>
      <c r="AT946" s="75"/>
      <c r="AU946" s="75"/>
      <c r="AV946" s="75"/>
      <c r="AW946" s="75"/>
      <c r="AX946" s="75"/>
      <c r="AY946" s="67"/>
      <c r="AZ946" s="75"/>
      <c r="BA946" s="67"/>
      <c r="BB946" s="66"/>
      <c r="BC946" s="4"/>
      <c r="BD946" s="67"/>
      <c r="BE946" s="67"/>
      <c r="BF946" s="68"/>
      <c r="BG946" s="69"/>
      <c r="BH946" s="84"/>
      <c r="BI946" s="70"/>
      <c r="BJ946" s="73"/>
      <c r="BK946" s="78"/>
      <c r="BL946" s="78"/>
      <c r="BM946" s="78"/>
      <c r="BN946" s="78"/>
      <c r="BO946" s="66"/>
      <c r="BP946" s="66"/>
    </row>
    <row r="947" spans="1:68" ht="13.2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/>
      <c r="AQ947" s="75"/>
      <c r="AR947" s="75"/>
      <c r="AS947" s="75"/>
      <c r="AT947" s="75"/>
      <c r="AU947" s="75"/>
      <c r="AV947" s="75"/>
      <c r="AW947" s="75"/>
      <c r="AX947" s="75"/>
      <c r="AY947" s="67"/>
      <c r="AZ947" s="75"/>
      <c r="BA947" s="67"/>
      <c r="BB947" s="66"/>
      <c r="BC947" s="4"/>
      <c r="BD947" s="67"/>
      <c r="BE947" s="67"/>
      <c r="BF947" s="68"/>
      <c r="BG947" s="69"/>
      <c r="BH947" s="84"/>
      <c r="BI947" s="70"/>
      <c r="BJ947" s="73"/>
      <c r="BK947" s="78"/>
      <c r="BL947" s="78"/>
      <c r="BM947" s="78"/>
      <c r="BN947" s="78"/>
      <c r="BO947" s="66"/>
      <c r="BP947" s="66"/>
    </row>
    <row r="948" spans="1:68" ht="13.2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/>
      <c r="AQ948" s="75"/>
      <c r="AR948" s="75"/>
      <c r="AS948" s="75"/>
      <c r="AT948" s="75"/>
      <c r="AU948" s="75"/>
      <c r="AV948" s="75"/>
      <c r="AW948" s="75"/>
      <c r="AX948" s="75"/>
      <c r="AY948" s="67"/>
      <c r="AZ948" s="75"/>
      <c r="BA948" s="67"/>
      <c r="BB948" s="66"/>
      <c r="BC948" s="4"/>
      <c r="BD948" s="67"/>
      <c r="BE948" s="67"/>
      <c r="BF948" s="68"/>
      <c r="BG948" s="69"/>
      <c r="BH948" s="84"/>
      <c r="BI948" s="70"/>
      <c r="BJ948" s="73"/>
      <c r="BK948" s="78"/>
      <c r="BL948" s="78"/>
      <c r="BM948" s="78"/>
      <c r="BN948" s="78"/>
      <c r="BO948" s="66"/>
      <c r="BP948" s="66"/>
    </row>
    <row r="949" spans="1:68" ht="13.2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/>
      <c r="AQ949" s="75"/>
      <c r="AR949" s="75"/>
      <c r="AS949" s="75"/>
      <c r="AT949" s="75"/>
      <c r="AU949" s="75"/>
      <c r="AV949" s="75"/>
      <c r="AW949" s="75"/>
      <c r="AX949" s="75"/>
      <c r="AY949" s="67"/>
      <c r="AZ949" s="75"/>
      <c r="BA949" s="67"/>
      <c r="BB949" s="66"/>
      <c r="BC949" s="4"/>
      <c r="BD949" s="67"/>
      <c r="BE949" s="67"/>
      <c r="BF949" s="68"/>
      <c r="BG949" s="69"/>
      <c r="BH949" s="84"/>
      <c r="BI949" s="70"/>
      <c r="BJ949" s="73"/>
      <c r="BK949" s="78"/>
      <c r="BL949" s="78"/>
      <c r="BM949" s="78"/>
      <c r="BN949" s="78"/>
      <c r="BO949" s="66"/>
      <c r="BP949" s="66"/>
    </row>
    <row r="950" spans="1:68" ht="13.2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/>
      <c r="AQ950" s="75"/>
      <c r="AR950" s="75"/>
      <c r="AS950" s="75"/>
      <c r="AT950" s="75"/>
      <c r="AU950" s="75"/>
      <c r="AV950" s="75"/>
      <c r="AW950" s="75"/>
      <c r="AX950" s="75"/>
      <c r="AY950" s="67"/>
      <c r="AZ950" s="75"/>
      <c r="BA950" s="67"/>
      <c r="BB950" s="66"/>
      <c r="BC950" s="4"/>
      <c r="BD950" s="67"/>
      <c r="BE950" s="67"/>
      <c r="BF950" s="68"/>
      <c r="BG950" s="69"/>
      <c r="BH950" s="84"/>
      <c r="BI950" s="70"/>
      <c r="BJ950" s="73"/>
      <c r="BK950" s="78"/>
      <c r="BL950" s="78"/>
      <c r="BM950" s="78"/>
      <c r="BN950" s="78"/>
      <c r="BO950" s="66"/>
      <c r="BP950" s="66"/>
    </row>
    <row r="951" spans="1:68" ht="13.2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/>
      <c r="AQ951" s="75"/>
      <c r="AR951" s="75"/>
      <c r="AS951" s="75"/>
      <c r="AT951" s="75"/>
      <c r="AU951" s="75"/>
      <c r="AV951" s="75"/>
      <c r="AW951" s="75"/>
      <c r="AX951" s="75"/>
      <c r="AY951" s="67"/>
      <c r="AZ951" s="75"/>
      <c r="BA951" s="67"/>
      <c r="BB951" s="66"/>
      <c r="BC951" s="4"/>
      <c r="BD951" s="67"/>
      <c r="BE951" s="67"/>
      <c r="BF951" s="68"/>
      <c r="BG951" s="69"/>
      <c r="BH951" s="84"/>
      <c r="BI951" s="70"/>
      <c r="BJ951" s="73"/>
      <c r="BK951" s="78"/>
      <c r="BL951" s="78"/>
      <c r="BM951" s="78"/>
      <c r="BN951" s="78"/>
      <c r="BO951" s="66"/>
      <c r="BP951" s="66"/>
    </row>
    <row r="952" spans="1:68" ht="13.2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/>
      <c r="AQ952" s="75"/>
      <c r="AR952" s="75"/>
      <c r="AS952" s="75"/>
      <c r="AT952" s="75"/>
      <c r="AU952" s="75"/>
      <c r="AV952" s="75"/>
      <c r="AW952" s="75"/>
      <c r="AX952" s="75"/>
      <c r="AY952" s="67"/>
      <c r="AZ952" s="75"/>
      <c r="BA952" s="67"/>
      <c r="BB952" s="66"/>
      <c r="BC952" s="4"/>
      <c r="BD952" s="67"/>
      <c r="BE952" s="67"/>
      <c r="BF952" s="68"/>
      <c r="BG952" s="69"/>
      <c r="BH952" s="84"/>
      <c r="BI952" s="70"/>
      <c r="BJ952" s="73"/>
      <c r="BK952" s="78"/>
      <c r="BL952" s="78"/>
      <c r="BM952" s="78"/>
      <c r="BN952" s="78"/>
      <c r="BO952" s="66"/>
      <c r="BP952" s="66"/>
    </row>
    <row r="953" spans="1:68" ht="13.2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/>
      <c r="AQ953" s="75"/>
      <c r="AR953" s="75"/>
      <c r="AS953" s="75"/>
      <c r="AT953" s="75"/>
      <c r="AU953" s="75"/>
      <c r="AV953" s="75"/>
      <c r="AW953" s="75"/>
      <c r="AX953" s="75"/>
      <c r="AY953" s="67"/>
      <c r="AZ953" s="75"/>
      <c r="BA953" s="67"/>
      <c r="BB953" s="66"/>
      <c r="BC953" s="4"/>
      <c r="BD953" s="67"/>
      <c r="BE953" s="67"/>
      <c r="BF953" s="68"/>
      <c r="BG953" s="69"/>
      <c r="BH953" s="84"/>
      <c r="BI953" s="70"/>
      <c r="BJ953" s="73"/>
      <c r="BK953" s="78"/>
      <c r="BL953" s="78"/>
      <c r="BM953" s="78"/>
      <c r="BN953" s="78"/>
      <c r="BO953" s="66"/>
      <c r="BP953" s="66"/>
    </row>
    <row r="954" spans="1:68" ht="13.2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/>
      <c r="AQ954" s="75"/>
      <c r="AR954" s="75"/>
      <c r="AS954" s="75"/>
      <c r="AT954" s="75"/>
      <c r="AU954" s="75"/>
      <c r="AV954" s="75"/>
      <c r="AW954" s="75"/>
      <c r="AX954" s="75"/>
      <c r="AY954" s="67"/>
      <c r="AZ954" s="75"/>
      <c r="BA954" s="67"/>
      <c r="BB954" s="66"/>
      <c r="BC954" s="4"/>
      <c r="BD954" s="67"/>
      <c r="BE954" s="67"/>
      <c r="BF954" s="68"/>
      <c r="BG954" s="69"/>
      <c r="BH954" s="84"/>
      <c r="BI954" s="70"/>
      <c r="BJ954" s="73"/>
      <c r="BK954" s="78"/>
      <c r="BL954" s="78"/>
      <c r="BM954" s="78"/>
      <c r="BN954" s="78"/>
      <c r="BO954" s="66"/>
      <c r="BP954" s="66"/>
    </row>
    <row r="955" spans="1:68" ht="13.2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/>
      <c r="AQ955" s="75"/>
      <c r="AR955" s="75"/>
      <c r="AS955" s="75"/>
      <c r="AT955" s="75"/>
      <c r="AU955" s="75"/>
      <c r="AV955" s="75"/>
      <c r="AW955" s="75"/>
      <c r="AX955" s="75"/>
      <c r="AY955" s="67"/>
      <c r="AZ955" s="75"/>
      <c r="BA955" s="67"/>
      <c r="BB955" s="66"/>
      <c r="BC955" s="4"/>
      <c r="BD955" s="67"/>
      <c r="BE955" s="67"/>
      <c r="BF955" s="68"/>
      <c r="BG955" s="69"/>
      <c r="BH955" s="84"/>
      <c r="BI955" s="70"/>
      <c r="BJ955" s="73"/>
      <c r="BK955" s="78"/>
      <c r="BL955" s="78"/>
      <c r="BM955" s="78"/>
      <c r="BN955" s="78"/>
      <c r="BO955" s="66"/>
      <c r="BP955" s="66"/>
    </row>
    <row r="956" spans="1:68" ht="13.2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/>
      <c r="AQ956" s="75"/>
      <c r="AR956" s="75"/>
      <c r="AS956" s="75"/>
      <c r="AT956" s="75"/>
      <c r="AU956" s="75"/>
      <c r="AV956" s="75"/>
      <c r="AW956" s="75"/>
      <c r="AX956" s="75"/>
      <c r="AY956" s="67"/>
      <c r="AZ956" s="75"/>
      <c r="BA956" s="67"/>
      <c r="BB956" s="66"/>
      <c r="BC956" s="4"/>
      <c r="BD956" s="67"/>
      <c r="BE956" s="67"/>
      <c r="BF956" s="68"/>
      <c r="BG956" s="69"/>
      <c r="BH956" s="84"/>
      <c r="BI956" s="70"/>
      <c r="BJ956" s="73"/>
      <c r="BK956" s="78"/>
      <c r="BL956" s="78"/>
      <c r="BM956" s="78"/>
      <c r="BN956" s="78"/>
      <c r="BO956" s="66"/>
      <c r="BP956" s="66"/>
    </row>
    <row r="957" spans="1:68" ht="13.2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/>
      <c r="AQ957" s="75"/>
      <c r="AR957" s="75"/>
      <c r="AS957" s="75"/>
      <c r="AT957" s="75"/>
      <c r="AU957" s="75"/>
      <c r="AV957" s="75"/>
      <c r="AW957" s="75"/>
      <c r="AX957" s="75"/>
      <c r="AY957" s="67"/>
      <c r="AZ957" s="75"/>
      <c r="BA957" s="67"/>
      <c r="BB957" s="66"/>
      <c r="BC957" s="4"/>
      <c r="BD957" s="67"/>
      <c r="BE957" s="67"/>
      <c r="BF957" s="68"/>
      <c r="BG957" s="69"/>
      <c r="BH957" s="84"/>
      <c r="BI957" s="70"/>
      <c r="BJ957" s="73"/>
      <c r="BK957" s="78"/>
      <c r="BL957" s="78"/>
      <c r="BM957" s="78"/>
      <c r="BN957" s="78"/>
      <c r="BO957" s="66"/>
      <c r="BP957" s="66"/>
    </row>
    <row r="958" spans="1:68" ht="13.2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/>
      <c r="AQ958" s="75"/>
      <c r="AR958" s="75"/>
      <c r="AS958" s="75"/>
      <c r="AT958" s="75"/>
      <c r="AU958" s="75"/>
      <c r="AV958" s="75"/>
      <c r="AW958" s="75"/>
      <c r="AX958" s="75"/>
      <c r="AY958" s="67"/>
      <c r="AZ958" s="75"/>
      <c r="BA958" s="67"/>
      <c r="BB958" s="66"/>
      <c r="BC958" s="4"/>
      <c r="BD958" s="67"/>
      <c r="BE958" s="67"/>
      <c r="BF958" s="68"/>
      <c r="BG958" s="69"/>
      <c r="BH958" s="84"/>
      <c r="BI958" s="70"/>
      <c r="BJ958" s="73"/>
      <c r="BK958" s="78"/>
      <c r="BL958" s="78"/>
      <c r="BM958" s="78"/>
      <c r="BN958" s="78"/>
      <c r="BO958" s="66"/>
      <c r="BP958" s="66"/>
    </row>
    <row r="959" spans="1:68" ht="13.2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/>
      <c r="AQ959" s="75"/>
      <c r="AR959" s="75"/>
      <c r="AS959" s="75"/>
      <c r="AT959" s="75"/>
      <c r="AU959" s="75"/>
      <c r="AV959" s="75"/>
      <c r="AW959" s="75"/>
      <c r="AX959" s="75"/>
      <c r="AY959" s="67"/>
      <c r="AZ959" s="75"/>
      <c r="BA959" s="67"/>
      <c r="BB959" s="66"/>
      <c r="BC959" s="4"/>
      <c r="BD959" s="67"/>
      <c r="BE959" s="67"/>
      <c r="BF959" s="68"/>
      <c r="BG959" s="69"/>
      <c r="BH959" s="84"/>
      <c r="BI959" s="70"/>
      <c r="BJ959" s="73"/>
      <c r="BK959" s="78"/>
      <c r="BL959" s="78"/>
      <c r="BM959" s="78"/>
      <c r="BN959" s="78"/>
      <c r="BO959" s="66"/>
      <c r="BP959" s="66"/>
    </row>
    <row r="960" spans="1:68" ht="13.2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/>
      <c r="AQ960" s="75"/>
      <c r="AR960" s="75"/>
      <c r="AS960" s="75"/>
      <c r="AT960" s="75"/>
      <c r="AU960" s="75"/>
      <c r="AV960" s="75"/>
      <c r="AW960" s="75"/>
      <c r="AX960" s="75"/>
      <c r="AY960" s="67"/>
      <c r="AZ960" s="75"/>
      <c r="BA960" s="67"/>
      <c r="BB960" s="66"/>
      <c r="BC960" s="4"/>
      <c r="BD960" s="67"/>
      <c r="BE960" s="67"/>
      <c r="BF960" s="68"/>
      <c r="BG960" s="69"/>
      <c r="BH960" s="84"/>
      <c r="BI960" s="70"/>
      <c r="BJ960" s="73"/>
      <c r="BK960" s="78"/>
      <c r="BL960" s="78"/>
      <c r="BM960" s="78"/>
      <c r="BN960" s="78"/>
      <c r="BO960" s="66"/>
      <c r="BP960" s="66"/>
    </row>
    <row r="961" spans="1:68" ht="13.2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/>
      <c r="AQ961" s="75"/>
      <c r="AR961" s="75"/>
      <c r="AS961" s="75"/>
      <c r="AT961" s="75"/>
      <c r="AU961" s="75"/>
      <c r="AV961" s="75"/>
      <c r="AW961" s="75"/>
      <c r="AX961" s="75"/>
      <c r="AY961" s="67"/>
      <c r="AZ961" s="75"/>
      <c r="BA961" s="67"/>
      <c r="BB961" s="66"/>
      <c r="BC961" s="4"/>
      <c r="BD961" s="67"/>
      <c r="BE961" s="67"/>
      <c r="BF961" s="68"/>
      <c r="BG961" s="69"/>
      <c r="BH961" s="84"/>
      <c r="BI961" s="70"/>
      <c r="BJ961" s="73"/>
      <c r="BK961" s="78"/>
      <c r="BL961" s="78"/>
      <c r="BM961" s="78"/>
      <c r="BN961" s="78"/>
      <c r="BO961" s="66"/>
      <c r="BP961" s="66"/>
    </row>
    <row r="962" spans="1:68" ht="13.2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/>
      <c r="AQ962" s="75"/>
      <c r="AR962" s="75"/>
      <c r="AS962" s="75"/>
      <c r="AT962" s="75"/>
      <c r="AU962" s="75"/>
      <c r="AV962" s="75"/>
      <c r="AW962" s="75"/>
      <c r="AX962" s="75"/>
      <c r="AY962" s="67"/>
      <c r="AZ962" s="75"/>
      <c r="BA962" s="67"/>
      <c r="BB962" s="66"/>
      <c r="BC962" s="4"/>
      <c r="BD962" s="67"/>
      <c r="BE962" s="67"/>
      <c r="BF962" s="68"/>
      <c r="BG962" s="69"/>
      <c r="BH962" s="84"/>
      <c r="BI962" s="70"/>
      <c r="BJ962" s="73"/>
      <c r="BK962" s="78"/>
      <c r="BL962" s="78"/>
      <c r="BM962" s="78"/>
      <c r="BN962" s="78"/>
      <c r="BO962" s="66"/>
      <c r="BP962" s="66"/>
    </row>
    <row r="963" spans="1:68" ht="13.2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/>
      <c r="AQ963" s="75"/>
      <c r="AR963" s="75"/>
      <c r="AS963" s="75"/>
      <c r="AT963" s="75"/>
      <c r="AU963" s="75"/>
      <c r="AV963" s="75"/>
      <c r="AW963" s="75"/>
      <c r="AX963" s="75"/>
      <c r="AY963" s="67"/>
      <c r="AZ963" s="75"/>
      <c r="BA963" s="67"/>
      <c r="BB963" s="66"/>
      <c r="BC963" s="4"/>
      <c r="BD963" s="67"/>
      <c r="BE963" s="67"/>
      <c r="BF963" s="68"/>
      <c r="BG963" s="69"/>
      <c r="BH963" s="84"/>
      <c r="BI963" s="70"/>
      <c r="BJ963" s="73"/>
      <c r="BK963" s="78"/>
      <c r="BL963" s="78"/>
      <c r="BM963" s="78"/>
      <c r="BN963" s="78"/>
      <c r="BO963" s="66"/>
      <c r="BP963" s="66"/>
    </row>
    <row r="964" spans="1:68" ht="13.2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/>
      <c r="AQ964" s="75"/>
      <c r="AR964" s="75"/>
      <c r="AS964" s="75"/>
      <c r="AT964" s="75"/>
      <c r="AU964" s="75"/>
      <c r="AV964" s="75"/>
      <c r="AW964" s="75"/>
      <c r="AX964" s="75"/>
      <c r="AY964" s="67"/>
      <c r="AZ964" s="75"/>
      <c r="BA964" s="67"/>
      <c r="BB964" s="66"/>
      <c r="BC964" s="4"/>
      <c r="BD964" s="67"/>
      <c r="BE964" s="67"/>
      <c r="BF964" s="68"/>
      <c r="BG964" s="69"/>
      <c r="BH964" s="84"/>
      <c r="BI964" s="70"/>
      <c r="BJ964" s="73"/>
      <c r="BK964" s="78"/>
      <c r="BL964" s="78"/>
      <c r="BM964" s="78"/>
      <c r="BN964" s="78"/>
      <c r="BO964" s="66"/>
      <c r="BP964" s="66"/>
    </row>
    <row r="965" spans="1:68" ht="13.2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/>
      <c r="AQ965" s="75"/>
      <c r="AR965" s="75"/>
      <c r="AS965" s="75"/>
      <c r="AT965" s="75"/>
      <c r="AU965" s="75"/>
      <c r="AV965" s="75"/>
      <c r="AW965" s="75"/>
      <c r="AX965" s="75"/>
      <c r="AY965" s="67"/>
      <c r="AZ965" s="75"/>
      <c r="BA965" s="67"/>
      <c r="BB965" s="66"/>
      <c r="BC965" s="4"/>
      <c r="BD965" s="67"/>
      <c r="BE965" s="67"/>
      <c r="BF965" s="68"/>
      <c r="BG965" s="69"/>
      <c r="BH965" s="84"/>
      <c r="BI965" s="70"/>
      <c r="BJ965" s="73"/>
      <c r="BK965" s="78"/>
      <c r="BL965" s="78"/>
      <c r="BM965" s="78"/>
      <c r="BN965" s="78"/>
      <c r="BO965" s="66"/>
      <c r="BP965" s="66"/>
    </row>
    <row r="966" spans="1:68" ht="13.2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/>
      <c r="AQ966" s="75"/>
      <c r="AR966" s="75"/>
      <c r="AS966" s="75"/>
      <c r="AT966" s="75"/>
      <c r="AU966" s="75"/>
      <c r="AV966" s="75"/>
      <c r="AW966" s="75"/>
      <c r="AX966" s="75"/>
      <c r="AY966" s="67"/>
      <c r="AZ966" s="75"/>
      <c r="BA966" s="67"/>
      <c r="BB966" s="66"/>
      <c r="BC966" s="4"/>
      <c r="BD966" s="67"/>
      <c r="BE966" s="67"/>
      <c r="BF966" s="68"/>
      <c r="BG966" s="69"/>
      <c r="BH966" s="84"/>
      <c r="BI966" s="70"/>
      <c r="BJ966" s="73"/>
      <c r="BK966" s="78"/>
      <c r="BL966" s="78"/>
      <c r="BM966" s="78"/>
      <c r="BN966" s="78"/>
      <c r="BO966" s="66"/>
      <c r="BP966" s="66"/>
    </row>
    <row r="967" spans="1:68" ht="13.2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/>
      <c r="AQ967" s="75"/>
      <c r="AR967" s="75"/>
      <c r="AS967" s="75"/>
      <c r="AT967" s="75"/>
      <c r="AU967" s="75"/>
      <c r="AV967" s="75"/>
      <c r="AW967" s="75"/>
      <c r="AX967" s="75"/>
      <c r="AY967" s="67"/>
      <c r="AZ967" s="75"/>
      <c r="BA967" s="67"/>
      <c r="BB967" s="66"/>
      <c r="BC967" s="4"/>
      <c r="BD967" s="67"/>
      <c r="BE967" s="67"/>
      <c r="BF967" s="68"/>
      <c r="BG967" s="69"/>
      <c r="BH967" s="84"/>
      <c r="BI967" s="70"/>
      <c r="BJ967" s="73"/>
      <c r="BK967" s="78"/>
      <c r="BL967" s="78"/>
      <c r="BM967" s="78"/>
      <c r="BN967" s="78"/>
      <c r="BO967" s="66"/>
      <c r="BP967" s="66"/>
    </row>
    <row r="968" spans="1:68" ht="13.2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/>
      <c r="AQ968" s="75"/>
      <c r="AR968" s="75"/>
      <c r="AS968" s="75"/>
      <c r="AT968" s="75"/>
      <c r="AU968" s="75"/>
      <c r="AV968" s="75"/>
      <c r="AW968" s="75"/>
      <c r="AX968" s="75"/>
      <c r="AY968" s="67"/>
      <c r="AZ968" s="75"/>
      <c r="BA968" s="67"/>
      <c r="BB968" s="66"/>
      <c r="BC968" s="4"/>
      <c r="BD968" s="67"/>
      <c r="BE968" s="67"/>
      <c r="BF968" s="68"/>
      <c r="BG968" s="69"/>
      <c r="BH968" s="84"/>
      <c r="BI968" s="70"/>
      <c r="BJ968" s="73"/>
      <c r="BK968" s="78"/>
      <c r="BL968" s="78"/>
      <c r="BM968" s="78"/>
      <c r="BN968" s="78"/>
      <c r="BO968" s="66"/>
      <c r="BP968" s="66"/>
    </row>
    <row r="969" spans="1:68" ht="13.2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/>
      <c r="AQ969" s="75"/>
      <c r="AR969" s="75"/>
      <c r="AS969" s="75"/>
      <c r="AT969" s="75"/>
      <c r="AU969" s="75"/>
      <c r="AV969" s="75"/>
      <c r="AW969" s="75"/>
      <c r="AX969" s="75"/>
      <c r="AY969" s="67"/>
      <c r="AZ969" s="75"/>
      <c r="BA969" s="67"/>
      <c r="BB969" s="66"/>
      <c r="BC969" s="4"/>
      <c r="BD969" s="67"/>
      <c r="BE969" s="67"/>
      <c r="BF969" s="68"/>
      <c r="BG969" s="69"/>
      <c r="BH969" s="84"/>
      <c r="BI969" s="70"/>
      <c r="BJ969" s="73"/>
      <c r="BK969" s="78"/>
      <c r="BL969" s="78"/>
      <c r="BM969" s="78"/>
      <c r="BN969" s="78"/>
      <c r="BO969" s="66"/>
      <c r="BP969" s="66"/>
    </row>
    <row r="970" spans="1:68" ht="13.2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/>
      <c r="AQ970" s="75"/>
      <c r="AR970" s="75"/>
      <c r="AS970" s="75"/>
      <c r="AT970" s="75"/>
      <c r="AU970" s="75"/>
      <c r="AV970" s="75"/>
      <c r="AW970" s="75"/>
      <c r="AX970" s="75"/>
      <c r="AY970" s="67"/>
      <c r="AZ970" s="75"/>
      <c r="BA970" s="67"/>
      <c r="BB970" s="66"/>
      <c r="BC970" s="4"/>
      <c r="BD970" s="67"/>
      <c r="BE970" s="67"/>
      <c r="BF970" s="68"/>
      <c r="BG970" s="69"/>
      <c r="BH970" s="84"/>
      <c r="BI970" s="70"/>
      <c r="BJ970" s="73"/>
      <c r="BK970" s="78"/>
      <c r="BL970" s="78"/>
      <c r="BM970" s="78"/>
      <c r="BN970" s="78"/>
      <c r="BO970" s="66"/>
      <c r="BP970" s="66"/>
    </row>
    <row r="971" spans="1:68" ht="13.2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/>
      <c r="AQ971" s="75"/>
      <c r="AR971" s="75"/>
      <c r="AS971" s="75"/>
      <c r="AT971" s="75"/>
      <c r="AU971" s="75"/>
      <c r="AV971" s="75"/>
      <c r="AW971" s="75"/>
      <c r="AX971" s="75"/>
      <c r="AY971" s="67"/>
      <c r="AZ971" s="75"/>
      <c r="BA971" s="67"/>
      <c r="BB971" s="66"/>
      <c r="BC971" s="4"/>
      <c r="BD971" s="67"/>
      <c r="BE971" s="67"/>
      <c r="BF971" s="68"/>
      <c r="BG971" s="69"/>
      <c r="BH971" s="84"/>
      <c r="BI971" s="70"/>
      <c r="BJ971" s="73"/>
      <c r="BK971" s="78"/>
      <c r="BL971" s="78"/>
      <c r="BM971" s="78"/>
      <c r="BN971" s="78"/>
      <c r="BO971" s="66"/>
      <c r="BP971" s="66"/>
    </row>
    <row r="972" spans="1:68" ht="13.2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/>
      <c r="AQ972" s="75"/>
      <c r="AR972" s="75"/>
      <c r="AS972" s="75"/>
      <c r="AT972" s="75"/>
      <c r="AU972" s="75"/>
      <c r="AV972" s="75"/>
      <c r="AW972" s="75"/>
      <c r="AX972" s="75"/>
      <c r="AY972" s="67"/>
      <c r="AZ972" s="75"/>
      <c r="BA972" s="67"/>
      <c r="BB972" s="66"/>
      <c r="BC972" s="4"/>
      <c r="BD972" s="67"/>
      <c r="BE972" s="67"/>
      <c r="BF972" s="68"/>
      <c r="BG972" s="69"/>
      <c r="BH972" s="70"/>
      <c r="BI972" s="70"/>
      <c r="BJ972" s="73"/>
      <c r="BK972" s="78"/>
      <c r="BL972" s="78"/>
      <c r="BM972" s="78"/>
      <c r="BN972" s="78"/>
      <c r="BO972" s="66"/>
      <c r="BP972" s="66"/>
    </row>
    <row r="973" spans="1:68" ht="13.2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/>
      <c r="AQ973" s="75"/>
      <c r="AR973" s="75"/>
      <c r="AS973" s="75"/>
      <c r="AT973" s="75"/>
      <c r="AU973" s="75"/>
      <c r="AV973" s="75"/>
      <c r="AW973" s="75"/>
      <c r="AX973" s="75"/>
      <c r="AY973" s="67"/>
      <c r="AZ973" s="75"/>
      <c r="BA973" s="67"/>
      <c r="BB973" s="66"/>
      <c r="BC973" s="4"/>
      <c r="BD973" s="67"/>
      <c r="BE973" s="67"/>
      <c r="BF973" s="68"/>
      <c r="BG973" s="69"/>
      <c r="BH973" s="70"/>
      <c r="BI973" s="70"/>
      <c r="BJ973" s="73"/>
      <c r="BK973" s="78"/>
      <c r="BL973" s="78"/>
      <c r="BM973" s="78"/>
      <c r="BN973" s="78"/>
      <c r="BO973" s="66"/>
      <c r="BP973" s="66"/>
    </row>
    <row r="974" spans="1:68" ht="13.2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/>
      <c r="AQ974" s="75"/>
      <c r="AR974" s="75"/>
      <c r="AS974" s="75"/>
      <c r="AT974" s="75"/>
      <c r="AU974" s="75"/>
      <c r="AV974" s="75"/>
      <c r="AW974" s="75"/>
      <c r="AX974" s="75"/>
      <c r="AY974" s="67"/>
      <c r="AZ974" s="75"/>
      <c r="BA974" s="67"/>
      <c r="BB974" s="66"/>
      <c r="BC974" s="4"/>
      <c r="BD974" s="67"/>
      <c r="BE974" s="67"/>
      <c r="BF974" s="68"/>
      <c r="BG974" s="69"/>
      <c r="BH974" s="70"/>
      <c r="BI974" s="70"/>
      <c r="BJ974" s="73"/>
      <c r="BK974" s="78"/>
      <c r="BL974" s="78"/>
      <c r="BM974" s="78"/>
      <c r="BN974" s="78"/>
      <c r="BO974" s="66"/>
      <c r="BP974" s="66"/>
    </row>
    <row r="975" spans="1:68" ht="13.2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/>
      <c r="AQ975" s="75"/>
      <c r="AR975" s="75"/>
      <c r="AS975" s="75"/>
      <c r="AT975" s="75"/>
      <c r="AU975" s="75"/>
      <c r="AV975" s="75"/>
      <c r="AW975" s="75"/>
      <c r="AX975" s="75"/>
      <c r="AY975" s="67"/>
      <c r="AZ975" s="75"/>
      <c r="BA975" s="67"/>
      <c r="BB975" s="66"/>
      <c r="BC975" s="4"/>
      <c r="BD975" s="67"/>
      <c r="BE975" s="67"/>
      <c r="BF975" s="68"/>
      <c r="BG975" s="69"/>
      <c r="BH975" s="84"/>
      <c r="BI975" s="70"/>
      <c r="BJ975" s="73"/>
      <c r="BK975" s="78"/>
      <c r="BL975" s="78"/>
      <c r="BM975" s="78"/>
      <c r="BN975" s="78"/>
      <c r="BO975" s="66"/>
      <c r="BP975" s="66"/>
    </row>
    <row r="976" spans="1:68" ht="13.2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/>
      <c r="AQ976" s="75"/>
      <c r="AR976" s="75"/>
      <c r="AS976" s="75"/>
      <c r="AT976" s="75"/>
      <c r="AU976" s="75"/>
      <c r="AV976" s="75"/>
      <c r="AW976" s="75"/>
      <c r="AX976" s="75"/>
      <c r="AY976" s="67"/>
      <c r="AZ976" s="75"/>
      <c r="BA976" s="67"/>
      <c r="BB976" s="66"/>
      <c r="BC976" s="4"/>
      <c r="BD976" s="67"/>
      <c r="BE976" s="67"/>
      <c r="BF976" s="68"/>
      <c r="BG976" s="69"/>
      <c r="BH976" s="84"/>
      <c r="BI976" s="70"/>
      <c r="BJ976" s="73"/>
      <c r="BK976" s="78"/>
      <c r="BL976" s="78"/>
      <c r="BM976" s="78"/>
      <c r="BN976" s="78"/>
      <c r="BO976" s="66"/>
      <c r="BP976" s="66"/>
    </row>
    <row r="977" spans="1:68" ht="13.2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/>
      <c r="AQ977" s="75"/>
      <c r="AR977" s="75"/>
      <c r="AS977" s="75"/>
      <c r="AT977" s="75"/>
      <c r="AU977" s="75"/>
      <c r="AV977" s="75"/>
      <c r="AW977" s="75"/>
      <c r="AX977" s="75"/>
      <c r="AY977" s="67"/>
      <c r="AZ977" s="75"/>
      <c r="BA977" s="67"/>
      <c r="BB977" s="66"/>
      <c r="BC977" s="4"/>
      <c r="BD977" s="67"/>
      <c r="BE977" s="67"/>
      <c r="BF977" s="68"/>
      <c r="BG977" s="69"/>
      <c r="BH977" s="84"/>
      <c r="BI977" s="70"/>
      <c r="BJ977" s="73"/>
      <c r="BK977" s="78"/>
      <c r="BL977" s="78"/>
      <c r="BM977" s="78"/>
      <c r="BN977" s="78"/>
      <c r="BO977" s="66"/>
      <c r="BP977" s="66"/>
    </row>
    <row r="978" spans="1:68" ht="13.2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/>
      <c r="AQ978" s="75"/>
      <c r="AR978" s="75"/>
      <c r="AS978" s="75"/>
      <c r="AT978" s="75"/>
      <c r="AU978" s="75"/>
      <c r="AV978" s="75"/>
      <c r="AW978" s="75"/>
      <c r="AX978" s="75"/>
      <c r="AY978" s="67"/>
      <c r="AZ978" s="75"/>
      <c r="BA978" s="67"/>
      <c r="BB978" s="66"/>
      <c r="BC978" s="4"/>
      <c r="BD978" s="67"/>
      <c r="BE978" s="67"/>
      <c r="BF978" s="68"/>
      <c r="BG978" s="69"/>
      <c r="BH978" s="70"/>
      <c r="BI978" s="70"/>
      <c r="BJ978" s="73"/>
      <c r="BK978" s="78"/>
      <c r="BL978" s="78"/>
      <c r="BM978" s="78"/>
      <c r="BN978" s="78"/>
      <c r="BO978" s="66"/>
      <c r="BP978" s="66"/>
    </row>
    <row r="979" spans="1:68" ht="13.2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/>
      <c r="AQ979" s="75"/>
      <c r="AR979" s="75"/>
      <c r="AS979" s="75"/>
      <c r="AT979" s="75"/>
      <c r="AU979" s="75"/>
      <c r="AV979" s="75"/>
      <c r="AW979" s="75"/>
      <c r="AX979" s="75"/>
      <c r="AY979" s="67"/>
      <c r="AZ979" s="75"/>
      <c r="BA979" s="67"/>
      <c r="BB979" s="66"/>
      <c r="BC979" s="4"/>
      <c r="BD979" s="67"/>
      <c r="BE979" s="67"/>
      <c r="BF979" s="68"/>
      <c r="BG979" s="69"/>
      <c r="BH979" s="70"/>
      <c r="BI979" s="70"/>
      <c r="BJ979" s="73"/>
      <c r="BK979" s="78"/>
      <c r="BL979" s="78"/>
      <c r="BM979" s="78"/>
      <c r="BN979" s="78"/>
      <c r="BO979" s="66"/>
      <c r="BP979" s="66"/>
    </row>
    <row r="980" spans="1:68" ht="13.2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/>
      <c r="AQ980" s="75"/>
      <c r="AR980" s="75"/>
      <c r="AS980" s="75"/>
      <c r="AT980" s="75"/>
      <c r="AU980" s="75"/>
      <c r="AV980" s="75"/>
      <c r="AW980" s="75"/>
      <c r="AX980" s="75"/>
      <c r="AY980" s="67"/>
      <c r="AZ980" s="75"/>
      <c r="BA980" s="67"/>
      <c r="BB980" s="66"/>
      <c r="BC980" s="4"/>
      <c r="BD980" s="67"/>
      <c r="BE980" s="67"/>
      <c r="BF980" s="68"/>
      <c r="BG980" s="69"/>
      <c r="BH980" s="70"/>
      <c r="BI980" s="70"/>
      <c r="BJ980" s="73"/>
      <c r="BK980" s="78"/>
      <c r="BL980" s="78"/>
      <c r="BM980" s="78"/>
      <c r="BN980" s="78"/>
      <c r="BO980" s="66"/>
      <c r="BP980" s="66"/>
    </row>
    <row r="981" spans="1:68" ht="13.2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/>
      <c r="AQ981" s="75"/>
      <c r="AR981" s="75"/>
      <c r="AS981" s="75"/>
      <c r="AT981" s="75"/>
      <c r="AU981" s="75"/>
      <c r="AV981" s="75"/>
      <c r="AW981" s="75"/>
      <c r="AX981" s="75"/>
      <c r="AY981" s="67"/>
      <c r="AZ981" s="75"/>
      <c r="BA981" s="67"/>
      <c r="BB981" s="66"/>
      <c r="BC981" s="4"/>
      <c r="BD981" s="67"/>
      <c r="BE981" s="67"/>
      <c r="BF981" s="68"/>
      <c r="BG981" s="69"/>
      <c r="BH981" s="84"/>
      <c r="BI981" s="70"/>
      <c r="BJ981" s="73"/>
      <c r="BK981" s="78"/>
      <c r="BL981" s="78"/>
      <c r="BM981" s="78"/>
      <c r="BN981" s="78"/>
      <c r="BO981" s="66"/>
      <c r="BP981" s="66"/>
    </row>
    <row r="982" spans="1:68" ht="13.2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/>
      <c r="AQ982" s="75"/>
      <c r="AR982" s="75"/>
      <c r="AS982" s="75"/>
      <c r="AT982" s="75"/>
      <c r="AU982" s="75"/>
      <c r="AV982" s="75"/>
      <c r="AW982" s="75"/>
      <c r="AX982" s="75"/>
      <c r="AY982" s="67"/>
      <c r="AZ982" s="75"/>
      <c r="BA982" s="67"/>
      <c r="BB982" s="66"/>
      <c r="BC982" s="4"/>
      <c r="BD982" s="67"/>
      <c r="BE982" s="67"/>
      <c r="BF982" s="68"/>
      <c r="BG982" s="69"/>
      <c r="BH982" s="84"/>
      <c r="BI982" s="70"/>
      <c r="BJ982" s="73"/>
      <c r="BK982" s="78"/>
      <c r="BL982" s="78"/>
      <c r="BM982" s="78"/>
      <c r="BN982" s="78"/>
      <c r="BO982" s="66"/>
      <c r="BP982" s="66"/>
    </row>
    <row r="983" spans="1:68" ht="13.2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/>
      <c r="AQ983" s="75"/>
      <c r="AR983" s="75"/>
      <c r="AS983" s="75"/>
      <c r="AT983" s="75"/>
      <c r="AU983" s="75"/>
      <c r="AV983" s="75"/>
      <c r="AW983" s="75"/>
      <c r="AX983" s="75"/>
      <c r="AY983" s="67"/>
      <c r="AZ983" s="75"/>
      <c r="BA983" s="67"/>
      <c r="BB983" s="66"/>
      <c r="BC983" s="4"/>
      <c r="BD983" s="67"/>
      <c r="BE983" s="67"/>
      <c r="BF983" s="68"/>
      <c r="BG983" s="69"/>
      <c r="BH983" s="84"/>
      <c r="BI983" s="70"/>
      <c r="BJ983" s="73"/>
      <c r="BK983" s="78"/>
      <c r="BL983" s="78"/>
      <c r="BM983" s="78"/>
      <c r="BN983" s="78"/>
      <c r="BO983" s="66"/>
      <c r="BP983" s="66"/>
    </row>
    <row r="984" spans="1:68" ht="13.2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/>
      <c r="AQ984" s="75"/>
      <c r="AR984" s="75"/>
      <c r="AS984" s="75"/>
      <c r="AT984" s="75"/>
      <c r="AU984" s="75"/>
      <c r="AV984" s="75"/>
      <c r="AW984" s="75"/>
      <c r="AX984" s="75"/>
      <c r="AY984" s="67"/>
      <c r="AZ984" s="75"/>
      <c r="BA984" s="67"/>
      <c r="BB984" s="66"/>
      <c r="BC984" s="4"/>
      <c r="BD984" s="67"/>
      <c r="BE984" s="67"/>
      <c r="BF984" s="68"/>
      <c r="BG984" s="69"/>
      <c r="BH984" s="84"/>
      <c r="BI984" s="70"/>
      <c r="BJ984" s="73"/>
      <c r="BK984" s="78"/>
      <c r="BL984" s="78"/>
      <c r="BM984" s="78"/>
      <c r="BN984" s="78"/>
      <c r="BO984" s="66"/>
      <c r="BP984" s="66"/>
    </row>
    <row r="985" spans="1:68" ht="13.2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/>
      <c r="AQ985" s="75"/>
      <c r="AR985" s="75"/>
      <c r="AS985" s="75"/>
      <c r="AT985" s="75"/>
      <c r="AU985" s="75"/>
      <c r="AV985" s="75"/>
      <c r="AW985" s="75"/>
      <c r="AX985" s="75"/>
      <c r="AY985" s="67"/>
      <c r="AZ985" s="75"/>
      <c r="BA985" s="67"/>
      <c r="BB985" s="66"/>
      <c r="BC985" s="4"/>
      <c r="BD985" s="67"/>
      <c r="BE985" s="67"/>
      <c r="BF985" s="68"/>
      <c r="BG985" s="69"/>
      <c r="BH985" s="84"/>
      <c r="BI985" s="70"/>
      <c r="BJ985" s="73"/>
      <c r="BK985" s="78"/>
      <c r="BL985" s="78"/>
      <c r="BM985" s="78"/>
      <c r="BN985" s="78"/>
      <c r="BO985" s="66"/>
      <c r="BP985" s="66"/>
    </row>
    <row r="986" spans="1:68" ht="13.2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/>
      <c r="AQ986" s="75"/>
      <c r="AR986" s="75"/>
      <c r="AS986" s="75"/>
      <c r="AT986" s="75"/>
      <c r="AU986" s="75"/>
      <c r="AV986" s="75"/>
      <c r="AW986" s="75"/>
      <c r="AX986" s="75"/>
      <c r="AY986" s="67"/>
      <c r="AZ986" s="75"/>
      <c r="BA986" s="67"/>
      <c r="BB986" s="66"/>
      <c r="BC986" s="4"/>
      <c r="BD986" s="67"/>
      <c r="BE986" s="67"/>
      <c r="BF986" s="68"/>
      <c r="BG986" s="69"/>
      <c r="BH986" s="84"/>
      <c r="BI986" s="70"/>
      <c r="BJ986" s="73"/>
      <c r="BK986" s="78"/>
      <c r="BL986" s="78"/>
      <c r="BM986" s="78"/>
      <c r="BN986" s="78"/>
      <c r="BO986" s="66"/>
      <c r="BP986" s="66"/>
    </row>
    <row r="987" spans="1:68" ht="13.2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/>
      <c r="AQ987" s="75"/>
      <c r="AR987" s="75"/>
      <c r="AS987" s="75"/>
      <c r="AT987" s="75"/>
      <c r="AU987" s="75"/>
      <c r="AV987" s="75"/>
      <c r="AW987" s="75"/>
      <c r="AX987" s="75"/>
      <c r="AY987" s="67"/>
      <c r="AZ987" s="75"/>
      <c r="BA987" s="67"/>
      <c r="BB987" s="66"/>
      <c r="BC987" s="4"/>
      <c r="BD987" s="67"/>
      <c r="BE987" s="67"/>
      <c r="BF987" s="68"/>
      <c r="BG987" s="69"/>
      <c r="BH987" s="84"/>
      <c r="BI987" s="70"/>
      <c r="BJ987" s="73"/>
      <c r="BK987" s="78"/>
      <c r="BL987" s="78"/>
      <c r="BM987" s="78"/>
      <c r="BN987" s="78"/>
      <c r="BO987" s="66"/>
      <c r="BP987" s="66"/>
    </row>
    <row r="988" spans="1:68" ht="13.2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/>
      <c r="AQ988" s="75"/>
      <c r="AR988" s="75"/>
      <c r="AS988" s="75"/>
      <c r="AT988" s="75"/>
      <c r="AU988" s="75"/>
      <c r="AV988" s="75"/>
      <c r="AW988" s="75"/>
      <c r="AX988" s="75"/>
      <c r="AY988" s="67"/>
      <c r="AZ988" s="75"/>
      <c r="BA988" s="67"/>
      <c r="BB988" s="66"/>
      <c r="BC988" s="4"/>
      <c r="BD988" s="67"/>
      <c r="BE988" s="67"/>
      <c r="BF988" s="68"/>
      <c r="BG988" s="69"/>
      <c r="BH988" s="84"/>
      <c r="BI988" s="70"/>
      <c r="BJ988" s="73"/>
      <c r="BK988" s="78"/>
      <c r="BL988" s="78"/>
      <c r="BM988" s="78"/>
      <c r="BN988" s="78"/>
      <c r="BO988" s="66"/>
      <c r="BP988" s="66"/>
    </row>
    <row r="989" spans="1:68" ht="13.2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/>
      <c r="AQ989" s="75"/>
      <c r="AR989" s="75"/>
      <c r="AS989" s="75"/>
      <c r="AT989" s="75"/>
      <c r="AU989" s="75"/>
      <c r="AV989" s="75"/>
      <c r="AW989" s="75"/>
      <c r="AX989" s="75"/>
      <c r="AY989" s="67"/>
      <c r="AZ989" s="75"/>
      <c r="BA989" s="67"/>
      <c r="BB989" s="66"/>
      <c r="BC989" s="4"/>
      <c r="BD989" s="67"/>
      <c r="BE989" s="67"/>
      <c r="BF989" s="68"/>
      <c r="BG989" s="69"/>
      <c r="BH989" s="84"/>
      <c r="BI989" s="70"/>
      <c r="BJ989" s="73"/>
      <c r="BK989" s="78"/>
      <c r="BL989" s="78"/>
      <c r="BM989" s="78"/>
      <c r="BN989" s="78"/>
      <c r="BO989" s="66"/>
      <c r="BP989" s="66"/>
    </row>
    <row r="990" spans="1:68" ht="13.2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/>
      <c r="AQ990" s="75"/>
      <c r="AR990" s="75"/>
      <c r="AS990" s="75"/>
      <c r="AT990" s="75"/>
      <c r="AU990" s="75"/>
      <c r="AV990" s="75"/>
      <c r="AW990" s="75"/>
      <c r="AX990" s="75"/>
      <c r="AY990" s="67"/>
      <c r="AZ990" s="75"/>
      <c r="BA990" s="67"/>
      <c r="BB990" s="66"/>
      <c r="BC990" s="4"/>
      <c r="BD990" s="67"/>
      <c r="BE990" s="67"/>
      <c r="BF990" s="68"/>
      <c r="BG990" s="69"/>
      <c r="BH990" s="84"/>
      <c r="BI990" s="70"/>
      <c r="BJ990" s="73"/>
      <c r="BK990" s="78"/>
      <c r="BL990" s="78"/>
      <c r="BM990" s="78"/>
      <c r="BN990" s="78"/>
      <c r="BO990" s="66"/>
      <c r="BP990" s="66"/>
    </row>
    <row r="991" spans="1:68" ht="13.2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/>
      <c r="AQ991" s="75"/>
      <c r="AR991" s="75"/>
      <c r="AS991" s="75"/>
      <c r="AT991" s="75"/>
      <c r="AU991" s="75"/>
      <c r="AV991" s="75"/>
      <c r="AW991" s="75"/>
      <c r="AX991" s="75"/>
      <c r="AY991" s="67"/>
      <c r="AZ991" s="75"/>
      <c r="BA991" s="67"/>
      <c r="BB991" s="66"/>
      <c r="BC991" s="4"/>
      <c r="BD991" s="67"/>
      <c r="BE991" s="67"/>
      <c r="BF991" s="68"/>
      <c r="BG991" s="69"/>
      <c r="BH991" s="84"/>
      <c r="BI991" s="70"/>
      <c r="BJ991" s="73"/>
      <c r="BK991" s="78"/>
      <c r="BL991" s="78"/>
      <c r="BM991" s="78"/>
      <c r="BN991" s="78"/>
      <c r="BO991" s="66"/>
      <c r="BP991" s="66"/>
    </row>
    <row r="992" spans="1:68" ht="13.2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/>
      <c r="AQ992" s="75"/>
      <c r="AR992" s="75"/>
      <c r="AS992" s="75"/>
      <c r="AT992" s="75"/>
      <c r="AU992" s="75"/>
      <c r="AV992" s="75"/>
      <c r="AW992" s="75"/>
      <c r="AX992" s="75"/>
      <c r="AY992" s="67"/>
      <c r="AZ992" s="75"/>
      <c r="BA992" s="67"/>
      <c r="BB992" s="66"/>
      <c r="BC992" s="4"/>
      <c r="BD992" s="67"/>
      <c r="BE992" s="67"/>
      <c r="BF992" s="68"/>
      <c r="BG992" s="69"/>
      <c r="BH992" s="84"/>
      <c r="BI992" s="70"/>
      <c r="BJ992" s="73"/>
      <c r="BK992" s="78"/>
      <c r="BL992" s="78"/>
      <c r="BM992" s="78"/>
      <c r="BN992" s="78"/>
      <c r="BO992" s="66"/>
      <c r="BP992" s="66"/>
    </row>
    <row r="993" spans="1:68" ht="13.2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/>
      <c r="AQ993" s="75"/>
      <c r="AR993" s="75"/>
      <c r="AS993" s="75"/>
      <c r="AT993" s="75"/>
      <c r="AU993" s="75"/>
      <c r="AV993" s="75"/>
      <c r="AW993" s="75"/>
      <c r="AX993" s="75"/>
      <c r="AY993" s="67"/>
      <c r="AZ993" s="75"/>
      <c r="BA993" s="67"/>
      <c r="BB993" s="66"/>
      <c r="BC993" s="4"/>
      <c r="BD993" s="67"/>
      <c r="BE993" s="67"/>
      <c r="BF993" s="68"/>
      <c r="BG993" s="69"/>
      <c r="BH993" s="84"/>
      <c r="BI993" s="70"/>
      <c r="BJ993" s="73"/>
      <c r="BK993" s="78"/>
      <c r="BL993" s="78"/>
      <c r="BM993" s="78"/>
      <c r="BN993" s="78"/>
      <c r="BO993" s="66"/>
      <c r="BP993" s="66"/>
    </row>
    <row r="994" spans="1:68" ht="13.2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/>
      <c r="AQ994" s="75"/>
      <c r="AR994" s="75"/>
      <c r="AS994" s="75"/>
      <c r="AT994" s="75"/>
      <c r="AU994" s="75"/>
      <c r="AV994" s="75"/>
      <c r="AW994" s="75"/>
      <c r="AX994" s="75"/>
      <c r="AY994" s="67"/>
      <c r="AZ994" s="75"/>
      <c r="BA994" s="67"/>
      <c r="BB994" s="66"/>
      <c r="BC994" s="4"/>
      <c r="BD994" s="67"/>
      <c r="BE994" s="67"/>
      <c r="BF994" s="68"/>
      <c r="BG994" s="69"/>
      <c r="BH994" s="84"/>
      <c r="BI994" s="70"/>
      <c r="BJ994" s="73"/>
      <c r="BK994" s="78"/>
      <c r="BL994" s="78"/>
      <c r="BM994" s="78"/>
      <c r="BN994" s="78"/>
      <c r="BO994" s="66"/>
      <c r="BP994" s="66"/>
    </row>
    <row r="995" spans="1:68" ht="13.2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/>
      <c r="AQ995" s="75"/>
      <c r="AR995" s="75"/>
      <c r="AS995" s="75"/>
      <c r="AT995" s="75"/>
      <c r="AU995" s="75"/>
      <c r="AV995" s="75"/>
      <c r="AW995" s="75"/>
      <c r="AX995" s="75"/>
      <c r="AY995" s="67"/>
      <c r="AZ995" s="75"/>
      <c r="BA995" s="67"/>
      <c r="BB995" s="66"/>
      <c r="BC995" s="4"/>
      <c r="BD995" s="67"/>
      <c r="BE995" s="67"/>
      <c r="BF995" s="68"/>
      <c r="BG995" s="69"/>
      <c r="BH995" s="84"/>
      <c r="BI995" s="70"/>
      <c r="BJ995" s="73"/>
      <c r="BK995" s="78"/>
      <c r="BL995" s="78"/>
      <c r="BM995" s="78"/>
      <c r="BN995" s="78"/>
      <c r="BO995" s="66"/>
      <c r="BP995" s="66"/>
    </row>
    <row r="996" spans="1:68" ht="13.2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/>
      <c r="AQ996" s="75"/>
      <c r="AR996" s="75"/>
      <c r="AS996" s="75"/>
      <c r="AT996" s="75"/>
      <c r="AU996" s="75"/>
      <c r="AV996" s="75"/>
      <c r="AW996" s="75"/>
      <c r="AX996" s="75"/>
      <c r="AY996" s="67"/>
      <c r="AZ996" s="75"/>
      <c r="BA996" s="67"/>
      <c r="BB996" s="66"/>
      <c r="BC996" s="4"/>
      <c r="BD996" s="67"/>
      <c r="BE996" s="67"/>
      <c r="BF996" s="68"/>
      <c r="BG996" s="69"/>
      <c r="BH996" s="84"/>
      <c r="BI996" s="70"/>
      <c r="BJ996" s="73"/>
      <c r="BK996" s="78"/>
      <c r="BL996" s="78"/>
      <c r="BM996" s="78"/>
      <c r="BN996" s="78"/>
      <c r="BO996" s="66"/>
      <c r="BP996" s="66"/>
    </row>
    <row r="997" spans="1:68" ht="13.2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/>
      <c r="AQ997" s="75"/>
      <c r="AR997" s="75"/>
      <c r="AS997" s="75"/>
      <c r="AT997" s="75"/>
      <c r="AU997" s="75"/>
      <c r="AV997" s="75"/>
      <c r="AW997" s="75"/>
      <c r="AX997" s="75"/>
      <c r="AY997" s="67"/>
      <c r="AZ997" s="75"/>
      <c r="BA997" s="67"/>
      <c r="BB997" s="66"/>
      <c r="BC997" s="4"/>
      <c r="BD997" s="67"/>
      <c r="BE997" s="67"/>
      <c r="BF997" s="68"/>
      <c r="BG997" s="69"/>
      <c r="BH997" s="84"/>
      <c r="BI997" s="70"/>
      <c r="BJ997" s="73"/>
      <c r="BK997" s="78"/>
      <c r="BL997" s="78"/>
      <c r="BM997" s="78"/>
      <c r="BN997" s="78"/>
      <c r="BO997" s="66"/>
      <c r="BP997" s="66"/>
    </row>
    <row r="998" spans="1:68" ht="13.2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/>
      <c r="AQ998" s="75"/>
      <c r="AR998" s="75"/>
      <c r="AS998" s="75"/>
      <c r="AT998" s="75"/>
      <c r="AU998" s="75"/>
      <c r="AV998" s="75"/>
      <c r="AW998" s="75"/>
      <c r="AX998" s="75"/>
      <c r="AY998" s="67"/>
      <c r="AZ998" s="75"/>
      <c r="BA998" s="67"/>
      <c r="BB998" s="66"/>
      <c r="BC998" s="4"/>
      <c r="BD998" s="67"/>
      <c r="BE998" s="67"/>
      <c r="BF998" s="68"/>
      <c r="BG998" s="69"/>
      <c r="BH998" s="84"/>
      <c r="BI998" s="70"/>
      <c r="BJ998" s="73"/>
      <c r="BK998" s="78"/>
      <c r="BL998" s="78"/>
      <c r="BM998" s="78"/>
      <c r="BN998" s="78"/>
      <c r="BO998" s="66"/>
      <c r="BP998" s="66"/>
    </row>
    <row r="999" spans="1:68" ht="13.2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/>
      <c r="AQ999" s="75"/>
      <c r="AR999" s="75"/>
      <c r="AS999" s="75"/>
      <c r="AT999" s="75"/>
      <c r="AU999" s="75"/>
      <c r="AV999" s="75"/>
      <c r="AW999" s="75"/>
      <c r="AX999" s="75"/>
      <c r="AY999" s="67"/>
      <c r="AZ999" s="75"/>
      <c r="BA999" s="67"/>
      <c r="BB999" s="66"/>
      <c r="BC999" s="4"/>
      <c r="BD999" s="67"/>
      <c r="BE999" s="67"/>
      <c r="BF999" s="68"/>
      <c r="BG999" s="69"/>
      <c r="BH999" s="84"/>
      <c r="BI999" s="70"/>
      <c r="BJ999" s="73"/>
      <c r="BK999" s="78"/>
      <c r="BL999" s="78"/>
      <c r="BM999" s="78"/>
      <c r="BN999" s="78"/>
      <c r="BO999" s="66"/>
      <c r="BP999" s="66"/>
    </row>
    <row r="1000" spans="1:68" ht="13.2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67"/>
      <c r="AZ1000" s="75"/>
      <c r="BA1000" s="67"/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8"/>
      <c r="BL1000" s="78"/>
      <c r="BM1000" s="78"/>
      <c r="BN1000" s="78"/>
      <c r="BO1000" s="66"/>
      <c r="BP1000" s="66"/>
    </row>
    <row r="1001" spans="1:68" ht="13.2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/>
      <c r="AQ1001" s="75"/>
      <c r="AR1001" s="75"/>
      <c r="AS1001" s="75"/>
      <c r="AT1001" s="75"/>
      <c r="AU1001" s="75"/>
      <c r="AV1001" s="75"/>
      <c r="AW1001" s="75"/>
      <c r="AX1001" s="75"/>
      <c r="AY1001" s="67"/>
      <c r="AZ1001" s="75"/>
      <c r="BA1001" s="67"/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8"/>
      <c r="BL1001" s="78"/>
      <c r="BM1001" s="78"/>
      <c r="BN1001" s="78"/>
      <c r="BO1001" s="66"/>
      <c r="BP1001" s="66"/>
    </row>
    <row r="1002" spans="1:68" ht="13.2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67"/>
      <c r="AZ1002" s="75"/>
      <c r="BA1002" s="67"/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8"/>
      <c r="BL1002" s="78"/>
      <c r="BM1002" s="78"/>
      <c r="BN1002" s="78"/>
      <c r="BO1002" s="66"/>
      <c r="BP1002" s="66"/>
    </row>
    <row r="1003" spans="1:68" ht="13.2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/>
      <c r="AQ1003" s="75"/>
      <c r="AR1003" s="75"/>
      <c r="AS1003" s="75"/>
      <c r="AT1003" s="75"/>
      <c r="AU1003" s="75"/>
      <c r="AV1003" s="75"/>
      <c r="AW1003" s="75"/>
      <c r="AX1003" s="75"/>
      <c r="AY1003" s="67"/>
      <c r="AZ1003" s="75"/>
      <c r="BA1003" s="67"/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8"/>
      <c r="BL1003" s="78"/>
      <c r="BM1003" s="78"/>
      <c r="BN1003" s="78"/>
      <c r="BO1003" s="66"/>
      <c r="BP1003" s="66"/>
    </row>
    <row r="1004" spans="1:68" ht="13.2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/>
      <c r="AQ1004" s="75"/>
      <c r="AR1004" s="75"/>
      <c r="AS1004" s="75"/>
      <c r="AT1004" s="75"/>
      <c r="AU1004" s="75"/>
      <c r="AV1004" s="75"/>
      <c r="AW1004" s="75"/>
      <c r="AX1004" s="75"/>
      <c r="AY1004" s="67"/>
      <c r="AZ1004" s="75"/>
      <c r="BA1004" s="67"/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8"/>
      <c r="BL1004" s="78"/>
      <c r="BM1004" s="78"/>
      <c r="BN1004" s="78"/>
      <c r="BO1004" s="66"/>
      <c r="BP1004" s="66"/>
    </row>
    <row r="1005" spans="1:68" ht="13.2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67"/>
      <c r="AZ1005" s="75"/>
      <c r="BA1005" s="67"/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8"/>
      <c r="BL1005" s="78"/>
      <c r="BM1005" s="78"/>
      <c r="BN1005" s="78"/>
      <c r="BO1005" s="66"/>
      <c r="BP1005" s="66"/>
    </row>
    <row r="1006" spans="1:68" ht="13.2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67"/>
      <c r="AZ1006" s="75"/>
      <c r="BA1006" s="67"/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8"/>
      <c r="BL1006" s="78"/>
      <c r="BM1006" s="78"/>
      <c r="BN1006" s="78"/>
      <c r="BO1006" s="66"/>
      <c r="BP1006" s="66"/>
    </row>
    <row r="1007" spans="1:68" ht="13.2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67"/>
      <c r="AZ1007" s="75"/>
      <c r="BA1007" s="67"/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8"/>
      <c r="BL1007" s="78"/>
      <c r="BM1007" s="78"/>
      <c r="BN1007" s="78"/>
      <c r="BO1007" s="66"/>
      <c r="BP1007" s="66"/>
    </row>
    <row r="1008" spans="1:68" ht="13.2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67"/>
      <c r="AZ1008" s="75"/>
      <c r="BA1008" s="67"/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8"/>
      <c r="BL1008" s="78"/>
      <c r="BM1008" s="78"/>
      <c r="BN1008" s="78"/>
      <c r="BO1008" s="66"/>
      <c r="BP1008" s="66"/>
    </row>
    <row r="1009" spans="1:68" ht="13.2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67"/>
      <c r="AZ1009" s="75"/>
      <c r="BA1009" s="67"/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8"/>
      <c r="BL1009" s="78"/>
      <c r="BM1009" s="78"/>
      <c r="BN1009" s="78"/>
      <c r="BO1009" s="66"/>
      <c r="BP1009" s="66"/>
    </row>
    <row r="1010" spans="1:68" ht="13.2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67"/>
      <c r="AZ1010" s="75"/>
      <c r="BA1010" s="67"/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8"/>
      <c r="BL1010" s="78"/>
      <c r="BM1010" s="78"/>
      <c r="BN1010" s="78"/>
      <c r="BO1010" s="66"/>
      <c r="BP1010" s="66"/>
    </row>
    <row r="1011" spans="1:68" ht="13.2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67"/>
      <c r="AZ1011" s="75"/>
      <c r="BA1011" s="67"/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8"/>
      <c r="BL1011" s="78"/>
      <c r="BM1011" s="78"/>
      <c r="BN1011" s="78"/>
      <c r="BO1011" s="66"/>
      <c r="BP1011" s="66"/>
    </row>
    <row r="1012" spans="1:68" ht="13.2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/>
      <c r="AQ1012" s="75"/>
      <c r="AR1012" s="75"/>
      <c r="AS1012" s="75"/>
      <c r="AT1012" s="75"/>
      <c r="AU1012" s="75"/>
      <c r="AV1012" s="75"/>
      <c r="AW1012" s="75"/>
      <c r="AX1012" s="75"/>
      <c r="AY1012" s="67"/>
      <c r="AZ1012" s="75"/>
      <c r="BA1012" s="67"/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8"/>
      <c r="BL1012" s="78"/>
      <c r="BM1012" s="78"/>
      <c r="BN1012" s="78"/>
      <c r="BO1012" s="66"/>
      <c r="BP1012" s="66"/>
    </row>
    <row r="1013" spans="1:68" ht="13.2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67"/>
      <c r="AZ1013" s="75"/>
      <c r="BA1013" s="67"/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8"/>
      <c r="BL1013" s="78"/>
      <c r="BM1013" s="78"/>
      <c r="BN1013" s="78"/>
      <c r="BO1013" s="66"/>
      <c r="BP1013" s="66"/>
    </row>
    <row r="1014" spans="1:68" ht="13.2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67"/>
      <c r="AZ1014" s="75"/>
      <c r="BA1014" s="67"/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8"/>
      <c r="BL1014" s="78"/>
      <c r="BM1014" s="78"/>
      <c r="BN1014" s="78"/>
      <c r="BO1014" s="66"/>
      <c r="BP1014" s="66"/>
    </row>
    <row r="1015" spans="1:68" ht="13.2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67"/>
      <c r="AZ1015" s="75"/>
      <c r="BA1015" s="67"/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8"/>
      <c r="BL1015" s="78"/>
      <c r="BM1015" s="78"/>
      <c r="BN1015" s="78"/>
      <c r="BO1015" s="66"/>
      <c r="BP1015" s="66"/>
    </row>
    <row r="1016" spans="1:68" ht="13.2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67"/>
      <c r="AZ1016" s="75"/>
      <c r="BA1016" s="67"/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8"/>
      <c r="BL1016" s="78"/>
      <c r="BM1016" s="78"/>
      <c r="BN1016" s="78"/>
      <c r="BO1016" s="66"/>
      <c r="BP1016" s="66"/>
    </row>
    <row r="1017" spans="1:68" ht="13.2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67"/>
      <c r="AZ1017" s="75"/>
      <c r="BA1017" s="67"/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8"/>
      <c r="BL1017" s="78"/>
      <c r="BM1017" s="78"/>
      <c r="BN1017" s="78"/>
      <c r="BO1017" s="66"/>
      <c r="BP1017" s="66"/>
    </row>
    <row r="1018" spans="1:68" ht="13.2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67"/>
      <c r="AZ1018" s="75"/>
      <c r="BA1018" s="67"/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8"/>
      <c r="BL1018" s="78"/>
      <c r="BM1018" s="78"/>
      <c r="BN1018" s="78"/>
      <c r="BO1018" s="66"/>
      <c r="BP1018" s="66"/>
    </row>
    <row r="1019" spans="1:68" ht="13.2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67"/>
      <c r="AZ1019" s="75"/>
      <c r="BA1019" s="67"/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8"/>
      <c r="BL1019" s="78"/>
      <c r="BM1019" s="78"/>
      <c r="BN1019" s="78"/>
      <c r="BO1019" s="66"/>
      <c r="BP1019" s="66"/>
    </row>
    <row r="1020" spans="1:68" ht="13.2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67"/>
      <c r="AZ1020" s="75"/>
      <c r="BA1020" s="67"/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8"/>
      <c r="BL1020" s="78"/>
      <c r="BM1020" s="78"/>
      <c r="BN1020" s="78"/>
      <c r="BO1020" s="66"/>
      <c r="BP1020" s="66"/>
    </row>
    <row r="1021" spans="1:68" ht="13.2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67"/>
      <c r="AZ1021" s="75"/>
      <c r="BA1021" s="67"/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8"/>
      <c r="BL1021" s="78"/>
      <c r="BM1021" s="78"/>
      <c r="BN1021" s="78"/>
      <c r="BO1021" s="66"/>
      <c r="BP1021" s="66"/>
    </row>
    <row r="1022" spans="1:68" ht="13.2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67"/>
      <c r="AZ1022" s="75"/>
      <c r="BA1022" s="67"/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8"/>
      <c r="BL1022" s="78"/>
      <c r="BM1022" s="78"/>
      <c r="BN1022" s="78"/>
      <c r="BO1022" s="66"/>
      <c r="BP1022" s="66"/>
    </row>
    <row r="1023" spans="1:68" ht="13.2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67"/>
      <c r="AZ1023" s="75"/>
      <c r="BA1023" s="67"/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8"/>
      <c r="BL1023" s="78"/>
      <c r="BM1023" s="78"/>
      <c r="BN1023" s="78"/>
      <c r="BO1023" s="66"/>
      <c r="BP1023" s="66"/>
    </row>
    <row r="1024" spans="1:68" ht="13.2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67"/>
      <c r="AZ1024" s="75"/>
      <c r="BA1024" s="67"/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8"/>
      <c r="BL1024" s="78"/>
      <c r="BM1024" s="78"/>
      <c r="BN1024" s="78"/>
      <c r="BO1024" s="66"/>
      <c r="BP1024" s="66"/>
    </row>
    <row r="1025" spans="1:68" ht="13.2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/>
      <c r="AQ1025" s="75"/>
      <c r="AR1025" s="75"/>
      <c r="AS1025" s="75"/>
      <c r="AT1025" s="75"/>
      <c r="AU1025" s="75"/>
      <c r="AV1025" s="75"/>
      <c r="AW1025" s="75"/>
      <c r="AX1025" s="75"/>
      <c r="AY1025" s="67"/>
      <c r="AZ1025" s="75"/>
      <c r="BA1025" s="67"/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8"/>
      <c r="BL1025" s="78"/>
      <c r="BM1025" s="78"/>
      <c r="BN1025" s="78"/>
      <c r="BO1025" s="66"/>
      <c r="BP1025" s="66"/>
    </row>
    <row r="1026" spans="1:68" ht="13.2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67"/>
      <c r="AZ1026" s="75"/>
      <c r="BA1026" s="67"/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8"/>
      <c r="BL1026" s="78"/>
      <c r="BM1026" s="78"/>
      <c r="BN1026" s="78"/>
      <c r="BO1026" s="66"/>
      <c r="BP1026" s="66"/>
    </row>
    <row r="1027" spans="1:68" ht="13.2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67"/>
      <c r="AZ1027" s="75"/>
      <c r="BA1027" s="67"/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8"/>
      <c r="BL1027" s="78"/>
      <c r="BM1027" s="78"/>
      <c r="BN1027" s="78"/>
      <c r="BO1027" s="66"/>
      <c r="BP1027" s="66"/>
    </row>
    <row r="1028" spans="1:68" ht="13.2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/>
      <c r="AQ1028" s="75"/>
      <c r="AR1028" s="75"/>
      <c r="AS1028" s="75"/>
      <c r="AT1028" s="75"/>
      <c r="AU1028" s="75"/>
      <c r="AV1028" s="75"/>
      <c r="AW1028" s="75"/>
      <c r="AX1028" s="75"/>
      <c r="AY1028" s="67"/>
      <c r="AZ1028" s="75"/>
      <c r="BA1028" s="67"/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8"/>
      <c r="BL1028" s="78"/>
      <c r="BM1028" s="78"/>
      <c r="BN1028" s="78"/>
      <c r="BO1028" s="66"/>
      <c r="BP1028" s="66"/>
    </row>
    <row r="1029" spans="1:68" ht="13.2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/>
      <c r="AQ1029" s="75"/>
      <c r="AR1029" s="75"/>
      <c r="AS1029" s="75"/>
      <c r="AT1029" s="75"/>
      <c r="AU1029" s="75"/>
      <c r="AV1029" s="75"/>
      <c r="AW1029" s="75"/>
      <c r="AX1029" s="75"/>
      <c r="AY1029" s="67"/>
      <c r="AZ1029" s="75"/>
      <c r="BA1029" s="67"/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8"/>
      <c r="BL1029" s="78"/>
      <c r="BM1029" s="78"/>
      <c r="BN1029" s="78"/>
      <c r="BO1029" s="66"/>
      <c r="BP1029" s="66"/>
    </row>
    <row r="1030" spans="1:68" ht="13.2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67"/>
      <c r="AZ1030" s="75"/>
      <c r="BA1030" s="67"/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8"/>
      <c r="BL1030" s="78"/>
      <c r="BM1030" s="78"/>
      <c r="BN1030" s="78"/>
      <c r="BO1030" s="66"/>
      <c r="BP1030" s="66"/>
    </row>
    <row r="1031" spans="1:68" ht="13.2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67"/>
      <c r="AZ1031" s="75"/>
      <c r="BA1031" s="67"/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8"/>
      <c r="BL1031" s="78"/>
      <c r="BM1031" s="78"/>
      <c r="BN1031" s="78"/>
      <c r="BO1031" s="66"/>
      <c r="BP1031" s="66"/>
    </row>
    <row r="1032" spans="1:68" ht="13.2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67"/>
      <c r="AZ1032" s="75"/>
      <c r="BA1032" s="67"/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8"/>
      <c r="BL1032" s="78"/>
      <c r="BM1032" s="78"/>
      <c r="BN1032" s="78"/>
      <c r="BO1032" s="66"/>
      <c r="BP1032" s="66"/>
    </row>
    <row r="1033" spans="1:68" ht="13.2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67"/>
      <c r="AZ1033" s="75"/>
      <c r="BA1033" s="67"/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8"/>
      <c r="BL1033" s="78"/>
      <c r="BM1033" s="78"/>
      <c r="BN1033" s="78"/>
      <c r="BO1033" s="66"/>
      <c r="BP1033" s="66"/>
    </row>
    <row r="1034" spans="1:68" ht="13.2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/>
      <c r="AQ1034" s="75"/>
      <c r="AR1034" s="75"/>
      <c r="AS1034" s="75"/>
      <c r="AT1034" s="75"/>
      <c r="AU1034" s="75"/>
      <c r="AV1034" s="75"/>
      <c r="AW1034" s="75"/>
      <c r="AX1034" s="75"/>
      <c r="AY1034" s="67"/>
      <c r="AZ1034" s="75"/>
      <c r="BA1034" s="67"/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8"/>
      <c r="BL1034" s="78"/>
      <c r="BM1034" s="78"/>
      <c r="BN1034" s="78"/>
      <c r="BO1034" s="66"/>
      <c r="BP1034" s="66"/>
    </row>
    <row r="1035" spans="1:68" ht="13.2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67"/>
      <c r="AZ1035" s="75"/>
      <c r="BA1035" s="67"/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8"/>
      <c r="BL1035" s="78"/>
      <c r="BM1035" s="78"/>
      <c r="BN1035" s="78"/>
      <c r="BO1035" s="66"/>
      <c r="BP1035" s="66"/>
    </row>
    <row r="1036" spans="1:68" ht="13.2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67"/>
      <c r="AZ1036" s="75"/>
      <c r="BA1036" s="67"/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8"/>
      <c r="BL1036" s="78"/>
      <c r="BM1036" s="78"/>
      <c r="BN1036" s="78"/>
      <c r="BO1036" s="66"/>
      <c r="BP1036" s="66"/>
    </row>
    <row r="1037" spans="1:68" ht="13.2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67"/>
      <c r="AZ1037" s="75"/>
      <c r="BA1037" s="67"/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8"/>
      <c r="BL1037" s="78"/>
      <c r="BM1037" s="78"/>
      <c r="BN1037" s="78"/>
      <c r="BO1037" s="66"/>
      <c r="BP1037" s="66"/>
    </row>
    <row r="1038" spans="1:68" ht="13.2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/>
      <c r="AQ1038" s="75"/>
      <c r="AR1038" s="75"/>
      <c r="AS1038" s="75"/>
      <c r="AT1038" s="75"/>
      <c r="AU1038" s="75"/>
      <c r="AV1038" s="75"/>
      <c r="AW1038" s="75"/>
      <c r="AX1038" s="75"/>
      <c r="AY1038" s="67"/>
      <c r="AZ1038" s="75"/>
      <c r="BA1038" s="67"/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8"/>
      <c r="BL1038" s="78"/>
      <c r="BM1038" s="78"/>
      <c r="BN1038" s="78"/>
      <c r="BO1038" s="66"/>
      <c r="BP1038" s="66"/>
    </row>
    <row r="1039" spans="1:68" ht="13.2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/>
      <c r="AQ1039" s="75"/>
      <c r="AR1039" s="75"/>
      <c r="AS1039" s="75"/>
      <c r="AT1039" s="75"/>
      <c r="AU1039" s="75"/>
      <c r="AV1039" s="75"/>
      <c r="AW1039" s="75"/>
      <c r="AX1039" s="75"/>
      <c r="AY1039" s="67"/>
      <c r="AZ1039" s="75"/>
      <c r="BA1039" s="67"/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8"/>
      <c r="BL1039" s="78"/>
      <c r="BM1039" s="78"/>
      <c r="BN1039" s="78"/>
      <c r="BO1039" s="66"/>
      <c r="BP1039" s="66"/>
    </row>
    <row r="1040" spans="1:68" ht="13.2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/>
      <c r="AQ1040" s="75"/>
      <c r="AR1040" s="75"/>
      <c r="AS1040" s="75"/>
      <c r="AT1040" s="75"/>
      <c r="AU1040" s="75"/>
      <c r="AV1040" s="75"/>
      <c r="AW1040" s="75"/>
      <c r="AX1040" s="75"/>
      <c r="AY1040" s="67"/>
      <c r="AZ1040" s="75"/>
      <c r="BA1040" s="67"/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8"/>
      <c r="BL1040" s="78"/>
      <c r="BM1040" s="78"/>
      <c r="BN1040" s="78"/>
      <c r="BO1040" s="66"/>
      <c r="BP1040" s="66"/>
    </row>
    <row r="1041" spans="1:68" ht="13.2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67"/>
      <c r="AZ1041" s="75"/>
      <c r="BA1041" s="67"/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8"/>
      <c r="BL1041" s="78"/>
      <c r="BM1041" s="78"/>
      <c r="BN1041" s="78"/>
      <c r="BO1041" s="66"/>
      <c r="BP1041" s="66"/>
    </row>
    <row r="1042" spans="1:68" ht="13.2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67"/>
      <c r="AZ1042" s="75"/>
      <c r="BA1042" s="67"/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8"/>
      <c r="BL1042" s="78"/>
      <c r="BM1042" s="78"/>
      <c r="BN1042" s="78"/>
      <c r="BO1042" s="66"/>
      <c r="BP1042" s="66"/>
    </row>
    <row r="1043" spans="1:68" ht="13.2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67"/>
      <c r="AZ1043" s="75"/>
      <c r="BA1043" s="67"/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8"/>
      <c r="BL1043" s="78"/>
      <c r="BM1043" s="78"/>
      <c r="BN1043" s="78"/>
      <c r="BO1043" s="66"/>
      <c r="BP1043" s="66"/>
    </row>
    <row r="1044" spans="1:68" ht="13.2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67"/>
      <c r="AZ1044" s="75"/>
      <c r="BA1044" s="67"/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8"/>
      <c r="BL1044" s="78"/>
      <c r="BM1044" s="78"/>
      <c r="BN1044" s="78"/>
      <c r="BO1044" s="66"/>
      <c r="BP1044" s="66"/>
    </row>
    <row r="1045" spans="1:68" ht="13.2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67"/>
      <c r="AZ1045" s="75"/>
      <c r="BA1045" s="67"/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8"/>
      <c r="BL1045" s="78"/>
      <c r="BM1045" s="78"/>
      <c r="BN1045" s="78"/>
      <c r="BO1045" s="66"/>
      <c r="BP1045" s="66"/>
    </row>
    <row r="1046" spans="1:68" ht="13.2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67"/>
      <c r="AZ1046" s="75"/>
      <c r="BA1046" s="67"/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8"/>
      <c r="BL1046" s="78"/>
      <c r="BM1046" s="78"/>
      <c r="BN1046" s="78"/>
      <c r="BO1046" s="66"/>
      <c r="BP1046" s="66"/>
    </row>
    <row r="1047" spans="1:68" ht="13.2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67"/>
      <c r="AZ1047" s="75"/>
      <c r="BA1047" s="67"/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8"/>
      <c r="BL1047" s="78"/>
      <c r="BM1047" s="78"/>
      <c r="BN1047" s="78"/>
      <c r="BO1047" s="66"/>
      <c r="BP1047" s="66"/>
    </row>
    <row r="1048" spans="1:68" ht="13.2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67"/>
      <c r="AZ1048" s="75"/>
      <c r="BA1048" s="67"/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8"/>
      <c r="BL1048" s="78"/>
      <c r="BM1048" s="78"/>
      <c r="BN1048" s="78"/>
      <c r="BO1048" s="66"/>
      <c r="BP1048" s="66"/>
    </row>
    <row r="1049" spans="1:68" ht="13.2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67"/>
      <c r="AZ1049" s="75"/>
      <c r="BA1049" s="67"/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8"/>
      <c r="BL1049" s="78"/>
      <c r="BM1049" s="78"/>
      <c r="BN1049" s="78"/>
      <c r="BO1049" s="66"/>
      <c r="BP1049" s="66"/>
    </row>
    <row r="1050" spans="1:68" ht="13.2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67"/>
      <c r="AZ1050" s="75"/>
      <c r="BA1050" s="67"/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8"/>
      <c r="BL1050" s="78"/>
      <c r="BM1050" s="78"/>
      <c r="BN1050" s="78"/>
      <c r="BO1050" s="66"/>
      <c r="BP1050" s="66"/>
    </row>
    <row r="1051" spans="1:68" ht="13.2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67"/>
      <c r="AZ1051" s="75"/>
      <c r="BA1051" s="67"/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8"/>
      <c r="BL1051" s="78"/>
      <c r="BM1051" s="78"/>
      <c r="BN1051" s="78"/>
      <c r="BO1051" s="66"/>
      <c r="BP1051" s="66"/>
    </row>
    <row r="1052" spans="1:68" ht="13.2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67"/>
      <c r="AZ1052" s="75"/>
      <c r="BA1052" s="67"/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8"/>
      <c r="BL1052" s="78"/>
      <c r="BM1052" s="78"/>
      <c r="BN1052" s="78"/>
      <c r="BO1052" s="66"/>
      <c r="BP1052" s="66"/>
    </row>
    <row r="1053" spans="1:68" ht="13.2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/>
      <c r="AQ1053" s="75"/>
      <c r="AR1053" s="75"/>
      <c r="AS1053" s="75"/>
      <c r="AT1053" s="75"/>
      <c r="AU1053" s="75"/>
      <c r="AV1053" s="75"/>
      <c r="AW1053" s="75"/>
      <c r="AX1053" s="75"/>
      <c r="AY1053" s="67"/>
      <c r="AZ1053" s="75"/>
      <c r="BA1053" s="67"/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8"/>
      <c r="BL1053" s="78"/>
      <c r="BM1053" s="78"/>
      <c r="BN1053" s="78"/>
      <c r="BO1053" s="66"/>
      <c r="BP1053" s="66"/>
    </row>
    <row r="1054" spans="1:68" ht="13.2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67"/>
      <c r="AZ1054" s="75"/>
      <c r="BA1054" s="67"/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8"/>
      <c r="BL1054" s="78"/>
      <c r="BM1054" s="78"/>
      <c r="BN1054" s="78"/>
      <c r="BO1054" s="66"/>
      <c r="BP1054" s="66"/>
    </row>
    <row r="1055" spans="1:68" ht="13.2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67"/>
      <c r="AZ1055" s="75"/>
      <c r="BA1055" s="67"/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8"/>
      <c r="BL1055" s="78"/>
      <c r="BM1055" s="78"/>
      <c r="BN1055" s="78"/>
      <c r="BO1055" s="66"/>
      <c r="BP1055" s="66"/>
    </row>
    <row r="1056" spans="1:68" ht="13.2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/>
      <c r="AQ1056" s="75"/>
      <c r="AR1056" s="75"/>
      <c r="AS1056" s="75"/>
      <c r="AT1056" s="75"/>
      <c r="AU1056" s="75"/>
      <c r="AV1056" s="75"/>
      <c r="AW1056" s="75"/>
      <c r="AX1056" s="75"/>
      <c r="AY1056" s="67"/>
      <c r="AZ1056" s="75"/>
      <c r="BA1056" s="67"/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8"/>
      <c r="BL1056" s="78"/>
      <c r="BM1056" s="78"/>
      <c r="BN1056" s="78"/>
      <c r="BO1056" s="66"/>
      <c r="BP1056" s="66"/>
    </row>
    <row r="1057" spans="1:68" ht="13.2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67"/>
      <c r="AZ1057" s="75"/>
      <c r="BA1057" s="67"/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8"/>
      <c r="BL1057" s="78"/>
      <c r="BM1057" s="78"/>
      <c r="BN1057" s="78"/>
      <c r="BO1057" s="66"/>
      <c r="BP1057" s="66"/>
    </row>
    <row r="1058" spans="1:68" ht="13.2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/>
      <c r="AQ1058" s="75"/>
      <c r="AR1058" s="75"/>
      <c r="AS1058" s="75"/>
      <c r="AT1058" s="75"/>
      <c r="AU1058" s="75"/>
      <c r="AV1058" s="75"/>
      <c r="AW1058" s="75"/>
      <c r="AX1058" s="75"/>
      <c r="AY1058" s="67"/>
      <c r="AZ1058" s="75"/>
      <c r="BA1058" s="67"/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8"/>
      <c r="BL1058" s="78"/>
      <c r="BM1058" s="78"/>
      <c r="BN1058" s="78"/>
      <c r="BO1058" s="66"/>
      <c r="BP1058" s="66"/>
    </row>
    <row r="1059" spans="1:68" ht="13.2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67"/>
      <c r="AZ1059" s="75"/>
      <c r="BA1059" s="67"/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8"/>
      <c r="BL1059" s="78"/>
      <c r="BM1059" s="78"/>
      <c r="BN1059" s="78"/>
      <c r="BO1059" s="66"/>
      <c r="BP1059" s="66"/>
    </row>
    <row r="1060" spans="1:68" ht="13.2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67"/>
      <c r="AZ1060" s="75"/>
      <c r="BA1060" s="67"/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8"/>
      <c r="BL1060" s="78"/>
      <c r="BM1060" s="78"/>
      <c r="BN1060" s="78"/>
      <c r="BO1060" s="66"/>
      <c r="BP1060" s="66"/>
    </row>
    <row r="1061" spans="1:68" ht="13.2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/>
      <c r="AQ1061" s="75"/>
      <c r="AR1061" s="75"/>
      <c r="AS1061" s="75"/>
      <c r="AT1061" s="75"/>
      <c r="AU1061" s="75"/>
      <c r="AV1061" s="75"/>
      <c r="AW1061" s="75"/>
      <c r="AX1061" s="75"/>
      <c r="AY1061" s="67"/>
      <c r="AZ1061" s="75"/>
      <c r="BA1061" s="67"/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8"/>
      <c r="BL1061" s="78"/>
      <c r="BM1061" s="78"/>
      <c r="BN1061" s="78"/>
      <c r="BO1061" s="66"/>
      <c r="BP1061" s="66"/>
    </row>
    <row r="1062" spans="1:68" ht="13.2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67"/>
      <c r="AZ1062" s="75"/>
      <c r="BA1062" s="67"/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8"/>
      <c r="BL1062" s="78"/>
      <c r="BM1062" s="78"/>
      <c r="BN1062" s="78"/>
      <c r="BO1062" s="66"/>
      <c r="BP1062" s="66"/>
    </row>
    <row r="1063" spans="1:68" ht="13.2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67"/>
      <c r="AZ1063" s="75"/>
      <c r="BA1063" s="67"/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8"/>
      <c r="BL1063" s="78"/>
      <c r="BM1063" s="78"/>
      <c r="BN1063" s="78"/>
      <c r="BO1063" s="66"/>
      <c r="BP1063" s="66"/>
    </row>
    <row r="1064" spans="1:68" ht="13.2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/>
      <c r="AQ1064" s="75"/>
      <c r="AR1064" s="75"/>
      <c r="AS1064" s="75"/>
      <c r="AT1064" s="75"/>
      <c r="AU1064" s="75"/>
      <c r="AV1064" s="75"/>
      <c r="AW1064" s="75"/>
      <c r="AX1064" s="75"/>
      <c r="AY1064" s="67"/>
      <c r="AZ1064" s="75"/>
      <c r="BA1064" s="67"/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8"/>
      <c r="BL1064" s="78"/>
      <c r="BM1064" s="78"/>
      <c r="BN1064" s="78"/>
      <c r="BO1064" s="66"/>
      <c r="BP1064" s="66"/>
    </row>
    <row r="1065" spans="1:68" ht="13.2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67"/>
      <c r="AZ1065" s="75"/>
      <c r="BA1065" s="67"/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8"/>
      <c r="BL1065" s="78"/>
      <c r="BM1065" s="78"/>
      <c r="BN1065" s="78"/>
      <c r="BO1065" s="66"/>
      <c r="BP1065" s="66"/>
    </row>
    <row r="1066" spans="1:68" ht="13.2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67"/>
      <c r="AZ1066" s="75"/>
      <c r="BA1066" s="67"/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8"/>
      <c r="BL1066" s="78"/>
      <c r="BM1066" s="78"/>
      <c r="BN1066" s="78"/>
      <c r="BO1066" s="66"/>
      <c r="BP1066" s="66"/>
    </row>
    <row r="1067" spans="1:68" ht="13.2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67"/>
      <c r="AZ1067" s="75"/>
      <c r="BA1067" s="67"/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8"/>
      <c r="BL1067" s="78"/>
      <c r="BM1067" s="78"/>
      <c r="BN1067" s="78"/>
      <c r="BO1067" s="66"/>
      <c r="BP1067" s="66"/>
    </row>
    <row r="1068" spans="1:68" ht="13.2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/>
      <c r="AQ1068" s="75"/>
      <c r="AR1068" s="75"/>
      <c r="AS1068" s="75"/>
      <c r="AT1068" s="75"/>
      <c r="AU1068" s="75"/>
      <c r="AV1068" s="75"/>
      <c r="AW1068" s="75"/>
      <c r="AX1068" s="75"/>
      <c r="AY1068" s="67"/>
      <c r="AZ1068" s="75"/>
      <c r="BA1068" s="67"/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8"/>
      <c r="BL1068" s="78"/>
      <c r="BM1068" s="78"/>
      <c r="BN1068" s="78"/>
      <c r="BO1068" s="66"/>
      <c r="BP1068" s="66"/>
    </row>
    <row r="1069" spans="1:68" ht="13.2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/>
      <c r="AQ1069" s="75"/>
      <c r="AR1069" s="75"/>
      <c r="AS1069" s="75"/>
      <c r="AT1069" s="75"/>
      <c r="AU1069" s="75"/>
      <c r="AV1069" s="75"/>
      <c r="AW1069" s="75"/>
      <c r="AX1069" s="75"/>
      <c r="AY1069" s="67"/>
      <c r="AZ1069" s="75"/>
      <c r="BA1069" s="67"/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8"/>
      <c r="BL1069" s="78"/>
      <c r="BM1069" s="78"/>
      <c r="BN1069" s="78"/>
      <c r="BO1069" s="66"/>
      <c r="BP1069" s="66"/>
    </row>
    <row r="1070" spans="1:68" ht="13.2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67"/>
      <c r="AZ1070" s="75"/>
      <c r="BA1070" s="67"/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8"/>
      <c r="BL1070" s="78"/>
      <c r="BM1070" s="78"/>
      <c r="BN1070" s="78"/>
      <c r="BO1070" s="66"/>
      <c r="BP1070" s="66"/>
    </row>
    <row r="1071" spans="1:68" ht="13.2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67"/>
      <c r="AZ1071" s="75"/>
      <c r="BA1071" s="67"/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8"/>
      <c r="BL1071" s="78"/>
      <c r="BM1071" s="78"/>
      <c r="BN1071" s="78"/>
      <c r="BO1071" s="66"/>
      <c r="BP1071" s="66"/>
    </row>
    <row r="1072" spans="1:68" ht="13.2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/>
      <c r="AQ1072" s="75"/>
      <c r="AR1072" s="75"/>
      <c r="AS1072" s="75"/>
      <c r="AT1072" s="75"/>
      <c r="AU1072" s="75"/>
      <c r="AV1072" s="75"/>
      <c r="AW1072" s="75"/>
      <c r="AX1072" s="75"/>
      <c r="AY1072" s="67"/>
      <c r="AZ1072" s="75"/>
      <c r="BA1072" s="67"/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8"/>
      <c r="BL1072" s="78"/>
      <c r="BM1072" s="78"/>
      <c r="BN1072" s="78"/>
      <c r="BO1072" s="66"/>
      <c r="BP1072" s="66"/>
    </row>
    <row r="1073" spans="1:68" ht="13.2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/>
      <c r="AQ1073" s="75"/>
      <c r="AR1073" s="75"/>
      <c r="AS1073" s="75"/>
      <c r="AT1073" s="75"/>
      <c r="AU1073" s="75"/>
      <c r="AV1073" s="75"/>
      <c r="AW1073" s="75"/>
      <c r="AX1073" s="75"/>
      <c r="AY1073" s="67"/>
      <c r="AZ1073" s="75"/>
      <c r="BA1073" s="67"/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8"/>
      <c r="BL1073" s="78"/>
      <c r="BM1073" s="78"/>
      <c r="BN1073" s="78"/>
      <c r="BO1073" s="66"/>
      <c r="BP1073" s="66"/>
    </row>
    <row r="1074" spans="1:68" ht="13.2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67"/>
      <c r="AZ1074" s="75"/>
      <c r="BA1074" s="67"/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8"/>
      <c r="BL1074" s="78"/>
      <c r="BM1074" s="78"/>
      <c r="BN1074" s="78"/>
      <c r="BO1074" s="66"/>
      <c r="BP1074" s="66"/>
    </row>
    <row r="1075" spans="1:68" ht="13.2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67"/>
      <c r="AZ1075" s="75"/>
      <c r="BA1075" s="67"/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8"/>
      <c r="BL1075" s="78"/>
      <c r="BM1075" s="78"/>
      <c r="BN1075" s="78"/>
      <c r="BO1075" s="66"/>
      <c r="BP1075" s="66"/>
    </row>
    <row r="1076" spans="1:68" ht="13.2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67"/>
      <c r="AZ1076" s="75"/>
      <c r="BA1076" s="67"/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8"/>
      <c r="BL1076" s="78"/>
      <c r="BM1076" s="78"/>
      <c r="BN1076" s="78"/>
      <c r="BO1076" s="66"/>
      <c r="BP1076" s="66"/>
    </row>
    <row r="1077" spans="1:68" ht="13.2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67"/>
      <c r="AZ1077" s="75"/>
      <c r="BA1077" s="67"/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8"/>
      <c r="BL1077" s="78"/>
      <c r="BM1077" s="78"/>
      <c r="BN1077" s="78"/>
      <c r="BO1077" s="66"/>
      <c r="BP1077" s="66"/>
    </row>
    <row r="1078" spans="1:68" ht="13.2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67"/>
      <c r="AZ1078" s="75"/>
      <c r="BA1078" s="67"/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8"/>
      <c r="BL1078" s="78"/>
      <c r="BM1078" s="78"/>
      <c r="BN1078" s="78"/>
      <c r="BO1078" s="66"/>
      <c r="BP1078" s="66"/>
    </row>
    <row r="1079" spans="1:68" ht="13.2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67"/>
      <c r="AZ1079" s="75"/>
      <c r="BA1079" s="67"/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8"/>
      <c r="BL1079" s="78"/>
      <c r="BM1079" s="78"/>
      <c r="BN1079" s="78"/>
      <c r="BO1079" s="66"/>
      <c r="BP1079" s="66"/>
    </row>
    <row r="1080" spans="1:68" ht="13.2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67"/>
      <c r="AZ1080" s="75"/>
      <c r="BA1080" s="67"/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8"/>
      <c r="BL1080" s="78"/>
      <c r="BM1080" s="78"/>
      <c r="BN1080" s="78"/>
      <c r="BO1080" s="66"/>
      <c r="BP1080" s="66"/>
    </row>
    <row r="1081" spans="1:68" ht="13.2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67"/>
      <c r="AZ1081" s="75"/>
      <c r="BA1081" s="67"/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8"/>
      <c r="BL1081" s="78"/>
      <c r="BM1081" s="78"/>
      <c r="BN1081" s="78"/>
      <c r="BO1081" s="66"/>
      <c r="BP1081" s="66"/>
    </row>
    <row r="1082" spans="1:68" ht="13.2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67"/>
      <c r="AZ1082" s="75"/>
      <c r="BA1082" s="67"/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8"/>
      <c r="BL1082" s="78"/>
      <c r="BM1082" s="78"/>
      <c r="BN1082" s="78"/>
      <c r="BO1082" s="66"/>
      <c r="BP1082" s="66"/>
    </row>
    <row r="1083" spans="1:68" ht="13.2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67"/>
      <c r="AZ1083" s="75"/>
      <c r="BA1083" s="67"/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8"/>
      <c r="BL1083" s="78"/>
      <c r="BM1083" s="78"/>
      <c r="BN1083" s="78"/>
      <c r="BO1083" s="66"/>
      <c r="BP1083" s="66"/>
    </row>
    <row r="1084" spans="1:68" ht="13.2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67"/>
      <c r="AZ1084" s="75"/>
      <c r="BA1084" s="67"/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8"/>
      <c r="BL1084" s="78"/>
      <c r="BM1084" s="78"/>
      <c r="BN1084" s="78"/>
      <c r="BO1084" s="66"/>
      <c r="BP1084" s="66"/>
    </row>
    <row r="1085" spans="1:68" ht="13.2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67"/>
      <c r="AZ1085" s="75"/>
      <c r="BA1085" s="67"/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8"/>
      <c r="BL1085" s="78"/>
      <c r="BM1085" s="78"/>
      <c r="BN1085" s="78"/>
      <c r="BO1085" s="66"/>
      <c r="BP1085" s="66"/>
    </row>
    <row r="1086" spans="1:68" ht="13.2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67"/>
      <c r="AZ1086" s="75"/>
      <c r="BA1086" s="67"/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8"/>
      <c r="BL1086" s="78"/>
      <c r="BM1086" s="78"/>
      <c r="BN1086" s="78"/>
      <c r="BO1086" s="66"/>
      <c r="BP1086" s="66"/>
    </row>
    <row r="1087" spans="1:68" ht="13.2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67"/>
      <c r="AZ1087" s="75"/>
      <c r="BA1087" s="67"/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8"/>
      <c r="BL1087" s="78"/>
      <c r="BM1087" s="78"/>
      <c r="BN1087" s="78"/>
      <c r="BO1087" s="66"/>
      <c r="BP1087" s="66"/>
    </row>
    <row r="1088" spans="1:68" ht="13.2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67"/>
      <c r="AZ1088" s="75"/>
      <c r="BA1088" s="67"/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8"/>
      <c r="BL1088" s="78"/>
      <c r="BM1088" s="78"/>
      <c r="BN1088" s="78"/>
      <c r="BO1088" s="66"/>
      <c r="BP1088" s="66"/>
    </row>
    <row r="1089" spans="1:68" ht="13.2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67"/>
      <c r="AZ1089" s="75"/>
      <c r="BA1089" s="67"/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8"/>
      <c r="BL1089" s="78"/>
      <c r="BM1089" s="78"/>
      <c r="BN1089" s="78"/>
      <c r="BO1089" s="66"/>
      <c r="BP1089" s="66"/>
    </row>
    <row r="1090" spans="1:68" ht="13.2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67"/>
      <c r="AZ1090" s="75"/>
      <c r="BA1090" s="67"/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8"/>
      <c r="BL1090" s="78"/>
      <c r="BM1090" s="78"/>
      <c r="BN1090" s="78"/>
      <c r="BO1090" s="66"/>
      <c r="BP1090" s="66"/>
    </row>
    <row r="1091" spans="1:68" ht="13.2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67"/>
      <c r="AZ1091" s="75"/>
      <c r="BA1091" s="67"/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8"/>
      <c r="BL1091" s="78"/>
      <c r="BM1091" s="78"/>
      <c r="BN1091" s="78"/>
      <c r="BO1091" s="66"/>
      <c r="BP1091" s="66"/>
    </row>
    <row r="1092" spans="1:68" ht="13.2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67"/>
      <c r="AZ1092" s="75"/>
      <c r="BA1092" s="67"/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8"/>
      <c r="BL1092" s="78"/>
      <c r="BM1092" s="78"/>
      <c r="BN1092" s="78"/>
      <c r="BO1092" s="66"/>
      <c r="BP1092" s="66"/>
    </row>
    <row r="1093" spans="1:68" ht="13.2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67"/>
      <c r="AZ1093" s="75"/>
      <c r="BA1093" s="67"/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8"/>
      <c r="BL1093" s="78"/>
      <c r="BM1093" s="78"/>
      <c r="BN1093" s="78"/>
      <c r="BO1093" s="66"/>
      <c r="BP1093" s="66"/>
    </row>
    <row r="1094" spans="1:68" ht="13.2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67"/>
      <c r="AZ1094" s="75"/>
      <c r="BA1094" s="67"/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8"/>
      <c r="BL1094" s="78"/>
      <c r="BM1094" s="78"/>
      <c r="BN1094" s="78"/>
      <c r="BO1094" s="66"/>
      <c r="BP1094" s="66"/>
    </row>
    <row r="1095" spans="1:68" ht="13.2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67"/>
      <c r="AZ1095" s="75"/>
      <c r="BA1095" s="67"/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8"/>
      <c r="BL1095" s="78"/>
      <c r="BM1095" s="78"/>
      <c r="BN1095" s="78"/>
      <c r="BO1095" s="66"/>
      <c r="BP1095" s="66"/>
    </row>
    <row r="1096" spans="1:68" ht="13.2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67"/>
      <c r="AZ1096" s="75"/>
      <c r="BA1096" s="67"/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8"/>
      <c r="BL1096" s="78"/>
      <c r="BM1096" s="78"/>
      <c r="BN1096" s="78"/>
      <c r="BO1096" s="66"/>
      <c r="BP1096" s="66"/>
    </row>
    <row r="1097" spans="1:68" ht="13.2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67"/>
      <c r="AZ1097" s="75"/>
      <c r="BA1097" s="67"/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8"/>
      <c r="BL1097" s="78"/>
      <c r="BM1097" s="78"/>
      <c r="BN1097" s="78"/>
      <c r="BO1097" s="66"/>
      <c r="BP1097" s="66"/>
    </row>
    <row r="1098" spans="1:68" ht="13.2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67"/>
      <c r="AZ1098" s="75"/>
      <c r="BA1098" s="67"/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8"/>
      <c r="BL1098" s="78"/>
      <c r="BM1098" s="78"/>
      <c r="BN1098" s="78"/>
      <c r="BO1098" s="66"/>
      <c r="BP1098" s="66"/>
    </row>
    <row r="1099" spans="1:68" ht="13.2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67"/>
      <c r="AZ1099" s="75"/>
      <c r="BA1099" s="67"/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8"/>
      <c r="BL1099" s="78"/>
      <c r="BM1099" s="78"/>
      <c r="BN1099" s="78"/>
      <c r="BO1099" s="66"/>
      <c r="BP1099" s="66"/>
    </row>
    <row r="1100" spans="1:68" ht="13.2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67"/>
      <c r="AZ1100" s="75"/>
      <c r="BA1100" s="67"/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8"/>
      <c r="BL1100" s="78"/>
      <c r="BM1100" s="78"/>
      <c r="BN1100" s="78"/>
      <c r="BO1100" s="66"/>
      <c r="BP1100" s="66"/>
    </row>
    <row r="1101" spans="1:68" ht="13.2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/>
      <c r="AQ1101" s="75"/>
      <c r="AR1101" s="75"/>
      <c r="AS1101" s="75"/>
      <c r="AT1101" s="75"/>
      <c r="AU1101" s="75"/>
      <c r="AV1101" s="75"/>
      <c r="AW1101" s="75"/>
      <c r="AX1101" s="75"/>
      <c r="AY1101" s="67"/>
      <c r="AZ1101" s="75"/>
      <c r="BA1101" s="67"/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8"/>
      <c r="BL1101" s="78"/>
      <c r="BM1101" s="78"/>
      <c r="BN1101" s="78"/>
      <c r="BO1101" s="66"/>
      <c r="BP1101" s="66"/>
    </row>
    <row r="1102" spans="1:68" ht="13.2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67"/>
      <c r="AZ1102" s="75"/>
      <c r="BA1102" s="67"/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8"/>
      <c r="BL1102" s="78"/>
      <c r="BM1102" s="78"/>
      <c r="BN1102" s="78"/>
      <c r="BO1102" s="66"/>
      <c r="BP1102" s="66"/>
    </row>
    <row r="1103" spans="1:68" ht="13.2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67"/>
      <c r="AZ1103" s="75"/>
      <c r="BA1103" s="67"/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8"/>
      <c r="BL1103" s="78"/>
      <c r="BM1103" s="78"/>
      <c r="BN1103" s="78"/>
      <c r="BO1103" s="66"/>
      <c r="BP1103" s="66"/>
    </row>
    <row r="1104" spans="1:68" ht="13.2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67"/>
      <c r="AZ1104" s="75"/>
      <c r="BA1104" s="67"/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8"/>
      <c r="BL1104" s="78"/>
      <c r="BM1104" s="78"/>
      <c r="BN1104" s="78"/>
      <c r="BO1104" s="66"/>
      <c r="BP1104" s="66"/>
    </row>
    <row r="1105" spans="1:68" ht="13.2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67"/>
      <c r="AZ1105" s="75"/>
      <c r="BA1105" s="67"/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8"/>
      <c r="BL1105" s="78"/>
      <c r="BM1105" s="78"/>
      <c r="BN1105" s="78"/>
      <c r="BO1105" s="66"/>
      <c r="BP1105" s="66"/>
    </row>
    <row r="1106" spans="1:68" ht="13.2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67"/>
      <c r="AZ1106" s="75"/>
      <c r="BA1106" s="67"/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8"/>
      <c r="BL1106" s="78"/>
      <c r="BM1106" s="78"/>
      <c r="BN1106" s="78"/>
      <c r="BO1106" s="66"/>
      <c r="BP1106" s="66"/>
    </row>
    <row r="1107" spans="1:68" ht="13.2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67"/>
      <c r="AZ1107" s="75"/>
      <c r="BA1107" s="67"/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8"/>
      <c r="BL1107" s="78"/>
      <c r="BM1107" s="78"/>
      <c r="BN1107" s="78"/>
      <c r="BO1107" s="66"/>
      <c r="BP1107" s="66"/>
    </row>
    <row r="1108" spans="1:68" ht="13.2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67"/>
      <c r="AZ1108" s="75"/>
      <c r="BA1108" s="67"/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8"/>
      <c r="BL1108" s="78"/>
      <c r="BM1108" s="78"/>
      <c r="BN1108" s="78"/>
      <c r="BO1108" s="66"/>
      <c r="BP1108" s="66"/>
    </row>
    <row r="1109" spans="1:68" ht="13.2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67"/>
      <c r="AZ1109" s="75"/>
      <c r="BA1109" s="67"/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8"/>
      <c r="BL1109" s="78"/>
      <c r="BM1109" s="78"/>
      <c r="BN1109" s="78"/>
      <c r="BO1109" s="66"/>
      <c r="BP1109" s="66"/>
    </row>
    <row r="1110" spans="1:68" ht="13.2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67"/>
      <c r="AZ1110" s="75"/>
      <c r="BA1110" s="67"/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8"/>
      <c r="BL1110" s="78"/>
      <c r="BM1110" s="78"/>
      <c r="BN1110" s="78"/>
      <c r="BO1110" s="66"/>
      <c r="BP1110" s="66"/>
    </row>
    <row r="1111" spans="1:68" ht="13.2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/>
      <c r="AQ1111" s="75"/>
      <c r="AR1111" s="75"/>
      <c r="AS1111" s="75"/>
      <c r="AT1111" s="75"/>
      <c r="AU1111" s="75"/>
      <c r="AV1111" s="75"/>
      <c r="AW1111" s="75"/>
      <c r="AX1111" s="75"/>
      <c r="AY1111" s="67"/>
      <c r="AZ1111" s="75"/>
      <c r="BA1111" s="67"/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8"/>
      <c r="BL1111" s="78"/>
      <c r="BM1111" s="78"/>
      <c r="BN1111" s="78"/>
      <c r="BO1111" s="66"/>
      <c r="BP1111" s="66"/>
    </row>
    <row r="1112" spans="1:68" ht="13.2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/>
      <c r="AQ1112" s="75"/>
      <c r="AR1112" s="75"/>
      <c r="AS1112" s="75"/>
      <c r="AT1112" s="75"/>
      <c r="AU1112" s="75"/>
      <c r="AV1112" s="75"/>
      <c r="AW1112" s="75"/>
      <c r="AX1112" s="75"/>
      <c r="AY1112" s="67"/>
      <c r="AZ1112" s="75"/>
      <c r="BA1112" s="67"/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8"/>
      <c r="BL1112" s="78"/>
      <c r="BM1112" s="78"/>
      <c r="BN1112" s="78"/>
      <c r="BO1112" s="66"/>
      <c r="BP1112" s="66"/>
    </row>
    <row r="1113" spans="1:68" ht="13.2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/>
      <c r="AQ1113" s="75"/>
      <c r="AR1113" s="75"/>
      <c r="AS1113" s="75"/>
      <c r="AT1113" s="75"/>
      <c r="AU1113" s="75"/>
      <c r="AV1113" s="75"/>
      <c r="AW1113" s="75"/>
      <c r="AX1113" s="75"/>
      <c r="AY1113" s="67"/>
      <c r="AZ1113" s="75"/>
      <c r="BA1113" s="67"/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8"/>
      <c r="BL1113" s="78"/>
      <c r="BM1113" s="78"/>
      <c r="BN1113" s="78"/>
      <c r="BO1113" s="66"/>
      <c r="BP1113" s="66"/>
    </row>
    <row r="1114" spans="1:68" ht="13.2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/>
      <c r="AQ1114" s="75"/>
      <c r="AR1114" s="75"/>
      <c r="AS1114" s="75"/>
      <c r="AT1114" s="75"/>
      <c r="AU1114" s="75"/>
      <c r="AV1114" s="75"/>
      <c r="AW1114" s="75"/>
      <c r="AX1114" s="75"/>
      <c r="AY1114" s="67"/>
      <c r="AZ1114" s="75"/>
      <c r="BA1114" s="67"/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8"/>
      <c r="BL1114" s="78"/>
      <c r="BM1114" s="78"/>
      <c r="BN1114" s="78"/>
      <c r="BO1114" s="66"/>
      <c r="BP1114" s="66"/>
    </row>
    <row r="1115" spans="1:68" ht="13.2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/>
      <c r="AQ1115" s="75"/>
      <c r="AR1115" s="75"/>
      <c r="AS1115" s="75"/>
      <c r="AT1115" s="75"/>
      <c r="AU1115" s="75"/>
      <c r="AV1115" s="75"/>
      <c r="AW1115" s="75"/>
      <c r="AX1115" s="75"/>
      <c r="AY1115" s="67"/>
      <c r="AZ1115" s="75"/>
      <c r="BA1115" s="67"/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8"/>
      <c r="BL1115" s="78"/>
      <c r="BM1115" s="78"/>
      <c r="BN1115" s="78"/>
      <c r="BO1115" s="66"/>
      <c r="BP1115" s="66"/>
    </row>
    <row r="1116" spans="1:68" ht="13.2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/>
      <c r="AQ1116" s="75"/>
      <c r="AR1116" s="75"/>
      <c r="AS1116" s="75"/>
      <c r="AT1116" s="75"/>
      <c r="AU1116" s="75"/>
      <c r="AV1116" s="75"/>
      <c r="AW1116" s="75"/>
      <c r="AX1116" s="75"/>
      <c r="AY1116" s="67"/>
      <c r="AZ1116" s="75"/>
      <c r="BA1116" s="67"/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8"/>
      <c r="BL1116" s="78"/>
      <c r="BM1116" s="78"/>
      <c r="BN1116" s="78"/>
      <c r="BO1116" s="66"/>
      <c r="BP1116" s="66"/>
    </row>
    <row r="1117" spans="1:68" ht="13.2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/>
      <c r="AQ1117" s="75"/>
      <c r="AR1117" s="75"/>
      <c r="AS1117" s="75"/>
      <c r="AT1117" s="75"/>
      <c r="AU1117" s="75"/>
      <c r="AV1117" s="75"/>
      <c r="AW1117" s="75"/>
      <c r="AX1117" s="75"/>
      <c r="AY1117" s="67"/>
      <c r="AZ1117" s="75"/>
      <c r="BA1117" s="67"/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8"/>
      <c r="BL1117" s="78"/>
      <c r="BM1117" s="78"/>
      <c r="BN1117" s="78"/>
      <c r="BO1117" s="66"/>
      <c r="BP1117" s="66"/>
    </row>
    <row r="1118" spans="1:68" ht="13.2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/>
      <c r="AQ1118" s="75"/>
      <c r="AR1118" s="75"/>
      <c r="AS1118" s="75"/>
      <c r="AT1118" s="75"/>
      <c r="AU1118" s="75"/>
      <c r="AV1118" s="75"/>
      <c r="AW1118" s="75"/>
      <c r="AX1118" s="75"/>
      <c r="AY1118" s="67"/>
      <c r="AZ1118" s="75"/>
      <c r="BA1118" s="67"/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8"/>
      <c r="BL1118" s="78"/>
      <c r="BM1118" s="78"/>
      <c r="BN1118" s="78"/>
      <c r="BO1118" s="66"/>
      <c r="BP1118" s="66"/>
    </row>
    <row r="1119" spans="1:68" ht="13.2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/>
      <c r="AQ1119" s="75"/>
      <c r="AR1119" s="75"/>
      <c r="AS1119" s="75"/>
      <c r="AT1119" s="75"/>
      <c r="AU1119" s="75"/>
      <c r="AV1119" s="75"/>
      <c r="AW1119" s="75"/>
      <c r="AX1119" s="75"/>
      <c r="AY1119" s="67"/>
      <c r="AZ1119" s="75"/>
      <c r="BA1119" s="67"/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8"/>
      <c r="BL1119" s="78"/>
      <c r="BM1119" s="78"/>
      <c r="BN1119" s="78"/>
      <c r="BO1119" s="66"/>
      <c r="BP1119" s="66"/>
    </row>
    <row r="1120" spans="1:68" ht="13.2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/>
      <c r="AQ1120" s="75"/>
      <c r="AR1120" s="75"/>
      <c r="AS1120" s="75"/>
      <c r="AT1120" s="75"/>
      <c r="AU1120" s="75"/>
      <c r="AV1120" s="75"/>
      <c r="AW1120" s="75"/>
      <c r="AX1120" s="75"/>
      <c r="AY1120" s="67"/>
      <c r="AZ1120" s="75"/>
      <c r="BA1120" s="67"/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8"/>
      <c r="BL1120" s="78"/>
      <c r="BM1120" s="78"/>
      <c r="BN1120" s="78"/>
      <c r="BO1120" s="66"/>
      <c r="BP1120" s="66"/>
    </row>
    <row r="1121" spans="1:68" ht="13.2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/>
      <c r="AQ1121" s="75"/>
      <c r="AR1121" s="75"/>
      <c r="AS1121" s="75"/>
      <c r="AT1121" s="75"/>
      <c r="AU1121" s="75"/>
      <c r="AV1121" s="75"/>
      <c r="AW1121" s="75"/>
      <c r="AX1121" s="75"/>
      <c r="AY1121" s="67"/>
      <c r="AZ1121" s="75"/>
      <c r="BA1121" s="67"/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8"/>
      <c r="BL1121" s="78"/>
      <c r="BM1121" s="78"/>
      <c r="BN1121" s="78"/>
      <c r="BO1121" s="66"/>
      <c r="BP1121" s="66"/>
    </row>
    <row r="1122" spans="1:68" ht="13.2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/>
      <c r="AQ1122" s="75"/>
      <c r="AR1122" s="75"/>
      <c r="AS1122" s="75"/>
      <c r="AT1122" s="75"/>
      <c r="AU1122" s="75"/>
      <c r="AV1122" s="75"/>
      <c r="AW1122" s="75"/>
      <c r="AX1122" s="75"/>
      <c r="AY1122" s="67"/>
      <c r="AZ1122" s="75"/>
      <c r="BA1122" s="67"/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8"/>
      <c r="BL1122" s="78"/>
      <c r="BM1122" s="78"/>
      <c r="BN1122" s="78"/>
      <c r="BO1122" s="66"/>
      <c r="BP1122" s="66"/>
    </row>
    <row r="1123" spans="1:68" ht="13.2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/>
      <c r="AQ1123" s="75"/>
      <c r="AR1123" s="75"/>
      <c r="AS1123" s="75"/>
      <c r="AT1123" s="75"/>
      <c r="AU1123" s="75"/>
      <c r="AV1123" s="75"/>
      <c r="AW1123" s="75"/>
      <c r="AX1123" s="75"/>
      <c r="AY1123" s="67"/>
      <c r="AZ1123" s="75"/>
      <c r="BA1123" s="67"/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8"/>
      <c r="BL1123" s="78"/>
      <c r="BM1123" s="78"/>
      <c r="BN1123" s="78"/>
      <c r="BO1123" s="66"/>
      <c r="BP1123" s="66"/>
    </row>
    <row r="1124" spans="1:68" ht="13.2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/>
      <c r="AQ1124" s="75"/>
      <c r="AR1124" s="75"/>
      <c r="AS1124" s="75"/>
      <c r="AT1124" s="75"/>
      <c r="AU1124" s="75"/>
      <c r="AV1124" s="75"/>
      <c r="AW1124" s="75"/>
      <c r="AX1124" s="75"/>
      <c r="AY1124" s="67"/>
      <c r="AZ1124" s="75"/>
      <c r="BA1124" s="67"/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8"/>
      <c r="BL1124" s="78"/>
      <c r="BM1124" s="78"/>
      <c r="BN1124" s="78"/>
      <c r="BO1124" s="66"/>
      <c r="BP1124" s="66"/>
    </row>
    <row r="1125" spans="1:68" ht="13.2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/>
      <c r="AQ1125" s="75"/>
      <c r="AR1125" s="75"/>
      <c r="AS1125" s="75"/>
      <c r="AT1125" s="75"/>
      <c r="AU1125" s="75"/>
      <c r="AV1125" s="75"/>
      <c r="AW1125" s="75"/>
      <c r="AX1125" s="75"/>
      <c r="AY1125" s="67"/>
      <c r="AZ1125" s="75"/>
      <c r="BA1125" s="67"/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8"/>
      <c r="BL1125" s="78"/>
      <c r="BM1125" s="78"/>
      <c r="BN1125" s="78"/>
      <c r="BO1125" s="66"/>
      <c r="BP1125" s="66"/>
    </row>
    <row r="1126" spans="1:68" ht="13.2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/>
      <c r="AQ1126" s="75"/>
      <c r="AR1126" s="75"/>
      <c r="AS1126" s="75"/>
      <c r="AT1126" s="75"/>
      <c r="AU1126" s="75"/>
      <c r="AV1126" s="75"/>
      <c r="AW1126" s="75"/>
      <c r="AX1126" s="75"/>
      <c r="AY1126" s="67"/>
      <c r="AZ1126" s="75"/>
      <c r="BA1126" s="67"/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8"/>
      <c r="BL1126" s="78"/>
      <c r="BM1126" s="78"/>
      <c r="BN1126" s="78"/>
      <c r="BO1126" s="66"/>
      <c r="BP1126" s="66"/>
    </row>
    <row r="1127" spans="1:68" ht="13.2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/>
      <c r="AQ1127" s="75"/>
      <c r="AR1127" s="75"/>
      <c r="AS1127" s="75"/>
      <c r="AT1127" s="75"/>
      <c r="AU1127" s="75"/>
      <c r="AV1127" s="75"/>
      <c r="AW1127" s="75"/>
      <c r="AX1127" s="75"/>
      <c r="AY1127" s="67"/>
      <c r="AZ1127" s="75"/>
      <c r="BA1127" s="67"/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8"/>
      <c r="BL1127" s="78"/>
      <c r="BM1127" s="78"/>
      <c r="BN1127" s="78"/>
      <c r="BO1127" s="66"/>
      <c r="BP1127" s="66"/>
    </row>
    <row r="1128" spans="1:68" ht="13.2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/>
      <c r="AQ1128" s="75"/>
      <c r="AR1128" s="75"/>
      <c r="AS1128" s="75"/>
      <c r="AT1128" s="75"/>
      <c r="AU1128" s="75"/>
      <c r="AV1128" s="75"/>
      <c r="AW1128" s="75"/>
      <c r="AX1128" s="75"/>
      <c r="AY1128" s="67"/>
      <c r="AZ1128" s="75"/>
      <c r="BA1128" s="67"/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8"/>
      <c r="BL1128" s="78"/>
      <c r="BM1128" s="78"/>
      <c r="BN1128" s="78"/>
      <c r="BO1128" s="66"/>
      <c r="BP1128" s="66"/>
    </row>
    <row r="1129" spans="1:68" ht="13.2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/>
      <c r="AQ1129" s="75"/>
      <c r="AR1129" s="75"/>
      <c r="AS1129" s="75"/>
      <c r="AT1129" s="75"/>
      <c r="AU1129" s="75"/>
      <c r="AV1129" s="75"/>
      <c r="AW1129" s="75"/>
      <c r="AX1129" s="75"/>
      <c r="AY1129" s="67"/>
      <c r="AZ1129" s="75"/>
      <c r="BA1129" s="67"/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8"/>
      <c r="BL1129" s="78"/>
      <c r="BM1129" s="78"/>
      <c r="BN1129" s="78"/>
      <c r="BO1129" s="66"/>
      <c r="BP1129" s="66"/>
    </row>
    <row r="1130" spans="1:68" ht="13.2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/>
      <c r="AQ1130" s="75"/>
      <c r="AR1130" s="75"/>
      <c r="AS1130" s="75"/>
      <c r="AT1130" s="75"/>
      <c r="AU1130" s="75"/>
      <c r="AV1130" s="75"/>
      <c r="AW1130" s="75"/>
      <c r="AX1130" s="75"/>
      <c r="AY1130" s="67"/>
      <c r="AZ1130" s="75"/>
      <c r="BA1130" s="67"/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8"/>
      <c r="BL1130" s="78"/>
      <c r="BM1130" s="78"/>
      <c r="BN1130" s="78"/>
      <c r="BO1130" s="66"/>
      <c r="BP1130" s="66"/>
    </row>
    <row r="1131" spans="1:68" ht="13.2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/>
      <c r="AQ1131" s="75"/>
      <c r="AR1131" s="75"/>
      <c r="AS1131" s="75"/>
      <c r="AT1131" s="75"/>
      <c r="AU1131" s="75"/>
      <c r="AV1131" s="75"/>
      <c r="AW1131" s="75"/>
      <c r="AX1131" s="75"/>
      <c r="AY1131" s="67"/>
      <c r="AZ1131" s="75"/>
      <c r="BA1131" s="67"/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8"/>
      <c r="BL1131" s="78"/>
      <c r="BM1131" s="78"/>
      <c r="BN1131" s="78"/>
      <c r="BO1131" s="66"/>
      <c r="BP1131" s="66"/>
    </row>
    <row r="1132" spans="1:68" ht="13.2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/>
      <c r="AQ1132" s="75"/>
      <c r="AR1132" s="75"/>
      <c r="AS1132" s="75"/>
      <c r="AT1132" s="75"/>
      <c r="AU1132" s="75"/>
      <c r="AV1132" s="75"/>
      <c r="AW1132" s="75"/>
      <c r="AX1132" s="75"/>
      <c r="AY1132" s="67"/>
      <c r="AZ1132" s="75"/>
      <c r="BA1132" s="67"/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8"/>
      <c r="BL1132" s="78"/>
      <c r="BM1132" s="78"/>
      <c r="BN1132" s="78"/>
      <c r="BO1132" s="66"/>
      <c r="BP1132" s="66"/>
    </row>
    <row r="1133" spans="1:68" ht="13.2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/>
      <c r="AQ1133" s="75"/>
      <c r="AR1133" s="75"/>
      <c r="AS1133" s="75"/>
      <c r="AT1133" s="75"/>
      <c r="AU1133" s="75"/>
      <c r="AV1133" s="75"/>
      <c r="AW1133" s="75"/>
      <c r="AX1133" s="75"/>
      <c r="AY1133" s="67"/>
      <c r="AZ1133" s="75"/>
      <c r="BA1133" s="67"/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8"/>
      <c r="BL1133" s="78"/>
      <c r="BM1133" s="78"/>
      <c r="BN1133" s="78"/>
      <c r="BO1133" s="66"/>
      <c r="BP1133" s="66"/>
    </row>
    <row r="1134" spans="1:68" ht="13.2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/>
      <c r="AQ1134" s="75"/>
      <c r="AR1134" s="75"/>
      <c r="AS1134" s="75"/>
      <c r="AT1134" s="75"/>
      <c r="AU1134" s="75"/>
      <c r="AV1134" s="75"/>
      <c r="AW1134" s="75"/>
      <c r="AX1134" s="75"/>
      <c r="AY1134" s="67"/>
      <c r="AZ1134" s="75"/>
      <c r="BA1134" s="67"/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8"/>
      <c r="BL1134" s="78"/>
      <c r="BM1134" s="78"/>
      <c r="BN1134" s="78"/>
      <c r="BO1134" s="66"/>
      <c r="BP1134" s="66"/>
    </row>
    <row r="1135" spans="1:68" ht="13.2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/>
      <c r="AQ1135" s="75"/>
      <c r="AR1135" s="75"/>
      <c r="AS1135" s="75"/>
      <c r="AT1135" s="75"/>
      <c r="AU1135" s="75"/>
      <c r="AV1135" s="75"/>
      <c r="AW1135" s="75"/>
      <c r="AX1135" s="75"/>
      <c r="AY1135" s="67"/>
      <c r="AZ1135" s="75"/>
      <c r="BA1135" s="67"/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8"/>
      <c r="BL1135" s="78"/>
      <c r="BM1135" s="78"/>
      <c r="BN1135" s="78"/>
      <c r="BO1135" s="66"/>
      <c r="BP1135" s="66"/>
    </row>
    <row r="1136" spans="1:68" ht="13.2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67"/>
      <c r="AZ1136" s="75"/>
      <c r="BA1136" s="67"/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8"/>
      <c r="BL1136" s="78"/>
      <c r="BM1136" s="78"/>
      <c r="BN1136" s="78"/>
      <c r="BO1136" s="66"/>
      <c r="BP1136" s="66"/>
    </row>
    <row r="1137" spans="1:68" ht="13.2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67"/>
      <c r="AZ1137" s="75"/>
      <c r="BA1137" s="67"/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8"/>
      <c r="BL1137" s="78"/>
      <c r="BM1137" s="78"/>
      <c r="BN1137" s="78"/>
      <c r="BO1137" s="66"/>
      <c r="BP1137" s="66"/>
    </row>
    <row r="1138" spans="1:68" ht="13.2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/>
      <c r="AQ1138" s="75"/>
      <c r="AR1138" s="75"/>
      <c r="AS1138" s="75"/>
      <c r="AT1138" s="75"/>
      <c r="AU1138" s="75"/>
      <c r="AV1138" s="75"/>
      <c r="AW1138" s="75"/>
      <c r="AX1138" s="75"/>
      <c r="AY1138" s="67"/>
      <c r="AZ1138" s="75"/>
      <c r="BA1138" s="67"/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8"/>
      <c r="BL1138" s="78"/>
      <c r="BM1138" s="78"/>
      <c r="BN1138" s="78"/>
      <c r="BO1138" s="66"/>
      <c r="BP1138" s="66"/>
    </row>
    <row r="1139" spans="1:68" ht="13.2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/>
      <c r="AQ1139" s="75"/>
      <c r="AR1139" s="75"/>
      <c r="AS1139" s="75"/>
      <c r="AT1139" s="75"/>
      <c r="AU1139" s="75"/>
      <c r="AV1139" s="75"/>
      <c r="AW1139" s="75"/>
      <c r="AX1139" s="75"/>
      <c r="AY1139" s="67"/>
      <c r="AZ1139" s="75"/>
      <c r="BA1139" s="67"/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8"/>
      <c r="BL1139" s="78"/>
      <c r="BM1139" s="78"/>
      <c r="BN1139" s="78"/>
      <c r="BO1139" s="66"/>
      <c r="BP1139" s="66"/>
    </row>
    <row r="1140" spans="1:68" ht="13.2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/>
      <c r="AQ1140" s="75"/>
      <c r="AR1140" s="75"/>
      <c r="AS1140" s="75"/>
      <c r="AT1140" s="75"/>
      <c r="AU1140" s="75"/>
      <c r="AV1140" s="75"/>
      <c r="AW1140" s="75"/>
      <c r="AX1140" s="75"/>
      <c r="AY1140" s="67"/>
      <c r="AZ1140" s="75"/>
      <c r="BA1140" s="67"/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8"/>
      <c r="BL1140" s="78"/>
      <c r="BM1140" s="78"/>
      <c r="BN1140" s="78"/>
      <c r="BO1140" s="66"/>
      <c r="BP1140" s="66"/>
    </row>
    <row r="1141" spans="1:68" ht="13.2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/>
      <c r="AQ1141" s="75"/>
      <c r="AR1141" s="75"/>
      <c r="AS1141" s="75"/>
      <c r="AT1141" s="75"/>
      <c r="AU1141" s="75"/>
      <c r="AV1141" s="75"/>
      <c r="AW1141" s="75"/>
      <c r="AX1141" s="75"/>
      <c r="AY1141" s="67"/>
      <c r="AZ1141" s="75"/>
      <c r="BA1141" s="67"/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8"/>
      <c r="BL1141" s="78"/>
      <c r="BM1141" s="78"/>
      <c r="BN1141" s="78"/>
      <c r="BO1141" s="66"/>
      <c r="BP1141" s="66"/>
    </row>
    <row r="1142" spans="1:68" ht="13.2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/>
      <c r="AQ1142" s="75"/>
      <c r="AR1142" s="75"/>
      <c r="AS1142" s="75"/>
      <c r="AT1142" s="75"/>
      <c r="AU1142" s="75"/>
      <c r="AV1142" s="75"/>
      <c r="AW1142" s="75"/>
      <c r="AX1142" s="75"/>
      <c r="AY1142" s="67"/>
      <c r="AZ1142" s="75"/>
      <c r="BA1142" s="67"/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8"/>
      <c r="BL1142" s="78"/>
      <c r="BM1142" s="78"/>
      <c r="BN1142" s="78"/>
      <c r="BO1142" s="66"/>
      <c r="BP1142" s="66"/>
    </row>
    <row r="1143" spans="1:68" ht="13.2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/>
      <c r="AQ1143" s="75"/>
      <c r="AR1143" s="75"/>
      <c r="AS1143" s="75"/>
      <c r="AT1143" s="75"/>
      <c r="AU1143" s="75"/>
      <c r="AV1143" s="75"/>
      <c r="AW1143" s="75"/>
      <c r="AX1143" s="75"/>
      <c r="AY1143" s="67"/>
      <c r="AZ1143" s="75"/>
      <c r="BA1143" s="67"/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8"/>
      <c r="BL1143" s="78"/>
      <c r="BM1143" s="78"/>
      <c r="BN1143" s="78"/>
      <c r="BO1143" s="66"/>
      <c r="BP1143" s="66"/>
    </row>
    <row r="1144" spans="1:68" ht="13.2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/>
      <c r="AQ1144" s="75"/>
      <c r="AR1144" s="75"/>
      <c r="AS1144" s="75"/>
      <c r="AT1144" s="75"/>
      <c r="AU1144" s="75"/>
      <c r="AV1144" s="75"/>
      <c r="AW1144" s="75"/>
      <c r="AX1144" s="75"/>
      <c r="AY1144" s="67"/>
      <c r="AZ1144" s="75"/>
      <c r="BA1144" s="67"/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8"/>
      <c r="BL1144" s="78"/>
      <c r="BM1144" s="78"/>
      <c r="BN1144" s="78"/>
      <c r="BO1144" s="66"/>
      <c r="BP1144" s="66"/>
    </row>
    <row r="1145" spans="1:68" ht="13.2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/>
      <c r="AQ1145" s="75"/>
      <c r="AR1145" s="75"/>
      <c r="AS1145" s="75"/>
      <c r="AT1145" s="75"/>
      <c r="AU1145" s="75"/>
      <c r="AV1145" s="75"/>
      <c r="AW1145" s="75"/>
      <c r="AX1145" s="75"/>
      <c r="AY1145" s="67"/>
      <c r="AZ1145" s="75"/>
      <c r="BA1145" s="67"/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8"/>
      <c r="BL1145" s="78"/>
      <c r="BM1145" s="78"/>
      <c r="BN1145" s="78"/>
      <c r="BO1145" s="66"/>
      <c r="BP1145" s="66"/>
    </row>
    <row r="1146" spans="1:68" ht="13.2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/>
      <c r="AQ1146" s="75"/>
      <c r="AR1146" s="75"/>
      <c r="AS1146" s="75"/>
      <c r="AT1146" s="75"/>
      <c r="AU1146" s="75"/>
      <c r="AV1146" s="75"/>
      <c r="AW1146" s="75"/>
      <c r="AX1146" s="75"/>
      <c r="AY1146" s="67"/>
      <c r="AZ1146" s="75"/>
      <c r="BA1146" s="67"/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8"/>
      <c r="BL1146" s="78"/>
      <c r="BM1146" s="78"/>
      <c r="BN1146" s="78"/>
      <c r="BO1146" s="66"/>
      <c r="BP1146" s="66"/>
    </row>
    <row r="1147" spans="1:68" ht="13.2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/>
      <c r="AQ1147" s="75"/>
      <c r="AR1147" s="75"/>
      <c r="AS1147" s="75"/>
      <c r="AT1147" s="75"/>
      <c r="AU1147" s="75"/>
      <c r="AV1147" s="75"/>
      <c r="AW1147" s="75"/>
      <c r="AX1147" s="75"/>
      <c r="AY1147" s="67"/>
      <c r="AZ1147" s="75"/>
      <c r="BA1147" s="67"/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8"/>
      <c r="BL1147" s="78"/>
      <c r="BM1147" s="78"/>
      <c r="BN1147" s="78"/>
      <c r="BO1147" s="66"/>
      <c r="BP1147" s="66"/>
    </row>
    <row r="1148" spans="1:68" ht="13.2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/>
      <c r="AQ1148" s="75"/>
      <c r="AR1148" s="75"/>
      <c r="AS1148" s="75"/>
      <c r="AT1148" s="75"/>
      <c r="AU1148" s="75"/>
      <c r="AV1148" s="75"/>
      <c r="AW1148" s="75"/>
      <c r="AX1148" s="75"/>
      <c r="AY1148" s="67"/>
      <c r="AZ1148" s="75"/>
      <c r="BA1148" s="67"/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8"/>
      <c r="BL1148" s="78"/>
      <c r="BM1148" s="78"/>
      <c r="BN1148" s="78"/>
      <c r="BO1148" s="66"/>
      <c r="BP1148" s="66"/>
    </row>
    <row r="1149" spans="1:68" ht="13.2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/>
      <c r="AQ1149" s="75"/>
      <c r="AR1149" s="75"/>
      <c r="AS1149" s="75"/>
      <c r="AT1149" s="75"/>
      <c r="AU1149" s="75"/>
      <c r="AV1149" s="75"/>
      <c r="AW1149" s="75"/>
      <c r="AX1149" s="75"/>
      <c r="AY1149" s="67"/>
      <c r="AZ1149" s="75"/>
      <c r="BA1149" s="67"/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8"/>
      <c r="BL1149" s="78"/>
      <c r="BM1149" s="78"/>
      <c r="BN1149" s="78"/>
      <c r="BO1149" s="66"/>
      <c r="BP1149" s="66"/>
    </row>
    <row r="1150" spans="1:68" ht="13.2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/>
      <c r="AQ1150" s="75"/>
      <c r="AR1150" s="75"/>
      <c r="AS1150" s="75"/>
      <c r="AT1150" s="75"/>
      <c r="AU1150" s="75"/>
      <c r="AV1150" s="75"/>
      <c r="AW1150" s="75"/>
      <c r="AX1150" s="75"/>
      <c r="AY1150" s="67"/>
      <c r="AZ1150" s="75"/>
      <c r="BA1150" s="67"/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8"/>
      <c r="BL1150" s="78"/>
      <c r="BM1150" s="78"/>
      <c r="BN1150" s="78"/>
      <c r="BO1150" s="66"/>
      <c r="BP1150" s="66"/>
    </row>
    <row r="1151" spans="1:68" ht="13.2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67"/>
      <c r="AZ1151" s="75"/>
      <c r="BA1151" s="67"/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8"/>
      <c r="BL1151" s="78"/>
      <c r="BM1151" s="78"/>
      <c r="BN1151" s="78"/>
      <c r="BO1151" s="66"/>
      <c r="BP1151" s="66"/>
    </row>
    <row r="1152" spans="1:68" ht="13.2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67"/>
      <c r="AZ1152" s="75"/>
      <c r="BA1152" s="67"/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8"/>
      <c r="BL1152" s="78"/>
      <c r="BM1152" s="78"/>
      <c r="BN1152" s="78"/>
      <c r="BO1152" s="66"/>
      <c r="BP1152" s="66"/>
    </row>
    <row r="1153" spans="1:68" ht="13.2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67"/>
      <c r="AZ1153" s="75"/>
      <c r="BA1153" s="67"/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8"/>
      <c r="BL1153" s="78"/>
      <c r="BM1153" s="78"/>
      <c r="BN1153" s="78"/>
      <c r="BO1153" s="66"/>
      <c r="BP1153" s="66"/>
    </row>
    <row r="1154" spans="1:68" ht="13.2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/>
      <c r="AQ1154" s="75"/>
      <c r="AR1154" s="75"/>
      <c r="AS1154" s="75"/>
      <c r="AT1154" s="75"/>
      <c r="AU1154" s="75"/>
      <c r="AV1154" s="75"/>
      <c r="AW1154" s="75"/>
      <c r="AX1154" s="75"/>
      <c r="AY1154" s="67"/>
      <c r="AZ1154" s="75"/>
      <c r="BA1154" s="67"/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8"/>
      <c r="BL1154" s="78"/>
      <c r="BM1154" s="78"/>
      <c r="BN1154" s="78"/>
      <c r="BO1154" s="66"/>
      <c r="BP1154" s="66"/>
    </row>
    <row r="1155" spans="1:68" ht="13.2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/>
      <c r="AQ1155" s="75"/>
      <c r="AR1155" s="75"/>
      <c r="AS1155" s="75"/>
      <c r="AT1155" s="75"/>
      <c r="AU1155" s="75"/>
      <c r="AV1155" s="75"/>
      <c r="AW1155" s="75"/>
      <c r="AX1155" s="75"/>
      <c r="AY1155" s="67"/>
      <c r="AZ1155" s="75"/>
      <c r="BA1155" s="67"/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8"/>
      <c r="BL1155" s="78"/>
      <c r="BM1155" s="78"/>
      <c r="BN1155" s="78"/>
      <c r="BO1155" s="66"/>
      <c r="BP1155" s="66"/>
    </row>
    <row r="1156" spans="1:68" ht="13.2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/>
      <c r="AQ1156" s="75"/>
      <c r="AR1156" s="75"/>
      <c r="AS1156" s="75"/>
      <c r="AT1156" s="75"/>
      <c r="AU1156" s="75"/>
      <c r="AV1156" s="75"/>
      <c r="AW1156" s="75"/>
      <c r="AX1156" s="75"/>
      <c r="AY1156" s="67"/>
      <c r="AZ1156" s="75"/>
      <c r="BA1156" s="67"/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8"/>
      <c r="BL1156" s="78"/>
      <c r="BM1156" s="78"/>
      <c r="BN1156" s="78"/>
      <c r="BO1156" s="66"/>
      <c r="BP1156" s="66"/>
    </row>
    <row r="1157" spans="1:68" ht="13.2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/>
      <c r="AQ1157" s="75"/>
      <c r="AR1157" s="75"/>
      <c r="AS1157" s="75"/>
      <c r="AT1157" s="75"/>
      <c r="AU1157" s="75"/>
      <c r="AV1157" s="75"/>
      <c r="AW1157" s="75"/>
      <c r="AX1157" s="75"/>
      <c r="AY1157" s="67"/>
      <c r="AZ1157" s="75"/>
      <c r="BA1157" s="67"/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8"/>
      <c r="BL1157" s="78"/>
      <c r="BM1157" s="78"/>
      <c r="BN1157" s="78"/>
      <c r="BO1157" s="66"/>
      <c r="BP1157" s="66"/>
    </row>
    <row r="1158" spans="1:68" ht="13.2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/>
      <c r="AQ1158" s="75"/>
      <c r="AR1158" s="75"/>
      <c r="AS1158" s="75"/>
      <c r="AT1158" s="75"/>
      <c r="AU1158" s="75"/>
      <c r="AV1158" s="75"/>
      <c r="AW1158" s="75"/>
      <c r="AX1158" s="75"/>
      <c r="AY1158" s="67"/>
      <c r="AZ1158" s="75"/>
      <c r="BA1158" s="67"/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8"/>
      <c r="BL1158" s="78"/>
      <c r="BM1158" s="78"/>
      <c r="BN1158" s="78"/>
      <c r="BO1158" s="66"/>
      <c r="BP1158" s="66"/>
    </row>
    <row r="1159" spans="1:68" ht="13.2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67"/>
      <c r="AZ1159" s="75"/>
      <c r="BA1159" s="67"/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8"/>
      <c r="BL1159" s="78"/>
      <c r="BM1159" s="78"/>
      <c r="BN1159" s="78"/>
      <c r="BO1159" s="66"/>
      <c r="BP1159" s="66"/>
    </row>
    <row r="1160" spans="1:68" ht="13.2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67"/>
      <c r="AZ1160" s="75"/>
      <c r="BA1160" s="67"/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8"/>
      <c r="BL1160" s="78"/>
      <c r="BM1160" s="78"/>
      <c r="BN1160" s="78"/>
      <c r="BO1160" s="66"/>
      <c r="BP1160" s="66"/>
    </row>
    <row r="1161" spans="1:68" ht="13.2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/>
      <c r="AQ1161" s="75"/>
      <c r="AR1161" s="75"/>
      <c r="AS1161" s="75"/>
      <c r="AT1161" s="75"/>
      <c r="AU1161" s="75"/>
      <c r="AV1161" s="75"/>
      <c r="AW1161" s="75"/>
      <c r="AX1161" s="75"/>
      <c r="AY1161" s="67"/>
      <c r="AZ1161" s="75"/>
      <c r="BA1161" s="67"/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8"/>
      <c r="BL1161" s="78"/>
      <c r="BM1161" s="78"/>
      <c r="BN1161" s="78"/>
      <c r="BO1161" s="66"/>
      <c r="BP1161" s="66"/>
    </row>
    <row r="1162" spans="1:68" ht="13.2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67"/>
      <c r="AZ1162" s="75"/>
      <c r="BA1162" s="67"/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8"/>
      <c r="BL1162" s="78"/>
      <c r="BM1162" s="78"/>
      <c r="BN1162" s="78"/>
      <c r="BO1162" s="66"/>
      <c r="BP1162" s="66"/>
    </row>
    <row r="1163" spans="1:68" ht="13.2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/>
      <c r="AQ1163" s="75"/>
      <c r="AR1163" s="75"/>
      <c r="AS1163" s="75"/>
      <c r="AT1163" s="75"/>
      <c r="AU1163" s="75"/>
      <c r="AV1163" s="75"/>
      <c r="AW1163" s="75"/>
      <c r="AX1163" s="75"/>
      <c r="AY1163" s="67"/>
      <c r="AZ1163" s="75"/>
      <c r="BA1163" s="67"/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8"/>
      <c r="BL1163" s="78"/>
      <c r="BM1163" s="78"/>
      <c r="BN1163" s="78"/>
      <c r="BO1163" s="66"/>
      <c r="BP1163" s="66"/>
    </row>
    <row r="1164" spans="1:68" ht="13.2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/>
      <c r="AQ1164" s="75"/>
      <c r="AR1164" s="75"/>
      <c r="AS1164" s="75"/>
      <c r="AT1164" s="75"/>
      <c r="AU1164" s="75"/>
      <c r="AV1164" s="75"/>
      <c r="AW1164" s="75"/>
      <c r="AX1164" s="75"/>
      <c r="AY1164" s="67"/>
      <c r="AZ1164" s="75"/>
      <c r="BA1164" s="67"/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8"/>
      <c r="BL1164" s="78"/>
      <c r="BM1164" s="78"/>
      <c r="BN1164" s="78"/>
      <c r="BO1164" s="66"/>
      <c r="BP1164" s="66"/>
    </row>
    <row r="1165" spans="1:68" ht="13.2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67"/>
      <c r="AZ1165" s="75"/>
      <c r="BA1165" s="67"/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8"/>
      <c r="BL1165" s="78"/>
      <c r="BM1165" s="78"/>
      <c r="BN1165" s="78"/>
      <c r="BO1165" s="66"/>
      <c r="BP1165" s="66"/>
    </row>
    <row r="1166" spans="1:68" ht="13.2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67"/>
      <c r="AZ1166" s="75"/>
      <c r="BA1166" s="67"/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8"/>
      <c r="BL1166" s="78"/>
      <c r="BM1166" s="78"/>
      <c r="BN1166" s="78"/>
      <c r="BO1166" s="66"/>
      <c r="BP1166" s="66"/>
    </row>
    <row r="1167" spans="1:68" ht="13.2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/>
      <c r="AQ1167" s="75"/>
      <c r="AR1167" s="75"/>
      <c r="AS1167" s="75"/>
      <c r="AT1167" s="75"/>
      <c r="AU1167" s="75"/>
      <c r="AV1167" s="75"/>
      <c r="AW1167" s="75"/>
      <c r="AX1167" s="75"/>
      <c r="AY1167" s="67"/>
      <c r="AZ1167" s="75"/>
      <c r="BA1167" s="67"/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8"/>
      <c r="BL1167" s="78"/>
      <c r="BM1167" s="78"/>
      <c r="BN1167" s="78"/>
      <c r="BO1167" s="66"/>
      <c r="BP1167" s="66"/>
    </row>
    <row r="1168" spans="1:68" ht="13.2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/>
      <c r="AQ1168" s="75"/>
      <c r="AR1168" s="75"/>
      <c r="AS1168" s="75"/>
      <c r="AT1168" s="75"/>
      <c r="AU1168" s="75"/>
      <c r="AV1168" s="75"/>
      <c r="AW1168" s="75"/>
      <c r="AX1168" s="75"/>
      <c r="AY1168" s="67"/>
      <c r="AZ1168" s="75"/>
      <c r="BA1168" s="67"/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8"/>
      <c r="BL1168" s="78"/>
      <c r="BM1168" s="78"/>
      <c r="BN1168" s="78"/>
      <c r="BO1168" s="66"/>
      <c r="BP1168" s="66"/>
    </row>
    <row r="1169" spans="1:68" ht="13.2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67"/>
      <c r="AZ1169" s="75"/>
      <c r="BA1169" s="67"/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8"/>
      <c r="BL1169" s="78"/>
      <c r="BM1169" s="78"/>
      <c r="BN1169" s="78"/>
      <c r="BO1169" s="66"/>
      <c r="BP1169" s="66"/>
    </row>
    <row r="1170" spans="1:68" ht="13.2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/>
      <c r="AQ1170" s="75"/>
      <c r="AR1170" s="75"/>
      <c r="AS1170" s="75"/>
      <c r="AT1170" s="75"/>
      <c r="AU1170" s="75"/>
      <c r="AV1170" s="75"/>
      <c r="AW1170" s="75"/>
      <c r="AX1170" s="75"/>
      <c r="AY1170" s="67"/>
      <c r="AZ1170" s="75"/>
      <c r="BA1170" s="67"/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8"/>
      <c r="BL1170" s="78"/>
      <c r="BM1170" s="78"/>
      <c r="BN1170" s="78"/>
      <c r="BO1170" s="66"/>
      <c r="BP1170" s="66"/>
    </row>
    <row r="1171" spans="1:68" ht="13.2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/>
      <c r="AQ1171" s="75"/>
      <c r="AR1171" s="75"/>
      <c r="AS1171" s="75"/>
      <c r="AT1171" s="75"/>
      <c r="AU1171" s="75"/>
      <c r="AV1171" s="75"/>
      <c r="AW1171" s="75"/>
      <c r="AX1171" s="75"/>
      <c r="AY1171" s="67"/>
      <c r="AZ1171" s="75"/>
      <c r="BA1171" s="67"/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8"/>
      <c r="BL1171" s="78"/>
      <c r="BM1171" s="78"/>
      <c r="BN1171" s="78"/>
      <c r="BO1171" s="66"/>
      <c r="BP1171" s="66"/>
    </row>
    <row r="1172" spans="1:68" ht="13.2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/>
      <c r="AQ1172" s="75"/>
      <c r="AR1172" s="75"/>
      <c r="AS1172" s="75"/>
      <c r="AT1172" s="75"/>
      <c r="AU1172" s="75"/>
      <c r="AV1172" s="75"/>
      <c r="AW1172" s="75"/>
      <c r="AX1172" s="75"/>
      <c r="AY1172" s="67"/>
      <c r="AZ1172" s="75"/>
      <c r="BA1172" s="67"/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8"/>
      <c r="BL1172" s="78"/>
      <c r="BM1172" s="78"/>
      <c r="BN1172" s="78"/>
      <c r="BO1172" s="66"/>
      <c r="BP1172" s="66"/>
    </row>
    <row r="1173" spans="1:68" ht="13.2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67"/>
      <c r="AZ1173" s="75"/>
      <c r="BA1173" s="67"/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8"/>
      <c r="BL1173" s="78"/>
      <c r="BM1173" s="78"/>
      <c r="BN1173" s="78"/>
      <c r="BO1173" s="66"/>
      <c r="BP1173" s="66"/>
    </row>
    <row r="1174" spans="1:68" ht="13.2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/>
      <c r="AQ1174" s="75"/>
      <c r="AR1174" s="75"/>
      <c r="AS1174" s="75"/>
      <c r="AT1174" s="75"/>
      <c r="AU1174" s="75"/>
      <c r="AV1174" s="75"/>
      <c r="AW1174" s="75"/>
      <c r="AX1174" s="75"/>
      <c r="AY1174" s="67"/>
      <c r="AZ1174" s="75"/>
      <c r="BA1174" s="67"/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8"/>
      <c r="BL1174" s="78"/>
      <c r="BM1174" s="78"/>
      <c r="BN1174" s="78"/>
      <c r="BO1174" s="66"/>
      <c r="BP1174" s="66"/>
    </row>
    <row r="1175" spans="1:68" ht="13.2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/>
      <c r="AQ1175" s="75"/>
      <c r="AR1175" s="75"/>
      <c r="AS1175" s="75"/>
      <c r="AT1175" s="75"/>
      <c r="AU1175" s="75"/>
      <c r="AV1175" s="75"/>
      <c r="AW1175" s="75"/>
      <c r="AX1175" s="75"/>
      <c r="AY1175" s="67"/>
      <c r="AZ1175" s="75"/>
      <c r="BA1175" s="67"/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8"/>
      <c r="BL1175" s="78"/>
      <c r="BM1175" s="78"/>
      <c r="BN1175" s="78"/>
      <c r="BO1175" s="66"/>
      <c r="BP1175" s="66"/>
    </row>
    <row r="1176" spans="1:68" ht="13.2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/>
      <c r="AQ1176" s="75"/>
      <c r="AR1176" s="75"/>
      <c r="AS1176" s="75"/>
      <c r="AT1176" s="75"/>
      <c r="AU1176" s="75"/>
      <c r="AV1176" s="75"/>
      <c r="AW1176" s="75"/>
      <c r="AX1176" s="75"/>
      <c r="AY1176" s="67"/>
      <c r="AZ1176" s="75"/>
      <c r="BA1176" s="67"/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8"/>
      <c r="BL1176" s="78"/>
      <c r="BM1176" s="78"/>
      <c r="BN1176" s="78"/>
      <c r="BO1176" s="66"/>
      <c r="BP1176" s="66"/>
    </row>
    <row r="1177" spans="1:68" ht="13.2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67"/>
      <c r="AZ1177" s="75"/>
      <c r="BA1177" s="67"/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8"/>
      <c r="BL1177" s="78"/>
      <c r="BM1177" s="78"/>
      <c r="BN1177" s="78"/>
      <c r="BO1177" s="66"/>
      <c r="BP1177" s="66"/>
    </row>
    <row r="1178" spans="1:68" ht="13.2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67"/>
      <c r="AZ1178" s="75"/>
      <c r="BA1178" s="67"/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8"/>
      <c r="BL1178" s="78"/>
      <c r="BM1178" s="78"/>
      <c r="BN1178" s="78"/>
      <c r="BO1178" s="66"/>
      <c r="BP1178" s="66"/>
    </row>
    <row r="1179" spans="1:68" ht="13.2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67"/>
      <c r="AZ1179" s="75"/>
      <c r="BA1179" s="67"/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8"/>
      <c r="BL1179" s="78"/>
      <c r="BM1179" s="78"/>
      <c r="BN1179" s="78"/>
      <c r="BO1179" s="66"/>
      <c r="BP1179" s="66"/>
    </row>
    <row r="1180" spans="1:68" ht="13.2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/>
      <c r="AQ1180" s="75"/>
      <c r="AR1180" s="75"/>
      <c r="AS1180" s="75"/>
      <c r="AT1180" s="75"/>
      <c r="AU1180" s="75"/>
      <c r="AV1180" s="75"/>
      <c r="AW1180" s="75"/>
      <c r="AX1180" s="75"/>
      <c r="AY1180" s="67"/>
      <c r="AZ1180" s="75"/>
      <c r="BA1180" s="67"/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8"/>
      <c r="BL1180" s="78"/>
      <c r="BM1180" s="78"/>
      <c r="BN1180" s="78"/>
      <c r="BO1180" s="66"/>
      <c r="BP1180" s="66"/>
    </row>
    <row r="1181" spans="1:68" ht="13.2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67"/>
      <c r="AZ1181" s="75"/>
      <c r="BA1181" s="67"/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8"/>
      <c r="BL1181" s="78"/>
      <c r="BM1181" s="78"/>
      <c r="BN1181" s="78"/>
      <c r="BO1181" s="66"/>
      <c r="BP1181" s="66"/>
    </row>
    <row r="1182" spans="1:68" ht="13.2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67"/>
      <c r="AZ1182" s="75"/>
      <c r="BA1182" s="67"/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8"/>
      <c r="BL1182" s="78"/>
      <c r="BM1182" s="78"/>
      <c r="BN1182" s="78"/>
      <c r="BO1182" s="66"/>
      <c r="BP1182" s="66"/>
    </row>
    <row r="1183" spans="1:68" ht="13.2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/>
      <c r="AQ1183" s="75"/>
      <c r="AR1183" s="75"/>
      <c r="AS1183" s="75"/>
      <c r="AT1183" s="75"/>
      <c r="AU1183" s="75"/>
      <c r="AV1183" s="75"/>
      <c r="AW1183" s="75"/>
      <c r="AX1183" s="75"/>
      <c r="AY1183" s="67"/>
      <c r="AZ1183" s="75"/>
      <c r="BA1183" s="67"/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8"/>
      <c r="BL1183" s="78"/>
      <c r="BM1183" s="78"/>
      <c r="BN1183" s="78"/>
      <c r="BO1183" s="66"/>
      <c r="BP1183" s="66"/>
    </row>
    <row r="1184" spans="1:68" ht="13.2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/>
      <c r="AQ1184" s="75"/>
      <c r="AR1184" s="75"/>
      <c r="AS1184" s="75"/>
      <c r="AT1184" s="75"/>
      <c r="AU1184" s="75"/>
      <c r="AV1184" s="75"/>
      <c r="AW1184" s="75"/>
      <c r="AX1184" s="75"/>
      <c r="AY1184" s="67"/>
      <c r="AZ1184" s="75"/>
      <c r="BA1184" s="67"/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8"/>
      <c r="BL1184" s="78"/>
      <c r="BM1184" s="78"/>
      <c r="BN1184" s="78"/>
      <c r="BO1184" s="66"/>
      <c r="BP1184" s="66"/>
    </row>
    <row r="1185" spans="1:68" ht="13.2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/>
      <c r="AQ1185" s="75"/>
      <c r="AR1185" s="75"/>
      <c r="AS1185" s="75"/>
      <c r="AT1185" s="75"/>
      <c r="AU1185" s="75"/>
      <c r="AV1185" s="75"/>
      <c r="AW1185" s="75"/>
      <c r="AX1185" s="75"/>
      <c r="AY1185" s="67"/>
      <c r="AZ1185" s="75"/>
      <c r="BA1185" s="67"/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8"/>
      <c r="BL1185" s="78"/>
      <c r="BM1185" s="78"/>
      <c r="BN1185" s="78"/>
      <c r="BO1185" s="66"/>
      <c r="BP1185" s="66"/>
    </row>
    <row r="1186" spans="1:68" ht="13.2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/>
      <c r="AQ1186" s="75"/>
      <c r="AR1186" s="75"/>
      <c r="AS1186" s="75"/>
      <c r="AT1186" s="75"/>
      <c r="AU1186" s="75"/>
      <c r="AV1186" s="75"/>
      <c r="AW1186" s="75"/>
      <c r="AX1186" s="75"/>
      <c r="AY1186" s="67"/>
      <c r="AZ1186" s="75"/>
      <c r="BA1186" s="67"/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8"/>
      <c r="BL1186" s="78"/>
      <c r="BM1186" s="78"/>
      <c r="BN1186" s="78"/>
      <c r="BO1186" s="66"/>
      <c r="BP1186" s="66"/>
    </row>
    <row r="1187" spans="1:68" ht="13.2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/>
      <c r="AQ1187" s="75"/>
      <c r="AR1187" s="75"/>
      <c r="AS1187" s="75"/>
      <c r="AT1187" s="75"/>
      <c r="AU1187" s="75"/>
      <c r="AV1187" s="75"/>
      <c r="AW1187" s="75"/>
      <c r="AX1187" s="75"/>
      <c r="AY1187" s="67"/>
      <c r="AZ1187" s="75"/>
      <c r="BA1187" s="67"/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8"/>
      <c r="BL1187" s="78"/>
      <c r="BM1187" s="78"/>
      <c r="BN1187" s="78"/>
      <c r="BO1187" s="66"/>
      <c r="BP1187" s="66"/>
    </row>
    <row r="1188" spans="1:68" ht="13.2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67"/>
      <c r="AZ1188" s="75"/>
      <c r="BA1188" s="67"/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8"/>
      <c r="BL1188" s="78"/>
      <c r="BM1188" s="78"/>
      <c r="BN1188" s="78"/>
      <c r="BO1188" s="66"/>
      <c r="BP1188" s="66"/>
    </row>
    <row r="1189" spans="1:68" ht="13.2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67"/>
      <c r="AZ1189" s="75"/>
      <c r="BA1189" s="67"/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8"/>
      <c r="BL1189" s="78"/>
      <c r="BM1189" s="78"/>
      <c r="BN1189" s="78"/>
      <c r="BO1189" s="66"/>
      <c r="BP1189" s="66"/>
    </row>
    <row r="1190" spans="1:68" ht="13.2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67"/>
      <c r="AZ1190" s="75"/>
      <c r="BA1190" s="67"/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8"/>
      <c r="BL1190" s="78"/>
      <c r="BM1190" s="78"/>
      <c r="BN1190" s="78"/>
      <c r="BO1190" s="66"/>
      <c r="BP1190" s="66"/>
    </row>
    <row r="1191" spans="1:68" ht="13.2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67"/>
      <c r="AZ1191" s="75"/>
      <c r="BA1191" s="67"/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8"/>
      <c r="BL1191" s="78"/>
      <c r="BM1191" s="78"/>
      <c r="BN1191" s="78"/>
      <c r="BO1191" s="66"/>
      <c r="BP1191" s="66"/>
    </row>
    <row r="1192" spans="1:68" ht="13.2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/>
      <c r="AQ1192" s="75"/>
      <c r="AR1192" s="75"/>
      <c r="AS1192" s="75"/>
      <c r="AT1192" s="75"/>
      <c r="AU1192" s="75"/>
      <c r="AV1192" s="75"/>
      <c r="AW1192" s="75"/>
      <c r="AX1192" s="75"/>
      <c r="AY1192" s="67"/>
      <c r="AZ1192" s="75"/>
      <c r="BA1192" s="67"/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8"/>
      <c r="BL1192" s="78"/>
      <c r="BM1192" s="78"/>
      <c r="BN1192" s="78"/>
      <c r="BO1192" s="66"/>
      <c r="BP1192" s="66"/>
    </row>
    <row r="1193" spans="1:68" ht="13.2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/>
      <c r="AQ1193" s="75"/>
      <c r="AR1193" s="75"/>
      <c r="AS1193" s="75"/>
      <c r="AT1193" s="75"/>
      <c r="AU1193" s="75"/>
      <c r="AV1193" s="75"/>
      <c r="AW1193" s="75"/>
      <c r="AX1193" s="75"/>
      <c r="AY1193" s="67"/>
      <c r="AZ1193" s="75"/>
      <c r="BA1193" s="67"/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8"/>
      <c r="BL1193" s="78"/>
      <c r="BM1193" s="78"/>
      <c r="BN1193" s="78"/>
      <c r="BO1193" s="66"/>
      <c r="BP1193" s="66"/>
    </row>
    <row r="1194" spans="1:68" ht="13.2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/>
      <c r="AQ1194" s="75"/>
      <c r="AR1194" s="75"/>
      <c r="AS1194" s="75"/>
      <c r="AT1194" s="75"/>
      <c r="AU1194" s="75"/>
      <c r="AV1194" s="75"/>
      <c r="AW1194" s="75"/>
      <c r="AX1194" s="75"/>
      <c r="AY1194" s="67"/>
      <c r="AZ1194" s="75"/>
      <c r="BA1194" s="67"/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8"/>
      <c r="BL1194" s="78"/>
      <c r="BM1194" s="78"/>
      <c r="BN1194" s="78"/>
      <c r="BO1194" s="66"/>
      <c r="BP1194" s="66"/>
    </row>
    <row r="1195" spans="1:68" ht="13.2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/>
      <c r="AQ1195" s="75"/>
      <c r="AR1195" s="75"/>
      <c r="AS1195" s="75"/>
      <c r="AT1195" s="75"/>
      <c r="AU1195" s="75"/>
      <c r="AV1195" s="75"/>
      <c r="AW1195" s="75"/>
      <c r="AX1195" s="75"/>
      <c r="AY1195" s="67"/>
      <c r="AZ1195" s="75"/>
      <c r="BA1195" s="67"/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8"/>
      <c r="BL1195" s="78"/>
      <c r="BM1195" s="78"/>
      <c r="BN1195" s="78"/>
      <c r="BO1195" s="66"/>
      <c r="BP1195" s="66"/>
    </row>
    <row r="1196" spans="1:68" ht="13.2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/>
      <c r="AQ1196" s="75"/>
      <c r="AR1196" s="75"/>
      <c r="AS1196" s="75"/>
      <c r="AT1196" s="75"/>
      <c r="AU1196" s="75"/>
      <c r="AV1196" s="75"/>
      <c r="AW1196" s="75"/>
      <c r="AX1196" s="75"/>
      <c r="AY1196" s="67"/>
      <c r="AZ1196" s="75"/>
      <c r="BA1196" s="67"/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8"/>
      <c r="BL1196" s="78"/>
      <c r="BM1196" s="78"/>
      <c r="BN1196" s="78"/>
      <c r="BO1196" s="66"/>
      <c r="BP1196" s="66"/>
    </row>
    <row r="1197" spans="1:68" ht="13.2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/>
      <c r="AQ1197" s="75"/>
      <c r="AR1197" s="75"/>
      <c r="AS1197" s="75"/>
      <c r="AT1197" s="75"/>
      <c r="AU1197" s="75"/>
      <c r="AV1197" s="75"/>
      <c r="AW1197" s="75"/>
      <c r="AX1197" s="75"/>
      <c r="AY1197" s="67"/>
      <c r="AZ1197" s="75"/>
      <c r="BA1197" s="67"/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8"/>
      <c r="BL1197" s="78"/>
      <c r="BM1197" s="78"/>
      <c r="BN1197" s="78"/>
      <c r="BO1197" s="66"/>
      <c r="BP1197" s="66"/>
    </row>
    <row r="1198" spans="1:68" ht="13.2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67"/>
      <c r="AZ1198" s="75"/>
      <c r="BA1198" s="67"/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8"/>
      <c r="BL1198" s="78"/>
      <c r="BM1198" s="78"/>
      <c r="BN1198" s="78"/>
      <c r="BO1198" s="66"/>
      <c r="BP1198" s="66"/>
    </row>
    <row r="1199" spans="1:68" ht="13.2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67"/>
      <c r="AZ1199" s="75"/>
      <c r="BA1199" s="67"/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8"/>
      <c r="BL1199" s="78"/>
      <c r="BM1199" s="78"/>
      <c r="BN1199" s="78"/>
      <c r="BO1199" s="66"/>
      <c r="BP1199" s="66"/>
    </row>
    <row r="1200" spans="1:68" ht="13.2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/>
      <c r="AQ1200" s="75"/>
      <c r="AR1200" s="75"/>
      <c r="AS1200" s="75"/>
      <c r="AT1200" s="75"/>
      <c r="AU1200" s="75"/>
      <c r="AV1200" s="75"/>
      <c r="AW1200" s="75"/>
      <c r="AX1200" s="75"/>
      <c r="AY1200" s="67"/>
      <c r="AZ1200" s="75"/>
      <c r="BA1200" s="67"/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8"/>
      <c r="BL1200" s="78"/>
      <c r="BM1200" s="78"/>
      <c r="BN1200" s="78"/>
      <c r="BO1200" s="66"/>
      <c r="BP1200" s="66"/>
    </row>
    <row r="1201" spans="1:68" ht="13.2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/>
      <c r="AQ1201" s="75"/>
      <c r="AR1201" s="75"/>
      <c r="AS1201" s="75"/>
      <c r="AT1201" s="75"/>
      <c r="AU1201" s="75"/>
      <c r="AV1201" s="75"/>
      <c r="AW1201" s="75"/>
      <c r="AX1201" s="75"/>
      <c r="AY1201" s="67"/>
      <c r="AZ1201" s="75"/>
      <c r="BA1201" s="67"/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8"/>
      <c r="BL1201" s="78"/>
      <c r="BM1201" s="78"/>
      <c r="BN1201" s="78"/>
      <c r="BO1201" s="66"/>
      <c r="BP1201" s="66"/>
    </row>
    <row r="1202" spans="1:68" ht="13.2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/>
      <c r="AQ1202" s="75"/>
      <c r="AR1202" s="75"/>
      <c r="AS1202" s="75"/>
      <c r="AT1202" s="75"/>
      <c r="AU1202" s="75"/>
      <c r="AV1202" s="75"/>
      <c r="AW1202" s="75"/>
      <c r="AX1202" s="75"/>
      <c r="AY1202" s="67"/>
      <c r="AZ1202" s="75"/>
      <c r="BA1202" s="67"/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8"/>
      <c r="BL1202" s="78"/>
      <c r="BM1202" s="78"/>
      <c r="BN1202" s="78"/>
      <c r="BO1202" s="66"/>
      <c r="BP1202" s="66"/>
    </row>
    <row r="1203" spans="1:68" ht="13.2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/>
      <c r="AQ1203" s="75"/>
      <c r="AR1203" s="75"/>
      <c r="AS1203" s="75"/>
      <c r="AT1203" s="75"/>
      <c r="AU1203" s="75"/>
      <c r="AV1203" s="75"/>
      <c r="AW1203" s="75"/>
      <c r="AX1203" s="75"/>
      <c r="AY1203" s="67"/>
      <c r="AZ1203" s="75"/>
      <c r="BA1203" s="67"/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8"/>
      <c r="BL1203" s="78"/>
      <c r="BM1203" s="78"/>
      <c r="BN1203" s="78"/>
      <c r="BO1203" s="66"/>
      <c r="BP1203" s="66"/>
    </row>
    <row r="1204" spans="1:68" ht="13.2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/>
      <c r="AQ1204" s="75"/>
      <c r="AR1204" s="75"/>
      <c r="AS1204" s="75"/>
      <c r="AT1204" s="75"/>
      <c r="AU1204" s="75"/>
      <c r="AV1204" s="75"/>
      <c r="AW1204" s="75"/>
      <c r="AX1204" s="75"/>
      <c r="AY1204" s="67"/>
      <c r="AZ1204" s="75"/>
      <c r="BA1204" s="67"/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8"/>
      <c r="BL1204" s="78"/>
      <c r="BM1204" s="78"/>
      <c r="BN1204" s="78"/>
      <c r="BO1204" s="66"/>
      <c r="BP1204" s="66"/>
    </row>
    <row r="1205" spans="1:68" ht="13.2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/>
      <c r="AQ1205" s="75"/>
      <c r="AR1205" s="75"/>
      <c r="AS1205" s="75"/>
      <c r="AT1205" s="75"/>
      <c r="AU1205" s="75"/>
      <c r="AV1205" s="75"/>
      <c r="AW1205" s="75"/>
      <c r="AX1205" s="75"/>
      <c r="AY1205" s="67"/>
      <c r="AZ1205" s="75"/>
      <c r="BA1205" s="67"/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8"/>
      <c r="BL1205" s="78"/>
      <c r="BM1205" s="78"/>
      <c r="BN1205" s="78"/>
      <c r="BO1205" s="66"/>
      <c r="BP1205" s="66"/>
    </row>
    <row r="1206" spans="1:68" ht="13.2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/>
      <c r="AQ1206" s="75"/>
      <c r="AR1206" s="75"/>
      <c r="AS1206" s="75"/>
      <c r="AT1206" s="75"/>
      <c r="AU1206" s="75"/>
      <c r="AV1206" s="75"/>
      <c r="AW1206" s="75"/>
      <c r="AX1206" s="75"/>
      <c r="AY1206" s="67"/>
      <c r="AZ1206" s="75"/>
      <c r="BA1206" s="67"/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8"/>
      <c r="BL1206" s="78"/>
      <c r="BM1206" s="78"/>
      <c r="BN1206" s="78"/>
      <c r="BO1206" s="66"/>
      <c r="BP1206" s="66"/>
    </row>
    <row r="1207" spans="1:68" ht="13.2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/>
      <c r="AQ1207" s="75"/>
      <c r="AR1207" s="75"/>
      <c r="AS1207" s="75"/>
      <c r="AT1207" s="75"/>
      <c r="AU1207" s="75"/>
      <c r="AV1207" s="75"/>
      <c r="AW1207" s="75"/>
      <c r="AX1207" s="75"/>
      <c r="AY1207" s="67"/>
      <c r="AZ1207" s="75"/>
      <c r="BA1207" s="67"/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8"/>
      <c r="BL1207" s="78"/>
      <c r="BM1207" s="78"/>
      <c r="BN1207" s="78"/>
      <c r="BO1207" s="66"/>
      <c r="BP1207" s="66"/>
    </row>
    <row r="1208" spans="1:68" ht="13.2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/>
      <c r="AQ1208" s="75"/>
      <c r="AR1208" s="75"/>
      <c r="AS1208" s="75"/>
      <c r="AT1208" s="75"/>
      <c r="AU1208" s="75"/>
      <c r="AV1208" s="75"/>
      <c r="AW1208" s="75"/>
      <c r="AX1208" s="75"/>
      <c r="AY1208" s="67"/>
      <c r="AZ1208" s="75"/>
      <c r="BA1208" s="67"/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8"/>
      <c r="BL1208" s="78"/>
      <c r="BM1208" s="78"/>
      <c r="BN1208" s="78"/>
      <c r="BO1208" s="66"/>
      <c r="BP1208" s="66"/>
    </row>
    <row r="1209" spans="1:68" ht="13.2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/>
      <c r="AQ1209" s="75"/>
      <c r="AR1209" s="75"/>
      <c r="AS1209" s="75"/>
      <c r="AT1209" s="75"/>
      <c r="AU1209" s="75"/>
      <c r="AV1209" s="75"/>
      <c r="AW1209" s="75"/>
      <c r="AX1209" s="75"/>
      <c r="AY1209" s="67"/>
      <c r="AZ1209" s="75"/>
      <c r="BA1209" s="67"/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8"/>
      <c r="BL1209" s="78"/>
      <c r="BM1209" s="78"/>
      <c r="BN1209" s="78"/>
      <c r="BO1209" s="66"/>
      <c r="BP1209" s="66"/>
    </row>
    <row r="1210" spans="1:68" ht="13.2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/>
      <c r="AQ1210" s="75"/>
      <c r="AR1210" s="75"/>
      <c r="AS1210" s="75"/>
      <c r="AT1210" s="75"/>
      <c r="AU1210" s="75"/>
      <c r="AV1210" s="75"/>
      <c r="AW1210" s="75"/>
      <c r="AX1210" s="75"/>
      <c r="AY1210" s="67"/>
      <c r="AZ1210" s="75"/>
      <c r="BA1210" s="67"/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8"/>
      <c r="BL1210" s="78"/>
      <c r="BM1210" s="78"/>
      <c r="BN1210" s="78"/>
      <c r="BO1210" s="66"/>
      <c r="BP1210" s="66"/>
    </row>
    <row r="1211" spans="1:68" ht="13.2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/>
      <c r="AQ1211" s="75"/>
      <c r="AR1211" s="75"/>
      <c r="AS1211" s="75"/>
      <c r="AT1211" s="75"/>
      <c r="AU1211" s="75"/>
      <c r="AV1211" s="75"/>
      <c r="AW1211" s="75"/>
      <c r="AX1211" s="75"/>
      <c r="AY1211" s="67"/>
      <c r="AZ1211" s="75"/>
      <c r="BA1211" s="67"/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8"/>
      <c r="BL1211" s="78"/>
      <c r="BM1211" s="78"/>
      <c r="BN1211" s="78"/>
      <c r="BO1211" s="66"/>
      <c r="BP1211" s="66"/>
    </row>
    <row r="1212" spans="1:68" ht="13.2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67"/>
      <c r="AZ1212" s="75"/>
      <c r="BA1212" s="67"/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8"/>
      <c r="BL1212" s="78"/>
      <c r="BM1212" s="78"/>
      <c r="BN1212" s="78"/>
      <c r="BO1212" s="66"/>
      <c r="BP1212" s="66"/>
    </row>
    <row r="1213" spans="1:68" ht="13.2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67"/>
      <c r="AZ1213" s="75"/>
      <c r="BA1213" s="67"/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8"/>
      <c r="BL1213" s="78"/>
      <c r="BM1213" s="78"/>
      <c r="BN1213" s="78"/>
      <c r="BO1213" s="66"/>
      <c r="BP1213" s="66"/>
    </row>
    <row r="1214" spans="1:68" ht="13.2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/>
      <c r="AQ1214" s="75"/>
      <c r="AR1214" s="75"/>
      <c r="AS1214" s="75"/>
      <c r="AT1214" s="75"/>
      <c r="AU1214" s="75"/>
      <c r="AV1214" s="75"/>
      <c r="AW1214" s="75"/>
      <c r="AX1214" s="75"/>
      <c r="AY1214" s="67"/>
      <c r="AZ1214" s="75"/>
      <c r="BA1214" s="67"/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8"/>
      <c r="BL1214" s="78"/>
      <c r="BM1214" s="78"/>
      <c r="BN1214" s="78"/>
      <c r="BO1214" s="66"/>
      <c r="BP1214" s="66"/>
    </row>
    <row r="1215" spans="1:68" ht="13.2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/>
      <c r="AQ1215" s="75"/>
      <c r="AR1215" s="75"/>
      <c r="AS1215" s="75"/>
      <c r="AT1215" s="75"/>
      <c r="AU1215" s="75"/>
      <c r="AV1215" s="75"/>
      <c r="AW1215" s="75"/>
      <c r="AX1215" s="75"/>
      <c r="AY1215" s="67"/>
      <c r="AZ1215" s="75"/>
      <c r="BA1215" s="67"/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8"/>
      <c r="BL1215" s="78"/>
      <c r="BM1215" s="78"/>
      <c r="BN1215" s="78"/>
      <c r="BO1215" s="66"/>
      <c r="BP1215" s="66"/>
    </row>
    <row r="1216" spans="1:68" ht="13.2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/>
      <c r="AQ1216" s="75"/>
      <c r="AR1216" s="75"/>
      <c r="AS1216" s="75"/>
      <c r="AT1216" s="75"/>
      <c r="AU1216" s="75"/>
      <c r="AV1216" s="75"/>
      <c r="AW1216" s="75"/>
      <c r="AX1216" s="75"/>
      <c r="AY1216" s="67"/>
      <c r="AZ1216" s="75"/>
      <c r="BA1216" s="67"/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8"/>
      <c r="BL1216" s="78"/>
      <c r="BM1216" s="78"/>
      <c r="BN1216" s="78"/>
      <c r="BO1216" s="66"/>
      <c r="BP1216" s="66"/>
    </row>
    <row r="1217" spans="1:68" ht="13.2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/>
      <c r="AQ1217" s="75"/>
      <c r="AR1217" s="75"/>
      <c r="AS1217" s="75"/>
      <c r="AT1217" s="75"/>
      <c r="AU1217" s="75"/>
      <c r="AV1217" s="75"/>
      <c r="AW1217" s="75"/>
      <c r="AX1217" s="75"/>
      <c r="AY1217" s="67"/>
      <c r="AZ1217" s="75"/>
      <c r="BA1217" s="67"/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8"/>
      <c r="BL1217" s="78"/>
      <c r="BM1217" s="78"/>
      <c r="BN1217" s="78"/>
      <c r="BO1217" s="66"/>
      <c r="BP1217" s="66"/>
    </row>
    <row r="1218" spans="1:68" ht="13.2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/>
      <c r="AQ1218" s="75"/>
      <c r="AR1218" s="75"/>
      <c r="AS1218" s="75"/>
      <c r="AT1218" s="75"/>
      <c r="AU1218" s="75"/>
      <c r="AV1218" s="75"/>
      <c r="AW1218" s="75"/>
      <c r="AX1218" s="75"/>
      <c r="AY1218" s="67"/>
      <c r="AZ1218" s="75"/>
      <c r="BA1218" s="67"/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8"/>
      <c r="BL1218" s="78"/>
      <c r="BM1218" s="78"/>
      <c r="BN1218" s="78"/>
      <c r="BO1218" s="66"/>
      <c r="BP1218" s="66"/>
    </row>
    <row r="1219" spans="1:68" ht="13.2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/>
      <c r="AQ1219" s="75"/>
      <c r="AR1219" s="75"/>
      <c r="AS1219" s="75"/>
      <c r="AT1219" s="75"/>
      <c r="AU1219" s="75"/>
      <c r="AV1219" s="75"/>
      <c r="AW1219" s="75"/>
      <c r="AX1219" s="75"/>
      <c r="AY1219" s="67"/>
      <c r="AZ1219" s="75"/>
      <c r="BA1219" s="67"/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8"/>
      <c r="BL1219" s="78"/>
      <c r="BM1219" s="78"/>
      <c r="BN1219" s="78"/>
      <c r="BO1219" s="66"/>
      <c r="BP1219" s="66"/>
    </row>
    <row r="1220" spans="1:68" ht="13.2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/>
      <c r="AQ1220" s="75"/>
      <c r="AR1220" s="75"/>
      <c r="AS1220" s="75"/>
      <c r="AT1220" s="75"/>
      <c r="AU1220" s="75"/>
      <c r="AV1220" s="75"/>
      <c r="AW1220" s="75"/>
      <c r="AX1220" s="75"/>
      <c r="AY1220" s="67"/>
      <c r="AZ1220" s="75"/>
      <c r="BA1220" s="67"/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8"/>
      <c r="BL1220" s="78"/>
      <c r="BM1220" s="78"/>
      <c r="BN1220" s="78"/>
      <c r="BO1220" s="66"/>
      <c r="BP1220" s="66"/>
    </row>
    <row r="1221" spans="1:68" ht="13.2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/>
      <c r="AQ1221" s="75"/>
      <c r="AR1221" s="75"/>
      <c r="AS1221" s="75"/>
      <c r="AT1221" s="75"/>
      <c r="AU1221" s="75"/>
      <c r="AV1221" s="75"/>
      <c r="AW1221" s="75"/>
      <c r="AX1221" s="75"/>
      <c r="AY1221" s="67"/>
      <c r="AZ1221" s="75"/>
      <c r="BA1221" s="67"/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8"/>
      <c r="BL1221" s="78"/>
      <c r="BM1221" s="78"/>
      <c r="BN1221" s="78"/>
      <c r="BO1221" s="66"/>
      <c r="BP1221" s="66"/>
    </row>
    <row r="1222" spans="1:68" ht="13.2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/>
      <c r="AQ1222" s="75"/>
      <c r="AR1222" s="75"/>
      <c r="AS1222" s="75"/>
      <c r="AT1222" s="75"/>
      <c r="AU1222" s="75"/>
      <c r="AV1222" s="75"/>
      <c r="AW1222" s="75"/>
      <c r="AX1222" s="75"/>
      <c r="AY1222" s="67"/>
      <c r="AZ1222" s="75"/>
      <c r="BA1222" s="67"/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8"/>
      <c r="BL1222" s="78"/>
      <c r="BM1222" s="78"/>
      <c r="BN1222" s="78"/>
      <c r="BO1222" s="66"/>
      <c r="BP1222" s="66"/>
    </row>
    <row r="1223" spans="1:68" ht="13.2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/>
      <c r="AQ1223" s="75"/>
      <c r="AR1223" s="75"/>
      <c r="AS1223" s="75"/>
      <c r="AT1223" s="75"/>
      <c r="AU1223" s="75"/>
      <c r="AV1223" s="75"/>
      <c r="AW1223" s="75"/>
      <c r="AX1223" s="75"/>
      <c r="AY1223" s="67"/>
      <c r="AZ1223" s="75"/>
      <c r="BA1223" s="67"/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8"/>
      <c r="BL1223" s="78"/>
      <c r="BM1223" s="78"/>
      <c r="BN1223" s="78"/>
      <c r="BO1223" s="66"/>
      <c r="BP1223" s="66"/>
    </row>
    <row r="1224" spans="1:68" ht="13.2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/>
      <c r="AQ1224" s="75"/>
      <c r="AR1224" s="75"/>
      <c r="AS1224" s="75"/>
      <c r="AT1224" s="75"/>
      <c r="AU1224" s="75"/>
      <c r="AV1224" s="75"/>
      <c r="AW1224" s="75"/>
      <c r="AX1224" s="75"/>
      <c r="AY1224" s="67"/>
      <c r="AZ1224" s="75"/>
      <c r="BA1224" s="67"/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8"/>
      <c r="BL1224" s="78"/>
      <c r="BM1224" s="78"/>
      <c r="BN1224" s="78"/>
      <c r="BO1224" s="66"/>
      <c r="BP1224" s="66"/>
    </row>
    <row r="1225" spans="1:68" ht="13.2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/>
      <c r="AQ1225" s="75"/>
      <c r="AR1225" s="75"/>
      <c r="AS1225" s="75"/>
      <c r="AT1225" s="75"/>
      <c r="AU1225" s="75"/>
      <c r="AV1225" s="75"/>
      <c r="AW1225" s="75"/>
      <c r="AX1225" s="75"/>
      <c r="AY1225" s="67"/>
      <c r="AZ1225" s="75"/>
      <c r="BA1225" s="67"/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8"/>
      <c r="BL1225" s="78"/>
      <c r="BM1225" s="78"/>
      <c r="BN1225" s="78"/>
      <c r="BO1225" s="66"/>
      <c r="BP1225" s="66"/>
    </row>
    <row r="1226" spans="1:68" ht="13.2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67"/>
      <c r="AZ1226" s="75"/>
      <c r="BA1226" s="67"/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8"/>
      <c r="BL1226" s="78"/>
      <c r="BM1226" s="78"/>
      <c r="BN1226" s="78"/>
      <c r="BO1226" s="66"/>
      <c r="BP1226" s="66"/>
    </row>
    <row r="1227" spans="1:68" ht="13.2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67"/>
      <c r="AZ1227" s="75"/>
      <c r="BA1227" s="67"/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8"/>
      <c r="BL1227" s="78"/>
      <c r="BM1227" s="78"/>
      <c r="BN1227" s="78"/>
      <c r="BO1227" s="66"/>
      <c r="BP1227" s="66"/>
    </row>
    <row r="1228" spans="1:68" ht="13.2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67"/>
      <c r="AZ1228" s="75"/>
      <c r="BA1228" s="67"/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8"/>
      <c r="BL1228" s="78"/>
      <c r="BM1228" s="78"/>
      <c r="BN1228" s="78"/>
      <c r="BO1228" s="66"/>
      <c r="BP1228" s="66"/>
    </row>
    <row r="1229" spans="1:68" ht="13.2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67"/>
      <c r="AZ1229" s="75"/>
      <c r="BA1229" s="67"/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8"/>
      <c r="BL1229" s="78"/>
      <c r="BM1229" s="78"/>
      <c r="BN1229" s="78"/>
      <c r="BO1229" s="66"/>
      <c r="BP1229" s="66"/>
    </row>
    <row r="1230" spans="1:68" ht="13.2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/>
      <c r="AQ1230" s="75"/>
      <c r="AR1230" s="75"/>
      <c r="AS1230" s="75"/>
      <c r="AT1230" s="75"/>
      <c r="AU1230" s="75"/>
      <c r="AV1230" s="75"/>
      <c r="AW1230" s="75"/>
      <c r="AX1230" s="75"/>
      <c r="AY1230" s="67"/>
      <c r="AZ1230" s="75"/>
      <c r="BA1230" s="67"/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8"/>
      <c r="BL1230" s="78"/>
      <c r="BM1230" s="78"/>
      <c r="BN1230" s="78"/>
      <c r="BO1230" s="66"/>
      <c r="BP1230" s="66"/>
    </row>
    <row r="1231" spans="1:68" ht="13.2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/>
      <c r="AQ1231" s="75"/>
      <c r="AR1231" s="75"/>
      <c r="AS1231" s="75"/>
      <c r="AT1231" s="75"/>
      <c r="AU1231" s="75"/>
      <c r="AV1231" s="75"/>
      <c r="AW1231" s="75"/>
      <c r="AX1231" s="75"/>
      <c r="AY1231" s="67"/>
      <c r="AZ1231" s="75"/>
      <c r="BA1231" s="67"/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8"/>
      <c r="BL1231" s="78"/>
      <c r="BM1231" s="78"/>
      <c r="BN1231" s="78"/>
      <c r="BO1231" s="66"/>
      <c r="BP1231" s="66"/>
    </row>
    <row r="1232" spans="1:68" ht="13.2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/>
      <c r="AQ1232" s="75"/>
      <c r="AR1232" s="75"/>
      <c r="AS1232" s="75"/>
      <c r="AT1232" s="75"/>
      <c r="AU1232" s="75"/>
      <c r="AV1232" s="75"/>
      <c r="AW1232" s="75"/>
      <c r="AX1232" s="75"/>
      <c r="AY1232" s="67"/>
      <c r="AZ1232" s="75"/>
      <c r="BA1232" s="67"/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8"/>
      <c r="BL1232" s="78"/>
      <c r="BM1232" s="78"/>
      <c r="BN1232" s="78"/>
      <c r="BO1232" s="66"/>
      <c r="BP1232" s="66"/>
    </row>
    <row r="1233" spans="1:68" ht="13.2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/>
      <c r="AQ1233" s="75"/>
      <c r="AR1233" s="75"/>
      <c r="AS1233" s="75"/>
      <c r="AT1233" s="75"/>
      <c r="AU1233" s="75"/>
      <c r="AV1233" s="75"/>
      <c r="AW1233" s="75"/>
      <c r="AX1233" s="75"/>
      <c r="AY1233" s="67"/>
      <c r="AZ1233" s="75"/>
      <c r="BA1233" s="67"/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8"/>
      <c r="BL1233" s="78"/>
      <c r="BM1233" s="78"/>
      <c r="BN1233" s="78"/>
      <c r="BO1233" s="66"/>
      <c r="BP1233" s="66"/>
    </row>
    <row r="1234" spans="1:68" ht="13.2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/>
      <c r="AQ1234" s="75"/>
      <c r="AR1234" s="75"/>
      <c r="AS1234" s="75"/>
      <c r="AT1234" s="75"/>
      <c r="AU1234" s="75"/>
      <c r="AV1234" s="75"/>
      <c r="AW1234" s="75"/>
      <c r="AX1234" s="75"/>
      <c r="AY1234" s="67"/>
      <c r="AZ1234" s="75"/>
      <c r="BA1234" s="67"/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8"/>
      <c r="BL1234" s="78"/>
      <c r="BM1234" s="78"/>
      <c r="BN1234" s="78"/>
      <c r="BO1234" s="66"/>
      <c r="BP1234" s="66"/>
    </row>
    <row r="1235" spans="1:68" ht="13.2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67"/>
      <c r="AZ1235" s="75"/>
      <c r="BA1235" s="67"/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8"/>
      <c r="BL1235" s="78"/>
      <c r="BM1235" s="78"/>
      <c r="BN1235" s="78"/>
      <c r="BO1235" s="66"/>
      <c r="BP1235" s="66"/>
    </row>
    <row r="1236" spans="1:68" ht="13.2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/>
      <c r="AQ1236" s="75"/>
      <c r="AR1236" s="75"/>
      <c r="AS1236" s="75"/>
      <c r="AT1236" s="75"/>
      <c r="AU1236" s="75"/>
      <c r="AV1236" s="75"/>
      <c r="AW1236" s="75"/>
      <c r="AX1236" s="75"/>
      <c r="AY1236" s="67"/>
      <c r="AZ1236" s="75"/>
      <c r="BA1236" s="67"/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8"/>
      <c r="BL1236" s="78"/>
      <c r="BM1236" s="78"/>
      <c r="BN1236" s="78"/>
      <c r="BO1236" s="66"/>
      <c r="BP1236" s="66"/>
    </row>
    <row r="1237" spans="1:68" ht="13.2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67"/>
      <c r="AZ1237" s="75"/>
      <c r="BA1237" s="67"/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8"/>
      <c r="BL1237" s="78"/>
      <c r="BM1237" s="78"/>
      <c r="BN1237" s="78"/>
      <c r="BO1237" s="66"/>
      <c r="BP1237" s="66"/>
    </row>
    <row r="1238" spans="1:68" ht="13.2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/>
      <c r="AQ1238" s="75"/>
      <c r="AR1238" s="75"/>
      <c r="AS1238" s="75"/>
      <c r="AT1238" s="75"/>
      <c r="AU1238" s="75"/>
      <c r="AV1238" s="75"/>
      <c r="AW1238" s="75"/>
      <c r="AX1238" s="75"/>
      <c r="AY1238" s="67"/>
      <c r="AZ1238" s="75"/>
      <c r="BA1238" s="67"/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8"/>
      <c r="BL1238" s="78"/>
      <c r="BM1238" s="78"/>
      <c r="BN1238" s="78"/>
      <c r="BO1238" s="66"/>
      <c r="BP1238" s="66"/>
    </row>
    <row r="1239" spans="1:68" ht="13.2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/>
      <c r="AQ1239" s="75"/>
      <c r="AR1239" s="75"/>
      <c r="AS1239" s="75"/>
      <c r="AT1239" s="75"/>
      <c r="AU1239" s="75"/>
      <c r="AV1239" s="75"/>
      <c r="AW1239" s="75"/>
      <c r="AX1239" s="75"/>
      <c r="AY1239" s="67"/>
      <c r="AZ1239" s="75"/>
      <c r="BA1239" s="67"/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8"/>
      <c r="BL1239" s="78"/>
      <c r="BM1239" s="78"/>
      <c r="BN1239" s="78"/>
      <c r="BO1239" s="66"/>
      <c r="BP1239" s="66"/>
    </row>
    <row r="1240" spans="1:68" ht="13.2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67"/>
      <c r="AZ1240" s="75"/>
      <c r="BA1240" s="67"/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8"/>
      <c r="BL1240" s="78"/>
      <c r="BM1240" s="78"/>
      <c r="BN1240" s="78"/>
      <c r="BO1240" s="66"/>
      <c r="BP1240" s="66"/>
    </row>
    <row r="1241" spans="1:68" ht="13.2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67"/>
      <c r="AZ1241" s="75"/>
      <c r="BA1241" s="67"/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8"/>
      <c r="BL1241" s="78"/>
      <c r="BM1241" s="78"/>
      <c r="BN1241" s="78"/>
      <c r="BO1241" s="66"/>
      <c r="BP1241" s="66"/>
    </row>
    <row r="1242" spans="1:68" ht="13.2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/>
      <c r="AQ1242" s="75"/>
      <c r="AR1242" s="75"/>
      <c r="AS1242" s="75"/>
      <c r="AT1242" s="75"/>
      <c r="AU1242" s="75"/>
      <c r="AV1242" s="75"/>
      <c r="AW1242" s="75"/>
      <c r="AX1242" s="75"/>
      <c r="AY1242" s="67"/>
      <c r="AZ1242" s="75"/>
      <c r="BA1242" s="67"/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8"/>
      <c r="BL1242" s="78"/>
      <c r="BM1242" s="78"/>
      <c r="BN1242" s="78"/>
      <c r="BO1242" s="66"/>
      <c r="BP1242" s="66"/>
    </row>
    <row r="1243" spans="1:68" ht="13.2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/>
      <c r="AQ1243" s="75"/>
      <c r="AR1243" s="75"/>
      <c r="AS1243" s="75"/>
      <c r="AT1243" s="75"/>
      <c r="AU1243" s="75"/>
      <c r="AV1243" s="75"/>
      <c r="AW1243" s="75"/>
      <c r="AX1243" s="75"/>
      <c r="AY1243" s="67"/>
      <c r="AZ1243" s="75"/>
      <c r="BA1243" s="67"/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8"/>
      <c r="BL1243" s="78"/>
      <c r="BM1243" s="78"/>
      <c r="BN1243" s="78"/>
      <c r="BO1243" s="66"/>
      <c r="BP1243" s="66"/>
    </row>
    <row r="1244" spans="1:68" ht="13.2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/>
      <c r="AQ1244" s="75"/>
      <c r="AR1244" s="75"/>
      <c r="AS1244" s="75"/>
      <c r="AT1244" s="75"/>
      <c r="AU1244" s="75"/>
      <c r="AV1244" s="75"/>
      <c r="AW1244" s="75"/>
      <c r="AX1244" s="75"/>
      <c r="AY1244" s="67"/>
      <c r="AZ1244" s="75"/>
      <c r="BA1244" s="67"/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8"/>
      <c r="BL1244" s="78"/>
      <c r="BM1244" s="78"/>
      <c r="BN1244" s="78"/>
      <c r="BO1244" s="66"/>
      <c r="BP1244" s="66"/>
    </row>
    <row r="1245" spans="1:68" ht="13.2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/>
      <c r="AQ1245" s="75"/>
      <c r="AR1245" s="75"/>
      <c r="AS1245" s="75"/>
      <c r="AT1245" s="75"/>
      <c r="AU1245" s="75"/>
      <c r="AV1245" s="75"/>
      <c r="AW1245" s="75"/>
      <c r="AX1245" s="75"/>
      <c r="AY1245" s="67"/>
      <c r="AZ1245" s="75"/>
      <c r="BA1245" s="67"/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8"/>
      <c r="BL1245" s="78"/>
      <c r="BM1245" s="78"/>
      <c r="BN1245" s="78"/>
      <c r="BO1245" s="66"/>
      <c r="BP1245" s="66"/>
    </row>
    <row r="1246" spans="1:68" ht="13.2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/>
      <c r="AQ1246" s="75"/>
      <c r="AR1246" s="75"/>
      <c r="AS1246" s="75"/>
      <c r="AT1246" s="75"/>
      <c r="AU1246" s="75"/>
      <c r="AV1246" s="75"/>
      <c r="AW1246" s="75"/>
      <c r="AX1246" s="75"/>
      <c r="AY1246" s="67"/>
      <c r="AZ1246" s="75"/>
      <c r="BA1246" s="67"/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8"/>
      <c r="BL1246" s="78"/>
      <c r="BM1246" s="78"/>
      <c r="BN1246" s="78"/>
      <c r="BO1246" s="66"/>
      <c r="BP1246" s="66"/>
    </row>
    <row r="1247" spans="1:68" ht="13.2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/>
      <c r="AQ1247" s="75"/>
      <c r="AR1247" s="75"/>
      <c r="AS1247" s="75"/>
      <c r="AT1247" s="75"/>
      <c r="AU1247" s="75"/>
      <c r="AV1247" s="75"/>
      <c r="AW1247" s="75"/>
      <c r="AX1247" s="75"/>
      <c r="AY1247" s="67"/>
      <c r="AZ1247" s="75"/>
      <c r="BA1247" s="67"/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8"/>
      <c r="BL1247" s="78"/>
      <c r="BM1247" s="78"/>
      <c r="BN1247" s="78"/>
      <c r="BO1247" s="66"/>
      <c r="BP1247" s="66"/>
    </row>
    <row r="1248" spans="1:68" ht="13.2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67"/>
      <c r="AZ1248" s="75"/>
      <c r="BA1248" s="67"/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8"/>
      <c r="BL1248" s="78"/>
      <c r="BM1248" s="78"/>
      <c r="BN1248" s="78"/>
      <c r="BO1248" s="66"/>
      <c r="BP1248" s="66"/>
    </row>
    <row r="1249" spans="1:68" ht="13.2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/>
      <c r="AQ1249" s="75"/>
      <c r="AR1249" s="75"/>
      <c r="AS1249" s="75"/>
      <c r="AT1249" s="75"/>
      <c r="AU1249" s="75"/>
      <c r="AV1249" s="75"/>
      <c r="AW1249" s="75"/>
      <c r="AX1249" s="75"/>
      <c r="AY1249" s="67"/>
      <c r="AZ1249" s="75"/>
      <c r="BA1249" s="67"/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8"/>
      <c r="BL1249" s="78"/>
      <c r="BM1249" s="78"/>
      <c r="BN1249" s="78"/>
      <c r="BO1249" s="66"/>
      <c r="BP1249" s="66"/>
    </row>
    <row r="1250" spans="1:68" ht="13.2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/>
      <c r="AQ1250" s="75"/>
      <c r="AR1250" s="75"/>
      <c r="AS1250" s="75"/>
      <c r="AT1250" s="75"/>
      <c r="AU1250" s="75"/>
      <c r="AV1250" s="75"/>
      <c r="AW1250" s="75"/>
      <c r="AX1250" s="75"/>
      <c r="AY1250" s="67"/>
      <c r="AZ1250" s="75"/>
      <c r="BA1250" s="67"/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8"/>
      <c r="BL1250" s="78"/>
      <c r="BM1250" s="78"/>
      <c r="BN1250" s="78"/>
      <c r="BO1250" s="66"/>
      <c r="BP1250" s="66"/>
    </row>
    <row r="1251" spans="1:68" ht="13.2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67"/>
      <c r="AZ1251" s="75"/>
      <c r="BA1251" s="67"/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8"/>
      <c r="BL1251" s="78"/>
      <c r="BM1251" s="78"/>
      <c r="BN1251" s="78"/>
      <c r="BO1251" s="66"/>
      <c r="BP1251" s="66"/>
    </row>
    <row r="1252" spans="1:68" ht="13.2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/>
      <c r="AQ1252" s="75"/>
      <c r="AR1252" s="75"/>
      <c r="AS1252" s="75"/>
      <c r="AT1252" s="75"/>
      <c r="AU1252" s="75"/>
      <c r="AV1252" s="75"/>
      <c r="AW1252" s="75"/>
      <c r="AX1252" s="75"/>
      <c r="AY1252" s="67"/>
      <c r="AZ1252" s="75"/>
      <c r="BA1252" s="67"/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8"/>
      <c r="BL1252" s="78"/>
      <c r="BM1252" s="78"/>
      <c r="BN1252" s="78"/>
      <c r="BO1252" s="66"/>
      <c r="BP1252" s="66"/>
    </row>
    <row r="1253" spans="1:68" ht="13.2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/>
      <c r="AQ1253" s="75"/>
      <c r="AR1253" s="75"/>
      <c r="AS1253" s="75"/>
      <c r="AT1253" s="75"/>
      <c r="AU1253" s="75"/>
      <c r="AV1253" s="75"/>
      <c r="AW1253" s="75"/>
      <c r="AX1253" s="75"/>
      <c r="AY1253" s="67"/>
      <c r="AZ1253" s="75"/>
      <c r="BA1253" s="67"/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8"/>
      <c r="BL1253" s="78"/>
      <c r="BM1253" s="78"/>
      <c r="BN1253" s="78"/>
      <c r="BO1253" s="66"/>
      <c r="BP1253" s="66"/>
    </row>
    <row r="1254" spans="1:68" ht="13.2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/>
      <c r="AQ1254" s="75"/>
      <c r="AR1254" s="75"/>
      <c r="AS1254" s="75"/>
      <c r="AT1254" s="75"/>
      <c r="AU1254" s="75"/>
      <c r="AV1254" s="75"/>
      <c r="AW1254" s="75"/>
      <c r="AX1254" s="75"/>
      <c r="AY1254" s="67"/>
      <c r="AZ1254" s="75"/>
      <c r="BA1254" s="67"/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8"/>
      <c r="BL1254" s="78"/>
      <c r="BM1254" s="78"/>
      <c r="BN1254" s="78"/>
      <c r="BO1254" s="66"/>
      <c r="BP1254" s="66"/>
    </row>
    <row r="1255" spans="1:68" ht="13.2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/>
      <c r="AQ1255" s="75"/>
      <c r="AR1255" s="75"/>
      <c r="AS1255" s="75"/>
      <c r="AT1255" s="75"/>
      <c r="AU1255" s="75"/>
      <c r="AV1255" s="75"/>
      <c r="AW1255" s="75"/>
      <c r="AX1255" s="75"/>
      <c r="AY1255" s="67"/>
      <c r="AZ1255" s="75"/>
      <c r="BA1255" s="67"/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8"/>
      <c r="BL1255" s="78"/>
      <c r="BM1255" s="78"/>
      <c r="BN1255" s="78"/>
      <c r="BO1255" s="66"/>
      <c r="BP1255" s="66"/>
    </row>
    <row r="1256" spans="1:68" ht="13.2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/>
      <c r="AQ1256" s="75"/>
      <c r="AR1256" s="75"/>
      <c r="AS1256" s="75"/>
      <c r="AT1256" s="75"/>
      <c r="AU1256" s="75"/>
      <c r="AV1256" s="75"/>
      <c r="AW1256" s="75"/>
      <c r="AX1256" s="75"/>
      <c r="AY1256" s="67"/>
      <c r="AZ1256" s="75"/>
      <c r="BA1256" s="67"/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8"/>
      <c r="BL1256" s="78"/>
      <c r="BM1256" s="78"/>
      <c r="BN1256" s="78"/>
      <c r="BO1256" s="66"/>
      <c r="BP1256" s="66"/>
    </row>
    <row r="1257" spans="1:68" ht="13.2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67"/>
      <c r="AZ1257" s="75"/>
      <c r="BA1257" s="67"/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8"/>
      <c r="BL1257" s="78"/>
      <c r="BM1257" s="78"/>
      <c r="BN1257" s="78"/>
      <c r="BO1257" s="66"/>
      <c r="BP1257" s="66"/>
    </row>
    <row r="1258" spans="1:68" ht="13.2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/>
      <c r="AQ1258" s="75"/>
      <c r="AR1258" s="75"/>
      <c r="AS1258" s="75"/>
      <c r="AT1258" s="75"/>
      <c r="AU1258" s="75"/>
      <c r="AV1258" s="75"/>
      <c r="AW1258" s="75"/>
      <c r="AX1258" s="75"/>
      <c r="AY1258" s="67"/>
      <c r="AZ1258" s="75"/>
      <c r="BA1258" s="67"/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8"/>
      <c r="BL1258" s="78"/>
      <c r="BM1258" s="78"/>
      <c r="BN1258" s="78"/>
      <c r="BO1258" s="66"/>
      <c r="BP1258" s="66"/>
    </row>
    <row r="1259" spans="1:68" ht="13.2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/>
      <c r="AQ1259" s="75"/>
      <c r="AR1259" s="75"/>
      <c r="AS1259" s="75"/>
      <c r="AT1259" s="75"/>
      <c r="AU1259" s="75"/>
      <c r="AV1259" s="75"/>
      <c r="AW1259" s="75"/>
      <c r="AX1259" s="75"/>
      <c r="AY1259" s="67"/>
      <c r="AZ1259" s="75"/>
      <c r="BA1259" s="67"/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8"/>
      <c r="BL1259" s="78"/>
      <c r="BM1259" s="78"/>
      <c r="BN1259" s="78"/>
      <c r="BO1259" s="66"/>
      <c r="BP1259" s="66"/>
    </row>
    <row r="1260" spans="1:68" ht="13.2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/>
      <c r="AQ1260" s="75"/>
      <c r="AR1260" s="75"/>
      <c r="AS1260" s="75"/>
      <c r="AT1260" s="75"/>
      <c r="AU1260" s="75"/>
      <c r="AV1260" s="75"/>
      <c r="AW1260" s="75"/>
      <c r="AX1260" s="75"/>
      <c r="AY1260" s="67"/>
      <c r="AZ1260" s="75"/>
      <c r="BA1260" s="67"/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8"/>
      <c r="BL1260" s="78"/>
      <c r="BM1260" s="78"/>
      <c r="BN1260" s="78"/>
      <c r="BO1260" s="66"/>
      <c r="BP1260" s="66"/>
    </row>
    <row r="1261" spans="1:68" ht="13.2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/>
      <c r="AQ1261" s="75"/>
      <c r="AR1261" s="75"/>
      <c r="AS1261" s="75"/>
      <c r="AT1261" s="75"/>
      <c r="AU1261" s="75"/>
      <c r="AV1261" s="75"/>
      <c r="AW1261" s="75"/>
      <c r="AX1261" s="75"/>
      <c r="AY1261" s="67"/>
      <c r="AZ1261" s="75"/>
      <c r="BA1261" s="67"/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8"/>
      <c r="BL1261" s="78"/>
      <c r="BM1261" s="78"/>
      <c r="BN1261" s="78"/>
      <c r="BO1261" s="66"/>
      <c r="BP1261" s="66"/>
    </row>
    <row r="1262" spans="1:68" ht="13.2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/>
      <c r="AQ1262" s="75"/>
      <c r="AR1262" s="75"/>
      <c r="AS1262" s="75"/>
      <c r="AT1262" s="75"/>
      <c r="AU1262" s="75"/>
      <c r="AV1262" s="75"/>
      <c r="AW1262" s="75"/>
      <c r="AX1262" s="75"/>
      <c r="AY1262" s="67"/>
      <c r="AZ1262" s="75"/>
      <c r="BA1262" s="67"/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8"/>
      <c r="BL1262" s="78"/>
      <c r="BM1262" s="78"/>
      <c r="BN1262" s="78"/>
      <c r="BO1262" s="66"/>
      <c r="BP1262" s="66"/>
    </row>
    <row r="1263" spans="1:68" ht="13.2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/>
      <c r="AQ1263" s="75"/>
      <c r="AR1263" s="75"/>
      <c r="AS1263" s="75"/>
      <c r="AT1263" s="75"/>
      <c r="AU1263" s="75"/>
      <c r="AV1263" s="75"/>
      <c r="AW1263" s="75"/>
      <c r="AX1263" s="75"/>
      <c r="AY1263" s="67"/>
      <c r="AZ1263" s="75"/>
      <c r="BA1263" s="67"/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8"/>
      <c r="BL1263" s="78"/>
      <c r="BM1263" s="78"/>
      <c r="BN1263" s="78"/>
      <c r="BO1263" s="66"/>
      <c r="BP1263" s="66"/>
    </row>
    <row r="1264" spans="1:68" ht="13.2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/>
      <c r="AQ1264" s="75"/>
      <c r="AR1264" s="75"/>
      <c r="AS1264" s="75"/>
      <c r="AT1264" s="75"/>
      <c r="AU1264" s="75"/>
      <c r="AV1264" s="75"/>
      <c r="AW1264" s="75"/>
      <c r="AX1264" s="75"/>
      <c r="AY1264" s="67"/>
      <c r="AZ1264" s="75"/>
      <c r="BA1264" s="67"/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8"/>
      <c r="BL1264" s="78"/>
      <c r="BM1264" s="78"/>
      <c r="BN1264" s="78"/>
      <c r="BO1264" s="66"/>
      <c r="BP1264" s="66"/>
    </row>
    <row r="1265" spans="1:68" ht="13.2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/>
      <c r="AQ1265" s="75"/>
      <c r="AR1265" s="75"/>
      <c r="AS1265" s="75"/>
      <c r="AT1265" s="75"/>
      <c r="AU1265" s="75"/>
      <c r="AV1265" s="75"/>
      <c r="AW1265" s="75"/>
      <c r="AX1265" s="75"/>
      <c r="AY1265" s="67"/>
      <c r="AZ1265" s="75"/>
      <c r="BA1265" s="67"/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8"/>
      <c r="BL1265" s="78"/>
      <c r="BM1265" s="78"/>
      <c r="BN1265" s="78"/>
      <c r="BO1265" s="66"/>
      <c r="BP1265" s="66"/>
    </row>
    <row r="1266" spans="1:68" ht="13.2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/>
      <c r="AQ1266" s="75"/>
      <c r="AR1266" s="75"/>
      <c r="AS1266" s="75"/>
      <c r="AT1266" s="75"/>
      <c r="AU1266" s="75"/>
      <c r="AV1266" s="75"/>
      <c r="AW1266" s="75"/>
      <c r="AX1266" s="75"/>
      <c r="AY1266" s="67"/>
      <c r="AZ1266" s="75"/>
      <c r="BA1266" s="67"/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8"/>
      <c r="BL1266" s="78"/>
      <c r="BM1266" s="78"/>
      <c r="BN1266" s="78"/>
      <c r="BO1266" s="66"/>
      <c r="BP1266" s="66"/>
    </row>
    <row r="1267" spans="1:68" ht="13.2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/>
      <c r="AQ1267" s="75"/>
      <c r="AR1267" s="75"/>
      <c r="AS1267" s="75"/>
      <c r="AT1267" s="75"/>
      <c r="AU1267" s="75"/>
      <c r="AV1267" s="75"/>
      <c r="AW1267" s="75"/>
      <c r="AX1267" s="75"/>
      <c r="AY1267" s="67"/>
      <c r="AZ1267" s="75"/>
      <c r="BA1267" s="67"/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8"/>
      <c r="BL1267" s="78"/>
      <c r="BM1267" s="78"/>
      <c r="BN1267" s="78"/>
      <c r="BO1267" s="66"/>
      <c r="BP1267" s="66"/>
    </row>
    <row r="1268" spans="1:68" ht="13.2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/>
      <c r="AQ1268" s="75"/>
      <c r="AR1268" s="75"/>
      <c r="AS1268" s="75"/>
      <c r="AT1268" s="75"/>
      <c r="AU1268" s="75"/>
      <c r="AV1268" s="75"/>
      <c r="AW1268" s="75"/>
      <c r="AX1268" s="75"/>
      <c r="AY1268" s="67"/>
      <c r="AZ1268" s="75"/>
      <c r="BA1268" s="67"/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8"/>
      <c r="BL1268" s="78"/>
      <c r="BM1268" s="78"/>
      <c r="BN1268" s="78"/>
      <c r="BO1268" s="66"/>
      <c r="BP1268" s="66"/>
    </row>
    <row r="1269" spans="1:68" ht="13.2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/>
      <c r="AQ1269" s="75"/>
      <c r="AR1269" s="75"/>
      <c r="AS1269" s="75"/>
      <c r="AT1269" s="75"/>
      <c r="AU1269" s="75"/>
      <c r="AV1269" s="75"/>
      <c r="AW1269" s="75"/>
      <c r="AX1269" s="75"/>
      <c r="AY1269" s="67"/>
      <c r="AZ1269" s="75"/>
      <c r="BA1269" s="67"/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8"/>
      <c r="BL1269" s="78"/>
      <c r="BM1269" s="78"/>
      <c r="BN1269" s="78"/>
      <c r="BO1269" s="66"/>
      <c r="BP1269" s="66"/>
    </row>
    <row r="1270" spans="1:68" ht="13.2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/>
      <c r="AQ1270" s="75"/>
      <c r="AR1270" s="75"/>
      <c r="AS1270" s="75"/>
      <c r="AT1270" s="75"/>
      <c r="AU1270" s="75"/>
      <c r="AV1270" s="75"/>
      <c r="AW1270" s="75"/>
      <c r="AX1270" s="75"/>
      <c r="AY1270" s="67"/>
      <c r="AZ1270" s="75"/>
      <c r="BA1270" s="67"/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8"/>
      <c r="BL1270" s="78"/>
      <c r="BM1270" s="78"/>
      <c r="BN1270" s="78"/>
      <c r="BO1270" s="66"/>
      <c r="BP1270" s="66"/>
    </row>
    <row r="1271" spans="1:68" ht="13.2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/>
      <c r="AQ1271" s="75"/>
      <c r="AR1271" s="75"/>
      <c r="AS1271" s="75"/>
      <c r="AT1271" s="75"/>
      <c r="AU1271" s="75"/>
      <c r="AV1271" s="75"/>
      <c r="AW1271" s="75"/>
      <c r="AX1271" s="75"/>
      <c r="AY1271" s="67"/>
      <c r="AZ1271" s="75"/>
      <c r="BA1271" s="67"/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8"/>
      <c r="BL1271" s="78"/>
      <c r="BM1271" s="78"/>
      <c r="BN1271" s="78"/>
      <c r="BO1271" s="66"/>
      <c r="BP1271" s="66"/>
    </row>
    <row r="1272" spans="1:68" ht="13.2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/>
      <c r="AQ1272" s="75"/>
      <c r="AR1272" s="75"/>
      <c r="AS1272" s="75"/>
      <c r="AT1272" s="75"/>
      <c r="AU1272" s="75"/>
      <c r="AV1272" s="75"/>
      <c r="AW1272" s="75"/>
      <c r="AX1272" s="75"/>
      <c r="AY1272" s="67"/>
      <c r="AZ1272" s="75"/>
      <c r="BA1272" s="67"/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8"/>
      <c r="BL1272" s="78"/>
      <c r="BM1272" s="78"/>
      <c r="BN1272" s="78"/>
      <c r="BO1272" s="66"/>
      <c r="BP1272" s="66"/>
    </row>
    <row r="1273" spans="1:68" ht="13.2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/>
      <c r="AQ1273" s="75"/>
      <c r="AR1273" s="75"/>
      <c r="AS1273" s="75"/>
      <c r="AT1273" s="75"/>
      <c r="AU1273" s="75"/>
      <c r="AV1273" s="75"/>
      <c r="AW1273" s="75"/>
      <c r="AX1273" s="75"/>
      <c r="AY1273" s="67"/>
      <c r="AZ1273" s="75"/>
      <c r="BA1273" s="67"/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8"/>
      <c r="BL1273" s="78"/>
      <c r="BM1273" s="78"/>
      <c r="BN1273" s="78"/>
      <c r="BO1273" s="66"/>
      <c r="BP1273" s="66"/>
    </row>
    <row r="1274" spans="1:68" ht="13.2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/>
      <c r="AQ1274" s="75"/>
      <c r="AR1274" s="75"/>
      <c r="AS1274" s="75"/>
      <c r="AT1274" s="75"/>
      <c r="AU1274" s="75"/>
      <c r="AV1274" s="75"/>
      <c r="AW1274" s="75"/>
      <c r="AX1274" s="75"/>
      <c r="AY1274" s="67"/>
      <c r="AZ1274" s="75"/>
      <c r="BA1274" s="67"/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8"/>
      <c r="BL1274" s="78"/>
      <c r="BM1274" s="78"/>
      <c r="BN1274" s="78"/>
      <c r="BO1274" s="66"/>
      <c r="BP1274" s="66"/>
    </row>
    <row r="1275" spans="1:68" ht="13.2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/>
      <c r="AQ1275" s="75"/>
      <c r="AR1275" s="75"/>
      <c r="AS1275" s="75"/>
      <c r="AT1275" s="75"/>
      <c r="AU1275" s="75"/>
      <c r="AV1275" s="75"/>
      <c r="AW1275" s="75"/>
      <c r="AX1275" s="75"/>
      <c r="AY1275" s="67"/>
      <c r="AZ1275" s="75"/>
      <c r="BA1275" s="67"/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8"/>
      <c r="BL1275" s="78"/>
      <c r="BM1275" s="78"/>
      <c r="BN1275" s="78"/>
      <c r="BO1275" s="66"/>
      <c r="BP1275" s="66"/>
    </row>
    <row r="1276" spans="1:68" ht="13.2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/>
      <c r="AQ1276" s="75"/>
      <c r="AR1276" s="75"/>
      <c r="AS1276" s="75"/>
      <c r="AT1276" s="75"/>
      <c r="AU1276" s="75"/>
      <c r="AV1276" s="75"/>
      <c r="AW1276" s="75"/>
      <c r="AX1276" s="75"/>
      <c r="AY1276" s="67"/>
      <c r="AZ1276" s="75"/>
      <c r="BA1276" s="67"/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8"/>
      <c r="BL1276" s="78"/>
      <c r="BM1276" s="78"/>
      <c r="BN1276" s="78"/>
      <c r="BO1276" s="66"/>
      <c r="BP1276" s="66"/>
    </row>
    <row r="1277" spans="1:68" ht="13.2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/>
      <c r="AQ1277" s="75"/>
      <c r="AR1277" s="75"/>
      <c r="AS1277" s="75"/>
      <c r="AT1277" s="75"/>
      <c r="AU1277" s="75"/>
      <c r="AV1277" s="75"/>
      <c r="AW1277" s="75"/>
      <c r="AX1277" s="75"/>
      <c r="AY1277" s="67"/>
      <c r="AZ1277" s="75"/>
      <c r="BA1277" s="67"/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8"/>
      <c r="BL1277" s="78"/>
      <c r="BM1277" s="78"/>
      <c r="BN1277" s="78"/>
      <c r="BO1277" s="66"/>
      <c r="BP1277" s="66"/>
    </row>
    <row r="1278" spans="1:68" ht="13.2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/>
      <c r="AQ1278" s="75"/>
      <c r="AR1278" s="75"/>
      <c r="AS1278" s="75"/>
      <c r="AT1278" s="75"/>
      <c r="AU1278" s="75"/>
      <c r="AV1278" s="75"/>
      <c r="AW1278" s="75"/>
      <c r="AX1278" s="75"/>
      <c r="AY1278" s="67"/>
      <c r="AZ1278" s="75"/>
      <c r="BA1278" s="67"/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8"/>
      <c r="BL1278" s="78"/>
      <c r="BM1278" s="78"/>
      <c r="BN1278" s="78"/>
      <c r="BO1278" s="66"/>
      <c r="BP1278" s="66"/>
    </row>
    <row r="1279" spans="1:68" ht="13.2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/>
      <c r="AQ1279" s="75"/>
      <c r="AR1279" s="75"/>
      <c r="AS1279" s="75"/>
      <c r="AT1279" s="75"/>
      <c r="AU1279" s="75"/>
      <c r="AV1279" s="75"/>
      <c r="AW1279" s="75"/>
      <c r="AX1279" s="75"/>
      <c r="AY1279" s="67"/>
      <c r="AZ1279" s="75"/>
      <c r="BA1279" s="67"/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8"/>
      <c r="BL1279" s="78"/>
      <c r="BM1279" s="78"/>
      <c r="BN1279" s="78"/>
      <c r="BO1279" s="66"/>
      <c r="BP1279" s="66"/>
    </row>
    <row r="1280" spans="1:68" ht="13.2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/>
      <c r="AQ1280" s="75"/>
      <c r="AR1280" s="75"/>
      <c r="AS1280" s="75"/>
      <c r="AT1280" s="75"/>
      <c r="AU1280" s="75"/>
      <c r="AV1280" s="75"/>
      <c r="AW1280" s="75"/>
      <c r="AX1280" s="75"/>
      <c r="AY1280" s="67"/>
      <c r="AZ1280" s="75"/>
      <c r="BA1280" s="67"/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8"/>
      <c r="BL1280" s="78"/>
      <c r="BM1280" s="78"/>
      <c r="BN1280" s="78"/>
      <c r="BO1280" s="66"/>
      <c r="BP1280" s="66"/>
    </row>
    <row r="1281" spans="1:68" ht="13.2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/>
      <c r="AQ1281" s="75"/>
      <c r="AR1281" s="75"/>
      <c r="AS1281" s="75"/>
      <c r="AT1281" s="75"/>
      <c r="AU1281" s="75"/>
      <c r="AV1281" s="75"/>
      <c r="AW1281" s="75"/>
      <c r="AX1281" s="75"/>
      <c r="AY1281" s="67"/>
      <c r="AZ1281" s="75"/>
      <c r="BA1281" s="67"/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8"/>
      <c r="BL1281" s="78"/>
      <c r="BM1281" s="78"/>
      <c r="BN1281" s="78"/>
      <c r="BO1281" s="66"/>
      <c r="BP1281" s="66"/>
    </row>
    <row r="1282" spans="1:68" ht="13.2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67"/>
      <c r="AZ1282" s="75"/>
      <c r="BA1282" s="67"/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8"/>
      <c r="BL1282" s="78"/>
      <c r="BM1282" s="78"/>
      <c r="BN1282" s="78"/>
      <c r="BO1282" s="66"/>
      <c r="BP1282" s="66"/>
    </row>
    <row r="1283" spans="1:68" ht="13.2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/>
      <c r="AQ1283" s="75"/>
      <c r="AR1283" s="75"/>
      <c r="AS1283" s="75"/>
      <c r="AT1283" s="75"/>
      <c r="AU1283" s="75"/>
      <c r="AV1283" s="75"/>
      <c r="AW1283" s="75"/>
      <c r="AX1283" s="75"/>
      <c r="AY1283" s="67"/>
      <c r="AZ1283" s="75"/>
      <c r="BA1283" s="67"/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8"/>
      <c r="BL1283" s="78"/>
      <c r="BM1283" s="78"/>
      <c r="BN1283" s="78"/>
      <c r="BO1283" s="66"/>
      <c r="BP1283" s="66"/>
    </row>
    <row r="1284" spans="1:68" ht="13.2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/>
      <c r="AQ1284" s="75"/>
      <c r="AR1284" s="75"/>
      <c r="AS1284" s="75"/>
      <c r="AT1284" s="75"/>
      <c r="AU1284" s="75"/>
      <c r="AV1284" s="75"/>
      <c r="AW1284" s="75"/>
      <c r="AX1284" s="75"/>
      <c r="AY1284" s="67"/>
      <c r="AZ1284" s="75"/>
      <c r="BA1284" s="67"/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8"/>
      <c r="BL1284" s="78"/>
      <c r="BM1284" s="78"/>
      <c r="BN1284" s="78"/>
      <c r="BO1284" s="66"/>
      <c r="BP1284" s="66"/>
    </row>
    <row r="1285" spans="1:68" ht="13.2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/>
      <c r="AQ1285" s="75"/>
      <c r="AR1285" s="75"/>
      <c r="AS1285" s="75"/>
      <c r="AT1285" s="75"/>
      <c r="AU1285" s="75"/>
      <c r="AV1285" s="75"/>
      <c r="AW1285" s="75"/>
      <c r="AX1285" s="75"/>
      <c r="AY1285" s="67"/>
      <c r="AZ1285" s="75"/>
      <c r="BA1285" s="67"/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8"/>
      <c r="BL1285" s="78"/>
      <c r="BM1285" s="78"/>
      <c r="BN1285" s="78"/>
      <c r="BO1285" s="66"/>
      <c r="BP1285" s="66"/>
    </row>
    <row r="1286" spans="1:68" ht="13.2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/>
      <c r="AQ1286" s="75"/>
      <c r="AR1286" s="75"/>
      <c r="AS1286" s="75"/>
      <c r="AT1286" s="75"/>
      <c r="AU1286" s="75"/>
      <c r="AV1286" s="75"/>
      <c r="AW1286" s="75"/>
      <c r="AX1286" s="75"/>
      <c r="AY1286" s="67"/>
      <c r="AZ1286" s="75"/>
      <c r="BA1286" s="67"/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8"/>
      <c r="BL1286" s="78"/>
      <c r="BM1286" s="78"/>
      <c r="BN1286" s="78"/>
      <c r="BO1286" s="66"/>
      <c r="BP1286" s="66"/>
    </row>
    <row r="1287" spans="1:68" ht="13.2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/>
      <c r="AQ1287" s="75"/>
      <c r="AR1287" s="75"/>
      <c r="AS1287" s="75"/>
      <c r="AT1287" s="75"/>
      <c r="AU1287" s="75"/>
      <c r="AV1287" s="75"/>
      <c r="AW1287" s="75"/>
      <c r="AX1287" s="75"/>
      <c r="AY1287" s="67"/>
      <c r="AZ1287" s="75"/>
      <c r="BA1287" s="67"/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8"/>
      <c r="BL1287" s="78"/>
      <c r="BM1287" s="78"/>
      <c r="BN1287" s="78"/>
      <c r="BO1287" s="66"/>
      <c r="BP1287" s="66"/>
    </row>
    <row r="1288" spans="1:68" ht="13.2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67"/>
      <c r="AZ1288" s="75"/>
      <c r="BA1288" s="67"/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8"/>
      <c r="BL1288" s="78"/>
      <c r="BM1288" s="78"/>
      <c r="BN1288" s="78"/>
      <c r="BO1288" s="66"/>
      <c r="BP1288" s="66"/>
    </row>
    <row r="1289" spans="1:68" ht="13.2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/>
      <c r="AQ1289" s="75"/>
      <c r="AR1289" s="75"/>
      <c r="AS1289" s="75"/>
      <c r="AT1289" s="75"/>
      <c r="AU1289" s="75"/>
      <c r="AV1289" s="75"/>
      <c r="AW1289" s="75"/>
      <c r="AX1289" s="75"/>
      <c r="AY1289" s="67"/>
      <c r="AZ1289" s="75"/>
      <c r="BA1289" s="67"/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8"/>
      <c r="BL1289" s="78"/>
      <c r="BM1289" s="78"/>
      <c r="BN1289" s="78"/>
      <c r="BO1289" s="66"/>
      <c r="BP1289" s="66"/>
    </row>
    <row r="1290" spans="1:68" ht="13.2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67"/>
      <c r="AZ1290" s="75"/>
      <c r="BA1290" s="67"/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8"/>
      <c r="BL1290" s="78"/>
      <c r="BM1290" s="78"/>
      <c r="BN1290" s="78"/>
      <c r="BO1290" s="66"/>
      <c r="BP1290" s="66"/>
    </row>
    <row r="1291" spans="1:68" ht="13.2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/>
      <c r="AQ1291" s="75"/>
      <c r="AR1291" s="75"/>
      <c r="AS1291" s="75"/>
      <c r="AT1291" s="75"/>
      <c r="AU1291" s="75"/>
      <c r="AV1291" s="75"/>
      <c r="AW1291" s="75"/>
      <c r="AX1291" s="75"/>
      <c r="AY1291" s="67"/>
      <c r="AZ1291" s="75"/>
      <c r="BA1291" s="67"/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8"/>
      <c r="BL1291" s="78"/>
      <c r="BM1291" s="78"/>
      <c r="BN1291" s="78"/>
      <c r="BO1291" s="66"/>
      <c r="BP1291" s="66"/>
    </row>
    <row r="1292" spans="1:68" ht="13.2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/>
      <c r="AQ1292" s="75"/>
      <c r="AR1292" s="75"/>
      <c r="AS1292" s="75"/>
      <c r="AT1292" s="75"/>
      <c r="AU1292" s="75"/>
      <c r="AV1292" s="75"/>
      <c r="AW1292" s="75"/>
      <c r="AX1292" s="75"/>
      <c r="AY1292" s="67"/>
      <c r="AZ1292" s="75"/>
      <c r="BA1292" s="67"/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8"/>
      <c r="BL1292" s="78"/>
      <c r="BM1292" s="78"/>
      <c r="BN1292" s="78"/>
      <c r="BO1292" s="66"/>
      <c r="BP1292" s="66"/>
    </row>
    <row r="1293" spans="1:68" ht="13.2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/>
      <c r="AQ1293" s="75"/>
      <c r="AR1293" s="75"/>
      <c r="AS1293" s="75"/>
      <c r="AT1293" s="75"/>
      <c r="AU1293" s="75"/>
      <c r="AV1293" s="75"/>
      <c r="AW1293" s="75"/>
      <c r="AX1293" s="75"/>
      <c r="AY1293" s="67"/>
      <c r="AZ1293" s="75"/>
      <c r="BA1293" s="67"/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8"/>
      <c r="BL1293" s="78"/>
      <c r="BM1293" s="78"/>
      <c r="BN1293" s="78"/>
      <c r="BO1293" s="66"/>
      <c r="BP1293" s="66"/>
    </row>
    <row r="1294" spans="1:68" ht="13.2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/>
      <c r="AQ1294" s="75"/>
      <c r="AR1294" s="75"/>
      <c r="AS1294" s="75"/>
      <c r="AT1294" s="75"/>
      <c r="AU1294" s="75"/>
      <c r="AV1294" s="75"/>
      <c r="AW1294" s="75"/>
      <c r="AX1294" s="75"/>
      <c r="AY1294" s="67"/>
      <c r="AZ1294" s="75"/>
      <c r="BA1294" s="67"/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8"/>
      <c r="BL1294" s="78"/>
      <c r="BM1294" s="78"/>
      <c r="BN1294" s="78"/>
      <c r="BO1294" s="66"/>
      <c r="BP1294" s="66"/>
    </row>
    <row r="1295" spans="1:68" ht="13.2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/>
      <c r="AQ1295" s="75"/>
      <c r="AR1295" s="75"/>
      <c r="AS1295" s="75"/>
      <c r="AT1295" s="75"/>
      <c r="AU1295" s="75"/>
      <c r="AV1295" s="75"/>
      <c r="AW1295" s="75"/>
      <c r="AX1295" s="75"/>
      <c r="AY1295" s="67"/>
      <c r="AZ1295" s="75"/>
      <c r="BA1295" s="67"/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8"/>
      <c r="BL1295" s="78"/>
      <c r="BM1295" s="78"/>
      <c r="BN1295" s="78"/>
      <c r="BO1295" s="66"/>
      <c r="BP1295" s="66"/>
    </row>
    <row r="1296" spans="1:68" ht="13.2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/>
      <c r="AQ1296" s="75"/>
      <c r="AR1296" s="75"/>
      <c r="AS1296" s="75"/>
      <c r="AT1296" s="75"/>
      <c r="AU1296" s="75"/>
      <c r="AV1296" s="75"/>
      <c r="AW1296" s="75"/>
      <c r="AX1296" s="75"/>
      <c r="AY1296" s="67"/>
      <c r="AZ1296" s="75"/>
      <c r="BA1296" s="67"/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8"/>
      <c r="BL1296" s="78"/>
      <c r="BM1296" s="78"/>
      <c r="BN1296" s="78"/>
      <c r="BO1296" s="66"/>
      <c r="BP1296" s="66"/>
    </row>
    <row r="1297" spans="1:68" ht="13.2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/>
      <c r="AQ1297" s="75"/>
      <c r="AR1297" s="75"/>
      <c r="AS1297" s="75"/>
      <c r="AT1297" s="75"/>
      <c r="AU1297" s="75"/>
      <c r="AV1297" s="75"/>
      <c r="AW1297" s="75"/>
      <c r="AX1297" s="75"/>
      <c r="AY1297" s="67"/>
      <c r="AZ1297" s="75"/>
      <c r="BA1297" s="67"/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8"/>
      <c r="BL1297" s="78"/>
      <c r="BM1297" s="78"/>
      <c r="BN1297" s="78"/>
      <c r="BO1297" s="66"/>
      <c r="BP1297" s="66"/>
    </row>
    <row r="1298" spans="1:68" ht="13.2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/>
      <c r="AQ1298" s="75"/>
      <c r="AR1298" s="75"/>
      <c r="AS1298" s="75"/>
      <c r="AT1298" s="75"/>
      <c r="AU1298" s="75"/>
      <c r="AV1298" s="75"/>
      <c r="AW1298" s="75"/>
      <c r="AX1298" s="75"/>
      <c r="AY1298" s="67"/>
      <c r="AZ1298" s="75"/>
      <c r="BA1298" s="67"/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8"/>
      <c r="BL1298" s="78"/>
      <c r="BM1298" s="78"/>
      <c r="BN1298" s="78"/>
      <c r="BO1298" s="66"/>
      <c r="BP1298" s="66"/>
    </row>
    <row r="1299" spans="1:68" ht="13.2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/>
      <c r="AQ1299" s="75"/>
      <c r="AR1299" s="75"/>
      <c r="AS1299" s="75"/>
      <c r="AT1299" s="75"/>
      <c r="AU1299" s="75"/>
      <c r="AV1299" s="75"/>
      <c r="AW1299" s="75"/>
      <c r="AX1299" s="75"/>
      <c r="AY1299" s="67"/>
      <c r="AZ1299" s="75"/>
      <c r="BA1299" s="67"/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8"/>
      <c r="BL1299" s="78"/>
      <c r="BM1299" s="78"/>
      <c r="BN1299" s="78"/>
      <c r="BO1299" s="66"/>
      <c r="BP1299" s="66"/>
    </row>
    <row r="1300" spans="1:68" ht="13.2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/>
      <c r="AQ1300" s="75"/>
      <c r="AR1300" s="75"/>
      <c r="AS1300" s="75"/>
      <c r="AT1300" s="75"/>
      <c r="AU1300" s="75"/>
      <c r="AV1300" s="75"/>
      <c r="AW1300" s="75"/>
      <c r="AX1300" s="75"/>
      <c r="AY1300" s="67"/>
      <c r="AZ1300" s="75"/>
      <c r="BA1300" s="67"/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8"/>
      <c r="BL1300" s="78"/>
      <c r="BM1300" s="78"/>
      <c r="BN1300" s="78"/>
      <c r="BO1300" s="66"/>
      <c r="BP1300" s="66"/>
    </row>
    <row r="1301" spans="1:68" ht="13.2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/>
      <c r="AQ1301" s="75"/>
      <c r="AR1301" s="75"/>
      <c r="AS1301" s="75"/>
      <c r="AT1301" s="75"/>
      <c r="AU1301" s="75"/>
      <c r="AV1301" s="75"/>
      <c r="AW1301" s="75"/>
      <c r="AX1301" s="75"/>
      <c r="AY1301" s="67"/>
      <c r="AZ1301" s="75"/>
      <c r="BA1301" s="67"/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8"/>
      <c r="BL1301" s="78"/>
      <c r="BM1301" s="78"/>
      <c r="BN1301" s="78"/>
      <c r="BO1301" s="66"/>
      <c r="BP1301" s="66"/>
    </row>
    <row r="1302" spans="1:68" ht="13.2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/>
      <c r="AQ1302" s="75"/>
      <c r="AR1302" s="75"/>
      <c r="AS1302" s="75"/>
      <c r="AT1302" s="75"/>
      <c r="AU1302" s="75"/>
      <c r="AV1302" s="75"/>
      <c r="AW1302" s="75"/>
      <c r="AX1302" s="75"/>
      <c r="AY1302" s="67"/>
      <c r="AZ1302" s="75"/>
      <c r="BA1302" s="67"/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8"/>
      <c r="BL1302" s="78"/>
      <c r="BM1302" s="78"/>
      <c r="BN1302" s="78"/>
      <c r="BO1302" s="66"/>
      <c r="BP1302" s="66"/>
    </row>
    <row r="1303" spans="1:68" ht="13.2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/>
      <c r="AQ1303" s="75"/>
      <c r="AR1303" s="75"/>
      <c r="AS1303" s="75"/>
      <c r="AT1303" s="75"/>
      <c r="AU1303" s="75"/>
      <c r="AV1303" s="75"/>
      <c r="AW1303" s="75"/>
      <c r="AX1303" s="75"/>
      <c r="AY1303" s="67"/>
      <c r="AZ1303" s="75"/>
      <c r="BA1303" s="67"/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8"/>
      <c r="BL1303" s="78"/>
      <c r="BM1303" s="78"/>
      <c r="BN1303" s="78"/>
      <c r="BO1303" s="66"/>
      <c r="BP1303" s="66"/>
    </row>
    <row r="1304" spans="1:68" ht="13.2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/>
      <c r="AQ1304" s="75"/>
      <c r="AR1304" s="75"/>
      <c r="AS1304" s="75"/>
      <c r="AT1304" s="75"/>
      <c r="AU1304" s="75"/>
      <c r="AV1304" s="75"/>
      <c r="AW1304" s="75"/>
      <c r="AX1304" s="75"/>
      <c r="AY1304" s="67"/>
      <c r="AZ1304" s="75"/>
      <c r="BA1304" s="67"/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8"/>
      <c r="BL1304" s="78"/>
      <c r="BM1304" s="78"/>
      <c r="BN1304" s="78"/>
      <c r="BO1304" s="66"/>
      <c r="BP1304" s="66"/>
    </row>
    <row r="1305" spans="1:68" ht="13.2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/>
      <c r="AQ1305" s="75"/>
      <c r="AR1305" s="75"/>
      <c r="AS1305" s="75"/>
      <c r="AT1305" s="75"/>
      <c r="AU1305" s="75"/>
      <c r="AV1305" s="75"/>
      <c r="AW1305" s="75"/>
      <c r="AX1305" s="75"/>
      <c r="AY1305" s="67"/>
      <c r="AZ1305" s="75"/>
      <c r="BA1305" s="67"/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8"/>
      <c r="BL1305" s="78"/>
      <c r="BM1305" s="78"/>
      <c r="BN1305" s="78"/>
      <c r="BO1305" s="66"/>
      <c r="BP1305" s="66"/>
    </row>
    <row r="1306" spans="1:68" ht="13.2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/>
      <c r="AQ1306" s="75"/>
      <c r="AR1306" s="75"/>
      <c r="AS1306" s="75"/>
      <c r="AT1306" s="75"/>
      <c r="AU1306" s="75"/>
      <c r="AV1306" s="75"/>
      <c r="AW1306" s="75"/>
      <c r="AX1306" s="75"/>
      <c r="AY1306" s="67"/>
      <c r="AZ1306" s="75"/>
      <c r="BA1306" s="67"/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8"/>
      <c r="BL1306" s="78"/>
      <c r="BM1306" s="78"/>
      <c r="BN1306" s="78"/>
      <c r="BO1306" s="66"/>
      <c r="BP1306" s="66"/>
    </row>
    <row r="1307" spans="1:68" ht="13.2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/>
      <c r="AQ1307" s="75"/>
      <c r="AR1307" s="75"/>
      <c r="AS1307" s="75"/>
      <c r="AT1307" s="75"/>
      <c r="AU1307" s="75"/>
      <c r="AV1307" s="75"/>
      <c r="AW1307" s="75"/>
      <c r="AX1307" s="75"/>
      <c r="AY1307" s="67"/>
      <c r="AZ1307" s="75"/>
      <c r="BA1307" s="67"/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8"/>
      <c r="BL1307" s="78"/>
      <c r="BM1307" s="78"/>
      <c r="BN1307" s="78"/>
      <c r="BO1307" s="66"/>
      <c r="BP1307" s="66"/>
    </row>
    <row r="1308" spans="1:68" ht="13.2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/>
      <c r="AQ1308" s="75"/>
      <c r="AR1308" s="75"/>
      <c r="AS1308" s="75"/>
      <c r="AT1308" s="75"/>
      <c r="AU1308" s="75"/>
      <c r="AV1308" s="75"/>
      <c r="AW1308" s="75"/>
      <c r="AX1308" s="75"/>
      <c r="AY1308" s="67"/>
      <c r="AZ1308" s="75"/>
      <c r="BA1308" s="67"/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8"/>
      <c r="BL1308" s="78"/>
      <c r="BM1308" s="78"/>
      <c r="BN1308" s="78"/>
      <c r="BO1308" s="66"/>
      <c r="BP1308" s="66"/>
    </row>
    <row r="1309" spans="1:68" ht="13.2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/>
      <c r="AQ1309" s="75"/>
      <c r="AR1309" s="75"/>
      <c r="AS1309" s="75"/>
      <c r="AT1309" s="75"/>
      <c r="AU1309" s="75"/>
      <c r="AV1309" s="75"/>
      <c r="AW1309" s="75"/>
      <c r="AX1309" s="75"/>
      <c r="AY1309" s="67"/>
      <c r="AZ1309" s="75"/>
      <c r="BA1309" s="67"/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8"/>
      <c r="BL1309" s="78"/>
      <c r="BM1309" s="78"/>
      <c r="BN1309" s="78"/>
      <c r="BO1309" s="66"/>
      <c r="BP1309" s="66"/>
    </row>
    <row r="1310" spans="1:68" ht="13.2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/>
      <c r="AQ1310" s="75"/>
      <c r="AR1310" s="75"/>
      <c r="AS1310" s="75"/>
      <c r="AT1310" s="75"/>
      <c r="AU1310" s="75"/>
      <c r="AV1310" s="75"/>
      <c r="AW1310" s="75"/>
      <c r="AX1310" s="75"/>
      <c r="AY1310" s="67"/>
      <c r="AZ1310" s="75"/>
      <c r="BA1310" s="67"/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8"/>
      <c r="BL1310" s="78"/>
      <c r="BM1310" s="78"/>
      <c r="BN1310" s="78"/>
      <c r="BO1310" s="66"/>
      <c r="BP1310" s="66"/>
    </row>
    <row r="1311" spans="1:68" ht="13.2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/>
      <c r="AQ1311" s="75"/>
      <c r="AR1311" s="75"/>
      <c r="AS1311" s="75"/>
      <c r="AT1311" s="75"/>
      <c r="AU1311" s="75"/>
      <c r="AV1311" s="75"/>
      <c r="AW1311" s="75"/>
      <c r="AX1311" s="75"/>
      <c r="AY1311" s="67"/>
      <c r="AZ1311" s="75"/>
      <c r="BA1311" s="67"/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8"/>
      <c r="BL1311" s="78"/>
      <c r="BM1311" s="78"/>
      <c r="BN1311" s="78"/>
      <c r="BO1311" s="66"/>
      <c r="BP1311" s="66"/>
    </row>
    <row r="1312" spans="1:68" ht="13.2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/>
      <c r="AQ1312" s="75"/>
      <c r="AR1312" s="75"/>
      <c r="AS1312" s="75"/>
      <c r="AT1312" s="75"/>
      <c r="AU1312" s="75"/>
      <c r="AV1312" s="75"/>
      <c r="AW1312" s="75"/>
      <c r="AX1312" s="75"/>
      <c r="AY1312" s="67"/>
      <c r="AZ1312" s="75"/>
      <c r="BA1312" s="67"/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8"/>
      <c r="BL1312" s="78"/>
      <c r="BM1312" s="78"/>
      <c r="BN1312" s="78"/>
      <c r="BO1312" s="66"/>
      <c r="BP1312" s="66"/>
    </row>
    <row r="1313" spans="1:68" ht="13.2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/>
      <c r="AQ1313" s="75"/>
      <c r="AR1313" s="75"/>
      <c r="AS1313" s="75"/>
      <c r="AT1313" s="75"/>
      <c r="AU1313" s="75"/>
      <c r="AV1313" s="75"/>
      <c r="AW1313" s="75"/>
      <c r="AX1313" s="75"/>
      <c r="AY1313" s="67"/>
      <c r="AZ1313" s="75"/>
      <c r="BA1313" s="67"/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8"/>
      <c r="BL1313" s="78"/>
      <c r="BM1313" s="78"/>
      <c r="BN1313" s="78"/>
      <c r="BO1313" s="66"/>
      <c r="BP1313" s="66"/>
    </row>
    <row r="1314" spans="1:68" ht="13.2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/>
      <c r="AQ1314" s="75"/>
      <c r="AR1314" s="75"/>
      <c r="AS1314" s="75"/>
      <c r="AT1314" s="75"/>
      <c r="AU1314" s="75"/>
      <c r="AV1314" s="75"/>
      <c r="AW1314" s="75"/>
      <c r="AX1314" s="75"/>
      <c r="AY1314" s="67"/>
      <c r="AZ1314" s="75"/>
      <c r="BA1314" s="67"/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8"/>
      <c r="BL1314" s="78"/>
      <c r="BM1314" s="78"/>
      <c r="BN1314" s="78"/>
      <c r="BO1314" s="66"/>
      <c r="BP1314" s="66"/>
    </row>
    <row r="1315" spans="1:68" ht="13.2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/>
      <c r="AQ1315" s="75"/>
      <c r="AR1315" s="75"/>
      <c r="AS1315" s="75"/>
      <c r="AT1315" s="75"/>
      <c r="AU1315" s="75"/>
      <c r="AV1315" s="75"/>
      <c r="AW1315" s="75"/>
      <c r="AX1315" s="75"/>
      <c r="AY1315" s="67"/>
      <c r="AZ1315" s="75"/>
      <c r="BA1315" s="67"/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8"/>
      <c r="BL1315" s="78"/>
      <c r="BM1315" s="78"/>
      <c r="BN1315" s="78"/>
      <c r="BO1315" s="66"/>
      <c r="BP1315" s="66"/>
    </row>
    <row r="1316" spans="1:68" ht="13.2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/>
      <c r="AQ1316" s="75"/>
      <c r="AR1316" s="75"/>
      <c r="AS1316" s="75"/>
      <c r="AT1316" s="75"/>
      <c r="AU1316" s="75"/>
      <c r="AV1316" s="75"/>
      <c r="AW1316" s="75"/>
      <c r="AX1316" s="75"/>
      <c r="AY1316" s="67"/>
      <c r="AZ1316" s="75"/>
      <c r="BA1316" s="67"/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8"/>
      <c r="BL1316" s="78"/>
      <c r="BM1316" s="78"/>
      <c r="BN1316" s="78"/>
      <c r="BO1316" s="66"/>
      <c r="BP1316" s="66"/>
    </row>
    <row r="1317" spans="1:68" ht="13.2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/>
      <c r="AQ1317" s="75"/>
      <c r="AR1317" s="75"/>
      <c r="AS1317" s="75"/>
      <c r="AT1317" s="75"/>
      <c r="AU1317" s="75"/>
      <c r="AV1317" s="75"/>
      <c r="AW1317" s="75"/>
      <c r="AX1317" s="75"/>
      <c r="AY1317" s="67"/>
      <c r="AZ1317" s="75"/>
      <c r="BA1317" s="67"/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8"/>
      <c r="BL1317" s="78"/>
      <c r="BM1317" s="78"/>
      <c r="BN1317" s="78"/>
      <c r="BO1317" s="66"/>
      <c r="BP1317" s="66"/>
    </row>
    <row r="1318" spans="1:68" ht="13.2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/>
      <c r="AQ1318" s="75"/>
      <c r="AR1318" s="75"/>
      <c r="AS1318" s="75"/>
      <c r="AT1318" s="75"/>
      <c r="AU1318" s="75"/>
      <c r="AV1318" s="75"/>
      <c r="AW1318" s="75"/>
      <c r="AX1318" s="75"/>
      <c r="AY1318" s="67"/>
      <c r="AZ1318" s="75"/>
      <c r="BA1318" s="67"/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8"/>
      <c r="BL1318" s="78"/>
      <c r="BM1318" s="78"/>
      <c r="BN1318" s="78"/>
      <c r="BO1318" s="66"/>
      <c r="BP1318" s="66"/>
    </row>
    <row r="1319" spans="1:68" ht="13.2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67"/>
      <c r="AZ1319" s="75"/>
      <c r="BA1319" s="67"/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8"/>
      <c r="BL1319" s="78"/>
      <c r="BM1319" s="78"/>
      <c r="BN1319" s="78"/>
      <c r="BO1319" s="66"/>
      <c r="BP1319" s="66"/>
    </row>
    <row r="1320" spans="1:68" ht="13.2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/>
      <c r="AQ1320" s="75"/>
      <c r="AR1320" s="75"/>
      <c r="AS1320" s="75"/>
      <c r="AT1320" s="75"/>
      <c r="AU1320" s="75"/>
      <c r="AV1320" s="75"/>
      <c r="AW1320" s="75"/>
      <c r="AX1320" s="75"/>
      <c r="AY1320" s="67"/>
      <c r="AZ1320" s="75"/>
      <c r="BA1320" s="67"/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8"/>
      <c r="BL1320" s="78"/>
      <c r="BM1320" s="78"/>
      <c r="BN1320" s="78"/>
      <c r="BO1320" s="66"/>
      <c r="BP1320" s="66"/>
    </row>
    <row r="1321" spans="1:68" ht="13.2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/>
      <c r="AQ1321" s="75"/>
      <c r="AR1321" s="75"/>
      <c r="AS1321" s="75"/>
      <c r="AT1321" s="75"/>
      <c r="AU1321" s="75"/>
      <c r="AV1321" s="75"/>
      <c r="AW1321" s="75"/>
      <c r="AX1321" s="75"/>
      <c r="AY1321" s="67"/>
      <c r="AZ1321" s="75"/>
      <c r="BA1321" s="67"/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8"/>
      <c r="BL1321" s="78"/>
      <c r="BM1321" s="78"/>
      <c r="BN1321" s="78"/>
      <c r="BO1321" s="66"/>
      <c r="BP1321" s="66"/>
    </row>
    <row r="1322" spans="1:68" ht="13.2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/>
      <c r="AQ1322" s="75"/>
      <c r="AR1322" s="75"/>
      <c r="AS1322" s="75"/>
      <c r="AT1322" s="75"/>
      <c r="AU1322" s="75"/>
      <c r="AV1322" s="75"/>
      <c r="AW1322" s="75"/>
      <c r="AX1322" s="75"/>
      <c r="AY1322" s="67"/>
      <c r="AZ1322" s="75"/>
      <c r="BA1322" s="67"/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8"/>
      <c r="BL1322" s="78"/>
      <c r="BM1322" s="78"/>
      <c r="BN1322" s="78"/>
      <c r="BO1322" s="66"/>
      <c r="BP1322" s="66"/>
    </row>
    <row r="1323" spans="1:68" ht="13.2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/>
      <c r="AQ1323" s="75"/>
      <c r="AR1323" s="75"/>
      <c r="AS1323" s="75"/>
      <c r="AT1323" s="75"/>
      <c r="AU1323" s="75"/>
      <c r="AV1323" s="75"/>
      <c r="AW1323" s="75"/>
      <c r="AX1323" s="75"/>
      <c r="AY1323" s="67"/>
      <c r="AZ1323" s="75"/>
      <c r="BA1323" s="67"/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8"/>
      <c r="BL1323" s="78"/>
      <c r="BM1323" s="78"/>
      <c r="BN1323" s="78"/>
      <c r="BO1323" s="66"/>
      <c r="BP1323" s="66"/>
    </row>
    <row r="1324" spans="1:68" ht="13.2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/>
      <c r="AQ1324" s="75"/>
      <c r="AR1324" s="75"/>
      <c r="AS1324" s="75"/>
      <c r="AT1324" s="75"/>
      <c r="AU1324" s="75"/>
      <c r="AV1324" s="75"/>
      <c r="AW1324" s="75"/>
      <c r="AX1324" s="75"/>
      <c r="AY1324" s="67"/>
      <c r="AZ1324" s="75"/>
      <c r="BA1324" s="67"/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8"/>
      <c r="BL1324" s="78"/>
      <c r="BM1324" s="78"/>
      <c r="BN1324" s="78"/>
      <c r="BO1324" s="66"/>
      <c r="BP1324" s="66"/>
    </row>
    <row r="1325" spans="1:68" ht="13.2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/>
      <c r="AQ1325" s="75"/>
      <c r="AR1325" s="75"/>
      <c r="AS1325" s="75"/>
      <c r="AT1325" s="75"/>
      <c r="AU1325" s="75"/>
      <c r="AV1325" s="75"/>
      <c r="AW1325" s="75"/>
      <c r="AX1325" s="75"/>
      <c r="AY1325" s="67"/>
      <c r="AZ1325" s="75"/>
      <c r="BA1325" s="67"/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8"/>
      <c r="BL1325" s="78"/>
      <c r="BM1325" s="78"/>
      <c r="BN1325" s="78"/>
      <c r="BO1325" s="66"/>
      <c r="BP1325" s="66"/>
    </row>
    <row r="1326" spans="1:68" ht="13.2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/>
      <c r="AQ1326" s="75"/>
      <c r="AR1326" s="75"/>
      <c r="AS1326" s="75"/>
      <c r="AT1326" s="75"/>
      <c r="AU1326" s="75"/>
      <c r="AV1326" s="75"/>
      <c r="AW1326" s="75"/>
      <c r="AX1326" s="75"/>
      <c r="AY1326" s="67"/>
      <c r="AZ1326" s="75"/>
      <c r="BA1326" s="67"/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8"/>
      <c r="BL1326" s="78"/>
      <c r="BM1326" s="78"/>
      <c r="BN1326" s="78"/>
      <c r="BO1326" s="66"/>
      <c r="BP1326" s="66"/>
    </row>
    <row r="1327" spans="1:68" ht="13.2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/>
      <c r="AQ1327" s="75"/>
      <c r="AR1327" s="75"/>
      <c r="AS1327" s="75"/>
      <c r="AT1327" s="75"/>
      <c r="AU1327" s="75"/>
      <c r="AV1327" s="75"/>
      <c r="AW1327" s="75"/>
      <c r="AX1327" s="75"/>
      <c r="AY1327" s="67"/>
      <c r="AZ1327" s="75"/>
      <c r="BA1327" s="67"/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8"/>
      <c r="BL1327" s="78"/>
      <c r="BM1327" s="78"/>
      <c r="BN1327" s="78"/>
      <c r="BO1327" s="66"/>
      <c r="BP1327" s="66"/>
    </row>
    <row r="1328" spans="1:68" ht="13.2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/>
      <c r="AQ1328" s="75"/>
      <c r="AR1328" s="75"/>
      <c r="AS1328" s="75"/>
      <c r="AT1328" s="75"/>
      <c r="AU1328" s="75"/>
      <c r="AV1328" s="75"/>
      <c r="AW1328" s="75"/>
      <c r="AX1328" s="75"/>
      <c r="AY1328" s="67"/>
      <c r="AZ1328" s="75"/>
      <c r="BA1328" s="67"/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8"/>
      <c r="BL1328" s="78"/>
      <c r="BM1328" s="78"/>
      <c r="BN1328" s="78"/>
      <c r="BO1328" s="66"/>
      <c r="BP1328" s="66"/>
    </row>
    <row r="1329" spans="1:68" ht="13.2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/>
      <c r="AQ1329" s="75"/>
      <c r="AR1329" s="75"/>
      <c r="AS1329" s="75"/>
      <c r="AT1329" s="75"/>
      <c r="AU1329" s="75"/>
      <c r="AV1329" s="75"/>
      <c r="AW1329" s="75"/>
      <c r="AX1329" s="75"/>
      <c r="AY1329" s="67"/>
      <c r="AZ1329" s="75"/>
      <c r="BA1329" s="67"/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8"/>
      <c r="BL1329" s="78"/>
      <c r="BM1329" s="78"/>
      <c r="BN1329" s="78"/>
      <c r="BO1329" s="66"/>
      <c r="BP1329" s="66"/>
    </row>
    <row r="1330" spans="1:68" ht="13.2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/>
      <c r="AQ1330" s="75"/>
      <c r="AR1330" s="75"/>
      <c r="AS1330" s="75"/>
      <c r="AT1330" s="75"/>
      <c r="AU1330" s="75"/>
      <c r="AV1330" s="75"/>
      <c r="AW1330" s="75"/>
      <c r="AX1330" s="75"/>
      <c r="AY1330" s="67"/>
      <c r="AZ1330" s="75"/>
      <c r="BA1330" s="67"/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8"/>
      <c r="BL1330" s="78"/>
      <c r="BM1330" s="78"/>
      <c r="BN1330" s="78"/>
      <c r="BO1330" s="66"/>
      <c r="BP1330" s="66"/>
    </row>
    <row r="1331" spans="1:68" ht="13.2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/>
      <c r="AQ1331" s="75"/>
      <c r="AR1331" s="75"/>
      <c r="AS1331" s="75"/>
      <c r="AT1331" s="75"/>
      <c r="AU1331" s="75"/>
      <c r="AV1331" s="75"/>
      <c r="AW1331" s="75"/>
      <c r="AX1331" s="75"/>
      <c r="AY1331" s="67"/>
      <c r="AZ1331" s="75"/>
      <c r="BA1331" s="67"/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8"/>
      <c r="BL1331" s="78"/>
      <c r="BM1331" s="78"/>
      <c r="BN1331" s="78"/>
      <c r="BO1331" s="66"/>
      <c r="BP1331" s="66"/>
    </row>
    <row r="1332" spans="1:68" ht="13.2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/>
      <c r="AQ1332" s="75"/>
      <c r="AR1332" s="75"/>
      <c r="AS1332" s="75"/>
      <c r="AT1332" s="75"/>
      <c r="AU1332" s="75"/>
      <c r="AV1332" s="75"/>
      <c r="AW1332" s="75"/>
      <c r="AX1332" s="75"/>
      <c r="AY1332" s="67"/>
      <c r="AZ1332" s="75"/>
      <c r="BA1332" s="67"/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8"/>
      <c r="BL1332" s="78"/>
      <c r="BM1332" s="78"/>
      <c r="BN1332" s="78"/>
      <c r="BO1332" s="66"/>
      <c r="BP1332" s="66"/>
    </row>
    <row r="1333" spans="1:68" ht="13.2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/>
      <c r="AQ1333" s="75"/>
      <c r="AR1333" s="75"/>
      <c r="AS1333" s="75"/>
      <c r="AT1333" s="75"/>
      <c r="AU1333" s="75"/>
      <c r="AV1333" s="75"/>
      <c r="AW1333" s="75"/>
      <c r="AX1333" s="75"/>
      <c r="AY1333" s="67"/>
      <c r="AZ1333" s="75"/>
      <c r="BA1333" s="67"/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8"/>
      <c r="BL1333" s="78"/>
      <c r="BM1333" s="78"/>
      <c r="BN1333" s="78"/>
      <c r="BO1333" s="66"/>
      <c r="BP1333" s="66"/>
    </row>
    <row r="1334" spans="1:68" ht="13.2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/>
      <c r="AQ1334" s="75"/>
      <c r="AR1334" s="75"/>
      <c r="AS1334" s="75"/>
      <c r="AT1334" s="75"/>
      <c r="AU1334" s="75"/>
      <c r="AV1334" s="75"/>
      <c r="AW1334" s="75"/>
      <c r="AX1334" s="75"/>
      <c r="AY1334" s="67"/>
      <c r="AZ1334" s="75"/>
      <c r="BA1334" s="67"/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8"/>
      <c r="BL1334" s="78"/>
      <c r="BM1334" s="78"/>
      <c r="BN1334" s="78"/>
      <c r="BO1334" s="66"/>
      <c r="BP1334" s="66"/>
    </row>
    <row r="1335" spans="1:68" ht="13.2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/>
      <c r="AQ1335" s="75"/>
      <c r="AR1335" s="75"/>
      <c r="AS1335" s="75"/>
      <c r="AT1335" s="75"/>
      <c r="AU1335" s="75"/>
      <c r="AV1335" s="75"/>
      <c r="AW1335" s="75"/>
      <c r="AX1335" s="75"/>
      <c r="AY1335" s="67"/>
      <c r="AZ1335" s="75"/>
      <c r="BA1335" s="67"/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8"/>
      <c r="BL1335" s="78"/>
      <c r="BM1335" s="78"/>
      <c r="BN1335" s="78"/>
      <c r="BO1335" s="66"/>
      <c r="BP1335" s="66"/>
    </row>
    <row r="1336" spans="1:68" ht="13.2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/>
      <c r="AQ1336" s="75"/>
      <c r="AR1336" s="75"/>
      <c r="AS1336" s="75"/>
      <c r="AT1336" s="75"/>
      <c r="AU1336" s="75"/>
      <c r="AV1336" s="75"/>
      <c r="AW1336" s="75"/>
      <c r="AX1336" s="75"/>
      <c r="AY1336" s="67"/>
      <c r="AZ1336" s="75"/>
      <c r="BA1336" s="67"/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8"/>
      <c r="BL1336" s="78"/>
      <c r="BM1336" s="78"/>
      <c r="BN1336" s="78"/>
      <c r="BO1336" s="66"/>
      <c r="BP1336" s="66"/>
    </row>
    <row r="1337" spans="1:68" ht="13.2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/>
      <c r="AQ1337" s="75"/>
      <c r="AR1337" s="75"/>
      <c r="AS1337" s="75"/>
      <c r="AT1337" s="75"/>
      <c r="AU1337" s="75"/>
      <c r="AV1337" s="75"/>
      <c r="AW1337" s="75"/>
      <c r="AX1337" s="75"/>
      <c r="AY1337" s="67"/>
      <c r="AZ1337" s="75"/>
      <c r="BA1337" s="67"/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8"/>
      <c r="BL1337" s="78"/>
      <c r="BM1337" s="78"/>
      <c r="BN1337" s="78"/>
      <c r="BO1337" s="66"/>
      <c r="BP1337" s="66"/>
    </row>
    <row r="1338" spans="1:68" ht="13.2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/>
      <c r="AQ1338" s="75"/>
      <c r="AR1338" s="75"/>
      <c r="AS1338" s="75"/>
      <c r="AT1338" s="75"/>
      <c r="AU1338" s="75"/>
      <c r="AV1338" s="75"/>
      <c r="AW1338" s="75"/>
      <c r="AX1338" s="75"/>
      <c r="AY1338" s="67"/>
      <c r="AZ1338" s="75"/>
      <c r="BA1338" s="67"/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8"/>
      <c r="BL1338" s="78"/>
      <c r="BM1338" s="78"/>
      <c r="BN1338" s="78"/>
      <c r="BO1338" s="66"/>
      <c r="BP1338" s="66"/>
    </row>
    <row r="1339" spans="1:68" ht="13.2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/>
      <c r="AQ1339" s="75"/>
      <c r="AR1339" s="75"/>
      <c r="AS1339" s="75"/>
      <c r="AT1339" s="75"/>
      <c r="AU1339" s="75"/>
      <c r="AV1339" s="75"/>
      <c r="AW1339" s="75"/>
      <c r="AX1339" s="75"/>
      <c r="AY1339" s="67"/>
      <c r="AZ1339" s="75"/>
      <c r="BA1339" s="67"/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8"/>
      <c r="BL1339" s="78"/>
      <c r="BM1339" s="78"/>
      <c r="BN1339" s="78"/>
      <c r="BO1339" s="66"/>
      <c r="BP1339" s="66"/>
    </row>
    <row r="1340" spans="1:68" ht="13.2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/>
      <c r="AQ1340" s="75"/>
      <c r="AR1340" s="75"/>
      <c r="AS1340" s="75"/>
      <c r="AT1340" s="75"/>
      <c r="AU1340" s="75"/>
      <c r="AV1340" s="75"/>
      <c r="AW1340" s="75"/>
      <c r="AX1340" s="75"/>
      <c r="AY1340" s="67"/>
      <c r="AZ1340" s="75"/>
      <c r="BA1340" s="67"/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8"/>
      <c r="BL1340" s="78"/>
      <c r="BM1340" s="78"/>
      <c r="BN1340" s="78"/>
      <c r="BO1340" s="66"/>
      <c r="BP1340" s="66"/>
    </row>
    <row r="1341" spans="1:68" ht="13.2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/>
      <c r="AQ1341" s="75"/>
      <c r="AR1341" s="75"/>
      <c r="AS1341" s="75"/>
      <c r="AT1341" s="75"/>
      <c r="AU1341" s="75"/>
      <c r="AV1341" s="75"/>
      <c r="AW1341" s="75"/>
      <c r="AX1341" s="75"/>
      <c r="AY1341" s="67"/>
      <c r="AZ1341" s="75"/>
      <c r="BA1341" s="67"/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8"/>
      <c r="BL1341" s="78"/>
      <c r="BM1341" s="78"/>
      <c r="BN1341" s="78"/>
      <c r="BO1341" s="66"/>
      <c r="BP1341" s="66"/>
    </row>
    <row r="1342" spans="1:68" ht="13.2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/>
      <c r="AQ1342" s="75"/>
      <c r="AR1342" s="75"/>
      <c r="AS1342" s="75"/>
      <c r="AT1342" s="75"/>
      <c r="AU1342" s="75"/>
      <c r="AV1342" s="75"/>
      <c r="AW1342" s="75"/>
      <c r="AX1342" s="75"/>
      <c r="AY1342" s="67"/>
      <c r="AZ1342" s="75"/>
      <c r="BA1342" s="67"/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8"/>
      <c r="BL1342" s="78"/>
      <c r="BM1342" s="78"/>
      <c r="BN1342" s="78"/>
      <c r="BO1342" s="66"/>
      <c r="BP1342" s="66"/>
    </row>
    <row r="1343" spans="1:68" ht="13.2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67"/>
      <c r="AZ1343" s="75"/>
      <c r="BA1343" s="67"/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8"/>
      <c r="BL1343" s="78"/>
      <c r="BM1343" s="78"/>
      <c r="BN1343" s="78"/>
      <c r="BO1343" s="66"/>
      <c r="BP1343" s="66"/>
    </row>
    <row r="1344" spans="1:68" ht="13.2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/>
      <c r="AQ1344" s="75"/>
      <c r="AR1344" s="75"/>
      <c r="AS1344" s="75"/>
      <c r="AT1344" s="75"/>
      <c r="AU1344" s="75"/>
      <c r="AV1344" s="75"/>
      <c r="AW1344" s="75"/>
      <c r="AX1344" s="75"/>
      <c r="AY1344" s="67"/>
      <c r="AZ1344" s="75"/>
      <c r="BA1344" s="67"/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8"/>
      <c r="BL1344" s="78"/>
      <c r="BM1344" s="78"/>
      <c r="BN1344" s="78"/>
      <c r="BO1344" s="66"/>
      <c r="BP1344" s="66"/>
    </row>
    <row r="1345" spans="1:68" ht="13.2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/>
      <c r="AQ1345" s="75"/>
      <c r="AR1345" s="75"/>
      <c r="AS1345" s="75"/>
      <c r="AT1345" s="75"/>
      <c r="AU1345" s="75"/>
      <c r="AV1345" s="75"/>
      <c r="AW1345" s="75"/>
      <c r="AX1345" s="75"/>
      <c r="AY1345" s="67"/>
      <c r="AZ1345" s="75"/>
      <c r="BA1345" s="67"/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8"/>
      <c r="BL1345" s="78"/>
      <c r="BM1345" s="78"/>
      <c r="BN1345" s="78"/>
      <c r="BO1345" s="66"/>
      <c r="BP1345" s="66"/>
    </row>
    <row r="1346" spans="1:68" ht="13.2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/>
      <c r="AQ1346" s="75"/>
      <c r="AR1346" s="75"/>
      <c r="AS1346" s="75"/>
      <c r="AT1346" s="75"/>
      <c r="AU1346" s="75"/>
      <c r="AV1346" s="75"/>
      <c r="AW1346" s="75"/>
      <c r="AX1346" s="75"/>
      <c r="AY1346" s="67"/>
      <c r="AZ1346" s="75"/>
      <c r="BA1346" s="67"/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8"/>
      <c r="BL1346" s="78"/>
      <c r="BM1346" s="78"/>
      <c r="BN1346" s="78"/>
      <c r="BO1346" s="66"/>
      <c r="BP1346" s="66"/>
    </row>
    <row r="1347" spans="1:68" ht="13.2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/>
      <c r="AQ1347" s="75"/>
      <c r="AR1347" s="75"/>
      <c r="AS1347" s="75"/>
      <c r="AT1347" s="75"/>
      <c r="AU1347" s="75"/>
      <c r="AV1347" s="75"/>
      <c r="AW1347" s="75"/>
      <c r="AX1347" s="75"/>
      <c r="AY1347" s="67"/>
      <c r="AZ1347" s="75"/>
      <c r="BA1347" s="67"/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8"/>
      <c r="BL1347" s="78"/>
      <c r="BM1347" s="78"/>
      <c r="BN1347" s="78"/>
      <c r="BO1347" s="66"/>
      <c r="BP1347" s="66"/>
    </row>
    <row r="1348" spans="1:68" ht="13.2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/>
      <c r="AQ1348" s="75"/>
      <c r="AR1348" s="75"/>
      <c r="AS1348" s="75"/>
      <c r="AT1348" s="75"/>
      <c r="AU1348" s="75"/>
      <c r="AV1348" s="75"/>
      <c r="AW1348" s="75"/>
      <c r="AX1348" s="75"/>
      <c r="AY1348" s="67"/>
      <c r="AZ1348" s="75"/>
      <c r="BA1348" s="67"/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8"/>
      <c r="BL1348" s="78"/>
      <c r="BM1348" s="78"/>
      <c r="BN1348" s="78"/>
      <c r="BO1348" s="66"/>
      <c r="BP1348" s="66"/>
    </row>
    <row r="1349" spans="1:68" ht="13.2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/>
      <c r="AQ1349" s="75"/>
      <c r="AR1349" s="75"/>
      <c r="AS1349" s="75"/>
      <c r="AT1349" s="75"/>
      <c r="AU1349" s="75"/>
      <c r="AV1349" s="75"/>
      <c r="AW1349" s="75"/>
      <c r="AX1349" s="75"/>
      <c r="AY1349" s="67"/>
      <c r="AZ1349" s="75"/>
      <c r="BA1349" s="67"/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8"/>
      <c r="BL1349" s="78"/>
      <c r="BM1349" s="78"/>
      <c r="BN1349" s="78"/>
      <c r="BO1349" s="66"/>
      <c r="BP1349" s="66"/>
    </row>
    <row r="1350" spans="1:68" ht="13.2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/>
      <c r="AQ1350" s="75"/>
      <c r="AR1350" s="75"/>
      <c r="AS1350" s="75"/>
      <c r="AT1350" s="75"/>
      <c r="AU1350" s="75"/>
      <c r="AV1350" s="75"/>
      <c r="AW1350" s="75"/>
      <c r="AX1350" s="75"/>
      <c r="AY1350" s="67"/>
      <c r="AZ1350" s="75"/>
      <c r="BA1350" s="67"/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8"/>
      <c r="BL1350" s="78"/>
      <c r="BM1350" s="78"/>
      <c r="BN1350" s="78"/>
      <c r="BO1350" s="66"/>
      <c r="BP1350" s="66"/>
    </row>
    <row r="1351" spans="1:68" ht="13.2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67"/>
      <c r="AZ1351" s="75"/>
      <c r="BA1351" s="67"/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8"/>
      <c r="BL1351" s="78"/>
      <c r="BM1351" s="78"/>
      <c r="BN1351" s="78"/>
      <c r="BO1351" s="66"/>
      <c r="BP1351" s="66"/>
    </row>
    <row r="1352" spans="1:68" ht="13.2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/>
      <c r="AQ1352" s="75"/>
      <c r="AR1352" s="75"/>
      <c r="AS1352" s="75"/>
      <c r="AT1352" s="75"/>
      <c r="AU1352" s="75"/>
      <c r="AV1352" s="75"/>
      <c r="AW1352" s="75"/>
      <c r="AX1352" s="75"/>
      <c r="AY1352" s="67"/>
      <c r="AZ1352" s="75"/>
      <c r="BA1352" s="67"/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8"/>
      <c r="BL1352" s="78"/>
      <c r="BM1352" s="78"/>
      <c r="BN1352" s="78"/>
      <c r="BO1352" s="66"/>
      <c r="BP1352" s="66"/>
    </row>
    <row r="1353" spans="1:68" ht="13.2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/>
      <c r="AQ1353" s="75"/>
      <c r="AR1353" s="75"/>
      <c r="AS1353" s="75"/>
      <c r="AT1353" s="75"/>
      <c r="AU1353" s="75"/>
      <c r="AV1353" s="75"/>
      <c r="AW1353" s="75"/>
      <c r="AX1353" s="75"/>
      <c r="AY1353" s="67"/>
      <c r="AZ1353" s="75"/>
      <c r="BA1353" s="67"/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8"/>
      <c r="BL1353" s="78"/>
      <c r="BM1353" s="78"/>
      <c r="BN1353" s="78"/>
      <c r="BO1353" s="66"/>
      <c r="BP1353" s="66"/>
    </row>
    <row r="1354" spans="1:68" ht="13.2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/>
      <c r="AQ1354" s="75"/>
      <c r="AR1354" s="75"/>
      <c r="AS1354" s="75"/>
      <c r="AT1354" s="75"/>
      <c r="AU1354" s="75"/>
      <c r="AV1354" s="75"/>
      <c r="AW1354" s="75"/>
      <c r="AX1354" s="75"/>
      <c r="AY1354" s="67"/>
      <c r="AZ1354" s="75"/>
      <c r="BA1354" s="67"/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8"/>
      <c r="BL1354" s="78"/>
      <c r="BM1354" s="78"/>
      <c r="BN1354" s="78"/>
      <c r="BO1354" s="66"/>
      <c r="BP1354" s="66"/>
    </row>
    <row r="1355" spans="1:68" ht="13.2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/>
      <c r="AQ1355" s="75"/>
      <c r="AR1355" s="75"/>
      <c r="AS1355" s="75"/>
      <c r="AT1355" s="75"/>
      <c r="AU1355" s="75"/>
      <c r="AV1355" s="75"/>
      <c r="AW1355" s="75"/>
      <c r="AX1355" s="75"/>
      <c r="AY1355" s="67"/>
      <c r="AZ1355" s="75"/>
      <c r="BA1355" s="67"/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8"/>
      <c r="BL1355" s="78"/>
      <c r="BM1355" s="78"/>
      <c r="BN1355" s="78"/>
      <c r="BO1355" s="66"/>
      <c r="BP1355" s="66"/>
    </row>
    <row r="1356" spans="1:68" ht="13.2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/>
      <c r="AQ1356" s="75"/>
      <c r="AR1356" s="75"/>
      <c r="AS1356" s="75"/>
      <c r="AT1356" s="75"/>
      <c r="AU1356" s="75"/>
      <c r="AV1356" s="75"/>
      <c r="AW1356" s="75"/>
      <c r="AX1356" s="75"/>
      <c r="AY1356" s="67"/>
      <c r="AZ1356" s="75"/>
      <c r="BA1356" s="67"/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8"/>
      <c r="BL1356" s="78"/>
      <c r="BM1356" s="78"/>
      <c r="BN1356" s="78"/>
      <c r="BO1356" s="66"/>
      <c r="BP1356" s="66"/>
    </row>
    <row r="1357" spans="1:68" ht="13.2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/>
      <c r="AQ1357" s="75"/>
      <c r="AR1357" s="75"/>
      <c r="AS1357" s="75"/>
      <c r="AT1357" s="75"/>
      <c r="AU1357" s="75"/>
      <c r="AV1357" s="75"/>
      <c r="AW1357" s="75"/>
      <c r="AX1357" s="75"/>
      <c r="AY1357" s="67"/>
      <c r="AZ1357" s="75"/>
      <c r="BA1357" s="67"/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8"/>
      <c r="BL1357" s="78"/>
      <c r="BM1357" s="78"/>
      <c r="BN1357" s="78"/>
      <c r="BO1357" s="66"/>
      <c r="BP1357" s="66"/>
    </row>
    <row r="1358" spans="1:68" ht="13.2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/>
      <c r="AQ1358" s="75"/>
      <c r="AR1358" s="75"/>
      <c r="AS1358" s="75"/>
      <c r="AT1358" s="75"/>
      <c r="AU1358" s="75"/>
      <c r="AV1358" s="75"/>
      <c r="AW1358" s="75"/>
      <c r="AX1358" s="75"/>
      <c r="AY1358" s="67"/>
      <c r="AZ1358" s="75"/>
      <c r="BA1358" s="67"/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8"/>
      <c r="BL1358" s="78"/>
      <c r="BM1358" s="78"/>
      <c r="BN1358" s="78"/>
      <c r="BO1358" s="66"/>
      <c r="BP1358" s="66"/>
    </row>
    <row r="1359" spans="1:68" ht="13.2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/>
      <c r="AQ1359" s="75"/>
      <c r="AR1359" s="75"/>
      <c r="AS1359" s="75"/>
      <c r="AT1359" s="75"/>
      <c r="AU1359" s="75"/>
      <c r="AV1359" s="75"/>
      <c r="AW1359" s="75"/>
      <c r="AX1359" s="75"/>
      <c r="AY1359" s="67"/>
      <c r="AZ1359" s="75"/>
      <c r="BA1359" s="67"/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8"/>
      <c r="BL1359" s="78"/>
      <c r="BM1359" s="78"/>
      <c r="BN1359" s="78"/>
      <c r="BO1359" s="66"/>
      <c r="BP1359" s="66"/>
    </row>
    <row r="1360" spans="1:68" ht="13.2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/>
      <c r="AQ1360" s="75"/>
      <c r="AR1360" s="75"/>
      <c r="AS1360" s="75"/>
      <c r="AT1360" s="75"/>
      <c r="AU1360" s="75"/>
      <c r="AV1360" s="75"/>
      <c r="AW1360" s="75"/>
      <c r="AX1360" s="75"/>
      <c r="AY1360" s="67"/>
      <c r="AZ1360" s="75"/>
      <c r="BA1360" s="67"/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8"/>
      <c r="BL1360" s="78"/>
      <c r="BM1360" s="78"/>
      <c r="BN1360" s="78"/>
      <c r="BO1360" s="66"/>
      <c r="BP1360" s="66"/>
    </row>
    <row r="1361" spans="1:68" ht="13.2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/>
      <c r="AQ1361" s="75"/>
      <c r="AR1361" s="75"/>
      <c r="AS1361" s="75"/>
      <c r="AT1361" s="75"/>
      <c r="AU1361" s="75"/>
      <c r="AV1361" s="75"/>
      <c r="AW1361" s="75"/>
      <c r="AX1361" s="75"/>
      <c r="AY1361" s="67"/>
      <c r="AZ1361" s="75"/>
      <c r="BA1361" s="67"/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8"/>
      <c r="BL1361" s="78"/>
      <c r="BM1361" s="78"/>
      <c r="BN1361" s="78"/>
      <c r="BO1361" s="66"/>
      <c r="BP1361" s="66"/>
    </row>
    <row r="1362" spans="1:68" ht="13.2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/>
      <c r="AQ1362" s="75"/>
      <c r="AR1362" s="75"/>
      <c r="AS1362" s="75"/>
      <c r="AT1362" s="75"/>
      <c r="AU1362" s="75"/>
      <c r="AV1362" s="75"/>
      <c r="AW1362" s="75"/>
      <c r="AX1362" s="75"/>
      <c r="AY1362" s="67"/>
      <c r="AZ1362" s="75"/>
      <c r="BA1362" s="67"/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8"/>
      <c r="BL1362" s="78"/>
      <c r="BM1362" s="78"/>
      <c r="BN1362" s="78"/>
      <c r="BO1362" s="66"/>
      <c r="BP1362" s="66"/>
    </row>
    <row r="1363" spans="1:68" ht="13.2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/>
      <c r="AQ1363" s="75"/>
      <c r="AR1363" s="75"/>
      <c r="AS1363" s="75"/>
      <c r="AT1363" s="75"/>
      <c r="AU1363" s="75"/>
      <c r="AV1363" s="75"/>
      <c r="AW1363" s="75"/>
      <c r="AX1363" s="75"/>
      <c r="AY1363" s="67"/>
      <c r="AZ1363" s="75"/>
      <c r="BA1363" s="67"/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8"/>
      <c r="BL1363" s="78"/>
      <c r="BM1363" s="78"/>
      <c r="BN1363" s="78"/>
      <c r="BO1363" s="66"/>
      <c r="BP1363" s="66"/>
    </row>
    <row r="1364" spans="1:68" ht="13.2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/>
      <c r="AQ1364" s="75"/>
      <c r="AR1364" s="75"/>
      <c r="AS1364" s="75"/>
      <c r="AT1364" s="75"/>
      <c r="AU1364" s="75"/>
      <c r="AV1364" s="75"/>
      <c r="AW1364" s="75"/>
      <c r="AX1364" s="75"/>
      <c r="AY1364" s="67"/>
      <c r="AZ1364" s="75"/>
      <c r="BA1364" s="67"/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8"/>
      <c r="BL1364" s="78"/>
      <c r="BM1364" s="78"/>
      <c r="BN1364" s="78"/>
      <c r="BO1364" s="66"/>
      <c r="BP1364" s="66"/>
    </row>
    <row r="1365" spans="1:68" ht="13.2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/>
      <c r="AQ1365" s="75"/>
      <c r="AR1365" s="75"/>
      <c r="AS1365" s="75"/>
      <c r="AT1365" s="75"/>
      <c r="AU1365" s="75"/>
      <c r="AV1365" s="75"/>
      <c r="AW1365" s="75"/>
      <c r="AX1365" s="75"/>
      <c r="AY1365" s="67"/>
      <c r="AZ1365" s="75"/>
      <c r="BA1365" s="67"/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8"/>
      <c r="BL1365" s="78"/>
      <c r="BM1365" s="78"/>
      <c r="BN1365" s="78"/>
      <c r="BO1365" s="66"/>
      <c r="BP1365" s="66"/>
    </row>
    <row r="1366" spans="1:68" ht="13.2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/>
      <c r="AQ1366" s="75"/>
      <c r="AR1366" s="75"/>
      <c r="AS1366" s="75"/>
      <c r="AT1366" s="75"/>
      <c r="AU1366" s="75"/>
      <c r="AV1366" s="75"/>
      <c r="AW1366" s="75"/>
      <c r="AX1366" s="75"/>
      <c r="AY1366" s="67"/>
      <c r="AZ1366" s="75"/>
      <c r="BA1366" s="67"/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8"/>
      <c r="BL1366" s="78"/>
      <c r="BM1366" s="78"/>
      <c r="BN1366" s="78"/>
      <c r="BO1366" s="66"/>
      <c r="BP1366" s="66"/>
    </row>
    <row r="1367" spans="1:68" ht="13.2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/>
      <c r="AQ1367" s="75"/>
      <c r="AR1367" s="75"/>
      <c r="AS1367" s="75"/>
      <c r="AT1367" s="75"/>
      <c r="AU1367" s="75"/>
      <c r="AV1367" s="75"/>
      <c r="AW1367" s="75"/>
      <c r="AX1367" s="75"/>
      <c r="AY1367" s="67"/>
      <c r="AZ1367" s="75"/>
      <c r="BA1367" s="67"/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8"/>
      <c r="BL1367" s="78"/>
      <c r="BM1367" s="78"/>
      <c r="BN1367" s="78"/>
      <c r="BO1367" s="66"/>
      <c r="BP1367" s="66"/>
    </row>
    <row r="1368" spans="1:68" ht="13.2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/>
      <c r="AQ1368" s="75"/>
      <c r="AR1368" s="75"/>
      <c r="AS1368" s="75"/>
      <c r="AT1368" s="75"/>
      <c r="AU1368" s="75"/>
      <c r="AV1368" s="75"/>
      <c r="AW1368" s="75"/>
      <c r="AX1368" s="75"/>
      <c r="AY1368" s="67"/>
      <c r="AZ1368" s="75"/>
      <c r="BA1368" s="67"/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8"/>
      <c r="BL1368" s="78"/>
      <c r="BM1368" s="78"/>
      <c r="BN1368" s="78"/>
      <c r="BO1368" s="66"/>
      <c r="BP1368" s="66"/>
    </row>
    <row r="1369" spans="1:68" ht="13.2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/>
      <c r="AQ1369" s="75"/>
      <c r="AR1369" s="75"/>
      <c r="AS1369" s="75"/>
      <c r="AT1369" s="75"/>
      <c r="AU1369" s="75"/>
      <c r="AV1369" s="75"/>
      <c r="AW1369" s="75"/>
      <c r="AX1369" s="75"/>
      <c r="AY1369" s="67"/>
      <c r="AZ1369" s="75"/>
      <c r="BA1369" s="67"/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8"/>
      <c r="BL1369" s="78"/>
      <c r="BM1369" s="78"/>
      <c r="BN1369" s="78"/>
      <c r="BO1369" s="66"/>
      <c r="BP1369" s="66"/>
    </row>
    <row r="1370" spans="1:68" ht="13.2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/>
      <c r="AQ1370" s="75"/>
      <c r="AR1370" s="75"/>
      <c r="AS1370" s="75"/>
      <c r="AT1370" s="75"/>
      <c r="AU1370" s="75"/>
      <c r="AV1370" s="75"/>
      <c r="AW1370" s="75"/>
      <c r="AX1370" s="75"/>
      <c r="AY1370" s="67"/>
      <c r="AZ1370" s="75"/>
      <c r="BA1370" s="67"/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8"/>
      <c r="BL1370" s="78"/>
      <c r="BM1370" s="78"/>
      <c r="BN1370" s="78"/>
      <c r="BO1370" s="66"/>
      <c r="BP1370" s="66"/>
    </row>
    <row r="1371" spans="1:68" ht="13.2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/>
      <c r="AQ1371" s="75"/>
      <c r="AR1371" s="75"/>
      <c r="AS1371" s="75"/>
      <c r="AT1371" s="75"/>
      <c r="AU1371" s="75"/>
      <c r="AV1371" s="75"/>
      <c r="AW1371" s="75"/>
      <c r="AX1371" s="75"/>
      <c r="AY1371" s="67"/>
      <c r="AZ1371" s="75"/>
      <c r="BA1371" s="67"/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8"/>
      <c r="BL1371" s="78"/>
      <c r="BM1371" s="78"/>
      <c r="BN1371" s="78"/>
      <c r="BO1371" s="66"/>
      <c r="BP1371" s="66"/>
    </row>
    <row r="1372" spans="1:68" ht="13.2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/>
      <c r="AQ1372" s="75"/>
      <c r="AR1372" s="75"/>
      <c r="AS1372" s="75"/>
      <c r="AT1372" s="75"/>
      <c r="AU1372" s="75"/>
      <c r="AV1372" s="75"/>
      <c r="AW1372" s="75"/>
      <c r="AX1372" s="75"/>
      <c r="AY1372" s="67"/>
      <c r="AZ1372" s="75"/>
      <c r="BA1372" s="67"/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8"/>
      <c r="BL1372" s="78"/>
      <c r="BM1372" s="78"/>
      <c r="BN1372" s="78"/>
      <c r="BO1372" s="66"/>
      <c r="BP1372" s="66"/>
    </row>
    <row r="1373" spans="1:68" ht="13.2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/>
      <c r="AQ1373" s="75"/>
      <c r="AR1373" s="75"/>
      <c r="AS1373" s="75"/>
      <c r="AT1373" s="75"/>
      <c r="AU1373" s="75"/>
      <c r="AV1373" s="75"/>
      <c r="AW1373" s="75"/>
      <c r="AX1373" s="75"/>
      <c r="AY1373" s="67"/>
      <c r="AZ1373" s="75"/>
      <c r="BA1373" s="67"/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8"/>
      <c r="BL1373" s="78"/>
      <c r="BM1373" s="78"/>
      <c r="BN1373" s="78"/>
      <c r="BO1373" s="66"/>
      <c r="BP1373" s="66"/>
    </row>
    <row r="1374" spans="1:68" ht="13.2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/>
      <c r="AQ1374" s="75"/>
      <c r="AR1374" s="75"/>
      <c r="AS1374" s="75"/>
      <c r="AT1374" s="75"/>
      <c r="AU1374" s="75"/>
      <c r="AV1374" s="75"/>
      <c r="AW1374" s="75"/>
      <c r="AX1374" s="75"/>
      <c r="AY1374" s="67"/>
      <c r="AZ1374" s="75"/>
      <c r="BA1374" s="67"/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8"/>
      <c r="BL1374" s="78"/>
      <c r="BM1374" s="78"/>
      <c r="BN1374" s="78"/>
      <c r="BO1374" s="66"/>
      <c r="BP1374" s="66"/>
    </row>
    <row r="1375" spans="1:68" ht="13.2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/>
      <c r="AQ1375" s="75"/>
      <c r="AR1375" s="75"/>
      <c r="AS1375" s="75"/>
      <c r="AT1375" s="75"/>
      <c r="AU1375" s="75"/>
      <c r="AV1375" s="75"/>
      <c r="AW1375" s="75"/>
      <c r="AX1375" s="75"/>
      <c r="AY1375" s="67"/>
      <c r="AZ1375" s="75"/>
      <c r="BA1375" s="67"/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8"/>
      <c r="BL1375" s="78"/>
      <c r="BM1375" s="78"/>
      <c r="BN1375" s="78"/>
      <c r="BO1375" s="66"/>
      <c r="BP1375" s="66"/>
    </row>
    <row r="1376" spans="1:68" ht="13.2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/>
      <c r="AQ1376" s="75"/>
      <c r="AR1376" s="75"/>
      <c r="AS1376" s="75"/>
      <c r="AT1376" s="75"/>
      <c r="AU1376" s="75"/>
      <c r="AV1376" s="75"/>
      <c r="AW1376" s="75"/>
      <c r="AX1376" s="75"/>
      <c r="AY1376" s="67"/>
      <c r="AZ1376" s="75"/>
      <c r="BA1376" s="67"/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8"/>
      <c r="BL1376" s="78"/>
      <c r="BM1376" s="78"/>
      <c r="BN1376" s="78"/>
      <c r="BO1376" s="66"/>
      <c r="BP1376" s="66"/>
    </row>
    <row r="1377" spans="1:68" ht="13.2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/>
      <c r="AQ1377" s="75"/>
      <c r="AR1377" s="75"/>
      <c r="AS1377" s="75"/>
      <c r="AT1377" s="75"/>
      <c r="AU1377" s="75"/>
      <c r="AV1377" s="75"/>
      <c r="AW1377" s="75"/>
      <c r="AX1377" s="75"/>
      <c r="AY1377" s="67"/>
      <c r="AZ1377" s="75"/>
      <c r="BA1377" s="67"/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8"/>
      <c r="BL1377" s="78"/>
      <c r="BM1377" s="78"/>
      <c r="BN1377" s="78"/>
      <c r="BO1377" s="66"/>
      <c r="BP1377" s="66"/>
    </row>
    <row r="1378" spans="1:68" ht="13.2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/>
      <c r="AQ1378" s="75"/>
      <c r="AR1378" s="75"/>
      <c r="AS1378" s="75"/>
      <c r="AT1378" s="75"/>
      <c r="AU1378" s="75"/>
      <c r="AV1378" s="75"/>
      <c r="AW1378" s="75"/>
      <c r="AX1378" s="75"/>
      <c r="AY1378" s="67"/>
      <c r="AZ1378" s="75"/>
      <c r="BA1378" s="67"/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8"/>
      <c r="BL1378" s="78"/>
      <c r="BM1378" s="78"/>
      <c r="BN1378" s="78"/>
      <c r="BO1378" s="66"/>
      <c r="BP1378" s="66"/>
    </row>
    <row r="1379" spans="1:68" ht="13.2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67"/>
      <c r="AZ1379" s="75"/>
      <c r="BA1379" s="67"/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8"/>
      <c r="BL1379" s="78"/>
      <c r="BM1379" s="78"/>
      <c r="BN1379" s="78"/>
      <c r="BO1379" s="66"/>
      <c r="BP1379" s="66"/>
    </row>
    <row r="1380" spans="1:68" ht="13.2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/>
      <c r="AQ1380" s="75"/>
      <c r="AR1380" s="75"/>
      <c r="AS1380" s="75"/>
      <c r="AT1380" s="75"/>
      <c r="AU1380" s="75"/>
      <c r="AV1380" s="75"/>
      <c r="AW1380" s="75"/>
      <c r="AX1380" s="75"/>
      <c r="AY1380" s="67"/>
      <c r="AZ1380" s="75"/>
      <c r="BA1380" s="67"/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8"/>
      <c r="BL1380" s="78"/>
      <c r="BM1380" s="78"/>
      <c r="BN1380" s="78"/>
      <c r="BO1380" s="66"/>
      <c r="BP1380" s="66"/>
    </row>
    <row r="1381" spans="1:68" ht="13.2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/>
      <c r="AQ1381" s="75"/>
      <c r="AR1381" s="75"/>
      <c r="AS1381" s="75"/>
      <c r="AT1381" s="75"/>
      <c r="AU1381" s="75"/>
      <c r="AV1381" s="75"/>
      <c r="AW1381" s="75"/>
      <c r="AX1381" s="75"/>
      <c r="AY1381" s="67"/>
      <c r="AZ1381" s="75"/>
      <c r="BA1381" s="67"/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8"/>
      <c r="BL1381" s="78"/>
      <c r="BM1381" s="78"/>
      <c r="BN1381" s="78"/>
      <c r="BO1381" s="66"/>
      <c r="BP1381" s="66"/>
    </row>
    <row r="1382" spans="1:68" ht="13.2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67"/>
      <c r="AZ1382" s="75"/>
      <c r="BA1382" s="67"/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8"/>
      <c r="BL1382" s="78"/>
      <c r="BM1382" s="78"/>
      <c r="BN1382" s="78"/>
      <c r="BO1382" s="66"/>
      <c r="BP1382" s="66"/>
    </row>
    <row r="1383" spans="1:68" ht="13.2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/>
      <c r="AQ1383" s="75"/>
      <c r="AR1383" s="75"/>
      <c r="AS1383" s="75"/>
      <c r="AT1383" s="75"/>
      <c r="AU1383" s="75"/>
      <c r="AV1383" s="75"/>
      <c r="AW1383" s="75"/>
      <c r="AX1383" s="75"/>
      <c r="AY1383" s="67"/>
      <c r="AZ1383" s="75"/>
      <c r="BA1383" s="67"/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8"/>
      <c r="BL1383" s="78"/>
      <c r="BM1383" s="78"/>
      <c r="BN1383" s="78"/>
      <c r="BO1383" s="66"/>
      <c r="BP1383" s="66"/>
    </row>
    <row r="1384" spans="1:68" ht="13.2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/>
      <c r="AQ1384" s="75"/>
      <c r="AR1384" s="75"/>
      <c r="AS1384" s="75"/>
      <c r="AT1384" s="75"/>
      <c r="AU1384" s="75"/>
      <c r="AV1384" s="75"/>
      <c r="AW1384" s="75"/>
      <c r="AX1384" s="75"/>
      <c r="AY1384" s="67"/>
      <c r="AZ1384" s="75"/>
      <c r="BA1384" s="67"/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8"/>
      <c r="BL1384" s="78"/>
      <c r="BM1384" s="78"/>
      <c r="BN1384" s="78"/>
      <c r="BO1384" s="66"/>
      <c r="BP1384" s="66"/>
    </row>
    <row r="1385" spans="1:68" ht="13.2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/>
      <c r="AQ1385" s="75"/>
      <c r="AR1385" s="75"/>
      <c r="AS1385" s="75"/>
      <c r="AT1385" s="75"/>
      <c r="AU1385" s="75"/>
      <c r="AV1385" s="75"/>
      <c r="AW1385" s="75"/>
      <c r="AX1385" s="75"/>
      <c r="AY1385" s="67"/>
      <c r="AZ1385" s="75"/>
      <c r="BA1385" s="67"/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8"/>
      <c r="BL1385" s="78"/>
      <c r="BM1385" s="78"/>
      <c r="BN1385" s="78"/>
      <c r="BO1385" s="66"/>
      <c r="BP1385" s="66"/>
    </row>
    <row r="1386" spans="1:68" ht="13.2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/>
      <c r="AQ1386" s="75"/>
      <c r="AR1386" s="75"/>
      <c r="AS1386" s="75"/>
      <c r="AT1386" s="75"/>
      <c r="AU1386" s="75"/>
      <c r="AV1386" s="75"/>
      <c r="AW1386" s="75"/>
      <c r="AX1386" s="75"/>
      <c r="AY1386" s="67"/>
      <c r="AZ1386" s="75"/>
      <c r="BA1386" s="67"/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8"/>
      <c r="BL1386" s="78"/>
      <c r="BM1386" s="78"/>
      <c r="BN1386" s="78"/>
      <c r="BO1386" s="66"/>
      <c r="BP1386" s="66"/>
    </row>
    <row r="1387" spans="1:68" ht="13.2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/>
      <c r="AQ1387" s="75"/>
      <c r="AR1387" s="75"/>
      <c r="AS1387" s="75"/>
      <c r="AT1387" s="75"/>
      <c r="AU1387" s="75"/>
      <c r="AV1387" s="75"/>
      <c r="AW1387" s="75"/>
      <c r="AX1387" s="75"/>
      <c r="AY1387" s="67"/>
      <c r="AZ1387" s="75"/>
      <c r="BA1387" s="67"/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8"/>
      <c r="BL1387" s="78"/>
      <c r="BM1387" s="78"/>
      <c r="BN1387" s="78"/>
      <c r="BO1387" s="66"/>
      <c r="BP1387" s="66"/>
    </row>
    <row r="1388" spans="1:68" ht="13.2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/>
      <c r="AQ1388" s="75"/>
      <c r="AR1388" s="75"/>
      <c r="AS1388" s="75"/>
      <c r="AT1388" s="75"/>
      <c r="AU1388" s="75"/>
      <c r="AV1388" s="75"/>
      <c r="AW1388" s="75"/>
      <c r="AX1388" s="75"/>
      <c r="AY1388" s="67"/>
      <c r="AZ1388" s="75"/>
      <c r="BA1388" s="67"/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8"/>
      <c r="BL1388" s="78"/>
      <c r="BM1388" s="78"/>
      <c r="BN1388" s="78"/>
      <c r="BO1388" s="66"/>
      <c r="BP1388" s="66"/>
    </row>
    <row r="1389" spans="1:68" ht="13.2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/>
      <c r="AQ1389" s="75"/>
      <c r="AR1389" s="75"/>
      <c r="AS1389" s="75"/>
      <c r="AT1389" s="75"/>
      <c r="AU1389" s="75"/>
      <c r="AV1389" s="75"/>
      <c r="AW1389" s="75"/>
      <c r="AX1389" s="75"/>
      <c r="AY1389" s="67"/>
      <c r="AZ1389" s="75"/>
      <c r="BA1389" s="67"/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8"/>
      <c r="BL1389" s="78"/>
      <c r="BM1389" s="78"/>
      <c r="BN1389" s="78"/>
      <c r="BO1389" s="66"/>
      <c r="BP1389" s="66"/>
    </row>
    <row r="1390" spans="1:68" ht="13.2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/>
      <c r="AQ1390" s="75"/>
      <c r="AR1390" s="75"/>
      <c r="AS1390" s="75"/>
      <c r="AT1390" s="75"/>
      <c r="AU1390" s="75"/>
      <c r="AV1390" s="75"/>
      <c r="AW1390" s="75"/>
      <c r="AX1390" s="75"/>
      <c r="AY1390" s="67"/>
      <c r="AZ1390" s="75"/>
      <c r="BA1390" s="67"/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8"/>
      <c r="BL1390" s="78"/>
      <c r="BM1390" s="78"/>
      <c r="BN1390" s="78"/>
      <c r="BO1390" s="66"/>
      <c r="BP1390" s="66"/>
    </row>
    <row r="1391" spans="1:68" ht="13.2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/>
      <c r="AQ1391" s="75"/>
      <c r="AR1391" s="75"/>
      <c r="AS1391" s="75"/>
      <c r="AT1391" s="75"/>
      <c r="AU1391" s="75"/>
      <c r="AV1391" s="75"/>
      <c r="AW1391" s="75"/>
      <c r="AX1391" s="75"/>
      <c r="AY1391" s="67"/>
      <c r="AZ1391" s="75"/>
      <c r="BA1391" s="67"/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8"/>
      <c r="BL1391" s="78"/>
      <c r="BM1391" s="78"/>
      <c r="BN1391" s="78"/>
      <c r="BO1391" s="66"/>
      <c r="BP1391" s="66"/>
    </row>
    <row r="1392" spans="1:68" ht="13.2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/>
      <c r="AQ1392" s="75"/>
      <c r="AR1392" s="75"/>
      <c r="AS1392" s="75"/>
      <c r="AT1392" s="75"/>
      <c r="AU1392" s="75"/>
      <c r="AV1392" s="75"/>
      <c r="AW1392" s="75"/>
      <c r="AX1392" s="75"/>
      <c r="AY1392" s="67"/>
      <c r="AZ1392" s="75"/>
      <c r="BA1392" s="67"/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8"/>
      <c r="BL1392" s="78"/>
      <c r="BM1392" s="78"/>
      <c r="BN1392" s="78"/>
      <c r="BO1392" s="66"/>
      <c r="BP1392" s="66"/>
    </row>
    <row r="1393" spans="1:68" ht="13.2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/>
      <c r="AQ1393" s="75"/>
      <c r="AR1393" s="75"/>
      <c r="AS1393" s="75"/>
      <c r="AT1393" s="75"/>
      <c r="AU1393" s="75"/>
      <c r="AV1393" s="75"/>
      <c r="AW1393" s="75"/>
      <c r="AX1393" s="75"/>
      <c r="AY1393" s="67"/>
      <c r="AZ1393" s="75"/>
      <c r="BA1393" s="67"/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8"/>
      <c r="BL1393" s="78"/>
      <c r="BM1393" s="78"/>
      <c r="BN1393" s="78"/>
      <c r="BO1393" s="66"/>
      <c r="BP1393" s="66"/>
    </row>
    <row r="1394" spans="1:68" ht="13.2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/>
      <c r="AQ1394" s="75"/>
      <c r="AR1394" s="75"/>
      <c r="AS1394" s="75"/>
      <c r="AT1394" s="75"/>
      <c r="AU1394" s="75"/>
      <c r="AV1394" s="75"/>
      <c r="AW1394" s="75"/>
      <c r="AX1394" s="75"/>
      <c r="AY1394" s="67"/>
      <c r="AZ1394" s="75"/>
      <c r="BA1394" s="67"/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8"/>
      <c r="BL1394" s="78"/>
      <c r="BM1394" s="78"/>
      <c r="BN1394" s="78"/>
      <c r="BO1394" s="66"/>
      <c r="BP1394" s="66"/>
    </row>
    <row r="1395" spans="1:68" ht="13.2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/>
      <c r="AQ1395" s="75"/>
      <c r="AR1395" s="75"/>
      <c r="AS1395" s="75"/>
      <c r="AT1395" s="75"/>
      <c r="AU1395" s="75"/>
      <c r="AV1395" s="75"/>
      <c r="AW1395" s="75"/>
      <c r="AX1395" s="75"/>
      <c r="AY1395" s="67"/>
      <c r="AZ1395" s="75"/>
      <c r="BA1395" s="67"/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8"/>
      <c r="BL1395" s="78"/>
      <c r="BM1395" s="78"/>
      <c r="BN1395" s="78"/>
      <c r="BO1395" s="66"/>
      <c r="BP1395" s="66"/>
    </row>
    <row r="1396" spans="1:68" ht="13.2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/>
      <c r="AQ1396" s="75"/>
      <c r="AR1396" s="75"/>
      <c r="AS1396" s="75"/>
      <c r="AT1396" s="75"/>
      <c r="AU1396" s="75"/>
      <c r="AV1396" s="75"/>
      <c r="AW1396" s="75"/>
      <c r="AX1396" s="75"/>
      <c r="AY1396" s="67"/>
      <c r="AZ1396" s="75"/>
      <c r="BA1396" s="67"/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8"/>
      <c r="BL1396" s="78"/>
      <c r="BM1396" s="78"/>
      <c r="BN1396" s="78"/>
      <c r="BO1396" s="66"/>
      <c r="BP1396" s="66"/>
    </row>
    <row r="1397" spans="1:68" ht="13.2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/>
      <c r="AQ1397" s="75"/>
      <c r="AR1397" s="75"/>
      <c r="AS1397" s="75"/>
      <c r="AT1397" s="75"/>
      <c r="AU1397" s="75"/>
      <c r="AV1397" s="75"/>
      <c r="AW1397" s="75"/>
      <c r="AX1397" s="75"/>
      <c r="AY1397" s="67"/>
      <c r="AZ1397" s="75"/>
      <c r="BA1397" s="67"/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8"/>
      <c r="BL1397" s="78"/>
      <c r="BM1397" s="78"/>
      <c r="BN1397" s="78"/>
      <c r="BO1397" s="66"/>
      <c r="BP1397" s="66"/>
    </row>
    <row r="1398" spans="1:68" ht="13.2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/>
      <c r="AQ1398" s="75"/>
      <c r="AR1398" s="75"/>
      <c r="AS1398" s="75"/>
      <c r="AT1398" s="75"/>
      <c r="AU1398" s="75"/>
      <c r="AV1398" s="75"/>
      <c r="AW1398" s="75"/>
      <c r="AX1398" s="75"/>
      <c r="AY1398" s="67"/>
      <c r="AZ1398" s="75"/>
      <c r="BA1398" s="67"/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8"/>
      <c r="BL1398" s="78"/>
      <c r="BM1398" s="78"/>
      <c r="BN1398" s="78"/>
      <c r="BO1398" s="66"/>
      <c r="BP1398" s="66"/>
    </row>
    <row r="1399" spans="1:68" ht="13.2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/>
      <c r="AQ1399" s="75"/>
      <c r="AR1399" s="75"/>
      <c r="AS1399" s="75"/>
      <c r="AT1399" s="75"/>
      <c r="AU1399" s="75"/>
      <c r="AV1399" s="75"/>
      <c r="AW1399" s="75"/>
      <c r="AX1399" s="75"/>
      <c r="AY1399" s="67"/>
      <c r="AZ1399" s="75"/>
      <c r="BA1399" s="67"/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8"/>
      <c r="BL1399" s="78"/>
      <c r="BM1399" s="78"/>
      <c r="BN1399" s="78"/>
      <c r="BO1399" s="66"/>
      <c r="BP1399" s="66"/>
    </row>
    <row r="1400" spans="1:68" ht="13.2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/>
      <c r="AQ1400" s="75"/>
      <c r="AR1400" s="75"/>
      <c r="AS1400" s="75"/>
      <c r="AT1400" s="75"/>
      <c r="AU1400" s="75"/>
      <c r="AV1400" s="75"/>
      <c r="AW1400" s="75"/>
      <c r="AX1400" s="75"/>
      <c r="AY1400" s="67"/>
      <c r="AZ1400" s="75"/>
      <c r="BA1400" s="67"/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8"/>
      <c r="BL1400" s="78"/>
      <c r="BM1400" s="78"/>
      <c r="BN1400" s="78"/>
      <c r="BO1400" s="66"/>
      <c r="BP1400" s="66"/>
    </row>
    <row r="1401" spans="1:68" ht="13.2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/>
      <c r="AQ1401" s="75"/>
      <c r="AR1401" s="75"/>
      <c r="AS1401" s="75"/>
      <c r="AT1401" s="75"/>
      <c r="AU1401" s="75"/>
      <c r="AV1401" s="75"/>
      <c r="AW1401" s="75"/>
      <c r="AX1401" s="75"/>
      <c r="AY1401" s="67"/>
      <c r="AZ1401" s="75"/>
      <c r="BA1401" s="67"/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8"/>
      <c r="BL1401" s="78"/>
      <c r="BM1401" s="78"/>
      <c r="BN1401" s="78"/>
      <c r="BO1401" s="66"/>
      <c r="BP1401" s="66"/>
    </row>
    <row r="1402" spans="1:68" ht="13.2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/>
      <c r="AQ1402" s="75"/>
      <c r="AR1402" s="75"/>
      <c r="AS1402" s="75"/>
      <c r="AT1402" s="75"/>
      <c r="AU1402" s="75"/>
      <c r="AV1402" s="75"/>
      <c r="AW1402" s="75"/>
      <c r="AX1402" s="75"/>
      <c r="AY1402" s="67"/>
      <c r="AZ1402" s="75"/>
      <c r="BA1402" s="67"/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8"/>
      <c r="BL1402" s="78"/>
      <c r="BM1402" s="78"/>
      <c r="BN1402" s="78"/>
      <c r="BO1402" s="66"/>
      <c r="BP1402" s="66"/>
    </row>
    <row r="1403" spans="1:68" ht="13.2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/>
      <c r="AQ1403" s="75"/>
      <c r="AR1403" s="75"/>
      <c r="AS1403" s="75"/>
      <c r="AT1403" s="75"/>
      <c r="AU1403" s="75"/>
      <c r="AV1403" s="75"/>
      <c r="AW1403" s="75"/>
      <c r="AX1403" s="75"/>
      <c r="AY1403" s="67"/>
      <c r="AZ1403" s="75"/>
      <c r="BA1403" s="67"/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8"/>
      <c r="BL1403" s="78"/>
      <c r="BM1403" s="78"/>
      <c r="BN1403" s="78"/>
      <c r="BO1403" s="66"/>
      <c r="BP1403" s="66"/>
    </row>
    <row r="1404" spans="1:68" ht="13.2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/>
      <c r="AQ1404" s="75"/>
      <c r="AR1404" s="75"/>
      <c r="AS1404" s="75"/>
      <c r="AT1404" s="75"/>
      <c r="AU1404" s="75"/>
      <c r="AV1404" s="75"/>
      <c r="AW1404" s="75"/>
      <c r="AX1404" s="75"/>
      <c r="AY1404" s="67"/>
      <c r="AZ1404" s="75"/>
      <c r="BA1404" s="67"/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8"/>
      <c r="BL1404" s="78"/>
      <c r="BM1404" s="78"/>
      <c r="BN1404" s="78"/>
      <c r="BO1404" s="66"/>
      <c r="BP1404" s="66"/>
    </row>
    <row r="1405" spans="1:68" ht="13.2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/>
      <c r="AQ1405" s="75"/>
      <c r="AR1405" s="75"/>
      <c r="AS1405" s="75"/>
      <c r="AT1405" s="75"/>
      <c r="AU1405" s="75"/>
      <c r="AV1405" s="75"/>
      <c r="AW1405" s="75"/>
      <c r="AX1405" s="75"/>
      <c r="AY1405" s="67"/>
      <c r="AZ1405" s="75"/>
      <c r="BA1405" s="67"/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8"/>
      <c r="BL1405" s="78"/>
      <c r="BM1405" s="78"/>
      <c r="BN1405" s="78"/>
      <c r="BO1405" s="66"/>
      <c r="BP1405" s="66"/>
    </row>
    <row r="1406" spans="1:68" ht="13.2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/>
      <c r="AQ1406" s="75"/>
      <c r="AR1406" s="75"/>
      <c r="AS1406" s="75"/>
      <c r="AT1406" s="75"/>
      <c r="AU1406" s="75"/>
      <c r="AV1406" s="75"/>
      <c r="AW1406" s="75"/>
      <c r="AX1406" s="75"/>
      <c r="AY1406" s="67"/>
      <c r="AZ1406" s="75"/>
      <c r="BA1406" s="67"/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8"/>
      <c r="BL1406" s="78"/>
      <c r="BM1406" s="78"/>
      <c r="BN1406" s="78"/>
      <c r="BO1406" s="66"/>
      <c r="BP1406" s="66"/>
    </row>
    <row r="1407" spans="1:68" ht="13.2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/>
      <c r="AQ1407" s="75"/>
      <c r="AR1407" s="75"/>
      <c r="AS1407" s="75"/>
      <c r="AT1407" s="75"/>
      <c r="AU1407" s="75"/>
      <c r="AV1407" s="75"/>
      <c r="AW1407" s="75"/>
      <c r="AX1407" s="75"/>
      <c r="AY1407" s="67"/>
      <c r="AZ1407" s="75"/>
      <c r="BA1407" s="67"/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8"/>
      <c r="BL1407" s="78"/>
      <c r="BM1407" s="78"/>
      <c r="BN1407" s="78"/>
      <c r="BO1407" s="66"/>
      <c r="BP1407" s="66"/>
    </row>
    <row r="1408" spans="1:68" ht="13.2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/>
      <c r="AQ1408" s="75"/>
      <c r="AR1408" s="75"/>
      <c r="AS1408" s="75"/>
      <c r="AT1408" s="75"/>
      <c r="AU1408" s="75"/>
      <c r="AV1408" s="75"/>
      <c r="AW1408" s="75"/>
      <c r="AX1408" s="75"/>
      <c r="AY1408" s="67"/>
      <c r="AZ1408" s="75"/>
      <c r="BA1408" s="67"/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8"/>
      <c r="BL1408" s="78"/>
      <c r="BM1408" s="78"/>
      <c r="BN1408" s="78"/>
      <c r="BO1408" s="66"/>
      <c r="BP1408" s="66"/>
    </row>
    <row r="1409" spans="1:68" ht="13.2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/>
      <c r="AQ1409" s="75"/>
      <c r="AR1409" s="75"/>
      <c r="AS1409" s="75"/>
      <c r="AT1409" s="75"/>
      <c r="AU1409" s="75"/>
      <c r="AV1409" s="75"/>
      <c r="AW1409" s="75"/>
      <c r="AX1409" s="75"/>
      <c r="AY1409" s="67"/>
      <c r="AZ1409" s="75"/>
      <c r="BA1409" s="67"/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8"/>
      <c r="BL1409" s="78"/>
      <c r="BM1409" s="78"/>
      <c r="BN1409" s="78"/>
      <c r="BO1409" s="66"/>
      <c r="BP1409" s="66"/>
    </row>
    <row r="1410" spans="1:68" ht="13.2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67"/>
      <c r="AZ1410" s="75"/>
      <c r="BA1410" s="67"/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8"/>
      <c r="BL1410" s="78"/>
      <c r="BM1410" s="78"/>
      <c r="BN1410" s="78"/>
      <c r="BO1410" s="66"/>
      <c r="BP1410" s="66"/>
    </row>
    <row r="1411" spans="1:68" ht="13.2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/>
      <c r="AQ1411" s="75"/>
      <c r="AR1411" s="75"/>
      <c r="AS1411" s="75"/>
      <c r="AT1411" s="75"/>
      <c r="AU1411" s="75"/>
      <c r="AV1411" s="75"/>
      <c r="AW1411" s="75"/>
      <c r="AX1411" s="75"/>
      <c r="AY1411" s="67"/>
      <c r="AZ1411" s="75"/>
      <c r="BA1411" s="67"/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8"/>
      <c r="BL1411" s="78"/>
      <c r="BM1411" s="78"/>
      <c r="BN1411" s="78"/>
      <c r="BO1411" s="66"/>
      <c r="BP1411" s="66"/>
    </row>
    <row r="1412" spans="1:68" ht="13.2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/>
      <c r="AQ1412" s="75"/>
      <c r="AR1412" s="75"/>
      <c r="AS1412" s="75"/>
      <c r="AT1412" s="75"/>
      <c r="AU1412" s="75"/>
      <c r="AV1412" s="75"/>
      <c r="AW1412" s="75"/>
      <c r="AX1412" s="75"/>
      <c r="AY1412" s="67"/>
      <c r="AZ1412" s="75"/>
      <c r="BA1412" s="67"/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8"/>
      <c r="BL1412" s="78"/>
      <c r="BM1412" s="78"/>
      <c r="BN1412" s="78"/>
      <c r="BO1412" s="66"/>
      <c r="BP1412" s="66"/>
    </row>
    <row r="1413" spans="1:68" ht="13.2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/>
      <c r="AQ1413" s="75"/>
      <c r="AR1413" s="75"/>
      <c r="AS1413" s="75"/>
      <c r="AT1413" s="75"/>
      <c r="AU1413" s="75"/>
      <c r="AV1413" s="75"/>
      <c r="AW1413" s="75"/>
      <c r="AX1413" s="75"/>
      <c r="AY1413" s="67"/>
      <c r="AZ1413" s="75"/>
      <c r="BA1413" s="67"/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8"/>
      <c r="BL1413" s="78"/>
      <c r="BM1413" s="78"/>
      <c r="BN1413" s="78"/>
      <c r="BO1413" s="66"/>
      <c r="BP1413" s="66"/>
    </row>
    <row r="1414" spans="1:68" ht="13.2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/>
      <c r="AQ1414" s="75"/>
      <c r="AR1414" s="75"/>
      <c r="AS1414" s="75"/>
      <c r="AT1414" s="75"/>
      <c r="AU1414" s="75"/>
      <c r="AV1414" s="75"/>
      <c r="AW1414" s="75"/>
      <c r="AX1414" s="75"/>
      <c r="AY1414" s="67"/>
      <c r="AZ1414" s="75"/>
      <c r="BA1414" s="67"/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8"/>
      <c r="BL1414" s="78"/>
      <c r="BM1414" s="78"/>
      <c r="BN1414" s="78"/>
      <c r="BO1414" s="66"/>
      <c r="BP1414" s="66"/>
    </row>
    <row r="1415" spans="1:68" ht="13.2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/>
      <c r="AQ1415" s="75"/>
      <c r="AR1415" s="75"/>
      <c r="AS1415" s="75"/>
      <c r="AT1415" s="75"/>
      <c r="AU1415" s="75"/>
      <c r="AV1415" s="75"/>
      <c r="AW1415" s="75"/>
      <c r="AX1415" s="75"/>
      <c r="AY1415" s="67"/>
      <c r="AZ1415" s="75"/>
      <c r="BA1415" s="67"/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8"/>
      <c r="BL1415" s="78"/>
      <c r="BM1415" s="78"/>
      <c r="BN1415" s="78"/>
      <c r="BO1415" s="66"/>
      <c r="BP1415" s="66"/>
    </row>
    <row r="1416" spans="1:68" ht="13.2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/>
      <c r="AQ1416" s="75"/>
      <c r="AR1416" s="75"/>
      <c r="AS1416" s="75"/>
      <c r="AT1416" s="75"/>
      <c r="AU1416" s="75"/>
      <c r="AV1416" s="75"/>
      <c r="AW1416" s="75"/>
      <c r="AX1416" s="75"/>
      <c r="AY1416" s="67"/>
      <c r="AZ1416" s="75"/>
      <c r="BA1416" s="67"/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8"/>
      <c r="BL1416" s="78"/>
      <c r="BM1416" s="78"/>
      <c r="BN1416" s="78"/>
      <c r="BO1416" s="66"/>
      <c r="BP1416" s="66"/>
    </row>
    <row r="1417" spans="1:68" ht="13.2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/>
      <c r="AQ1417" s="75"/>
      <c r="AR1417" s="75"/>
      <c r="AS1417" s="75"/>
      <c r="AT1417" s="75"/>
      <c r="AU1417" s="75"/>
      <c r="AV1417" s="75"/>
      <c r="AW1417" s="75"/>
      <c r="AX1417" s="75"/>
      <c r="AY1417" s="67"/>
      <c r="AZ1417" s="75"/>
      <c r="BA1417" s="67"/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8"/>
      <c r="BL1417" s="78"/>
      <c r="BM1417" s="78"/>
      <c r="BN1417" s="78"/>
      <c r="BO1417" s="66"/>
      <c r="BP1417" s="66"/>
    </row>
    <row r="1418" spans="1:68" ht="13.2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/>
      <c r="AQ1418" s="75"/>
      <c r="AR1418" s="75"/>
      <c r="AS1418" s="75"/>
      <c r="AT1418" s="75"/>
      <c r="AU1418" s="75"/>
      <c r="AV1418" s="75"/>
      <c r="AW1418" s="75"/>
      <c r="AX1418" s="75"/>
      <c r="AY1418" s="67"/>
      <c r="AZ1418" s="75"/>
      <c r="BA1418" s="67"/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8"/>
      <c r="BL1418" s="78"/>
      <c r="BM1418" s="78"/>
      <c r="BN1418" s="78"/>
      <c r="BO1418" s="66"/>
      <c r="BP1418" s="66"/>
    </row>
    <row r="1419" spans="1:68" ht="13.2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/>
      <c r="AQ1419" s="75"/>
      <c r="AR1419" s="75"/>
      <c r="AS1419" s="75"/>
      <c r="AT1419" s="75"/>
      <c r="AU1419" s="75"/>
      <c r="AV1419" s="75"/>
      <c r="AW1419" s="75"/>
      <c r="AX1419" s="75"/>
      <c r="AY1419" s="67"/>
      <c r="AZ1419" s="75"/>
      <c r="BA1419" s="67"/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8"/>
      <c r="BL1419" s="78"/>
      <c r="BM1419" s="78"/>
      <c r="BN1419" s="78"/>
      <c r="BO1419" s="66"/>
      <c r="BP1419" s="66"/>
    </row>
    <row r="1420" spans="1:68" ht="13.2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/>
      <c r="AQ1420" s="75"/>
      <c r="AR1420" s="75"/>
      <c r="AS1420" s="75"/>
      <c r="AT1420" s="75"/>
      <c r="AU1420" s="75"/>
      <c r="AV1420" s="75"/>
      <c r="AW1420" s="75"/>
      <c r="AX1420" s="75"/>
      <c r="AY1420" s="67"/>
      <c r="AZ1420" s="75"/>
      <c r="BA1420" s="67"/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8"/>
      <c r="BL1420" s="78"/>
      <c r="BM1420" s="78"/>
      <c r="BN1420" s="78"/>
      <c r="BO1420" s="66"/>
      <c r="BP1420" s="66"/>
    </row>
    <row r="1421" spans="1:68" ht="13.2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/>
      <c r="AQ1421" s="75"/>
      <c r="AR1421" s="75"/>
      <c r="AS1421" s="75"/>
      <c r="AT1421" s="75"/>
      <c r="AU1421" s="75"/>
      <c r="AV1421" s="75"/>
      <c r="AW1421" s="75"/>
      <c r="AX1421" s="75"/>
      <c r="AY1421" s="67"/>
      <c r="AZ1421" s="75"/>
      <c r="BA1421" s="67"/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8"/>
      <c r="BL1421" s="78"/>
      <c r="BM1421" s="78"/>
      <c r="BN1421" s="78"/>
      <c r="BO1421" s="66"/>
      <c r="BP1421" s="66"/>
    </row>
    <row r="1422" spans="1:68" ht="13.2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/>
      <c r="AQ1422" s="75"/>
      <c r="AR1422" s="75"/>
      <c r="AS1422" s="75"/>
      <c r="AT1422" s="75"/>
      <c r="AU1422" s="75"/>
      <c r="AV1422" s="75"/>
      <c r="AW1422" s="75"/>
      <c r="AX1422" s="75"/>
      <c r="AY1422" s="67"/>
      <c r="AZ1422" s="75"/>
      <c r="BA1422" s="67"/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8"/>
      <c r="BL1422" s="78"/>
      <c r="BM1422" s="78"/>
      <c r="BN1422" s="78"/>
      <c r="BO1422" s="66"/>
      <c r="BP1422" s="66"/>
    </row>
    <row r="1423" spans="1:68" ht="13.2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/>
      <c r="AQ1423" s="75"/>
      <c r="AR1423" s="75"/>
      <c r="AS1423" s="75"/>
      <c r="AT1423" s="75"/>
      <c r="AU1423" s="75"/>
      <c r="AV1423" s="75"/>
      <c r="AW1423" s="75"/>
      <c r="AX1423" s="75"/>
      <c r="AY1423" s="67"/>
      <c r="AZ1423" s="75"/>
      <c r="BA1423" s="67"/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8"/>
      <c r="BL1423" s="78"/>
      <c r="BM1423" s="78"/>
      <c r="BN1423" s="78"/>
      <c r="BO1423" s="66"/>
      <c r="BP1423" s="66"/>
    </row>
    <row r="1424" spans="1:68" ht="13.2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/>
      <c r="AQ1424" s="75"/>
      <c r="AR1424" s="75"/>
      <c r="AS1424" s="75"/>
      <c r="AT1424" s="75"/>
      <c r="AU1424" s="75"/>
      <c r="AV1424" s="75"/>
      <c r="AW1424" s="75"/>
      <c r="AX1424" s="75"/>
      <c r="AY1424" s="67"/>
      <c r="AZ1424" s="75"/>
      <c r="BA1424" s="67"/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8"/>
      <c r="BL1424" s="78"/>
      <c r="BM1424" s="78"/>
      <c r="BN1424" s="78"/>
      <c r="BO1424" s="66"/>
      <c r="BP1424" s="66"/>
    </row>
    <row r="1425" spans="1:68" ht="13.2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/>
      <c r="AQ1425" s="75"/>
      <c r="AR1425" s="75"/>
      <c r="AS1425" s="75"/>
      <c r="AT1425" s="75"/>
      <c r="AU1425" s="75"/>
      <c r="AV1425" s="75"/>
      <c r="AW1425" s="75"/>
      <c r="AX1425" s="75"/>
      <c r="AY1425" s="67"/>
      <c r="AZ1425" s="75"/>
      <c r="BA1425" s="67"/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8"/>
      <c r="BL1425" s="78"/>
      <c r="BM1425" s="78"/>
      <c r="BN1425" s="78"/>
      <c r="BO1425" s="66"/>
      <c r="BP1425" s="66"/>
    </row>
    <row r="1426" spans="1:68" ht="13.2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/>
      <c r="AQ1426" s="75"/>
      <c r="AR1426" s="75"/>
      <c r="AS1426" s="75"/>
      <c r="AT1426" s="75"/>
      <c r="AU1426" s="75"/>
      <c r="AV1426" s="75"/>
      <c r="AW1426" s="75"/>
      <c r="AX1426" s="75"/>
      <c r="AY1426" s="67"/>
      <c r="AZ1426" s="75"/>
      <c r="BA1426" s="67"/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8"/>
      <c r="BL1426" s="78"/>
      <c r="BM1426" s="78"/>
      <c r="BN1426" s="78"/>
      <c r="BO1426" s="66"/>
      <c r="BP1426" s="66"/>
    </row>
    <row r="1427" spans="1:68" ht="13.2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/>
      <c r="AQ1427" s="75"/>
      <c r="AR1427" s="75"/>
      <c r="AS1427" s="75"/>
      <c r="AT1427" s="75"/>
      <c r="AU1427" s="75"/>
      <c r="AV1427" s="75"/>
      <c r="AW1427" s="75"/>
      <c r="AX1427" s="75"/>
      <c r="AY1427" s="67"/>
      <c r="AZ1427" s="75"/>
      <c r="BA1427" s="67"/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8"/>
      <c r="BL1427" s="78"/>
      <c r="BM1427" s="78"/>
      <c r="BN1427" s="78"/>
      <c r="BO1427" s="66"/>
      <c r="BP1427" s="66"/>
    </row>
    <row r="1428" spans="1:68" ht="13.2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/>
      <c r="AQ1428" s="75"/>
      <c r="AR1428" s="75"/>
      <c r="AS1428" s="75"/>
      <c r="AT1428" s="75"/>
      <c r="AU1428" s="75"/>
      <c r="AV1428" s="75"/>
      <c r="AW1428" s="75"/>
      <c r="AX1428" s="75"/>
      <c r="AY1428" s="67"/>
      <c r="AZ1428" s="75"/>
      <c r="BA1428" s="67"/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8"/>
      <c r="BL1428" s="78"/>
      <c r="BM1428" s="78"/>
      <c r="BN1428" s="78"/>
      <c r="BO1428" s="66"/>
      <c r="BP1428" s="66"/>
    </row>
    <row r="1429" spans="1:68" ht="13.2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/>
      <c r="AQ1429" s="75"/>
      <c r="AR1429" s="75"/>
      <c r="AS1429" s="75"/>
      <c r="AT1429" s="75"/>
      <c r="AU1429" s="75"/>
      <c r="AV1429" s="75"/>
      <c r="AW1429" s="75"/>
      <c r="AX1429" s="75"/>
      <c r="AY1429" s="67"/>
      <c r="AZ1429" s="75"/>
      <c r="BA1429" s="67"/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8"/>
      <c r="BL1429" s="78"/>
      <c r="BM1429" s="78"/>
      <c r="BN1429" s="78"/>
      <c r="BO1429" s="66"/>
      <c r="BP1429" s="66"/>
    </row>
    <row r="1430" spans="1:68" ht="13.2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/>
      <c r="AQ1430" s="75"/>
      <c r="AR1430" s="75"/>
      <c r="AS1430" s="75"/>
      <c r="AT1430" s="75"/>
      <c r="AU1430" s="75"/>
      <c r="AV1430" s="75"/>
      <c r="AW1430" s="75"/>
      <c r="AX1430" s="75"/>
      <c r="AY1430" s="67"/>
      <c r="AZ1430" s="75"/>
      <c r="BA1430" s="67"/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8"/>
      <c r="BL1430" s="78"/>
      <c r="BM1430" s="78"/>
      <c r="BN1430" s="78"/>
      <c r="BO1430" s="66"/>
      <c r="BP1430" s="66"/>
    </row>
    <row r="1431" spans="1:68" ht="13.2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/>
      <c r="AQ1431" s="75"/>
      <c r="AR1431" s="75"/>
      <c r="AS1431" s="75"/>
      <c r="AT1431" s="75"/>
      <c r="AU1431" s="75"/>
      <c r="AV1431" s="75"/>
      <c r="AW1431" s="75"/>
      <c r="AX1431" s="75"/>
      <c r="AY1431" s="67"/>
      <c r="AZ1431" s="75"/>
      <c r="BA1431" s="67"/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8"/>
      <c r="BL1431" s="78"/>
      <c r="BM1431" s="78"/>
      <c r="BN1431" s="78"/>
      <c r="BO1431" s="66"/>
      <c r="BP1431" s="66"/>
    </row>
    <row r="1432" spans="1:68" ht="13.2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67"/>
      <c r="AZ1432" s="75"/>
      <c r="BA1432" s="67"/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8"/>
      <c r="BL1432" s="78"/>
      <c r="BM1432" s="78"/>
      <c r="BN1432" s="78"/>
      <c r="BO1432" s="66"/>
      <c r="BP1432" s="66"/>
    </row>
    <row r="1433" spans="1:68" ht="13.2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/>
      <c r="AQ1433" s="75"/>
      <c r="AR1433" s="75"/>
      <c r="AS1433" s="75"/>
      <c r="AT1433" s="75"/>
      <c r="AU1433" s="75"/>
      <c r="AV1433" s="75"/>
      <c r="AW1433" s="75"/>
      <c r="AX1433" s="75"/>
      <c r="AY1433" s="67"/>
      <c r="AZ1433" s="75"/>
      <c r="BA1433" s="67"/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8"/>
      <c r="BL1433" s="78"/>
      <c r="BM1433" s="78"/>
      <c r="BN1433" s="78"/>
      <c r="BO1433" s="66"/>
      <c r="BP1433" s="66"/>
    </row>
    <row r="1434" spans="1:68" ht="13.2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/>
      <c r="AQ1434" s="75"/>
      <c r="AR1434" s="75"/>
      <c r="AS1434" s="75"/>
      <c r="AT1434" s="75"/>
      <c r="AU1434" s="75"/>
      <c r="AV1434" s="75"/>
      <c r="AW1434" s="75"/>
      <c r="AX1434" s="75"/>
      <c r="AY1434" s="67"/>
      <c r="AZ1434" s="75"/>
      <c r="BA1434" s="67"/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8"/>
      <c r="BL1434" s="78"/>
      <c r="BM1434" s="78"/>
      <c r="BN1434" s="78"/>
      <c r="BO1434" s="66"/>
      <c r="BP1434" s="66"/>
    </row>
    <row r="1435" spans="1:68" ht="13.2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/>
      <c r="AQ1435" s="75"/>
      <c r="AR1435" s="75"/>
      <c r="AS1435" s="75"/>
      <c r="AT1435" s="75"/>
      <c r="AU1435" s="75"/>
      <c r="AV1435" s="75"/>
      <c r="AW1435" s="75"/>
      <c r="AX1435" s="75"/>
      <c r="AY1435" s="67"/>
      <c r="AZ1435" s="75"/>
      <c r="BA1435" s="67"/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8"/>
      <c r="BL1435" s="78"/>
      <c r="BM1435" s="78"/>
      <c r="BN1435" s="78"/>
      <c r="BO1435" s="66"/>
      <c r="BP1435" s="66"/>
    </row>
    <row r="1436" spans="1:68" ht="13.2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/>
      <c r="AQ1436" s="75"/>
      <c r="AR1436" s="75"/>
      <c r="AS1436" s="75"/>
      <c r="AT1436" s="75"/>
      <c r="AU1436" s="75"/>
      <c r="AV1436" s="75"/>
      <c r="AW1436" s="75"/>
      <c r="AX1436" s="75"/>
      <c r="AY1436" s="67"/>
      <c r="AZ1436" s="75"/>
      <c r="BA1436" s="67"/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8"/>
      <c r="BL1436" s="78"/>
      <c r="BM1436" s="78"/>
      <c r="BN1436" s="78"/>
      <c r="BO1436" s="66"/>
      <c r="BP1436" s="66"/>
    </row>
    <row r="1437" spans="1:68" ht="13.2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/>
      <c r="AQ1437" s="75"/>
      <c r="AR1437" s="75"/>
      <c r="AS1437" s="75"/>
      <c r="AT1437" s="75"/>
      <c r="AU1437" s="75"/>
      <c r="AV1437" s="75"/>
      <c r="AW1437" s="75"/>
      <c r="AX1437" s="75"/>
      <c r="AY1437" s="67"/>
      <c r="AZ1437" s="75"/>
      <c r="BA1437" s="67"/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8"/>
      <c r="BL1437" s="78"/>
      <c r="BM1437" s="78"/>
      <c r="BN1437" s="78"/>
      <c r="BO1437" s="66"/>
      <c r="BP1437" s="66"/>
    </row>
    <row r="1438" spans="1:68" ht="13.2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/>
      <c r="AQ1438" s="75"/>
      <c r="AR1438" s="75"/>
      <c r="AS1438" s="75"/>
      <c r="AT1438" s="75"/>
      <c r="AU1438" s="75"/>
      <c r="AV1438" s="75"/>
      <c r="AW1438" s="75"/>
      <c r="AX1438" s="75"/>
      <c r="AY1438" s="67"/>
      <c r="AZ1438" s="75"/>
      <c r="BA1438" s="67"/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8"/>
      <c r="BL1438" s="78"/>
      <c r="BM1438" s="78"/>
      <c r="BN1438" s="78"/>
      <c r="BO1438" s="66"/>
      <c r="BP1438" s="66"/>
    </row>
    <row r="1439" spans="1:68" ht="13.2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/>
      <c r="AQ1439" s="75"/>
      <c r="AR1439" s="75"/>
      <c r="AS1439" s="75"/>
      <c r="AT1439" s="75"/>
      <c r="AU1439" s="75"/>
      <c r="AV1439" s="75"/>
      <c r="AW1439" s="75"/>
      <c r="AX1439" s="75"/>
      <c r="AY1439" s="67"/>
      <c r="AZ1439" s="75"/>
      <c r="BA1439" s="67"/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8"/>
      <c r="BL1439" s="78"/>
      <c r="BM1439" s="78"/>
      <c r="BN1439" s="78"/>
      <c r="BO1439" s="66"/>
      <c r="BP1439" s="66"/>
    </row>
    <row r="1440" spans="1:68" ht="13.2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/>
      <c r="AQ1440" s="75"/>
      <c r="AR1440" s="75"/>
      <c r="AS1440" s="75"/>
      <c r="AT1440" s="75"/>
      <c r="AU1440" s="75"/>
      <c r="AV1440" s="75"/>
      <c r="AW1440" s="75"/>
      <c r="AX1440" s="75"/>
      <c r="AY1440" s="67"/>
      <c r="AZ1440" s="75"/>
      <c r="BA1440" s="67"/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8"/>
      <c r="BL1440" s="78"/>
      <c r="BM1440" s="78"/>
      <c r="BN1440" s="78"/>
      <c r="BO1440" s="66"/>
      <c r="BP1440" s="66"/>
    </row>
    <row r="1441" spans="1:68" ht="13.2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/>
      <c r="AQ1441" s="75"/>
      <c r="AR1441" s="75"/>
      <c r="AS1441" s="75"/>
      <c r="AT1441" s="75"/>
      <c r="AU1441" s="75"/>
      <c r="AV1441" s="75"/>
      <c r="AW1441" s="75"/>
      <c r="AX1441" s="75"/>
      <c r="AY1441" s="67"/>
      <c r="AZ1441" s="75"/>
      <c r="BA1441" s="67"/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8"/>
      <c r="BL1441" s="78"/>
      <c r="BM1441" s="78"/>
      <c r="BN1441" s="78"/>
      <c r="BO1441" s="66"/>
      <c r="BP1441" s="66"/>
    </row>
    <row r="1442" spans="1:68" ht="13.2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67"/>
      <c r="AZ1442" s="75"/>
      <c r="BA1442" s="67"/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8"/>
      <c r="BL1442" s="78"/>
      <c r="BM1442" s="78"/>
      <c r="BN1442" s="78"/>
      <c r="BO1442" s="66"/>
      <c r="BP1442" s="66"/>
    </row>
    <row r="1443" spans="1:68" ht="13.2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67"/>
      <c r="AZ1443" s="75"/>
      <c r="BA1443" s="67"/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8"/>
      <c r="BL1443" s="78"/>
      <c r="BM1443" s="78"/>
      <c r="BN1443" s="78"/>
      <c r="BO1443" s="66"/>
      <c r="BP1443" s="66"/>
    </row>
    <row r="1444" spans="1:68" ht="13.2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67"/>
      <c r="AZ1444" s="75"/>
      <c r="BA1444" s="67"/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8"/>
      <c r="BL1444" s="78"/>
      <c r="BM1444" s="78"/>
      <c r="BN1444" s="78"/>
      <c r="BO1444" s="66"/>
      <c r="BP1444" s="66"/>
    </row>
    <row r="1445" spans="1:68" ht="13.2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67"/>
      <c r="AZ1445" s="75"/>
      <c r="BA1445" s="67"/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8"/>
      <c r="BL1445" s="78"/>
      <c r="BM1445" s="78"/>
      <c r="BN1445" s="78"/>
      <c r="BO1445" s="66"/>
      <c r="BP1445" s="66"/>
    </row>
    <row r="1446" spans="1:68" ht="13.2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67"/>
      <c r="AZ1446" s="75"/>
      <c r="BA1446" s="67"/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8"/>
      <c r="BL1446" s="78"/>
      <c r="BM1446" s="78"/>
      <c r="BN1446" s="78"/>
      <c r="BO1446" s="66"/>
      <c r="BP1446" s="66"/>
    </row>
    <row r="1447" spans="1:68" ht="13.2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67"/>
      <c r="AZ1447" s="75"/>
      <c r="BA1447" s="67"/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8"/>
      <c r="BL1447" s="78"/>
      <c r="BM1447" s="78"/>
      <c r="BN1447" s="78"/>
      <c r="BO1447" s="66"/>
      <c r="BP1447" s="66"/>
    </row>
    <row r="1448" spans="1:68" ht="13.2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67"/>
      <c r="AZ1448" s="75"/>
      <c r="BA1448" s="67"/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8"/>
      <c r="BL1448" s="78"/>
      <c r="BM1448" s="78"/>
      <c r="BN1448" s="78"/>
      <c r="BO1448" s="66"/>
      <c r="BP1448" s="66"/>
    </row>
    <row r="1449" spans="1:68" ht="13.2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67"/>
      <c r="AZ1449" s="75"/>
      <c r="BA1449" s="67"/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8"/>
      <c r="BL1449" s="78"/>
      <c r="BM1449" s="78"/>
      <c r="BN1449" s="78"/>
      <c r="BO1449" s="66"/>
      <c r="BP1449" s="66"/>
    </row>
    <row r="1450" spans="1:68" ht="13.2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67"/>
      <c r="AZ1450" s="75"/>
      <c r="BA1450" s="67"/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8"/>
      <c r="BL1450" s="78"/>
      <c r="BM1450" s="78"/>
      <c r="BN1450" s="78"/>
      <c r="BO1450" s="66"/>
      <c r="BP1450" s="66"/>
    </row>
    <row r="1451" spans="1:68" ht="13.2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67"/>
      <c r="AZ1451" s="75"/>
      <c r="BA1451" s="67"/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8"/>
      <c r="BL1451" s="78"/>
      <c r="BM1451" s="78"/>
      <c r="BN1451" s="78"/>
      <c r="BO1451" s="66"/>
      <c r="BP1451" s="66"/>
    </row>
    <row r="1452" spans="1:68" ht="13.2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67"/>
      <c r="AZ1452" s="75"/>
      <c r="BA1452" s="67"/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8"/>
      <c r="BL1452" s="78"/>
      <c r="BM1452" s="78"/>
      <c r="BN1452" s="78"/>
      <c r="BO1452" s="66"/>
      <c r="BP1452" s="66"/>
    </row>
    <row r="1453" spans="1:68" ht="13.2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67"/>
      <c r="AZ1453" s="75"/>
      <c r="BA1453" s="67"/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8"/>
      <c r="BL1453" s="78"/>
      <c r="BM1453" s="78"/>
      <c r="BN1453" s="78"/>
      <c r="BO1453" s="66"/>
      <c r="BP1453" s="66"/>
    </row>
    <row r="1454" spans="1:68" ht="13.2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/>
      <c r="AQ1454" s="75"/>
      <c r="AR1454" s="75"/>
      <c r="AS1454" s="75"/>
      <c r="AT1454" s="75"/>
      <c r="AU1454" s="75"/>
      <c r="AV1454" s="75"/>
      <c r="AW1454" s="75"/>
      <c r="AX1454" s="75"/>
      <c r="AY1454" s="67"/>
      <c r="AZ1454" s="75"/>
      <c r="BA1454" s="67"/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8"/>
      <c r="BL1454" s="78"/>
      <c r="BM1454" s="78"/>
      <c r="BN1454" s="78"/>
      <c r="BO1454" s="66"/>
      <c r="BP1454" s="66"/>
    </row>
    <row r="1455" spans="1:68" ht="13.2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/>
      <c r="AQ1455" s="75"/>
      <c r="AR1455" s="75"/>
      <c r="AS1455" s="75"/>
      <c r="AT1455" s="75"/>
      <c r="AU1455" s="75"/>
      <c r="AV1455" s="75"/>
      <c r="AW1455" s="75"/>
      <c r="AX1455" s="75"/>
      <c r="AY1455" s="67"/>
      <c r="AZ1455" s="75"/>
      <c r="BA1455" s="67"/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8"/>
      <c r="BL1455" s="78"/>
      <c r="BM1455" s="78"/>
      <c r="BN1455" s="78"/>
      <c r="BO1455" s="66"/>
      <c r="BP1455" s="66"/>
    </row>
    <row r="1456" spans="1:68" ht="13.2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/>
      <c r="AQ1456" s="75"/>
      <c r="AR1456" s="75"/>
      <c r="AS1456" s="75"/>
      <c r="AT1456" s="75"/>
      <c r="AU1456" s="75"/>
      <c r="AV1456" s="75"/>
      <c r="AW1456" s="75"/>
      <c r="AX1456" s="75"/>
      <c r="AY1456" s="67"/>
      <c r="AZ1456" s="75"/>
      <c r="BA1456" s="67"/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8"/>
      <c r="BL1456" s="78"/>
      <c r="BM1456" s="78"/>
      <c r="BN1456" s="78"/>
      <c r="BO1456" s="66"/>
      <c r="BP1456" s="66"/>
    </row>
    <row r="1457" spans="1:68" ht="13.2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/>
      <c r="AQ1457" s="75"/>
      <c r="AR1457" s="75"/>
      <c r="AS1457" s="75"/>
      <c r="AT1457" s="75"/>
      <c r="AU1457" s="75"/>
      <c r="AV1457" s="75"/>
      <c r="AW1457" s="75"/>
      <c r="AX1457" s="75"/>
      <c r="AY1457" s="67"/>
      <c r="AZ1457" s="75"/>
      <c r="BA1457" s="67"/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8"/>
      <c r="BL1457" s="78"/>
      <c r="BM1457" s="78"/>
      <c r="BN1457" s="78"/>
      <c r="BO1457" s="66"/>
      <c r="BP1457" s="66"/>
    </row>
    <row r="1458" spans="1:68" ht="13.2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/>
      <c r="AQ1458" s="75"/>
      <c r="AR1458" s="75"/>
      <c r="AS1458" s="75"/>
      <c r="AT1458" s="75"/>
      <c r="AU1458" s="75"/>
      <c r="AV1458" s="75"/>
      <c r="AW1458" s="75"/>
      <c r="AX1458" s="75"/>
      <c r="AY1458" s="67"/>
      <c r="AZ1458" s="75"/>
      <c r="BA1458" s="67"/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8"/>
      <c r="BL1458" s="78"/>
      <c r="BM1458" s="78"/>
      <c r="BN1458" s="78"/>
      <c r="BO1458" s="66"/>
      <c r="BP1458" s="66"/>
    </row>
    <row r="1459" spans="1:68" ht="13.2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/>
      <c r="AQ1459" s="75"/>
      <c r="AR1459" s="75"/>
      <c r="AS1459" s="75"/>
      <c r="AT1459" s="75"/>
      <c r="AU1459" s="75"/>
      <c r="AV1459" s="75"/>
      <c r="AW1459" s="75"/>
      <c r="AX1459" s="75"/>
      <c r="AY1459" s="67"/>
      <c r="AZ1459" s="75"/>
      <c r="BA1459" s="67"/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8"/>
      <c r="BL1459" s="78"/>
      <c r="BM1459" s="78"/>
      <c r="BN1459" s="78"/>
      <c r="BO1459" s="66"/>
      <c r="BP1459" s="66"/>
    </row>
    <row r="1460" spans="1:68" ht="13.2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/>
      <c r="AQ1460" s="75"/>
      <c r="AR1460" s="75"/>
      <c r="AS1460" s="75"/>
      <c r="AT1460" s="75"/>
      <c r="AU1460" s="75"/>
      <c r="AV1460" s="75"/>
      <c r="AW1460" s="75"/>
      <c r="AX1460" s="75"/>
      <c r="AY1460" s="67"/>
      <c r="AZ1460" s="75"/>
      <c r="BA1460" s="67"/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8"/>
      <c r="BL1460" s="78"/>
      <c r="BM1460" s="78"/>
      <c r="BN1460" s="78"/>
      <c r="BO1460" s="66"/>
      <c r="BP1460" s="66"/>
    </row>
    <row r="1461" spans="1:68" ht="13.2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/>
      <c r="AQ1461" s="75"/>
      <c r="AR1461" s="75"/>
      <c r="AS1461" s="75"/>
      <c r="AT1461" s="75"/>
      <c r="AU1461" s="75"/>
      <c r="AV1461" s="75"/>
      <c r="AW1461" s="75"/>
      <c r="AX1461" s="75"/>
      <c r="AY1461" s="67"/>
      <c r="AZ1461" s="75"/>
      <c r="BA1461" s="67"/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8"/>
      <c r="BL1461" s="78"/>
      <c r="BM1461" s="78"/>
      <c r="BN1461" s="78"/>
      <c r="BO1461" s="66"/>
      <c r="BP1461" s="66"/>
    </row>
    <row r="1462" spans="1:68" ht="13.2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/>
      <c r="AQ1462" s="75"/>
      <c r="AR1462" s="75"/>
      <c r="AS1462" s="75"/>
      <c r="AT1462" s="75"/>
      <c r="AU1462" s="75"/>
      <c r="AV1462" s="75"/>
      <c r="AW1462" s="75"/>
      <c r="AX1462" s="75"/>
      <c r="AY1462" s="67"/>
      <c r="AZ1462" s="75"/>
      <c r="BA1462" s="67"/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8"/>
      <c r="BL1462" s="78"/>
      <c r="BM1462" s="78"/>
      <c r="BN1462" s="78"/>
      <c r="BO1462" s="66"/>
      <c r="BP1462" s="66"/>
    </row>
    <row r="1463" spans="1:68" ht="13.2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/>
      <c r="AQ1463" s="75"/>
      <c r="AR1463" s="75"/>
      <c r="AS1463" s="75"/>
      <c r="AT1463" s="75"/>
      <c r="AU1463" s="75"/>
      <c r="AV1463" s="75"/>
      <c r="AW1463" s="75"/>
      <c r="AX1463" s="75"/>
      <c r="AY1463" s="67"/>
      <c r="AZ1463" s="75"/>
      <c r="BA1463" s="67"/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8"/>
      <c r="BL1463" s="78"/>
      <c r="BM1463" s="78"/>
      <c r="BN1463" s="78"/>
      <c r="BO1463" s="66"/>
      <c r="BP1463" s="66"/>
    </row>
    <row r="1464" spans="1:68" ht="13.2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/>
      <c r="AQ1464" s="75"/>
      <c r="AR1464" s="75"/>
      <c r="AS1464" s="75"/>
      <c r="AT1464" s="75"/>
      <c r="AU1464" s="75"/>
      <c r="AV1464" s="75"/>
      <c r="AW1464" s="75"/>
      <c r="AX1464" s="75"/>
      <c r="AY1464" s="67"/>
      <c r="AZ1464" s="75"/>
      <c r="BA1464" s="67"/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8"/>
      <c r="BL1464" s="78"/>
      <c r="BM1464" s="78"/>
      <c r="BN1464" s="78"/>
      <c r="BO1464" s="66"/>
      <c r="BP1464" s="66"/>
    </row>
    <row r="1465" spans="1:68" ht="13.2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/>
      <c r="AQ1465" s="75"/>
      <c r="AR1465" s="75"/>
      <c r="AS1465" s="75"/>
      <c r="AT1465" s="75"/>
      <c r="AU1465" s="75"/>
      <c r="AV1465" s="75"/>
      <c r="AW1465" s="75"/>
      <c r="AX1465" s="75"/>
      <c r="AY1465" s="67"/>
      <c r="AZ1465" s="75"/>
      <c r="BA1465" s="67"/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8"/>
      <c r="BL1465" s="78"/>
      <c r="BM1465" s="78"/>
      <c r="BN1465" s="78"/>
      <c r="BO1465" s="66"/>
      <c r="BP1465" s="66"/>
    </row>
    <row r="1466" spans="1:68" ht="13.2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/>
      <c r="AQ1466" s="75"/>
      <c r="AR1466" s="75"/>
      <c r="AS1466" s="75"/>
      <c r="AT1466" s="75"/>
      <c r="AU1466" s="75"/>
      <c r="AV1466" s="75"/>
      <c r="AW1466" s="75"/>
      <c r="AX1466" s="75"/>
      <c r="AY1466" s="67"/>
      <c r="AZ1466" s="75"/>
      <c r="BA1466" s="67"/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8"/>
      <c r="BL1466" s="78"/>
      <c r="BM1466" s="78"/>
      <c r="BN1466" s="78"/>
      <c r="BO1466" s="66"/>
      <c r="BP1466" s="66"/>
    </row>
    <row r="1467" spans="1:68" ht="13.2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/>
      <c r="AQ1467" s="75"/>
      <c r="AR1467" s="75"/>
      <c r="AS1467" s="75"/>
      <c r="AT1467" s="75"/>
      <c r="AU1467" s="75"/>
      <c r="AV1467" s="75"/>
      <c r="AW1467" s="75"/>
      <c r="AX1467" s="75"/>
      <c r="AY1467" s="67"/>
      <c r="AZ1467" s="75"/>
      <c r="BA1467" s="67"/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8"/>
      <c r="BL1467" s="78"/>
      <c r="BM1467" s="78"/>
      <c r="BN1467" s="78"/>
      <c r="BO1467" s="66"/>
      <c r="BP1467" s="66"/>
    </row>
    <row r="1468" spans="1:68" ht="13.2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/>
      <c r="AQ1468" s="75"/>
      <c r="AR1468" s="75"/>
      <c r="AS1468" s="75"/>
      <c r="AT1468" s="75"/>
      <c r="AU1468" s="75"/>
      <c r="AV1468" s="75"/>
      <c r="AW1468" s="75"/>
      <c r="AX1468" s="75"/>
      <c r="AY1468" s="67"/>
      <c r="AZ1468" s="75"/>
      <c r="BA1468" s="67"/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8"/>
      <c r="BL1468" s="78"/>
      <c r="BM1468" s="78"/>
      <c r="BN1468" s="78"/>
      <c r="BO1468" s="66"/>
      <c r="BP1468" s="66"/>
    </row>
    <row r="1469" spans="1:68" ht="13.2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/>
      <c r="AQ1469" s="75"/>
      <c r="AR1469" s="75"/>
      <c r="AS1469" s="75"/>
      <c r="AT1469" s="75"/>
      <c r="AU1469" s="75"/>
      <c r="AV1469" s="75"/>
      <c r="AW1469" s="75"/>
      <c r="AX1469" s="75"/>
      <c r="AY1469" s="67"/>
      <c r="AZ1469" s="75"/>
      <c r="BA1469" s="67"/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8"/>
      <c r="BL1469" s="78"/>
      <c r="BM1469" s="78"/>
      <c r="BN1469" s="78"/>
      <c r="BO1469" s="66"/>
      <c r="BP1469" s="66"/>
    </row>
    <row r="1470" spans="1:68" ht="13.2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/>
      <c r="AQ1470" s="75"/>
      <c r="AR1470" s="75"/>
      <c r="AS1470" s="75"/>
      <c r="AT1470" s="75"/>
      <c r="AU1470" s="75"/>
      <c r="AV1470" s="75"/>
      <c r="AW1470" s="75"/>
      <c r="AX1470" s="75"/>
      <c r="AY1470" s="67"/>
      <c r="AZ1470" s="75"/>
      <c r="BA1470" s="67"/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8"/>
      <c r="BL1470" s="78"/>
      <c r="BM1470" s="78"/>
      <c r="BN1470" s="78"/>
      <c r="BO1470" s="66"/>
      <c r="BP1470" s="66"/>
    </row>
    <row r="1471" spans="1:68" ht="13.2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/>
      <c r="AQ1471" s="75"/>
      <c r="AR1471" s="75"/>
      <c r="AS1471" s="75"/>
      <c r="AT1471" s="75"/>
      <c r="AU1471" s="75"/>
      <c r="AV1471" s="75"/>
      <c r="AW1471" s="75"/>
      <c r="AX1471" s="75"/>
      <c r="AY1471" s="67"/>
      <c r="AZ1471" s="75"/>
      <c r="BA1471" s="67"/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8"/>
      <c r="BL1471" s="78"/>
      <c r="BM1471" s="78"/>
      <c r="BN1471" s="78"/>
      <c r="BO1471" s="66"/>
      <c r="BP1471" s="66"/>
    </row>
    <row r="1472" spans="1:68" ht="13.2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/>
      <c r="AQ1472" s="75"/>
      <c r="AR1472" s="75"/>
      <c r="AS1472" s="75"/>
      <c r="AT1472" s="75"/>
      <c r="AU1472" s="75"/>
      <c r="AV1472" s="75"/>
      <c r="AW1472" s="75"/>
      <c r="AX1472" s="75"/>
      <c r="AY1472" s="67"/>
      <c r="AZ1472" s="75"/>
      <c r="BA1472" s="67"/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8"/>
      <c r="BL1472" s="78"/>
      <c r="BM1472" s="78"/>
      <c r="BN1472" s="78"/>
      <c r="BO1472" s="66"/>
      <c r="BP1472" s="66"/>
    </row>
    <row r="1473" spans="1:68" ht="13.2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/>
      <c r="AQ1473" s="75"/>
      <c r="AR1473" s="75"/>
      <c r="AS1473" s="75"/>
      <c r="AT1473" s="75"/>
      <c r="AU1473" s="75"/>
      <c r="AV1473" s="75"/>
      <c r="AW1473" s="75"/>
      <c r="AX1473" s="75"/>
      <c r="AY1473" s="67"/>
      <c r="AZ1473" s="75"/>
      <c r="BA1473" s="67"/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8"/>
      <c r="BL1473" s="78"/>
      <c r="BM1473" s="78"/>
      <c r="BN1473" s="78"/>
      <c r="BO1473" s="66"/>
      <c r="BP1473" s="66"/>
    </row>
    <row r="1474" spans="1:68" ht="13.2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/>
      <c r="AQ1474" s="75"/>
      <c r="AR1474" s="75"/>
      <c r="AS1474" s="75"/>
      <c r="AT1474" s="75"/>
      <c r="AU1474" s="75"/>
      <c r="AV1474" s="75"/>
      <c r="AW1474" s="75"/>
      <c r="AX1474" s="75"/>
      <c r="AY1474" s="67"/>
      <c r="AZ1474" s="75"/>
      <c r="BA1474" s="67"/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8"/>
      <c r="BL1474" s="78"/>
      <c r="BM1474" s="78"/>
      <c r="BN1474" s="78"/>
      <c r="BO1474" s="66"/>
      <c r="BP1474" s="66"/>
    </row>
    <row r="1475" spans="1:68" ht="13.2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/>
      <c r="AQ1475" s="75"/>
      <c r="AR1475" s="75"/>
      <c r="AS1475" s="75"/>
      <c r="AT1475" s="75"/>
      <c r="AU1475" s="75"/>
      <c r="AV1475" s="75"/>
      <c r="AW1475" s="75"/>
      <c r="AX1475" s="75"/>
      <c r="AY1475" s="67"/>
      <c r="AZ1475" s="75"/>
      <c r="BA1475" s="67"/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8"/>
      <c r="BL1475" s="78"/>
      <c r="BM1475" s="78"/>
      <c r="BN1475" s="78"/>
      <c r="BO1475" s="66"/>
      <c r="BP1475" s="66"/>
    </row>
    <row r="1476" spans="1:68" ht="13.2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/>
      <c r="AQ1476" s="75"/>
      <c r="AR1476" s="75"/>
      <c r="AS1476" s="75"/>
      <c r="AT1476" s="75"/>
      <c r="AU1476" s="75"/>
      <c r="AV1476" s="75"/>
      <c r="AW1476" s="75"/>
      <c r="AX1476" s="75"/>
      <c r="AY1476" s="67"/>
      <c r="AZ1476" s="75"/>
      <c r="BA1476" s="67"/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8"/>
      <c r="BL1476" s="78"/>
      <c r="BM1476" s="78"/>
      <c r="BN1476" s="78"/>
      <c r="BO1476" s="66"/>
      <c r="BP1476" s="66"/>
    </row>
    <row r="1477" spans="1:68" ht="13.2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/>
      <c r="AQ1477" s="75"/>
      <c r="AR1477" s="75"/>
      <c r="AS1477" s="75"/>
      <c r="AT1477" s="75"/>
      <c r="AU1477" s="75"/>
      <c r="AV1477" s="75"/>
      <c r="AW1477" s="75"/>
      <c r="AX1477" s="75"/>
      <c r="AY1477" s="67"/>
      <c r="AZ1477" s="75"/>
      <c r="BA1477" s="67"/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8"/>
      <c r="BL1477" s="78"/>
      <c r="BM1477" s="78"/>
      <c r="BN1477" s="78"/>
      <c r="BO1477" s="66"/>
      <c r="BP1477" s="66"/>
    </row>
    <row r="1478" spans="1:68" ht="13.2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/>
      <c r="AQ1478" s="75"/>
      <c r="AR1478" s="75"/>
      <c r="AS1478" s="75"/>
      <c r="AT1478" s="75"/>
      <c r="AU1478" s="75"/>
      <c r="AV1478" s="75"/>
      <c r="AW1478" s="75"/>
      <c r="AX1478" s="75"/>
      <c r="AY1478" s="67"/>
      <c r="AZ1478" s="75"/>
      <c r="BA1478" s="67"/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8"/>
      <c r="BL1478" s="78"/>
      <c r="BM1478" s="78"/>
      <c r="BN1478" s="78"/>
      <c r="BO1478" s="66"/>
      <c r="BP1478" s="66"/>
    </row>
    <row r="1479" spans="1:68" ht="13.2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/>
      <c r="AQ1479" s="75"/>
      <c r="AR1479" s="75"/>
      <c r="AS1479" s="75"/>
      <c r="AT1479" s="75"/>
      <c r="AU1479" s="75"/>
      <c r="AV1479" s="75"/>
      <c r="AW1479" s="75"/>
      <c r="AX1479" s="75"/>
      <c r="AY1479" s="67"/>
      <c r="AZ1479" s="75"/>
      <c r="BA1479" s="67"/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8"/>
      <c r="BL1479" s="78"/>
      <c r="BM1479" s="78"/>
      <c r="BN1479" s="78"/>
      <c r="BO1479" s="66"/>
      <c r="BP1479" s="66"/>
    </row>
    <row r="1480" spans="1:68" ht="13.2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67"/>
      <c r="AZ1480" s="75"/>
      <c r="BA1480" s="67"/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8"/>
      <c r="BL1480" s="78"/>
      <c r="BM1480" s="78"/>
      <c r="BN1480" s="78"/>
      <c r="BO1480" s="66"/>
      <c r="BP1480" s="66"/>
    </row>
    <row r="1481" spans="1:68" ht="13.2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/>
      <c r="AQ1481" s="75"/>
      <c r="AR1481" s="75"/>
      <c r="AS1481" s="75"/>
      <c r="AT1481" s="75"/>
      <c r="AU1481" s="75"/>
      <c r="AV1481" s="75"/>
      <c r="AW1481" s="75"/>
      <c r="AX1481" s="75"/>
      <c r="AY1481" s="67"/>
      <c r="AZ1481" s="75"/>
      <c r="BA1481" s="67"/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8"/>
      <c r="BL1481" s="78"/>
      <c r="BM1481" s="78"/>
      <c r="BN1481" s="78"/>
      <c r="BO1481" s="66"/>
      <c r="BP1481" s="66"/>
    </row>
    <row r="1482" spans="1:68" ht="13.2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/>
      <c r="AQ1482" s="75"/>
      <c r="AR1482" s="75"/>
      <c r="AS1482" s="75"/>
      <c r="AT1482" s="75"/>
      <c r="AU1482" s="75"/>
      <c r="AV1482" s="75"/>
      <c r="AW1482" s="75"/>
      <c r="AX1482" s="75"/>
      <c r="AY1482" s="67"/>
      <c r="AZ1482" s="75"/>
      <c r="BA1482" s="67"/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8"/>
      <c r="BL1482" s="78"/>
      <c r="BM1482" s="78"/>
      <c r="BN1482" s="78"/>
      <c r="BO1482" s="66"/>
      <c r="BP1482" s="66"/>
    </row>
    <row r="1483" spans="1:68" ht="13.2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/>
      <c r="AQ1483" s="75"/>
      <c r="AR1483" s="75"/>
      <c r="AS1483" s="75"/>
      <c r="AT1483" s="75"/>
      <c r="AU1483" s="75"/>
      <c r="AV1483" s="75"/>
      <c r="AW1483" s="75"/>
      <c r="AX1483" s="75"/>
      <c r="AY1483" s="67"/>
      <c r="AZ1483" s="75"/>
      <c r="BA1483" s="67"/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8"/>
      <c r="BL1483" s="78"/>
      <c r="BM1483" s="78"/>
      <c r="BN1483" s="78"/>
      <c r="BO1483" s="66"/>
      <c r="BP1483" s="66"/>
    </row>
    <row r="1484" spans="1:68" ht="13.2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/>
      <c r="AQ1484" s="75"/>
      <c r="AR1484" s="75"/>
      <c r="AS1484" s="75"/>
      <c r="AT1484" s="75"/>
      <c r="AU1484" s="75"/>
      <c r="AV1484" s="75"/>
      <c r="AW1484" s="75"/>
      <c r="AX1484" s="75"/>
      <c r="AY1484" s="67"/>
      <c r="AZ1484" s="75"/>
      <c r="BA1484" s="67"/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8"/>
      <c r="BL1484" s="78"/>
      <c r="BM1484" s="78"/>
      <c r="BN1484" s="78"/>
      <c r="BO1484" s="66"/>
      <c r="BP1484" s="66"/>
    </row>
    <row r="1485" spans="1:68" ht="13.2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/>
      <c r="AQ1485" s="75"/>
      <c r="AR1485" s="75"/>
      <c r="AS1485" s="75"/>
      <c r="AT1485" s="75"/>
      <c r="AU1485" s="75"/>
      <c r="AV1485" s="75"/>
      <c r="AW1485" s="75"/>
      <c r="AX1485" s="75"/>
      <c r="AY1485" s="67"/>
      <c r="AZ1485" s="75"/>
      <c r="BA1485" s="67"/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8"/>
      <c r="BL1485" s="78"/>
      <c r="BM1485" s="78"/>
      <c r="BN1485" s="78"/>
      <c r="BO1485" s="66"/>
      <c r="BP1485" s="66"/>
    </row>
    <row r="1486" spans="1:68" ht="13.2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67"/>
      <c r="AZ1486" s="75"/>
      <c r="BA1486" s="67"/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8"/>
      <c r="BL1486" s="78"/>
      <c r="BM1486" s="78"/>
      <c r="BN1486" s="78"/>
      <c r="BO1486" s="66"/>
      <c r="BP1486" s="66"/>
    </row>
    <row r="1487" spans="1:68" ht="13.2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/>
      <c r="AQ1487" s="75"/>
      <c r="AR1487" s="75"/>
      <c r="AS1487" s="75"/>
      <c r="AT1487" s="75"/>
      <c r="AU1487" s="75"/>
      <c r="AV1487" s="75"/>
      <c r="AW1487" s="75"/>
      <c r="AX1487" s="75"/>
      <c r="AY1487" s="67"/>
      <c r="AZ1487" s="75"/>
      <c r="BA1487" s="67"/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8"/>
      <c r="BL1487" s="78"/>
      <c r="BM1487" s="78"/>
      <c r="BN1487" s="78"/>
      <c r="BO1487" s="66"/>
      <c r="BP1487" s="66"/>
    </row>
    <row r="1488" spans="1:68" ht="13.2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/>
      <c r="AQ1488" s="75"/>
      <c r="AR1488" s="75"/>
      <c r="AS1488" s="75"/>
      <c r="AT1488" s="75"/>
      <c r="AU1488" s="75"/>
      <c r="AV1488" s="75"/>
      <c r="AW1488" s="75"/>
      <c r="AX1488" s="75"/>
      <c r="AY1488" s="67"/>
      <c r="AZ1488" s="75"/>
      <c r="BA1488" s="67"/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8"/>
      <c r="BL1488" s="78"/>
      <c r="BM1488" s="78"/>
      <c r="BN1488" s="78"/>
      <c r="BO1488" s="66"/>
      <c r="BP1488" s="66"/>
    </row>
    <row r="1489" spans="1:68" ht="13.2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/>
      <c r="AQ1489" s="75"/>
      <c r="AR1489" s="75"/>
      <c r="AS1489" s="75"/>
      <c r="AT1489" s="75"/>
      <c r="AU1489" s="75"/>
      <c r="AV1489" s="75"/>
      <c r="AW1489" s="75"/>
      <c r="AX1489" s="75"/>
      <c r="AY1489" s="67"/>
      <c r="AZ1489" s="75"/>
      <c r="BA1489" s="67"/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8"/>
      <c r="BL1489" s="78"/>
      <c r="BM1489" s="78"/>
      <c r="BN1489" s="78"/>
      <c r="BO1489" s="66"/>
      <c r="BP1489" s="66"/>
    </row>
    <row r="1490" spans="1:68" ht="13.2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/>
      <c r="AQ1490" s="75"/>
      <c r="AR1490" s="75"/>
      <c r="AS1490" s="75"/>
      <c r="AT1490" s="75"/>
      <c r="AU1490" s="75"/>
      <c r="AV1490" s="75"/>
      <c r="AW1490" s="75"/>
      <c r="AX1490" s="75"/>
      <c r="AY1490" s="67"/>
      <c r="AZ1490" s="75"/>
      <c r="BA1490" s="67"/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8"/>
      <c r="BL1490" s="78"/>
      <c r="BM1490" s="78"/>
      <c r="BN1490" s="78"/>
      <c r="BO1490" s="66"/>
      <c r="BP1490" s="66"/>
    </row>
    <row r="1491" spans="1:68" ht="13.2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/>
      <c r="AQ1491" s="75"/>
      <c r="AR1491" s="75"/>
      <c r="AS1491" s="75"/>
      <c r="AT1491" s="75"/>
      <c r="AU1491" s="75"/>
      <c r="AV1491" s="75"/>
      <c r="AW1491" s="75"/>
      <c r="AX1491" s="75"/>
      <c r="AY1491" s="67"/>
      <c r="AZ1491" s="75"/>
      <c r="BA1491" s="67"/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8"/>
      <c r="BL1491" s="78"/>
      <c r="BM1491" s="78"/>
      <c r="BN1491" s="78"/>
      <c r="BO1491" s="66"/>
      <c r="BP1491" s="66"/>
    </row>
    <row r="1492" spans="1:68" ht="13.2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/>
      <c r="AQ1492" s="75"/>
      <c r="AR1492" s="75"/>
      <c r="AS1492" s="75"/>
      <c r="AT1492" s="75"/>
      <c r="AU1492" s="75"/>
      <c r="AV1492" s="75"/>
      <c r="AW1492" s="75"/>
      <c r="AX1492" s="75"/>
      <c r="AY1492" s="67"/>
      <c r="AZ1492" s="75"/>
      <c r="BA1492" s="67"/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8"/>
      <c r="BL1492" s="78"/>
      <c r="BM1492" s="78"/>
      <c r="BN1492" s="78"/>
      <c r="BO1492" s="66"/>
      <c r="BP1492" s="66"/>
    </row>
    <row r="1493" spans="1:68" ht="13.2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/>
      <c r="AQ1493" s="75"/>
      <c r="AR1493" s="75"/>
      <c r="AS1493" s="75"/>
      <c r="AT1493" s="75"/>
      <c r="AU1493" s="75"/>
      <c r="AV1493" s="75"/>
      <c r="AW1493" s="75"/>
      <c r="AX1493" s="75"/>
      <c r="AY1493" s="67"/>
      <c r="AZ1493" s="75"/>
      <c r="BA1493" s="67"/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8"/>
      <c r="BL1493" s="78"/>
      <c r="BM1493" s="78"/>
      <c r="BN1493" s="78"/>
      <c r="BO1493" s="66"/>
      <c r="BP1493" s="66"/>
    </row>
    <row r="1494" spans="1:68" ht="13.2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/>
      <c r="AQ1494" s="75"/>
      <c r="AR1494" s="75"/>
      <c r="AS1494" s="75"/>
      <c r="AT1494" s="75"/>
      <c r="AU1494" s="75"/>
      <c r="AV1494" s="75"/>
      <c r="AW1494" s="75"/>
      <c r="AX1494" s="75"/>
      <c r="AY1494" s="67"/>
      <c r="AZ1494" s="75"/>
      <c r="BA1494" s="67"/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8"/>
      <c r="BL1494" s="78"/>
      <c r="BM1494" s="78"/>
      <c r="BN1494" s="78"/>
      <c r="BO1494" s="66"/>
      <c r="BP1494" s="66"/>
    </row>
    <row r="1495" spans="1:68" ht="13.2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/>
      <c r="AQ1495" s="75"/>
      <c r="AR1495" s="75"/>
      <c r="AS1495" s="75"/>
      <c r="AT1495" s="75"/>
      <c r="AU1495" s="75"/>
      <c r="AV1495" s="75"/>
      <c r="AW1495" s="75"/>
      <c r="AX1495" s="75"/>
      <c r="AY1495" s="67"/>
      <c r="AZ1495" s="75"/>
      <c r="BA1495" s="67"/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8"/>
      <c r="BL1495" s="78"/>
      <c r="BM1495" s="78"/>
      <c r="BN1495" s="78"/>
      <c r="BO1495" s="66"/>
      <c r="BP1495" s="66"/>
    </row>
    <row r="1496" spans="1:68" ht="13.2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/>
      <c r="AQ1496" s="75"/>
      <c r="AR1496" s="75"/>
      <c r="AS1496" s="75"/>
      <c r="AT1496" s="75"/>
      <c r="AU1496" s="75"/>
      <c r="AV1496" s="75"/>
      <c r="AW1496" s="75"/>
      <c r="AX1496" s="75"/>
      <c r="AY1496" s="67"/>
      <c r="AZ1496" s="75"/>
      <c r="BA1496" s="67"/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8"/>
      <c r="BL1496" s="78"/>
      <c r="BM1496" s="78"/>
      <c r="BN1496" s="78"/>
      <c r="BO1496" s="66"/>
      <c r="BP1496" s="66"/>
    </row>
    <row r="1497" spans="1:68" ht="13.2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/>
      <c r="AQ1497" s="75"/>
      <c r="AR1497" s="75"/>
      <c r="AS1497" s="75"/>
      <c r="AT1497" s="75"/>
      <c r="AU1497" s="75"/>
      <c r="AV1497" s="75"/>
      <c r="AW1497" s="75"/>
      <c r="AX1497" s="75"/>
      <c r="AY1497" s="67"/>
      <c r="AZ1497" s="75"/>
      <c r="BA1497" s="67"/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8"/>
      <c r="BL1497" s="78"/>
      <c r="BM1497" s="78"/>
      <c r="BN1497" s="78"/>
      <c r="BO1497" s="66"/>
      <c r="BP1497" s="66"/>
    </row>
    <row r="1498" spans="1:68" ht="13.2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/>
      <c r="AQ1498" s="75"/>
      <c r="AR1498" s="75"/>
      <c r="AS1498" s="75"/>
      <c r="AT1498" s="75"/>
      <c r="AU1498" s="75"/>
      <c r="AV1498" s="75"/>
      <c r="AW1498" s="75"/>
      <c r="AX1498" s="75"/>
      <c r="AY1498" s="67"/>
      <c r="AZ1498" s="75"/>
      <c r="BA1498" s="67"/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8"/>
      <c r="BL1498" s="78"/>
      <c r="BM1498" s="78"/>
      <c r="BN1498" s="78"/>
      <c r="BO1498" s="66"/>
      <c r="BP1498" s="66"/>
    </row>
    <row r="1499" spans="1:68" ht="13.2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/>
      <c r="AQ1499" s="75"/>
      <c r="AR1499" s="75"/>
      <c r="AS1499" s="75"/>
      <c r="AT1499" s="75"/>
      <c r="AU1499" s="75"/>
      <c r="AV1499" s="75"/>
      <c r="AW1499" s="75"/>
      <c r="AX1499" s="75"/>
      <c r="AY1499" s="67"/>
      <c r="AZ1499" s="75"/>
      <c r="BA1499" s="67"/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8"/>
      <c r="BL1499" s="78"/>
      <c r="BM1499" s="78"/>
      <c r="BN1499" s="78"/>
      <c r="BO1499" s="66"/>
      <c r="BP1499" s="66"/>
    </row>
    <row r="1500" spans="1:68" ht="13.2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/>
      <c r="AQ1500" s="75"/>
      <c r="AR1500" s="75"/>
      <c r="AS1500" s="75"/>
      <c r="AT1500" s="75"/>
      <c r="AU1500" s="75"/>
      <c r="AV1500" s="75"/>
      <c r="AW1500" s="75"/>
      <c r="AX1500" s="75"/>
      <c r="AY1500" s="67"/>
      <c r="AZ1500" s="75"/>
      <c r="BA1500" s="67"/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8"/>
      <c r="BL1500" s="78"/>
      <c r="BM1500" s="78"/>
      <c r="BN1500" s="78"/>
      <c r="BO1500" s="66"/>
      <c r="BP1500" s="66"/>
    </row>
    <row r="1501" spans="1:68" ht="13.2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/>
      <c r="AQ1501" s="75"/>
      <c r="AR1501" s="75"/>
      <c r="AS1501" s="75"/>
      <c r="AT1501" s="75"/>
      <c r="AU1501" s="75"/>
      <c r="AV1501" s="75"/>
      <c r="AW1501" s="75"/>
      <c r="AX1501" s="75"/>
      <c r="AY1501" s="67"/>
      <c r="AZ1501" s="75"/>
      <c r="BA1501" s="67"/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8"/>
      <c r="BL1501" s="78"/>
      <c r="BM1501" s="78"/>
      <c r="BN1501" s="78"/>
      <c r="BO1501" s="66"/>
      <c r="BP1501" s="66"/>
    </row>
    <row r="1502" spans="1:68" ht="13.2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/>
      <c r="AQ1502" s="75"/>
      <c r="AR1502" s="75"/>
      <c r="AS1502" s="75"/>
      <c r="AT1502" s="75"/>
      <c r="AU1502" s="75"/>
      <c r="AV1502" s="75"/>
      <c r="AW1502" s="75"/>
      <c r="AX1502" s="75"/>
      <c r="AY1502" s="67"/>
      <c r="AZ1502" s="75"/>
      <c r="BA1502" s="67"/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8"/>
      <c r="BL1502" s="78"/>
      <c r="BM1502" s="78"/>
      <c r="BN1502" s="78"/>
      <c r="BO1502" s="66"/>
      <c r="BP1502" s="66"/>
    </row>
    <row r="1503" spans="1:68" ht="13.2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/>
      <c r="AQ1503" s="75"/>
      <c r="AR1503" s="75"/>
      <c r="AS1503" s="75"/>
      <c r="AT1503" s="75"/>
      <c r="AU1503" s="75"/>
      <c r="AV1503" s="75"/>
      <c r="AW1503" s="75"/>
      <c r="AX1503" s="75"/>
      <c r="AY1503" s="67"/>
      <c r="AZ1503" s="75"/>
      <c r="BA1503" s="67"/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8"/>
      <c r="BL1503" s="78"/>
      <c r="BM1503" s="78"/>
      <c r="BN1503" s="78"/>
      <c r="BO1503" s="66"/>
      <c r="BP1503" s="66"/>
    </row>
    <row r="1504" spans="1:68" ht="13.2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/>
      <c r="AQ1504" s="75"/>
      <c r="AR1504" s="75"/>
      <c r="AS1504" s="75"/>
      <c r="AT1504" s="75"/>
      <c r="AU1504" s="75"/>
      <c r="AV1504" s="75"/>
      <c r="AW1504" s="75"/>
      <c r="AX1504" s="75"/>
      <c r="AY1504" s="67"/>
      <c r="AZ1504" s="75"/>
      <c r="BA1504" s="67"/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8"/>
      <c r="BL1504" s="78"/>
      <c r="BM1504" s="78"/>
      <c r="BN1504" s="78"/>
      <c r="BO1504" s="66"/>
      <c r="BP1504" s="66"/>
    </row>
    <row r="1505" spans="1:68" ht="13.2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/>
      <c r="AQ1505" s="75"/>
      <c r="AR1505" s="75"/>
      <c r="AS1505" s="75"/>
      <c r="AT1505" s="75"/>
      <c r="AU1505" s="75"/>
      <c r="AV1505" s="75"/>
      <c r="AW1505" s="75"/>
      <c r="AX1505" s="75"/>
      <c r="AY1505" s="67"/>
      <c r="AZ1505" s="75"/>
      <c r="BA1505" s="67"/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8"/>
      <c r="BL1505" s="78"/>
      <c r="BM1505" s="78"/>
      <c r="BN1505" s="78"/>
      <c r="BO1505" s="66"/>
      <c r="BP1505" s="66"/>
    </row>
    <row r="1506" spans="1:68" ht="13.2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/>
      <c r="AQ1506" s="75"/>
      <c r="AR1506" s="75"/>
      <c r="AS1506" s="75"/>
      <c r="AT1506" s="75"/>
      <c r="AU1506" s="75"/>
      <c r="AV1506" s="75"/>
      <c r="AW1506" s="75"/>
      <c r="AX1506" s="75"/>
      <c r="AY1506" s="67"/>
      <c r="AZ1506" s="75"/>
      <c r="BA1506" s="67"/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8"/>
      <c r="BL1506" s="78"/>
      <c r="BM1506" s="78"/>
      <c r="BN1506" s="78"/>
      <c r="BO1506" s="66"/>
      <c r="BP1506" s="66"/>
    </row>
    <row r="1507" spans="1:68" ht="13.2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/>
      <c r="AQ1507" s="75"/>
      <c r="AR1507" s="75"/>
      <c r="AS1507" s="75"/>
      <c r="AT1507" s="75"/>
      <c r="AU1507" s="75"/>
      <c r="AV1507" s="75"/>
      <c r="AW1507" s="75"/>
      <c r="AX1507" s="75"/>
      <c r="AY1507" s="67"/>
      <c r="AZ1507" s="75"/>
      <c r="BA1507" s="67"/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8"/>
      <c r="BL1507" s="78"/>
      <c r="BM1507" s="78"/>
      <c r="BN1507" s="78"/>
      <c r="BO1507" s="66"/>
      <c r="BP1507" s="66"/>
    </row>
    <row r="1508" spans="1:68" ht="13.2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/>
      <c r="AQ1508" s="75"/>
      <c r="AR1508" s="75"/>
      <c r="AS1508" s="75"/>
      <c r="AT1508" s="75"/>
      <c r="AU1508" s="75"/>
      <c r="AV1508" s="75"/>
      <c r="AW1508" s="75"/>
      <c r="AX1508" s="75"/>
      <c r="AY1508" s="67"/>
      <c r="AZ1508" s="75"/>
      <c r="BA1508" s="67"/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8"/>
      <c r="BL1508" s="78"/>
      <c r="BM1508" s="78"/>
      <c r="BN1508" s="78"/>
      <c r="BO1508" s="66"/>
      <c r="BP1508" s="66"/>
    </row>
    <row r="1509" spans="1:68" ht="13.2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/>
      <c r="AQ1509" s="75"/>
      <c r="AR1509" s="75"/>
      <c r="AS1509" s="75"/>
      <c r="AT1509" s="75"/>
      <c r="AU1509" s="75"/>
      <c r="AV1509" s="75"/>
      <c r="AW1509" s="75"/>
      <c r="AX1509" s="75"/>
      <c r="AY1509" s="67"/>
      <c r="AZ1509" s="75"/>
      <c r="BA1509" s="67"/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8"/>
      <c r="BL1509" s="78"/>
      <c r="BM1509" s="78"/>
      <c r="BN1509" s="78"/>
      <c r="BO1509" s="66"/>
      <c r="BP1509" s="66"/>
    </row>
    <row r="1510" spans="1:68" ht="13.2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/>
      <c r="AQ1510" s="75"/>
      <c r="AR1510" s="75"/>
      <c r="AS1510" s="75"/>
      <c r="AT1510" s="75"/>
      <c r="AU1510" s="75"/>
      <c r="AV1510" s="75"/>
      <c r="AW1510" s="75"/>
      <c r="AX1510" s="75"/>
      <c r="AY1510" s="67"/>
      <c r="AZ1510" s="75"/>
      <c r="BA1510" s="67"/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8"/>
      <c r="BL1510" s="78"/>
      <c r="BM1510" s="78"/>
      <c r="BN1510" s="78"/>
      <c r="BO1510" s="66"/>
      <c r="BP1510" s="66"/>
    </row>
    <row r="1511" spans="1:68" ht="13.2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/>
      <c r="AQ1511" s="75"/>
      <c r="AR1511" s="75"/>
      <c r="AS1511" s="75"/>
      <c r="AT1511" s="75"/>
      <c r="AU1511" s="75"/>
      <c r="AV1511" s="75"/>
      <c r="AW1511" s="75"/>
      <c r="AX1511" s="75"/>
      <c r="AY1511" s="67"/>
      <c r="AZ1511" s="75"/>
      <c r="BA1511" s="67"/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8"/>
      <c r="BL1511" s="78"/>
      <c r="BM1511" s="78"/>
      <c r="BN1511" s="78"/>
      <c r="BO1511" s="66"/>
      <c r="BP1511" s="66"/>
    </row>
    <row r="1512" spans="1:68" ht="13.2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/>
      <c r="AQ1512" s="75"/>
      <c r="AR1512" s="75"/>
      <c r="AS1512" s="75"/>
      <c r="AT1512" s="75"/>
      <c r="AU1512" s="75"/>
      <c r="AV1512" s="75"/>
      <c r="AW1512" s="75"/>
      <c r="AX1512" s="75"/>
      <c r="AY1512" s="67"/>
      <c r="AZ1512" s="75"/>
      <c r="BA1512" s="67"/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8"/>
      <c r="BL1512" s="78"/>
      <c r="BM1512" s="78"/>
      <c r="BN1512" s="78"/>
      <c r="BO1512" s="66"/>
      <c r="BP1512" s="66"/>
    </row>
    <row r="1513" spans="1:68" ht="13.2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/>
      <c r="AQ1513" s="75"/>
      <c r="AR1513" s="75"/>
      <c r="AS1513" s="75"/>
      <c r="AT1513" s="75"/>
      <c r="AU1513" s="75"/>
      <c r="AV1513" s="75"/>
      <c r="AW1513" s="75"/>
      <c r="AX1513" s="75"/>
      <c r="AY1513" s="67"/>
      <c r="AZ1513" s="75"/>
      <c r="BA1513" s="67"/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8"/>
      <c r="BL1513" s="78"/>
      <c r="BM1513" s="78"/>
      <c r="BN1513" s="78"/>
      <c r="BO1513" s="66"/>
      <c r="BP1513" s="66"/>
    </row>
    <row r="1514" spans="1:68" ht="13.2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/>
      <c r="AQ1514" s="75"/>
      <c r="AR1514" s="75"/>
      <c r="AS1514" s="75"/>
      <c r="AT1514" s="75"/>
      <c r="AU1514" s="75"/>
      <c r="AV1514" s="75"/>
      <c r="AW1514" s="75"/>
      <c r="AX1514" s="75"/>
      <c r="AY1514" s="67"/>
      <c r="AZ1514" s="75"/>
      <c r="BA1514" s="67"/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8"/>
      <c r="BL1514" s="78"/>
      <c r="BM1514" s="78"/>
      <c r="BN1514" s="78"/>
      <c r="BO1514" s="66"/>
      <c r="BP1514" s="66"/>
    </row>
    <row r="1515" spans="1:68" ht="13.2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/>
      <c r="AQ1515" s="75"/>
      <c r="AR1515" s="75"/>
      <c r="AS1515" s="75"/>
      <c r="AT1515" s="75"/>
      <c r="AU1515" s="75"/>
      <c r="AV1515" s="75"/>
      <c r="AW1515" s="75"/>
      <c r="AX1515" s="75"/>
      <c r="AY1515" s="67"/>
      <c r="AZ1515" s="75"/>
      <c r="BA1515" s="67"/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8"/>
      <c r="BL1515" s="78"/>
      <c r="BM1515" s="78"/>
      <c r="BN1515" s="78"/>
      <c r="BO1515" s="66"/>
      <c r="BP1515" s="66"/>
    </row>
    <row r="1516" spans="1:68" ht="13.2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/>
      <c r="AQ1516" s="75"/>
      <c r="AR1516" s="75"/>
      <c r="AS1516" s="75"/>
      <c r="AT1516" s="75"/>
      <c r="AU1516" s="75"/>
      <c r="AV1516" s="75"/>
      <c r="AW1516" s="75"/>
      <c r="AX1516" s="75"/>
      <c r="AY1516" s="67"/>
      <c r="AZ1516" s="75"/>
      <c r="BA1516" s="67"/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8"/>
      <c r="BL1516" s="78"/>
      <c r="BM1516" s="78"/>
      <c r="BN1516" s="78"/>
      <c r="BO1516" s="66"/>
      <c r="BP1516" s="66"/>
    </row>
    <row r="1517" spans="1:68" ht="13.2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/>
      <c r="AQ1517" s="75"/>
      <c r="AR1517" s="75"/>
      <c r="AS1517" s="75"/>
      <c r="AT1517" s="75"/>
      <c r="AU1517" s="75"/>
      <c r="AV1517" s="75"/>
      <c r="AW1517" s="75"/>
      <c r="AX1517" s="75"/>
      <c r="AY1517" s="67"/>
      <c r="AZ1517" s="75"/>
      <c r="BA1517" s="67"/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8"/>
      <c r="BL1517" s="78"/>
      <c r="BM1517" s="78"/>
      <c r="BN1517" s="78"/>
      <c r="BO1517" s="66"/>
      <c r="BP1517" s="66"/>
    </row>
    <row r="1518" spans="1:68" ht="13.2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/>
      <c r="AQ1518" s="75"/>
      <c r="AR1518" s="75"/>
      <c r="AS1518" s="75"/>
      <c r="AT1518" s="75"/>
      <c r="AU1518" s="75"/>
      <c r="AV1518" s="75"/>
      <c r="AW1518" s="75"/>
      <c r="AX1518" s="75"/>
      <c r="AY1518" s="67"/>
      <c r="AZ1518" s="75"/>
      <c r="BA1518" s="67"/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8"/>
      <c r="BL1518" s="78"/>
      <c r="BM1518" s="78"/>
      <c r="BN1518" s="78"/>
      <c r="BO1518" s="66"/>
      <c r="BP1518" s="66"/>
    </row>
    <row r="1519" spans="1:68" ht="13.2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/>
      <c r="AQ1519" s="75"/>
      <c r="AR1519" s="75"/>
      <c r="AS1519" s="75"/>
      <c r="AT1519" s="75"/>
      <c r="AU1519" s="75"/>
      <c r="AV1519" s="75"/>
      <c r="AW1519" s="75"/>
      <c r="AX1519" s="75"/>
      <c r="AY1519" s="67"/>
      <c r="AZ1519" s="75"/>
      <c r="BA1519" s="67"/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8"/>
      <c r="BL1519" s="78"/>
      <c r="BM1519" s="78"/>
      <c r="BN1519" s="78"/>
      <c r="BO1519" s="66"/>
      <c r="BP1519" s="66"/>
    </row>
    <row r="1520" spans="1:68" ht="13.2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/>
      <c r="AQ1520" s="75"/>
      <c r="AR1520" s="75"/>
      <c r="AS1520" s="75"/>
      <c r="AT1520" s="75"/>
      <c r="AU1520" s="75"/>
      <c r="AV1520" s="75"/>
      <c r="AW1520" s="75"/>
      <c r="AX1520" s="75"/>
      <c r="AY1520" s="67"/>
      <c r="AZ1520" s="75"/>
      <c r="BA1520" s="67"/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8"/>
      <c r="BL1520" s="78"/>
      <c r="BM1520" s="78"/>
      <c r="BN1520" s="78"/>
      <c r="BO1520" s="66"/>
      <c r="BP1520" s="66"/>
    </row>
    <row r="1521" spans="1:68" ht="13.2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/>
      <c r="AQ1521" s="75"/>
      <c r="AR1521" s="75"/>
      <c r="AS1521" s="75"/>
      <c r="AT1521" s="75"/>
      <c r="AU1521" s="75"/>
      <c r="AV1521" s="75"/>
      <c r="AW1521" s="75"/>
      <c r="AX1521" s="75"/>
      <c r="AY1521" s="67"/>
      <c r="AZ1521" s="75"/>
      <c r="BA1521" s="67"/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8"/>
      <c r="BL1521" s="78"/>
      <c r="BM1521" s="78"/>
      <c r="BN1521" s="78"/>
      <c r="BO1521" s="66"/>
      <c r="BP1521" s="66"/>
    </row>
    <row r="1522" spans="1:68" ht="13.2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/>
      <c r="AQ1522" s="75"/>
      <c r="AR1522" s="75"/>
      <c r="AS1522" s="75"/>
      <c r="AT1522" s="75"/>
      <c r="AU1522" s="75"/>
      <c r="AV1522" s="75"/>
      <c r="AW1522" s="75"/>
      <c r="AX1522" s="75"/>
      <c r="AY1522" s="67"/>
      <c r="AZ1522" s="75"/>
      <c r="BA1522" s="67"/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8"/>
      <c r="BL1522" s="78"/>
      <c r="BM1522" s="78"/>
      <c r="BN1522" s="78"/>
      <c r="BO1522" s="66"/>
      <c r="BP1522" s="66"/>
    </row>
    <row r="1523" spans="1:68" ht="13.2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/>
      <c r="AQ1523" s="75"/>
      <c r="AR1523" s="75"/>
      <c r="AS1523" s="75"/>
      <c r="AT1523" s="75"/>
      <c r="AU1523" s="75"/>
      <c r="AV1523" s="75"/>
      <c r="AW1523" s="75"/>
      <c r="AX1523" s="75"/>
      <c r="AY1523" s="67"/>
      <c r="AZ1523" s="75"/>
      <c r="BA1523" s="67"/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8"/>
      <c r="BL1523" s="78"/>
      <c r="BM1523" s="78"/>
      <c r="BN1523" s="78"/>
      <c r="BO1523" s="66"/>
      <c r="BP1523" s="66"/>
    </row>
    <row r="1524" spans="1:68" ht="13.2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/>
      <c r="AQ1524" s="75"/>
      <c r="AR1524" s="75"/>
      <c r="AS1524" s="75"/>
      <c r="AT1524" s="75"/>
      <c r="AU1524" s="75"/>
      <c r="AV1524" s="75"/>
      <c r="AW1524" s="75"/>
      <c r="AX1524" s="75"/>
      <c r="AY1524" s="67"/>
      <c r="AZ1524" s="75"/>
      <c r="BA1524" s="67"/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8"/>
      <c r="BL1524" s="78"/>
      <c r="BM1524" s="78"/>
      <c r="BN1524" s="78"/>
      <c r="BO1524" s="66"/>
      <c r="BP1524" s="66"/>
    </row>
    <row r="1525" spans="1:68" ht="13.2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/>
      <c r="AQ1525" s="75"/>
      <c r="AR1525" s="75"/>
      <c r="AS1525" s="75"/>
      <c r="AT1525" s="75"/>
      <c r="AU1525" s="75"/>
      <c r="AV1525" s="75"/>
      <c r="AW1525" s="75"/>
      <c r="AX1525" s="75"/>
      <c r="AY1525" s="67"/>
      <c r="AZ1525" s="75"/>
      <c r="BA1525" s="67"/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8"/>
      <c r="BL1525" s="78"/>
      <c r="BM1525" s="78"/>
      <c r="BN1525" s="78"/>
      <c r="BO1525" s="66"/>
      <c r="BP1525" s="66"/>
    </row>
    <row r="1526" spans="1:68" ht="13.2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/>
      <c r="AQ1526" s="75"/>
      <c r="AR1526" s="75"/>
      <c r="AS1526" s="75"/>
      <c r="AT1526" s="75"/>
      <c r="AU1526" s="75"/>
      <c r="AV1526" s="75"/>
      <c r="AW1526" s="75"/>
      <c r="AX1526" s="75"/>
      <c r="AY1526" s="67"/>
      <c r="AZ1526" s="75"/>
      <c r="BA1526" s="67"/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8"/>
      <c r="BL1526" s="78"/>
      <c r="BM1526" s="78"/>
      <c r="BN1526" s="78"/>
      <c r="BO1526" s="66"/>
      <c r="BP1526" s="66"/>
    </row>
    <row r="1527" spans="1:68" ht="13.2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/>
      <c r="AQ1527" s="75"/>
      <c r="AR1527" s="75"/>
      <c r="AS1527" s="75"/>
      <c r="AT1527" s="75"/>
      <c r="AU1527" s="75"/>
      <c r="AV1527" s="75"/>
      <c r="AW1527" s="75"/>
      <c r="AX1527" s="75"/>
      <c r="AY1527" s="67"/>
      <c r="AZ1527" s="75"/>
      <c r="BA1527" s="67"/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8"/>
      <c r="BL1527" s="78"/>
      <c r="BM1527" s="78"/>
      <c r="BN1527" s="78"/>
      <c r="BO1527" s="66"/>
      <c r="BP1527" s="66"/>
    </row>
    <row r="1528" spans="1:68" ht="13.2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/>
      <c r="AQ1528" s="75"/>
      <c r="AR1528" s="75"/>
      <c r="AS1528" s="75"/>
      <c r="AT1528" s="75"/>
      <c r="AU1528" s="75"/>
      <c r="AV1528" s="75"/>
      <c r="AW1528" s="75"/>
      <c r="AX1528" s="75"/>
      <c r="AY1528" s="67"/>
      <c r="AZ1528" s="75"/>
      <c r="BA1528" s="67"/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8"/>
      <c r="BL1528" s="78"/>
      <c r="BM1528" s="78"/>
      <c r="BN1528" s="78"/>
      <c r="BO1528" s="66"/>
      <c r="BP1528" s="66"/>
    </row>
    <row r="1529" spans="1:68" ht="13.2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/>
      <c r="AQ1529" s="75"/>
      <c r="AR1529" s="75"/>
      <c r="AS1529" s="75"/>
      <c r="AT1529" s="75"/>
      <c r="AU1529" s="75"/>
      <c r="AV1529" s="75"/>
      <c r="AW1529" s="75"/>
      <c r="AX1529" s="75"/>
      <c r="AY1529" s="67"/>
      <c r="AZ1529" s="75"/>
      <c r="BA1529" s="67"/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8"/>
      <c r="BL1529" s="78"/>
      <c r="BM1529" s="78"/>
      <c r="BN1529" s="78"/>
      <c r="BO1529" s="66"/>
      <c r="BP1529" s="66"/>
    </row>
    <row r="1530" spans="1:68" ht="13.2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/>
      <c r="AQ1530" s="75"/>
      <c r="AR1530" s="75"/>
      <c r="AS1530" s="75"/>
      <c r="AT1530" s="75"/>
      <c r="AU1530" s="75"/>
      <c r="AV1530" s="75"/>
      <c r="AW1530" s="75"/>
      <c r="AX1530" s="75"/>
      <c r="AY1530" s="67"/>
      <c r="AZ1530" s="75"/>
      <c r="BA1530" s="67"/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8"/>
      <c r="BL1530" s="78"/>
      <c r="BM1530" s="78"/>
      <c r="BN1530" s="78"/>
      <c r="BO1530" s="66"/>
      <c r="BP1530" s="66"/>
    </row>
    <row r="1531" spans="1:68" ht="13.2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67"/>
      <c r="AZ1531" s="75"/>
      <c r="BA1531" s="67"/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8"/>
      <c r="BL1531" s="78"/>
      <c r="BM1531" s="78"/>
      <c r="BN1531" s="78"/>
      <c r="BO1531" s="66"/>
      <c r="BP1531" s="66"/>
    </row>
    <row r="1532" spans="1:68" ht="13.2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67"/>
      <c r="AZ1532" s="75"/>
      <c r="BA1532" s="67"/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8"/>
      <c r="BL1532" s="78"/>
      <c r="BM1532" s="78"/>
      <c r="BN1532" s="78"/>
      <c r="BO1532" s="66"/>
      <c r="BP1532" s="66"/>
    </row>
    <row r="1533" spans="1:68" ht="13.2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67"/>
      <c r="AZ1533" s="75"/>
      <c r="BA1533" s="67"/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8"/>
      <c r="BL1533" s="78"/>
      <c r="BM1533" s="78"/>
      <c r="BN1533" s="78"/>
      <c r="BO1533" s="66"/>
      <c r="BP1533" s="66"/>
    </row>
    <row r="1534" spans="1:68" ht="13.2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67"/>
      <c r="AZ1534" s="75"/>
      <c r="BA1534" s="67"/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8"/>
      <c r="BL1534" s="78"/>
      <c r="BM1534" s="78"/>
      <c r="BN1534" s="78"/>
      <c r="BO1534" s="66"/>
      <c r="BP1534" s="66"/>
    </row>
    <row r="1535" spans="1:68" ht="13.2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67"/>
      <c r="AZ1535" s="75"/>
      <c r="BA1535" s="67"/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8"/>
      <c r="BL1535" s="78"/>
      <c r="BM1535" s="78"/>
      <c r="BN1535" s="78"/>
      <c r="BO1535" s="66"/>
      <c r="BP1535" s="66"/>
    </row>
    <row r="1536" spans="1:68" ht="13.2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67"/>
      <c r="AZ1536" s="75"/>
      <c r="BA1536" s="67"/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8"/>
      <c r="BL1536" s="78"/>
      <c r="BM1536" s="78"/>
      <c r="BN1536" s="78"/>
      <c r="BO1536" s="66"/>
      <c r="BP1536" s="66"/>
    </row>
    <row r="1537" spans="1:68" ht="13.2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67"/>
      <c r="AZ1537" s="75"/>
      <c r="BA1537" s="67"/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8"/>
      <c r="BL1537" s="78"/>
      <c r="BM1537" s="78"/>
      <c r="BN1537" s="78"/>
      <c r="BO1537" s="66"/>
      <c r="BP1537" s="66"/>
    </row>
    <row r="1538" spans="1:68" ht="13.2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67"/>
      <c r="AZ1538" s="75"/>
      <c r="BA1538" s="67"/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8"/>
      <c r="BL1538" s="78"/>
      <c r="BM1538" s="78"/>
      <c r="BN1538" s="78"/>
      <c r="BO1538" s="66"/>
      <c r="BP1538" s="66"/>
    </row>
    <row r="1539" spans="1:68" ht="13.2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67"/>
      <c r="AZ1539" s="75"/>
      <c r="BA1539" s="67"/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8"/>
      <c r="BL1539" s="78"/>
      <c r="BM1539" s="78"/>
      <c r="BN1539" s="78"/>
      <c r="BO1539" s="66"/>
      <c r="BP1539" s="66"/>
    </row>
    <row r="1540" spans="1:68" ht="13.2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67"/>
      <c r="AZ1540" s="75"/>
      <c r="BA1540" s="67"/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8"/>
      <c r="BL1540" s="78"/>
      <c r="BM1540" s="78"/>
      <c r="BN1540" s="78"/>
      <c r="BO1540" s="66"/>
      <c r="BP1540" s="66"/>
    </row>
    <row r="1541" spans="1:68" ht="13.2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67"/>
      <c r="AZ1541" s="75"/>
      <c r="BA1541" s="67"/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8"/>
      <c r="BL1541" s="78"/>
      <c r="BM1541" s="78"/>
      <c r="BN1541" s="78"/>
      <c r="BO1541" s="66"/>
      <c r="BP1541" s="66"/>
    </row>
    <row r="1542" spans="1:68" ht="13.2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67"/>
      <c r="AZ1542" s="75"/>
      <c r="BA1542" s="67"/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8"/>
      <c r="BL1542" s="78"/>
      <c r="BM1542" s="78"/>
      <c r="BN1542" s="78"/>
      <c r="BO1542" s="66"/>
      <c r="BP1542" s="66"/>
    </row>
    <row r="1543" spans="1:68" ht="13.2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67"/>
      <c r="AZ1543" s="75"/>
      <c r="BA1543" s="67"/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8"/>
      <c r="BL1543" s="78"/>
      <c r="BM1543" s="78"/>
      <c r="BN1543" s="78"/>
      <c r="BO1543" s="66"/>
      <c r="BP1543" s="66"/>
    </row>
    <row r="1544" spans="1:68" ht="13.2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67"/>
      <c r="AZ1544" s="75"/>
      <c r="BA1544" s="67"/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8"/>
      <c r="BL1544" s="78"/>
      <c r="BM1544" s="78"/>
      <c r="BN1544" s="78"/>
      <c r="BO1544" s="66"/>
      <c r="BP1544" s="66"/>
    </row>
    <row r="1545" spans="1:68" ht="13.2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67"/>
      <c r="AZ1545" s="75"/>
      <c r="BA1545" s="67"/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8"/>
      <c r="BL1545" s="78"/>
      <c r="BM1545" s="78"/>
      <c r="BN1545" s="78"/>
      <c r="BO1545" s="66"/>
      <c r="BP1545" s="66"/>
    </row>
    <row r="1546" spans="1:68" ht="13.2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67"/>
      <c r="AZ1546" s="75"/>
      <c r="BA1546" s="67"/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8"/>
      <c r="BL1546" s="78"/>
      <c r="BM1546" s="78"/>
      <c r="BN1546" s="78"/>
      <c r="BO1546" s="66"/>
      <c r="BP1546" s="66"/>
    </row>
    <row r="1547" spans="1:68" ht="13.2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67"/>
      <c r="AZ1547" s="75"/>
      <c r="BA1547" s="67"/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8"/>
      <c r="BL1547" s="78"/>
      <c r="BM1547" s="78"/>
      <c r="BN1547" s="78"/>
      <c r="BO1547" s="66"/>
      <c r="BP1547" s="66"/>
    </row>
    <row r="1548" spans="1:68" ht="13.2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67"/>
      <c r="AZ1548" s="75"/>
      <c r="BA1548" s="67"/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8"/>
      <c r="BL1548" s="78"/>
      <c r="BM1548" s="78"/>
      <c r="BN1548" s="78"/>
      <c r="BO1548" s="66"/>
      <c r="BP1548" s="66"/>
    </row>
    <row r="1549" spans="1:68" ht="13.2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67"/>
      <c r="AZ1549" s="75"/>
      <c r="BA1549" s="67"/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8"/>
      <c r="BL1549" s="78"/>
      <c r="BM1549" s="78"/>
      <c r="BN1549" s="78"/>
      <c r="BO1549" s="66"/>
      <c r="BP1549" s="66"/>
    </row>
    <row r="1550" spans="1:68" ht="13.2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67"/>
      <c r="AZ1550" s="75"/>
      <c r="BA1550" s="67"/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8"/>
      <c r="BL1550" s="78"/>
      <c r="BM1550" s="78"/>
      <c r="BN1550" s="78"/>
      <c r="BO1550" s="66"/>
      <c r="BP1550" s="66"/>
    </row>
    <row r="1551" spans="1:68" ht="13.2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/>
      <c r="AQ1551" s="75"/>
      <c r="AR1551" s="75"/>
      <c r="AS1551" s="75"/>
      <c r="AT1551" s="75"/>
      <c r="AU1551" s="75"/>
      <c r="AV1551" s="75"/>
      <c r="AW1551" s="75"/>
      <c r="AX1551" s="75"/>
      <c r="AY1551" s="67"/>
      <c r="AZ1551" s="75"/>
      <c r="BA1551" s="67"/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8"/>
      <c r="BL1551" s="78"/>
      <c r="BM1551" s="78"/>
      <c r="BN1551" s="78"/>
      <c r="BO1551" s="66"/>
      <c r="BP1551" s="66"/>
    </row>
    <row r="1552" spans="1:68" ht="13.2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/>
      <c r="AQ1552" s="75"/>
      <c r="AR1552" s="75"/>
      <c r="AS1552" s="75"/>
      <c r="AT1552" s="75"/>
      <c r="AU1552" s="75"/>
      <c r="AV1552" s="75"/>
      <c r="AW1552" s="75"/>
      <c r="AX1552" s="75"/>
      <c r="AY1552" s="67"/>
      <c r="AZ1552" s="75"/>
      <c r="BA1552" s="67"/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8"/>
      <c r="BL1552" s="78"/>
      <c r="BM1552" s="78"/>
      <c r="BN1552" s="78"/>
      <c r="BO1552" s="66"/>
      <c r="BP1552" s="66"/>
    </row>
    <row r="1553" spans="1:68" ht="13.2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/>
      <c r="AQ1553" s="75"/>
      <c r="AR1553" s="75"/>
      <c r="AS1553" s="75"/>
      <c r="AT1553" s="75"/>
      <c r="AU1553" s="75"/>
      <c r="AV1553" s="75"/>
      <c r="AW1553" s="75"/>
      <c r="AX1553" s="75"/>
      <c r="AY1553" s="67"/>
      <c r="AZ1553" s="75"/>
      <c r="BA1553" s="67"/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8"/>
      <c r="BL1553" s="78"/>
      <c r="BM1553" s="78"/>
      <c r="BN1553" s="78"/>
      <c r="BO1553" s="66"/>
      <c r="BP1553" s="66"/>
    </row>
    <row r="1554" spans="1:68" ht="13.2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67"/>
      <c r="AZ1554" s="75"/>
      <c r="BA1554" s="67"/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8"/>
      <c r="BL1554" s="78"/>
      <c r="BM1554" s="78"/>
      <c r="BN1554" s="78"/>
      <c r="BO1554" s="66"/>
      <c r="BP1554" s="66"/>
    </row>
    <row r="1555" spans="1:68" ht="13.2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67"/>
      <c r="AZ1555" s="75"/>
      <c r="BA1555" s="67"/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8"/>
      <c r="BL1555" s="78"/>
      <c r="BM1555" s="78"/>
      <c r="BN1555" s="78"/>
      <c r="BO1555" s="66"/>
      <c r="BP1555" s="66"/>
    </row>
    <row r="1556" spans="1:68" ht="13.2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67"/>
      <c r="AZ1556" s="75"/>
      <c r="BA1556" s="67"/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8"/>
      <c r="BL1556" s="78"/>
      <c r="BM1556" s="78"/>
      <c r="BN1556" s="78"/>
      <c r="BO1556" s="66"/>
      <c r="BP1556" s="66"/>
    </row>
    <row r="1557" spans="1:68" ht="13.2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67"/>
      <c r="AZ1557" s="75"/>
      <c r="BA1557" s="67"/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8"/>
      <c r="BL1557" s="78"/>
      <c r="BM1557" s="78"/>
      <c r="BN1557" s="78"/>
      <c r="BO1557" s="66"/>
      <c r="BP1557" s="66"/>
    </row>
    <row r="1558" spans="1:68" ht="13.2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67"/>
      <c r="AZ1558" s="75"/>
      <c r="BA1558" s="67"/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8"/>
      <c r="BL1558" s="78"/>
      <c r="BM1558" s="78"/>
      <c r="BN1558" s="78"/>
      <c r="BO1558" s="66"/>
      <c r="BP1558" s="66"/>
    </row>
    <row r="1559" spans="1:68" ht="13.2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67"/>
      <c r="AZ1559" s="75"/>
      <c r="BA1559" s="67"/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8"/>
      <c r="BL1559" s="78"/>
      <c r="BM1559" s="78"/>
      <c r="BN1559" s="78"/>
      <c r="BO1559" s="66"/>
      <c r="BP1559" s="66"/>
    </row>
    <row r="1560" spans="1:68" ht="13.2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67"/>
      <c r="AZ1560" s="75"/>
      <c r="BA1560" s="67"/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8"/>
      <c r="BL1560" s="78"/>
      <c r="BM1560" s="78"/>
      <c r="BN1560" s="78"/>
      <c r="BO1560" s="66"/>
      <c r="BP1560" s="66"/>
    </row>
    <row r="1561" spans="1:68" ht="13.2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67"/>
      <c r="AZ1561" s="75"/>
      <c r="BA1561" s="67"/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8"/>
      <c r="BL1561" s="78"/>
      <c r="BM1561" s="78"/>
      <c r="BN1561" s="78"/>
      <c r="BO1561" s="66"/>
      <c r="BP1561" s="66"/>
    </row>
    <row r="1562" spans="1:68" ht="13.2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67"/>
      <c r="AZ1562" s="75"/>
      <c r="BA1562" s="67"/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8"/>
      <c r="BL1562" s="78"/>
      <c r="BM1562" s="78"/>
      <c r="BN1562" s="78"/>
      <c r="BO1562" s="66"/>
      <c r="BP1562" s="66"/>
    </row>
    <row r="1563" spans="1:68" ht="13.2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67"/>
      <c r="AZ1563" s="75"/>
      <c r="BA1563" s="67"/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8"/>
      <c r="BL1563" s="78"/>
      <c r="BM1563" s="78"/>
      <c r="BN1563" s="78"/>
      <c r="BO1563" s="66"/>
      <c r="BP1563" s="66"/>
    </row>
    <row r="1564" spans="1:68" ht="13.2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67"/>
      <c r="AZ1564" s="75"/>
      <c r="BA1564" s="67"/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8"/>
      <c r="BL1564" s="78"/>
      <c r="BM1564" s="78"/>
      <c r="BN1564" s="78"/>
      <c r="BO1564" s="66"/>
      <c r="BP1564" s="66"/>
    </row>
    <row r="1565" spans="1:68" ht="13.2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67"/>
      <c r="AZ1565" s="75"/>
      <c r="BA1565" s="67"/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8"/>
      <c r="BL1565" s="78"/>
      <c r="BM1565" s="78"/>
      <c r="BN1565" s="78"/>
      <c r="BO1565" s="66"/>
      <c r="BP1565" s="66"/>
    </row>
    <row r="1566" spans="1:68" ht="13.2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67"/>
      <c r="AZ1566" s="75"/>
      <c r="BA1566" s="67"/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8"/>
      <c r="BL1566" s="78"/>
      <c r="BM1566" s="78"/>
      <c r="BN1566" s="78"/>
      <c r="BO1566" s="66"/>
      <c r="BP1566" s="66"/>
    </row>
    <row r="1567" spans="1:68" ht="13.2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67"/>
      <c r="AZ1567" s="75"/>
      <c r="BA1567" s="67"/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8"/>
      <c r="BL1567" s="78"/>
      <c r="BM1567" s="78"/>
      <c r="BN1567" s="78"/>
      <c r="BO1567" s="66"/>
      <c r="BP1567" s="66"/>
    </row>
    <row r="1568" spans="1:68" ht="13.2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67"/>
      <c r="AZ1568" s="75"/>
      <c r="BA1568" s="67"/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8"/>
      <c r="BL1568" s="78"/>
      <c r="BM1568" s="78"/>
      <c r="BN1568" s="78"/>
      <c r="BO1568" s="66"/>
      <c r="BP1568" s="66"/>
    </row>
    <row r="1569" spans="1:68" ht="13.2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67"/>
      <c r="AZ1569" s="75"/>
      <c r="BA1569" s="67"/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8"/>
      <c r="BL1569" s="78"/>
      <c r="BM1569" s="78"/>
      <c r="BN1569" s="78"/>
      <c r="BO1569" s="66"/>
      <c r="BP1569" s="66"/>
    </row>
    <row r="1570" spans="1:68" ht="13.2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67"/>
      <c r="AZ1570" s="75"/>
      <c r="BA1570" s="67"/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8"/>
      <c r="BL1570" s="78"/>
      <c r="BM1570" s="78"/>
      <c r="BN1570" s="78"/>
      <c r="BO1570" s="66"/>
      <c r="BP1570" s="66"/>
    </row>
    <row r="1571" spans="1:68" ht="13.2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/>
      <c r="AQ1571" s="75"/>
      <c r="AR1571" s="75"/>
      <c r="AS1571" s="75"/>
      <c r="AT1571" s="75"/>
      <c r="AU1571" s="75"/>
      <c r="AV1571" s="75"/>
      <c r="AW1571" s="75"/>
      <c r="AX1571" s="75"/>
      <c r="AY1571" s="67"/>
      <c r="AZ1571" s="75"/>
      <c r="BA1571" s="67"/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8"/>
      <c r="BL1571" s="78"/>
      <c r="BM1571" s="78"/>
      <c r="BN1571" s="78"/>
      <c r="BO1571" s="66"/>
      <c r="BP1571" s="66"/>
    </row>
    <row r="1572" spans="1:68" ht="13.2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/>
      <c r="AQ1572" s="75"/>
      <c r="AR1572" s="75"/>
      <c r="AS1572" s="75"/>
      <c r="AT1572" s="75"/>
      <c r="AU1572" s="75"/>
      <c r="AV1572" s="75"/>
      <c r="AW1572" s="75"/>
      <c r="AX1572" s="75"/>
      <c r="AY1572" s="67"/>
      <c r="AZ1572" s="75"/>
      <c r="BA1572" s="67"/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8"/>
      <c r="BL1572" s="78"/>
      <c r="BM1572" s="78"/>
      <c r="BN1572" s="78"/>
      <c r="BO1572" s="66"/>
      <c r="BP1572" s="66"/>
    </row>
    <row r="1573" spans="1:68" ht="13.2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/>
      <c r="AQ1573" s="75"/>
      <c r="AR1573" s="75"/>
      <c r="AS1573" s="75"/>
      <c r="AT1573" s="75"/>
      <c r="AU1573" s="75"/>
      <c r="AV1573" s="75"/>
      <c r="AW1573" s="75"/>
      <c r="AX1573" s="75"/>
      <c r="AY1573" s="67"/>
      <c r="AZ1573" s="75"/>
      <c r="BA1573" s="67"/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8"/>
      <c r="BL1573" s="78"/>
      <c r="BM1573" s="78"/>
      <c r="BN1573" s="78"/>
      <c r="BO1573" s="66"/>
      <c r="BP1573" s="66"/>
    </row>
    <row r="1574" spans="1:68" ht="13.2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/>
      <c r="AQ1574" s="75"/>
      <c r="AR1574" s="75"/>
      <c r="AS1574" s="75"/>
      <c r="AT1574" s="75"/>
      <c r="AU1574" s="75"/>
      <c r="AV1574" s="75"/>
      <c r="AW1574" s="75"/>
      <c r="AX1574" s="75"/>
      <c r="AY1574" s="67"/>
      <c r="AZ1574" s="75"/>
      <c r="BA1574" s="67"/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8"/>
      <c r="BL1574" s="78"/>
      <c r="BM1574" s="78"/>
      <c r="BN1574" s="78"/>
      <c r="BO1574" s="66"/>
      <c r="BP1574" s="66"/>
    </row>
    <row r="1575" spans="1:68" ht="13.2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/>
      <c r="AQ1575" s="75"/>
      <c r="AR1575" s="75"/>
      <c r="AS1575" s="75"/>
      <c r="AT1575" s="75"/>
      <c r="AU1575" s="75"/>
      <c r="AV1575" s="75"/>
      <c r="AW1575" s="75"/>
      <c r="AX1575" s="75"/>
      <c r="AY1575" s="67"/>
      <c r="AZ1575" s="75"/>
      <c r="BA1575" s="67"/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8"/>
      <c r="BL1575" s="78"/>
      <c r="BM1575" s="78"/>
      <c r="BN1575" s="78"/>
      <c r="BO1575" s="66"/>
      <c r="BP1575" s="66"/>
    </row>
    <row r="1576" spans="1:68" ht="13.2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/>
      <c r="AQ1576" s="75"/>
      <c r="AR1576" s="75"/>
      <c r="AS1576" s="75"/>
      <c r="AT1576" s="75"/>
      <c r="AU1576" s="75"/>
      <c r="AV1576" s="75"/>
      <c r="AW1576" s="75"/>
      <c r="AX1576" s="75"/>
      <c r="AY1576" s="67"/>
      <c r="AZ1576" s="75"/>
      <c r="BA1576" s="67"/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8"/>
      <c r="BL1576" s="78"/>
      <c r="BM1576" s="78"/>
      <c r="BN1576" s="78"/>
      <c r="BO1576" s="66"/>
      <c r="BP1576" s="66"/>
    </row>
    <row r="1577" spans="1:68" ht="13.2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/>
      <c r="AQ1577" s="75"/>
      <c r="AR1577" s="75"/>
      <c r="AS1577" s="75"/>
      <c r="AT1577" s="75"/>
      <c r="AU1577" s="75"/>
      <c r="AV1577" s="75"/>
      <c r="AW1577" s="75"/>
      <c r="AX1577" s="75"/>
      <c r="AY1577" s="67"/>
      <c r="AZ1577" s="75"/>
      <c r="BA1577" s="67"/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8"/>
      <c r="BL1577" s="78"/>
      <c r="BM1577" s="78"/>
      <c r="BN1577" s="78"/>
      <c r="BO1577" s="66"/>
      <c r="BP1577" s="66"/>
    </row>
    <row r="1578" spans="1:68" ht="13.2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/>
      <c r="AQ1578" s="75"/>
      <c r="AR1578" s="75"/>
      <c r="AS1578" s="75"/>
      <c r="AT1578" s="75"/>
      <c r="AU1578" s="75"/>
      <c r="AV1578" s="75"/>
      <c r="AW1578" s="75"/>
      <c r="AX1578" s="75"/>
      <c r="AY1578" s="67"/>
      <c r="AZ1578" s="75"/>
      <c r="BA1578" s="67"/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8"/>
      <c r="BL1578" s="78"/>
      <c r="BM1578" s="78"/>
      <c r="BN1578" s="78"/>
      <c r="BO1578" s="66"/>
      <c r="BP1578" s="66"/>
    </row>
    <row r="1579" spans="1:68" ht="13.2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/>
      <c r="AQ1579" s="75"/>
      <c r="AR1579" s="75"/>
      <c r="AS1579" s="75"/>
      <c r="AT1579" s="75"/>
      <c r="AU1579" s="75"/>
      <c r="AV1579" s="75"/>
      <c r="AW1579" s="75"/>
      <c r="AX1579" s="75"/>
      <c r="AY1579" s="67"/>
      <c r="AZ1579" s="75"/>
      <c r="BA1579" s="67"/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8"/>
      <c r="BL1579" s="78"/>
      <c r="BM1579" s="78"/>
      <c r="BN1579" s="78"/>
      <c r="BO1579" s="66"/>
      <c r="BP1579" s="66"/>
    </row>
    <row r="1580" spans="1:68" ht="13.2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/>
      <c r="AQ1580" s="75"/>
      <c r="AR1580" s="75"/>
      <c r="AS1580" s="75"/>
      <c r="AT1580" s="75"/>
      <c r="AU1580" s="75"/>
      <c r="AV1580" s="75"/>
      <c r="AW1580" s="75"/>
      <c r="AX1580" s="75"/>
      <c r="AY1580" s="67"/>
      <c r="AZ1580" s="75"/>
      <c r="BA1580" s="67"/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8"/>
      <c r="BL1580" s="78"/>
      <c r="BM1580" s="78"/>
      <c r="BN1580" s="78"/>
      <c r="BO1580" s="66"/>
      <c r="BP1580" s="66"/>
    </row>
    <row r="1581" spans="1:68" ht="13.2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/>
      <c r="AQ1581" s="75"/>
      <c r="AR1581" s="75"/>
      <c r="AS1581" s="75"/>
      <c r="AT1581" s="75"/>
      <c r="AU1581" s="75"/>
      <c r="AV1581" s="75"/>
      <c r="AW1581" s="75"/>
      <c r="AX1581" s="75"/>
      <c r="AY1581" s="67"/>
      <c r="AZ1581" s="75"/>
      <c r="BA1581" s="67"/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8"/>
      <c r="BL1581" s="78"/>
      <c r="BM1581" s="78"/>
      <c r="BN1581" s="78"/>
      <c r="BO1581" s="66"/>
      <c r="BP1581" s="66"/>
    </row>
    <row r="1582" spans="1:68" ht="13.2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/>
      <c r="AQ1582" s="75"/>
      <c r="AR1582" s="75"/>
      <c r="AS1582" s="75"/>
      <c r="AT1582" s="75"/>
      <c r="AU1582" s="75"/>
      <c r="AV1582" s="75"/>
      <c r="AW1582" s="75"/>
      <c r="AX1582" s="75"/>
      <c r="AY1582" s="67"/>
      <c r="AZ1582" s="75"/>
      <c r="BA1582" s="67"/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8"/>
      <c r="BL1582" s="78"/>
      <c r="BM1582" s="78"/>
      <c r="BN1582" s="78"/>
      <c r="BO1582" s="66"/>
      <c r="BP1582" s="66"/>
    </row>
    <row r="1583" spans="1:68" ht="13.2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/>
      <c r="AQ1583" s="75"/>
      <c r="AR1583" s="75"/>
      <c r="AS1583" s="75"/>
      <c r="AT1583" s="75"/>
      <c r="AU1583" s="75"/>
      <c r="AV1583" s="75"/>
      <c r="AW1583" s="75"/>
      <c r="AX1583" s="75"/>
      <c r="AY1583" s="67"/>
      <c r="AZ1583" s="75"/>
      <c r="BA1583" s="67"/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8"/>
      <c r="BL1583" s="78"/>
      <c r="BM1583" s="78"/>
      <c r="BN1583" s="78"/>
      <c r="BO1583" s="66"/>
      <c r="BP1583" s="66"/>
    </row>
    <row r="1584" spans="1:68" ht="13.2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/>
      <c r="AQ1584" s="75"/>
      <c r="AR1584" s="75"/>
      <c r="AS1584" s="75"/>
      <c r="AT1584" s="75"/>
      <c r="AU1584" s="75"/>
      <c r="AV1584" s="75"/>
      <c r="AW1584" s="75"/>
      <c r="AX1584" s="75"/>
      <c r="AY1584" s="67"/>
      <c r="AZ1584" s="75"/>
      <c r="BA1584" s="67"/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8"/>
      <c r="BL1584" s="78"/>
      <c r="BM1584" s="78"/>
      <c r="BN1584" s="78"/>
      <c r="BO1584" s="66"/>
      <c r="BP1584" s="66"/>
    </row>
    <row r="1585" spans="1:68" ht="13.2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/>
      <c r="AQ1585" s="75"/>
      <c r="AR1585" s="75"/>
      <c r="AS1585" s="75"/>
      <c r="AT1585" s="75"/>
      <c r="AU1585" s="75"/>
      <c r="AV1585" s="75"/>
      <c r="AW1585" s="75"/>
      <c r="AX1585" s="75"/>
      <c r="AY1585" s="67"/>
      <c r="AZ1585" s="75"/>
      <c r="BA1585" s="67"/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8"/>
      <c r="BL1585" s="78"/>
      <c r="BM1585" s="78"/>
      <c r="BN1585" s="78"/>
      <c r="BO1585" s="66"/>
      <c r="BP1585" s="66"/>
    </row>
    <row r="1586" spans="1:68" ht="13.2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/>
      <c r="AQ1586" s="75"/>
      <c r="AR1586" s="75"/>
      <c r="AS1586" s="75"/>
      <c r="AT1586" s="75"/>
      <c r="AU1586" s="75"/>
      <c r="AV1586" s="75"/>
      <c r="AW1586" s="75"/>
      <c r="AX1586" s="75"/>
      <c r="AY1586" s="67"/>
      <c r="AZ1586" s="75"/>
      <c r="BA1586" s="67"/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8"/>
      <c r="BL1586" s="78"/>
      <c r="BM1586" s="78"/>
      <c r="BN1586" s="78"/>
      <c r="BO1586" s="66"/>
      <c r="BP1586" s="66"/>
    </row>
    <row r="1587" spans="1:68" ht="13.2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/>
      <c r="AQ1587" s="75"/>
      <c r="AR1587" s="75"/>
      <c r="AS1587" s="75"/>
      <c r="AT1587" s="75"/>
      <c r="AU1587" s="75"/>
      <c r="AV1587" s="75"/>
      <c r="AW1587" s="75"/>
      <c r="AX1587" s="75"/>
      <c r="AY1587" s="67"/>
      <c r="AZ1587" s="75"/>
      <c r="BA1587" s="67"/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8"/>
      <c r="BL1587" s="78"/>
      <c r="BM1587" s="78"/>
      <c r="BN1587" s="78"/>
      <c r="BO1587" s="66"/>
      <c r="BP1587" s="66"/>
    </row>
    <row r="1588" spans="1:68" ht="13.2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/>
      <c r="AQ1588" s="75"/>
      <c r="AR1588" s="75"/>
      <c r="AS1588" s="75"/>
      <c r="AT1588" s="75"/>
      <c r="AU1588" s="75"/>
      <c r="AV1588" s="75"/>
      <c r="AW1588" s="75"/>
      <c r="AX1588" s="75"/>
      <c r="AY1588" s="67"/>
      <c r="AZ1588" s="75"/>
      <c r="BA1588" s="67"/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8"/>
      <c r="BL1588" s="78"/>
      <c r="BM1588" s="78"/>
      <c r="BN1588" s="78"/>
      <c r="BO1588" s="66"/>
      <c r="BP1588" s="66"/>
    </row>
    <row r="1589" spans="1:68" ht="13.2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/>
      <c r="AQ1589" s="75"/>
      <c r="AR1589" s="75"/>
      <c r="AS1589" s="75"/>
      <c r="AT1589" s="75"/>
      <c r="AU1589" s="75"/>
      <c r="AV1589" s="75"/>
      <c r="AW1589" s="75"/>
      <c r="AX1589" s="75"/>
      <c r="AY1589" s="67"/>
      <c r="AZ1589" s="75"/>
      <c r="BA1589" s="67"/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8"/>
      <c r="BL1589" s="78"/>
      <c r="BM1589" s="78"/>
      <c r="BN1589" s="78"/>
      <c r="BO1589" s="66"/>
      <c r="BP1589" s="66"/>
    </row>
    <row r="1590" spans="1:68" ht="13.2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/>
      <c r="AQ1590" s="75"/>
      <c r="AR1590" s="75"/>
      <c r="AS1590" s="75"/>
      <c r="AT1590" s="75"/>
      <c r="AU1590" s="75"/>
      <c r="AV1590" s="75"/>
      <c r="AW1590" s="75"/>
      <c r="AX1590" s="75"/>
      <c r="AY1590" s="67"/>
      <c r="AZ1590" s="75"/>
      <c r="BA1590" s="67"/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8"/>
      <c r="BL1590" s="78"/>
      <c r="BM1590" s="78"/>
      <c r="BN1590" s="78"/>
      <c r="BO1590" s="66"/>
      <c r="BP1590" s="66"/>
    </row>
    <row r="1591" spans="1:68" ht="13.2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/>
      <c r="AQ1591" s="75"/>
      <c r="AR1591" s="75"/>
      <c r="AS1591" s="75"/>
      <c r="AT1591" s="75"/>
      <c r="AU1591" s="75"/>
      <c r="AV1591" s="75"/>
      <c r="AW1591" s="75"/>
      <c r="AX1591" s="75"/>
      <c r="AY1591" s="67"/>
      <c r="AZ1591" s="75"/>
      <c r="BA1591" s="67"/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8"/>
      <c r="BL1591" s="78"/>
      <c r="BM1591" s="78"/>
      <c r="BN1591" s="78"/>
      <c r="BO1591" s="66"/>
      <c r="BP1591" s="66"/>
    </row>
    <row r="1592" spans="1:68" ht="13.2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/>
      <c r="AQ1592" s="75"/>
      <c r="AR1592" s="75"/>
      <c r="AS1592" s="75"/>
      <c r="AT1592" s="75"/>
      <c r="AU1592" s="75"/>
      <c r="AV1592" s="75"/>
      <c r="AW1592" s="75"/>
      <c r="AX1592" s="75"/>
      <c r="AY1592" s="67"/>
      <c r="AZ1592" s="75"/>
      <c r="BA1592" s="67"/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8"/>
      <c r="BL1592" s="78"/>
      <c r="BM1592" s="78"/>
      <c r="BN1592" s="78"/>
      <c r="BO1592" s="66"/>
      <c r="BP1592" s="66"/>
    </row>
    <row r="1593" spans="1:68" ht="13.2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/>
      <c r="AQ1593" s="75"/>
      <c r="AR1593" s="75"/>
      <c r="AS1593" s="75"/>
      <c r="AT1593" s="75"/>
      <c r="AU1593" s="75"/>
      <c r="AV1593" s="75"/>
      <c r="AW1593" s="75"/>
      <c r="AX1593" s="75"/>
      <c r="AY1593" s="67"/>
      <c r="AZ1593" s="75"/>
      <c r="BA1593" s="67"/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8"/>
      <c r="BL1593" s="78"/>
      <c r="BM1593" s="78"/>
      <c r="BN1593" s="78"/>
      <c r="BO1593" s="66"/>
      <c r="BP1593" s="66"/>
    </row>
    <row r="1594" spans="1:68" ht="13.2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/>
      <c r="AQ1594" s="75"/>
      <c r="AR1594" s="75"/>
      <c r="AS1594" s="75"/>
      <c r="AT1594" s="75"/>
      <c r="AU1594" s="75"/>
      <c r="AV1594" s="75"/>
      <c r="AW1594" s="75"/>
      <c r="AX1594" s="75"/>
      <c r="AY1594" s="67"/>
      <c r="AZ1594" s="75"/>
      <c r="BA1594" s="67"/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8"/>
      <c r="BL1594" s="78"/>
      <c r="BM1594" s="78"/>
      <c r="BN1594" s="78"/>
      <c r="BO1594" s="66"/>
      <c r="BP1594" s="66"/>
    </row>
    <row r="1595" spans="1:68" ht="13.2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/>
      <c r="AQ1595" s="75"/>
      <c r="AR1595" s="75"/>
      <c r="AS1595" s="75"/>
      <c r="AT1595" s="75"/>
      <c r="AU1595" s="75"/>
      <c r="AV1595" s="75"/>
      <c r="AW1595" s="75"/>
      <c r="AX1595" s="75"/>
      <c r="AY1595" s="67"/>
      <c r="AZ1595" s="75"/>
      <c r="BA1595" s="67"/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8"/>
      <c r="BL1595" s="78"/>
      <c r="BM1595" s="78"/>
      <c r="BN1595" s="78"/>
      <c r="BO1595" s="66"/>
      <c r="BP1595" s="66"/>
    </row>
    <row r="1596" spans="1:68" ht="13.2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/>
      <c r="AQ1596" s="75"/>
      <c r="AR1596" s="75"/>
      <c r="AS1596" s="75"/>
      <c r="AT1596" s="75"/>
      <c r="AU1596" s="75"/>
      <c r="AV1596" s="75"/>
      <c r="AW1596" s="75"/>
      <c r="AX1596" s="75"/>
      <c r="AY1596" s="67"/>
      <c r="AZ1596" s="75"/>
      <c r="BA1596" s="67"/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8"/>
      <c r="BL1596" s="78"/>
      <c r="BM1596" s="78"/>
      <c r="BN1596" s="78"/>
      <c r="BO1596" s="66"/>
      <c r="BP1596" s="66"/>
    </row>
    <row r="1597" spans="1:68" ht="13.2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/>
      <c r="AQ1597" s="75"/>
      <c r="AR1597" s="75"/>
      <c r="AS1597" s="75"/>
      <c r="AT1597" s="75"/>
      <c r="AU1597" s="75"/>
      <c r="AV1597" s="75"/>
      <c r="AW1597" s="75"/>
      <c r="AX1597" s="75"/>
      <c r="AY1597" s="67"/>
      <c r="AZ1597" s="75"/>
      <c r="BA1597" s="67"/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8"/>
      <c r="BL1597" s="78"/>
      <c r="BM1597" s="78"/>
      <c r="BN1597" s="78"/>
      <c r="BO1597" s="66"/>
      <c r="BP1597" s="66"/>
    </row>
    <row r="1598" spans="1:68" ht="13.2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/>
      <c r="AQ1598" s="75"/>
      <c r="AR1598" s="75"/>
      <c r="AS1598" s="75"/>
      <c r="AT1598" s="75"/>
      <c r="AU1598" s="75"/>
      <c r="AV1598" s="75"/>
      <c r="AW1598" s="75"/>
      <c r="AX1598" s="75"/>
      <c r="AY1598" s="67"/>
      <c r="AZ1598" s="75"/>
      <c r="BA1598" s="67"/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8"/>
      <c r="BL1598" s="78"/>
      <c r="BM1598" s="78"/>
      <c r="BN1598" s="78"/>
      <c r="BO1598" s="66"/>
      <c r="BP1598" s="66"/>
    </row>
    <row r="1599" spans="1:68" ht="13.2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/>
      <c r="AQ1599" s="75"/>
      <c r="AR1599" s="75"/>
      <c r="AS1599" s="75"/>
      <c r="AT1599" s="75"/>
      <c r="AU1599" s="75"/>
      <c r="AV1599" s="75"/>
      <c r="AW1599" s="75"/>
      <c r="AX1599" s="75"/>
      <c r="AY1599" s="67"/>
      <c r="AZ1599" s="75"/>
      <c r="BA1599" s="67"/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8"/>
      <c r="BL1599" s="78"/>
      <c r="BM1599" s="78"/>
      <c r="BN1599" s="78"/>
      <c r="BO1599" s="66"/>
      <c r="BP1599" s="66"/>
    </row>
    <row r="1600" spans="1:68" ht="13.2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/>
      <c r="AQ1600" s="75"/>
      <c r="AR1600" s="75"/>
      <c r="AS1600" s="75"/>
      <c r="AT1600" s="75"/>
      <c r="AU1600" s="75"/>
      <c r="AV1600" s="75"/>
      <c r="AW1600" s="75"/>
      <c r="AX1600" s="75"/>
      <c r="AY1600" s="67"/>
      <c r="AZ1600" s="75"/>
      <c r="BA1600" s="67"/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8"/>
      <c r="BL1600" s="78"/>
      <c r="BM1600" s="78"/>
      <c r="BN1600" s="78"/>
      <c r="BO1600" s="66"/>
      <c r="BP1600" s="66"/>
    </row>
    <row r="1601" spans="1:68" ht="13.2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/>
      <c r="AQ1601" s="75"/>
      <c r="AR1601" s="75"/>
      <c r="AS1601" s="75"/>
      <c r="AT1601" s="75"/>
      <c r="AU1601" s="75"/>
      <c r="AV1601" s="75"/>
      <c r="AW1601" s="75"/>
      <c r="AX1601" s="75"/>
      <c r="AY1601" s="67"/>
      <c r="AZ1601" s="75"/>
      <c r="BA1601" s="67"/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8"/>
      <c r="BL1601" s="78"/>
      <c r="BM1601" s="78"/>
      <c r="BN1601" s="78"/>
      <c r="BO1601" s="66"/>
      <c r="BP1601" s="66"/>
    </row>
    <row r="1602" spans="1:68" ht="13.2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/>
      <c r="AQ1602" s="75"/>
      <c r="AR1602" s="75"/>
      <c r="AS1602" s="75"/>
      <c r="AT1602" s="75"/>
      <c r="AU1602" s="75"/>
      <c r="AV1602" s="75"/>
      <c r="AW1602" s="75"/>
      <c r="AX1602" s="75"/>
      <c r="AY1602" s="67"/>
      <c r="AZ1602" s="75"/>
      <c r="BA1602" s="67"/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8"/>
      <c r="BL1602" s="78"/>
      <c r="BM1602" s="78"/>
      <c r="BN1602" s="78"/>
      <c r="BO1602" s="66"/>
      <c r="BP1602" s="66"/>
    </row>
    <row r="1603" spans="1:68" ht="13.2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/>
      <c r="AQ1603" s="75"/>
      <c r="AR1603" s="75"/>
      <c r="AS1603" s="75"/>
      <c r="AT1603" s="75"/>
      <c r="AU1603" s="75"/>
      <c r="AV1603" s="75"/>
      <c r="AW1603" s="75"/>
      <c r="AX1603" s="75"/>
      <c r="AY1603" s="67"/>
      <c r="AZ1603" s="75"/>
      <c r="BA1603" s="67"/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8"/>
      <c r="BL1603" s="78"/>
      <c r="BM1603" s="78"/>
      <c r="BN1603" s="78"/>
      <c r="BO1603" s="66"/>
      <c r="BP1603" s="66"/>
    </row>
    <row r="1604" spans="1:68" ht="13.2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/>
      <c r="AQ1604" s="75"/>
      <c r="AR1604" s="75"/>
      <c r="AS1604" s="75"/>
      <c r="AT1604" s="75"/>
      <c r="AU1604" s="75"/>
      <c r="AV1604" s="75"/>
      <c r="AW1604" s="75"/>
      <c r="AX1604" s="75"/>
      <c r="AY1604" s="67"/>
      <c r="AZ1604" s="75"/>
      <c r="BA1604" s="67"/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8"/>
      <c r="BL1604" s="78"/>
      <c r="BM1604" s="78"/>
      <c r="BN1604" s="78"/>
      <c r="BO1604" s="66"/>
      <c r="BP1604" s="66"/>
    </row>
    <row r="1605" spans="1:68" ht="13.2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/>
      <c r="AQ1605" s="75"/>
      <c r="AR1605" s="75"/>
      <c r="AS1605" s="75"/>
      <c r="AT1605" s="75"/>
      <c r="AU1605" s="75"/>
      <c r="AV1605" s="75"/>
      <c r="AW1605" s="75"/>
      <c r="AX1605" s="75"/>
      <c r="AY1605" s="67"/>
      <c r="AZ1605" s="75"/>
      <c r="BA1605" s="67"/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8"/>
      <c r="BL1605" s="78"/>
      <c r="BM1605" s="78"/>
      <c r="BN1605" s="78"/>
      <c r="BO1605" s="66"/>
      <c r="BP1605" s="66"/>
    </row>
    <row r="1606" spans="1:68" ht="13.2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/>
      <c r="AQ1606" s="75"/>
      <c r="AR1606" s="75"/>
      <c r="AS1606" s="75"/>
      <c r="AT1606" s="75"/>
      <c r="AU1606" s="75"/>
      <c r="AV1606" s="75"/>
      <c r="AW1606" s="75"/>
      <c r="AX1606" s="75"/>
      <c r="AY1606" s="67"/>
      <c r="AZ1606" s="75"/>
      <c r="BA1606" s="67"/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8"/>
      <c r="BL1606" s="78"/>
      <c r="BM1606" s="78"/>
      <c r="BN1606" s="78"/>
      <c r="BO1606" s="66"/>
      <c r="BP1606" s="66"/>
    </row>
    <row r="1607" spans="1:68" ht="13.2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/>
      <c r="AQ1607" s="75"/>
      <c r="AR1607" s="75"/>
      <c r="AS1607" s="75"/>
      <c r="AT1607" s="75"/>
      <c r="AU1607" s="75"/>
      <c r="AV1607" s="75"/>
      <c r="AW1607" s="75"/>
      <c r="AX1607" s="75"/>
      <c r="AY1607" s="67"/>
      <c r="AZ1607" s="75"/>
      <c r="BA1607" s="67"/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8"/>
      <c r="BL1607" s="78"/>
      <c r="BM1607" s="78"/>
      <c r="BN1607" s="78"/>
      <c r="BO1607" s="66"/>
      <c r="BP1607" s="66"/>
    </row>
    <row r="1608" spans="1:68" ht="13.2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/>
      <c r="AQ1608" s="75"/>
      <c r="AR1608" s="75"/>
      <c r="AS1608" s="75"/>
      <c r="AT1608" s="75"/>
      <c r="AU1608" s="75"/>
      <c r="AV1608" s="75"/>
      <c r="AW1608" s="75"/>
      <c r="AX1608" s="75"/>
      <c r="AY1608" s="67"/>
      <c r="AZ1608" s="75"/>
      <c r="BA1608" s="67"/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8"/>
      <c r="BL1608" s="78"/>
      <c r="BM1608" s="78"/>
      <c r="BN1608" s="78"/>
      <c r="BO1608" s="66"/>
      <c r="BP1608" s="66"/>
    </row>
    <row r="1609" spans="1:68" ht="13.2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/>
      <c r="AQ1609" s="75"/>
      <c r="AR1609" s="75"/>
      <c r="AS1609" s="75"/>
      <c r="AT1609" s="75"/>
      <c r="AU1609" s="75"/>
      <c r="AV1609" s="75"/>
      <c r="AW1609" s="75"/>
      <c r="AX1609" s="75"/>
      <c r="AY1609" s="67"/>
      <c r="AZ1609" s="75"/>
      <c r="BA1609" s="67"/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8"/>
      <c r="BL1609" s="78"/>
      <c r="BM1609" s="78"/>
      <c r="BN1609" s="78"/>
      <c r="BO1609" s="66"/>
      <c r="BP1609" s="66"/>
    </row>
    <row r="1610" spans="1:68" ht="13.2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/>
      <c r="AQ1610" s="75"/>
      <c r="AR1610" s="75"/>
      <c r="AS1610" s="75"/>
      <c r="AT1610" s="75"/>
      <c r="AU1610" s="75"/>
      <c r="AV1610" s="75"/>
      <c r="AW1610" s="75"/>
      <c r="AX1610" s="75"/>
      <c r="AY1610" s="67"/>
      <c r="AZ1610" s="75"/>
      <c r="BA1610" s="67"/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8"/>
      <c r="BL1610" s="78"/>
      <c r="BM1610" s="78"/>
      <c r="BN1610" s="78"/>
      <c r="BO1610" s="66"/>
      <c r="BP1610" s="66"/>
    </row>
    <row r="1611" spans="1:68" ht="13.2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/>
      <c r="AQ1611" s="75"/>
      <c r="AR1611" s="75"/>
      <c r="AS1611" s="75"/>
      <c r="AT1611" s="75"/>
      <c r="AU1611" s="75"/>
      <c r="AV1611" s="75"/>
      <c r="AW1611" s="75"/>
      <c r="AX1611" s="75"/>
      <c r="AY1611" s="67"/>
      <c r="AZ1611" s="75"/>
      <c r="BA1611" s="67"/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8"/>
      <c r="BL1611" s="78"/>
      <c r="BM1611" s="78"/>
      <c r="BN1611" s="78"/>
      <c r="BO1611" s="66"/>
      <c r="BP1611" s="66"/>
    </row>
    <row r="1612" spans="1:68" ht="13.2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/>
      <c r="AQ1612" s="75"/>
      <c r="AR1612" s="75"/>
      <c r="AS1612" s="75"/>
      <c r="AT1612" s="75"/>
      <c r="AU1612" s="75"/>
      <c r="AV1612" s="75"/>
      <c r="AW1612" s="75"/>
      <c r="AX1612" s="75"/>
      <c r="AY1612" s="67"/>
      <c r="AZ1612" s="75"/>
      <c r="BA1612" s="67"/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8"/>
      <c r="BL1612" s="78"/>
      <c r="BM1612" s="78"/>
      <c r="BN1612" s="78"/>
      <c r="BO1612" s="66"/>
      <c r="BP1612" s="66"/>
    </row>
    <row r="1613" spans="1:68" ht="13.2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/>
      <c r="AQ1613" s="75"/>
      <c r="AR1613" s="75"/>
      <c r="AS1613" s="75"/>
      <c r="AT1613" s="75"/>
      <c r="AU1613" s="75"/>
      <c r="AV1613" s="75"/>
      <c r="AW1613" s="75"/>
      <c r="AX1613" s="75"/>
      <c r="AY1613" s="67"/>
      <c r="AZ1613" s="75"/>
      <c r="BA1613" s="67"/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8"/>
      <c r="BL1613" s="78"/>
      <c r="BM1613" s="78"/>
      <c r="BN1613" s="78"/>
      <c r="BO1613" s="66"/>
      <c r="BP1613" s="66"/>
    </row>
    <row r="1614" spans="1:68" ht="13.2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/>
      <c r="AQ1614" s="75"/>
      <c r="AR1614" s="75"/>
      <c r="AS1614" s="75"/>
      <c r="AT1614" s="75"/>
      <c r="AU1614" s="75"/>
      <c r="AV1614" s="75"/>
      <c r="AW1614" s="75"/>
      <c r="AX1614" s="75"/>
      <c r="AY1614" s="67"/>
      <c r="AZ1614" s="75"/>
      <c r="BA1614" s="67"/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8"/>
      <c r="BL1614" s="78"/>
      <c r="BM1614" s="78"/>
      <c r="BN1614" s="78"/>
      <c r="BO1614" s="66"/>
      <c r="BP1614" s="66"/>
    </row>
    <row r="1615" spans="1:68" ht="13.2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/>
      <c r="AQ1615" s="75"/>
      <c r="AR1615" s="75"/>
      <c r="AS1615" s="75"/>
      <c r="AT1615" s="75"/>
      <c r="AU1615" s="75"/>
      <c r="AV1615" s="75"/>
      <c r="AW1615" s="75"/>
      <c r="AX1615" s="75"/>
      <c r="AY1615" s="67"/>
      <c r="AZ1615" s="75"/>
      <c r="BA1615" s="67"/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8"/>
      <c r="BL1615" s="78"/>
      <c r="BM1615" s="78"/>
      <c r="BN1615" s="78"/>
      <c r="BO1615" s="66"/>
      <c r="BP1615" s="66"/>
    </row>
    <row r="1616" spans="1:68" ht="13.2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/>
      <c r="AQ1616" s="75"/>
      <c r="AR1616" s="75"/>
      <c r="AS1616" s="75"/>
      <c r="AT1616" s="75"/>
      <c r="AU1616" s="75"/>
      <c r="AV1616" s="75"/>
      <c r="AW1616" s="75"/>
      <c r="AX1616" s="75"/>
      <c r="AY1616" s="67"/>
      <c r="AZ1616" s="75"/>
      <c r="BA1616" s="67"/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8"/>
      <c r="BL1616" s="78"/>
      <c r="BM1616" s="78"/>
      <c r="BN1616" s="78"/>
      <c r="BO1616" s="66"/>
      <c r="BP1616" s="66"/>
    </row>
    <row r="1617" spans="1:68" ht="13.2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/>
      <c r="AQ1617" s="75"/>
      <c r="AR1617" s="75"/>
      <c r="AS1617" s="75"/>
      <c r="AT1617" s="75"/>
      <c r="AU1617" s="75"/>
      <c r="AV1617" s="75"/>
      <c r="AW1617" s="75"/>
      <c r="AX1617" s="75"/>
      <c r="AY1617" s="67"/>
      <c r="AZ1617" s="75"/>
      <c r="BA1617" s="67"/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8"/>
      <c r="BL1617" s="78"/>
      <c r="BM1617" s="78"/>
      <c r="BN1617" s="78"/>
      <c r="BO1617" s="66"/>
      <c r="BP1617" s="66"/>
    </row>
    <row r="1618" spans="1:68" ht="13.2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/>
      <c r="AQ1618" s="75"/>
      <c r="AR1618" s="75"/>
      <c r="AS1618" s="75"/>
      <c r="AT1618" s="75"/>
      <c r="AU1618" s="75"/>
      <c r="AV1618" s="75"/>
      <c r="AW1618" s="75"/>
      <c r="AX1618" s="75"/>
      <c r="AY1618" s="67"/>
      <c r="AZ1618" s="75"/>
      <c r="BA1618" s="67"/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8"/>
      <c r="BL1618" s="78"/>
      <c r="BM1618" s="78"/>
      <c r="BN1618" s="78"/>
      <c r="BO1618" s="66"/>
      <c r="BP1618" s="66"/>
    </row>
    <row r="1619" spans="1:68" ht="13.2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/>
      <c r="AQ1619" s="75"/>
      <c r="AR1619" s="75"/>
      <c r="AS1619" s="75"/>
      <c r="AT1619" s="75"/>
      <c r="AU1619" s="75"/>
      <c r="AV1619" s="75"/>
      <c r="AW1619" s="75"/>
      <c r="AX1619" s="75"/>
      <c r="AY1619" s="67"/>
      <c r="AZ1619" s="75"/>
      <c r="BA1619" s="67"/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8"/>
      <c r="BL1619" s="78"/>
      <c r="BM1619" s="78"/>
      <c r="BN1619" s="78"/>
      <c r="BO1619" s="66"/>
      <c r="BP1619" s="66"/>
    </row>
    <row r="1620" spans="1:68" ht="13.2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/>
      <c r="AQ1620" s="75"/>
      <c r="AR1620" s="75"/>
      <c r="AS1620" s="75"/>
      <c r="AT1620" s="75"/>
      <c r="AU1620" s="75"/>
      <c r="AV1620" s="75"/>
      <c r="AW1620" s="75"/>
      <c r="AX1620" s="75"/>
      <c r="AY1620" s="67"/>
      <c r="AZ1620" s="75"/>
      <c r="BA1620" s="67"/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8"/>
      <c r="BL1620" s="78"/>
      <c r="BM1620" s="78"/>
      <c r="BN1620" s="78"/>
      <c r="BO1620" s="66"/>
      <c r="BP1620" s="66"/>
    </row>
    <row r="1621" spans="1:68" ht="13.2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/>
      <c r="AQ1621" s="75"/>
      <c r="AR1621" s="75"/>
      <c r="AS1621" s="75"/>
      <c r="AT1621" s="75"/>
      <c r="AU1621" s="75"/>
      <c r="AV1621" s="75"/>
      <c r="AW1621" s="75"/>
      <c r="AX1621" s="75"/>
      <c r="AY1621" s="67"/>
      <c r="AZ1621" s="75"/>
      <c r="BA1621" s="67"/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8"/>
      <c r="BL1621" s="78"/>
      <c r="BM1621" s="78"/>
      <c r="BN1621" s="78"/>
      <c r="BO1621" s="66"/>
      <c r="BP1621" s="66"/>
    </row>
    <row r="1622" spans="1:68" ht="13.2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/>
      <c r="AQ1622" s="75"/>
      <c r="AR1622" s="75"/>
      <c r="AS1622" s="75"/>
      <c r="AT1622" s="75"/>
      <c r="AU1622" s="75"/>
      <c r="AV1622" s="75"/>
      <c r="AW1622" s="75"/>
      <c r="AX1622" s="75"/>
      <c r="AY1622" s="67"/>
      <c r="AZ1622" s="75"/>
      <c r="BA1622" s="67"/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8"/>
      <c r="BL1622" s="78"/>
      <c r="BM1622" s="78"/>
      <c r="BN1622" s="78"/>
      <c r="BO1622" s="66"/>
      <c r="BP1622" s="66"/>
    </row>
    <row r="1623" spans="1:68" ht="13.2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/>
      <c r="AQ1623" s="75"/>
      <c r="AR1623" s="75"/>
      <c r="AS1623" s="75"/>
      <c r="AT1623" s="75"/>
      <c r="AU1623" s="75"/>
      <c r="AV1623" s="75"/>
      <c r="AW1623" s="75"/>
      <c r="AX1623" s="75"/>
      <c r="AY1623" s="67"/>
      <c r="AZ1623" s="75"/>
      <c r="BA1623" s="67"/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8"/>
      <c r="BL1623" s="78"/>
      <c r="BM1623" s="78"/>
      <c r="BN1623" s="78"/>
      <c r="BO1623" s="66"/>
      <c r="BP1623" s="66"/>
    </row>
    <row r="1624" spans="1:68" ht="13.2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/>
      <c r="AQ1624" s="75"/>
      <c r="AR1624" s="75"/>
      <c r="AS1624" s="75"/>
      <c r="AT1624" s="75"/>
      <c r="AU1624" s="75"/>
      <c r="AV1624" s="75"/>
      <c r="AW1624" s="75"/>
      <c r="AX1624" s="75"/>
      <c r="AY1624" s="67"/>
      <c r="AZ1624" s="75"/>
      <c r="BA1624" s="67"/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8"/>
      <c r="BL1624" s="78"/>
      <c r="BM1624" s="78"/>
      <c r="BN1624" s="78"/>
      <c r="BO1624" s="66"/>
      <c r="BP1624" s="66"/>
    </row>
    <row r="1625" spans="1:68" ht="13.2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/>
      <c r="AQ1625" s="75"/>
      <c r="AR1625" s="75"/>
      <c r="AS1625" s="75"/>
      <c r="AT1625" s="75"/>
      <c r="AU1625" s="75"/>
      <c r="AV1625" s="75"/>
      <c r="AW1625" s="75"/>
      <c r="AX1625" s="75"/>
      <c r="AY1625" s="67"/>
      <c r="AZ1625" s="75"/>
      <c r="BA1625" s="67"/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8"/>
      <c r="BL1625" s="78"/>
      <c r="BM1625" s="78"/>
      <c r="BN1625" s="78"/>
      <c r="BO1625" s="66"/>
      <c r="BP1625" s="66"/>
    </row>
    <row r="1626" spans="1:68" ht="13.2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/>
      <c r="AQ1626" s="75"/>
      <c r="AR1626" s="75"/>
      <c r="AS1626" s="75"/>
      <c r="AT1626" s="75"/>
      <c r="AU1626" s="75"/>
      <c r="AV1626" s="75"/>
      <c r="AW1626" s="75"/>
      <c r="AX1626" s="75"/>
      <c r="AY1626" s="67"/>
      <c r="AZ1626" s="75"/>
      <c r="BA1626" s="67"/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8"/>
      <c r="BL1626" s="78"/>
      <c r="BM1626" s="78"/>
      <c r="BN1626" s="78"/>
      <c r="BO1626" s="66"/>
      <c r="BP1626" s="66"/>
    </row>
    <row r="1627" spans="1:68" ht="13.2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/>
      <c r="AQ1627" s="75"/>
      <c r="AR1627" s="75"/>
      <c r="AS1627" s="75"/>
      <c r="AT1627" s="75"/>
      <c r="AU1627" s="75"/>
      <c r="AV1627" s="75"/>
      <c r="AW1627" s="75"/>
      <c r="AX1627" s="75"/>
      <c r="AY1627" s="67"/>
      <c r="AZ1627" s="75"/>
      <c r="BA1627" s="67"/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8"/>
      <c r="BL1627" s="78"/>
      <c r="BM1627" s="78"/>
      <c r="BN1627" s="78"/>
      <c r="BO1627" s="66"/>
      <c r="BP1627" s="66"/>
    </row>
    <row r="1628" spans="1:68" ht="13.2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/>
      <c r="AQ1628" s="75"/>
      <c r="AR1628" s="75"/>
      <c r="AS1628" s="75"/>
      <c r="AT1628" s="75"/>
      <c r="AU1628" s="75"/>
      <c r="AV1628" s="75"/>
      <c r="AW1628" s="75"/>
      <c r="AX1628" s="75"/>
      <c r="AY1628" s="67"/>
      <c r="AZ1628" s="75"/>
      <c r="BA1628" s="67"/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8"/>
      <c r="BL1628" s="78"/>
      <c r="BM1628" s="78"/>
      <c r="BN1628" s="78"/>
      <c r="BO1628" s="66"/>
      <c r="BP1628" s="66"/>
    </row>
    <row r="1629" spans="1:68" ht="13.2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/>
      <c r="AQ1629" s="75"/>
      <c r="AR1629" s="75"/>
      <c r="AS1629" s="75"/>
      <c r="AT1629" s="75"/>
      <c r="AU1629" s="75"/>
      <c r="AV1629" s="75"/>
      <c r="AW1629" s="75"/>
      <c r="AX1629" s="75"/>
      <c r="AY1629" s="67"/>
      <c r="AZ1629" s="75"/>
      <c r="BA1629" s="67"/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8"/>
      <c r="BL1629" s="78"/>
      <c r="BM1629" s="78"/>
      <c r="BN1629" s="78"/>
      <c r="BO1629" s="66"/>
      <c r="BP1629" s="66"/>
    </row>
    <row r="1630" spans="1:68" ht="13.2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/>
      <c r="AQ1630" s="75"/>
      <c r="AR1630" s="75"/>
      <c r="AS1630" s="75"/>
      <c r="AT1630" s="75"/>
      <c r="AU1630" s="75"/>
      <c r="AV1630" s="75"/>
      <c r="AW1630" s="75"/>
      <c r="AX1630" s="75"/>
      <c r="AY1630" s="67"/>
      <c r="AZ1630" s="75"/>
      <c r="BA1630" s="67"/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8"/>
      <c r="BL1630" s="78"/>
      <c r="BM1630" s="78"/>
      <c r="BN1630" s="78"/>
      <c r="BO1630" s="66"/>
      <c r="BP1630" s="66"/>
    </row>
    <row r="1631" spans="1:68" ht="13.2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/>
      <c r="AQ1631" s="75"/>
      <c r="AR1631" s="75"/>
      <c r="AS1631" s="75"/>
      <c r="AT1631" s="75"/>
      <c r="AU1631" s="75"/>
      <c r="AV1631" s="75"/>
      <c r="AW1631" s="75"/>
      <c r="AX1631" s="75"/>
      <c r="AY1631" s="67"/>
      <c r="AZ1631" s="75"/>
      <c r="BA1631" s="67"/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8"/>
      <c r="BL1631" s="78"/>
      <c r="BM1631" s="78"/>
      <c r="BN1631" s="78"/>
      <c r="BO1631" s="66"/>
      <c r="BP1631" s="66"/>
    </row>
    <row r="1632" spans="1:68" ht="13.2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/>
      <c r="AQ1632" s="75"/>
      <c r="AR1632" s="75"/>
      <c r="AS1632" s="75"/>
      <c r="AT1632" s="75"/>
      <c r="AU1632" s="75"/>
      <c r="AV1632" s="75"/>
      <c r="AW1632" s="75"/>
      <c r="AX1632" s="75"/>
      <c r="AY1632" s="67"/>
      <c r="AZ1632" s="75"/>
      <c r="BA1632" s="67"/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8"/>
      <c r="BL1632" s="78"/>
      <c r="BM1632" s="78"/>
      <c r="BN1632" s="78"/>
      <c r="BO1632" s="66"/>
      <c r="BP1632" s="66"/>
    </row>
    <row r="1633" spans="1:68" ht="13.2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/>
      <c r="AQ1633" s="75"/>
      <c r="AR1633" s="75"/>
      <c r="AS1633" s="75"/>
      <c r="AT1633" s="75"/>
      <c r="AU1633" s="75"/>
      <c r="AV1633" s="75"/>
      <c r="AW1633" s="75"/>
      <c r="AX1633" s="75"/>
      <c r="AY1633" s="67"/>
      <c r="AZ1633" s="75"/>
      <c r="BA1633" s="67"/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8"/>
      <c r="BL1633" s="78"/>
      <c r="BM1633" s="78"/>
      <c r="BN1633" s="78"/>
      <c r="BO1633" s="66"/>
      <c r="BP1633" s="66"/>
    </row>
    <row r="1634" spans="1:68" ht="13.2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/>
      <c r="AQ1634" s="75"/>
      <c r="AR1634" s="75"/>
      <c r="AS1634" s="75"/>
      <c r="AT1634" s="75"/>
      <c r="AU1634" s="75"/>
      <c r="AV1634" s="75"/>
      <c r="AW1634" s="75"/>
      <c r="AX1634" s="75"/>
      <c r="AY1634" s="67"/>
      <c r="AZ1634" s="75"/>
      <c r="BA1634" s="67"/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8"/>
      <c r="BL1634" s="78"/>
      <c r="BM1634" s="78"/>
      <c r="BN1634" s="78"/>
      <c r="BO1634" s="66"/>
      <c r="BP1634" s="66"/>
    </row>
    <row r="1635" spans="1:68" ht="13.2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/>
      <c r="AQ1635" s="75"/>
      <c r="AR1635" s="75"/>
      <c r="AS1635" s="75"/>
      <c r="AT1635" s="75"/>
      <c r="AU1635" s="75"/>
      <c r="AV1635" s="75"/>
      <c r="AW1635" s="75"/>
      <c r="AX1635" s="75"/>
      <c r="AY1635" s="67"/>
      <c r="AZ1635" s="75"/>
      <c r="BA1635" s="67"/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8"/>
      <c r="BL1635" s="78"/>
      <c r="BM1635" s="78"/>
      <c r="BN1635" s="78"/>
      <c r="BO1635" s="66"/>
      <c r="BP1635" s="66"/>
    </row>
    <row r="1636" spans="1:68" ht="13.2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/>
      <c r="AQ1636" s="75"/>
      <c r="AR1636" s="75"/>
      <c r="AS1636" s="75"/>
      <c r="AT1636" s="75"/>
      <c r="AU1636" s="75"/>
      <c r="AV1636" s="75"/>
      <c r="AW1636" s="75"/>
      <c r="AX1636" s="75"/>
      <c r="AY1636" s="67"/>
      <c r="AZ1636" s="75"/>
      <c r="BA1636" s="67"/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8"/>
      <c r="BL1636" s="78"/>
      <c r="BM1636" s="78"/>
      <c r="BN1636" s="78"/>
      <c r="BO1636" s="66"/>
      <c r="BP1636" s="66"/>
    </row>
    <row r="1637" spans="1:68" ht="13.2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/>
      <c r="AQ1637" s="75"/>
      <c r="AR1637" s="75"/>
      <c r="AS1637" s="75"/>
      <c r="AT1637" s="75"/>
      <c r="AU1637" s="75"/>
      <c r="AV1637" s="75"/>
      <c r="AW1637" s="75"/>
      <c r="AX1637" s="75"/>
      <c r="AY1637" s="67"/>
      <c r="AZ1637" s="75"/>
      <c r="BA1637" s="67"/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8"/>
      <c r="BL1637" s="78"/>
      <c r="BM1637" s="78"/>
      <c r="BN1637" s="78"/>
      <c r="BO1637" s="66"/>
      <c r="BP1637" s="66"/>
    </row>
    <row r="1638" spans="1:68" ht="13.2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/>
      <c r="AQ1638" s="75"/>
      <c r="AR1638" s="75"/>
      <c r="AS1638" s="75"/>
      <c r="AT1638" s="75"/>
      <c r="AU1638" s="75"/>
      <c r="AV1638" s="75"/>
      <c r="AW1638" s="75"/>
      <c r="AX1638" s="75"/>
      <c r="AY1638" s="67"/>
      <c r="AZ1638" s="75"/>
      <c r="BA1638" s="67"/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8"/>
      <c r="BL1638" s="78"/>
      <c r="BM1638" s="78"/>
      <c r="BN1638" s="78"/>
      <c r="BO1638" s="66"/>
      <c r="BP1638" s="66"/>
    </row>
    <row r="1639" spans="1:68" ht="13.2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/>
      <c r="AQ1639" s="75"/>
      <c r="AR1639" s="75"/>
      <c r="AS1639" s="75"/>
      <c r="AT1639" s="75"/>
      <c r="AU1639" s="75"/>
      <c r="AV1639" s="75"/>
      <c r="AW1639" s="75"/>
      <c r="AX1639" s="75"/>
      <c r="AY1639" s="67"/>
      <c r="AZ1639" s="75"/>
      <c r="BA1639" s="67"/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8"/>
      <c r="BL1639" s="78"/>
      <c r="BM1639" s="78"/>
      <c r="BN1639" s="78"/>
      <c r="BO1639" s="66"/>
      <c r="BP1639" s="66"/>
    </row>
    <row r="1640" spans="1:68" ht="13.2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/>
      <c r="AQ1640" s="75"/>
      <c r="AR1640" s="75"/>
      <c r="AS1640" s="75"/>
      <c r="AT1640" s="75"/>
      <c r="AU1640" s="75"/>
      <c r="AV1640" s="75"/>
      <c r="AW1640" s="75"/>
      <c r="AX1640" s="75"/>
      <c r="AY1640" s="67"/>
      <c r="AZ1640" s="75"/>
      <c r="BA1640" s="67"/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8"/>
      <c r="BL1640" s="78"/>
      <c r="BM1640" s="78"/>
      <c r="BN1640" s="78"/>
      <c r="BO1640" s="66"/>
      <c r="BP1640" s="66"/>
    </row>
    <row r="1641" spans="1:68" ht="13.2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/>
      <c r="AQ1641" s="75"/>
      <c r="AR1641" s="75"/>
      <c r="AS1641" s="75"/>
      <c r="AT1641" s="75"/>
      <c r="AU1641" s="75"/>
      <c r="AV1641" s="75"/>
      <c r="AW1641" s="75"/>
      <c r="AX1641" s="75"/>
      <c r="AY1641" s="67"/>
      <c r="AZ1641" s="75"/>
      <c r="BA1641" s="67"/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8"/>
      <c r="BL1641" s="78"/>
      <c r="BM1641" s="78"/>
      <c r="BN1641" s="78"/>
      <c r="BO1641" s="66"/>
      <c r="BP1641" s="66"/>
    </row>
    <row r="1642" spans="1:68" ht="13.2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/>
      <c r="AQ1642" s="75"/>
      <c r="AR1642" s="75"/>
      <c r="AS1642" s="75"/>
      <c r="AT1642" s="75"/>
      <c r="AU1642" s="75"/>
      <c r="AV1642" s="75"/>
      <c r="AW1642" s="75"/>
      <c r="AX1642" s="75"/>
      <c r="AY1642" s="67"/>
      <c r="AZ1642" s="75"/>
      <c r="BA1642" s="67"/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8"/>
      <c r="BL1642" s="78"/>
      <c r="BM1642" s="78"/>
      <c r="BN1642" s="78"/>
      <c r="BO1642" s="66"/>
      <c r="BP1642" s="66"/>
    </row>
    <row r="1643" spans="1:68" ht="13.2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/>
      <c r="AQ1643" s="75"/>
      <c r="AR1643" s="75"/>
      <c r="AS1643" s="75"/>
      <c r="AT1643" s="75"/>
      <c r="AU1643" s="75"/>
      <c r="AV1643" s="75"/>
      <c r="AW1643" s="75"/>
      <c r="AX1643" s="75"/>
      <c r="AY1643" s="67"/>
      <c r="AZ1643" s="75"/>
      <c r="BA1643" s="67"/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8"/>
      <c r="BL1643" s="78"/>
      <c r="BM1643" s="78"/>
      <c r="BN1643" s="78"/>
      <c r="BO1643" s="66"/>
      <c r="BP1643" s="66"/>
    </row>
    <row r="1644" spans="1:68" ht="13.2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/>
      <c r="AQ1644" s="75"/>
      <c r="AR1644" s="75"/>
      <c r="AS1644" s="75"/>
      <c r="AT1644" s="75"/>
      <c r="AU1644" s="75"/>
      <c r="AV1644" s="75"/>
      <c r="AW1644" s="75"/>
      <c r="AX1644" s="75"/>
      <c r="AY1644" s="67"/>
      <c r="AZ1644" s="75"/>
      <c r="BA1644" s="67"/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8"/>
      <c r="BL1644" s="78"/>
      <c r="BM1644" s="78"/>
      <c r="BN1644" s="78"/>
      <c r="BO1644" s="66"/>
      <c r="BP1644" s="66"/>
    </row>
    <row r="1645" spans="1:68" ht="13.2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/>
      <c r="AQ1645" s="75"/>
      <c r="AR1645" s="75"/>
      <c r="AS1645" s="75"/>
      <c r="AT1645" s="75"/>
      <c r="AU1645" s="75"/>
      <c r="AV1645" s="75"/>
      <c r="AW1645" s="75"/>
      <c r="AX1645" s="75"/>
      <c r="AY1645" s="67"/>
      <c r="AZ1645" s="75"/>
      <c r="BA1645" s="67"/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8"/>
      <c r="BL1645" s="78"/>
      <c r="BM1645" s="78"/>
      <c r="BN1645" s="78"/>
      <c r="BO1645" s="66"/>
      <c r="BP1645" s="66"/>
    </row>
    <row r="1646" spans="1:68" ht="13.2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/>
      <c r="AQ1646" s="75"/>
      <c r="AR1646" s="75"/>
      <c r="AS1646" s="75"/>
      <c r="AT1646" s="75"/>
      <c r="AU1646" s="75"/>
      <c r="AV1646" s="75"/>
      <c r="AW1646" s="75"/>
      <c r="AX1646" s="75"/>
      <c r="AY1646" s="67"/>
      <c r="AZ1646" s="75"/>
      <c r="BA1646" s="67"/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8"/>
      <c r="BL1646" s="78"/>
      <c r="BM1646" s="78"/>
      <c r="BN1646" s="78"/>
      <c r="BO1646" s="66"/>
      <c r="BP1646" s="66"/>
    </row>
    <row r="1647" spans="1:68" ht="13.2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/>
      <c r="AQ1647" s="75"/>
      <c r="AR1647" s="75"/>
      <c r="AS1647" s="75"/>
      <c r="AT1647" s="75"/>
      <c r="AU1647" s="75"/>
      <c r="AV1647" s="75"/>
      <c r="AW1647" s="75"/>
      <c r="AX1647" s="75"/>
      <c r="AY1647" s="67"/>
      <c r="AZ1647" s="75"/>
      <c r="BA1647" s="67"/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8"/>
      <c r="BL1647" s="78"/>
      <c r="BM1647" s="78"/>
      <c r="BN1647" s="78"/>
      <c r="BO1647" s="66"/>
      <c r="BP1647" s="66"/>
    </row>
    <row r="1648" spans="1:68" ht="13.2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/>
      <c r="AQ1648" s="75"/>
      <c r="AR1648" s="75"/>
      <c r="AS1648" s="75"/>
      <c r="AT1648" s="75"/>
      <c r="AU1648" s="75"/>
      <c r="AV1648" s="75"/>
      <c r="AW1648" s="75"/>
      <c r="AX1648" s="75"/>
      <c r="AY1648" s="67"/>
      <c r="AZ1648" s="75"/>
      <c r="BA1648" s="67"/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8"/>
      <c r="BL1648" s="78"/>
      <c r="BM1648" s="78"/>
      <c r="BN1648" s="78"/>
      <c r="BO1648" s="66"/>
      <c r="BP1648" s="66"/>
    </row>
    <row r="1649" spans="1:68" ht="13.2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/>
      <c r="AQ1649" s="75"/>
      <c r="AR1649" s="75"/>
      <c r="AS1649" s="75"/>
      <c r="AT1649" s="75"/>
      <c r="AU1649" s="75"/>
      <c r="AV1649" s="75"/>
      <c r="AW1649" s="75"/>
      <c r="AX1649" s="75"/>
      <c r="AY1649" s="67"/>
      <c r="AZ1649" s="75"/>
      <c r="BA1649" s="67"/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8"/>
      <c r="BL1649" s="78"/>
      <c r="BM1649" s="78"/>
      <c r="BN1649" s="78"/>
      <c r="BO1649" s="66"/>
      <c r="BP1649" s="66"/>
    </row>
    <row r="1650" spans="1:68" ht="13.2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/>
      <c r="AQ1650" s="75"/>
      <c r="AR1650" s="75"/>
      <c r="AS1650" s="75"/>
      <c r="AT1650" s="75"/>
      <c r="AU1650" s="75"/>
      <c r="AV1650" s="75"/>
      <c r="AW1650" s="75"/>
      <c r="AX1650" s="75"/>
      <c r="AY1650" s="67"/>
      <c r="AZ1650" s="75"/>
      <c r="BA1650" s="67"/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8"/>
      <c r="BL1650" s="78"/>
      <c r="BM1650" s="78"/>
      <c r="BN1650" s="78"/>
      <c r="BO1650" s="66"/>
      <c r="BP1650" s="66"/>
    </row>
    <row r="1651" spans="1:68" ht="13.2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/>
      <c r="AQ1651" s="75"/>
      <c r="AR1651" s="75"/>
      <c r="AS1651" s="75"/>
      <c r="AT1651" s="75"/>
      <c r="AU1651" s="75"/>
      <c r="AV1651" s="75"/>
      <c r="AW1651" s="75"/>
      <c r="AX1651" s="75"/>
      <c r="AY1651" s="67"/>
      <c r="AZ1651" s="75"/>
      <c r="BA1651" s="67"/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8"/>
      <c r="BL1651" s="78"/>
      <c r="BM1651" s="78"/>
      <c r="BN1651" s="78"/>
      <c r="BO1651" s="66"/>
      <c r="BP1651" s="66"/>
    </row>
    <row r="1652" spans="1:68" ht="13.2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/>
      <c r="AQ1652" s="75"/>
      <c r="AR1652" s="75"/>
      <c r="AS1652" s="75"/>
      <c r="AT1652" s="75"/>
      <c r="AU1652" s="75"/>
      <c r="AV1652" s="75"/>
      <c r="AW1652" s="75"/>
      <c r="AX1652" s="75"/>
      <c r="AY1652" s="67"/>
      <c r="AZ1652" s="75"/>
      <c r="BA1652" s="67"/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8"/>
      <c r="BL1652" s="78"/>
      <c r="BM1652" s="78"/>
      <c r="BN1652" s="78"/>
      <c r="BO1652" s="66"/>
      <c r="BP1652" s="66"/>
    </row>
    <row r="1653" spans="1:68" ht="13.2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/>
      <c r="AQ1653" s="75"/>
      <c r="AR1653" s="75"/>
      <c r="AS1653" s="75"/>
      <c r="AT1653" s="75"/>
      <c r="AU1653" s="75"/>
      <c r="AV1653" s="75"/>
      <c r="AW1653" s="75"/>
      <c r="AX1653" s="75"/>
      <c r="AY1653" s="67"/>
      <c r="AZ1653" s="75"/>
      <c r="BA1653" s="67"/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8"/>
      <c r="BL1653" s="78"/>
      <c r="BM1653" s="78"/>
      <c r="BN1653" s="78"/>
      <c r="BO1653" s="66"/>
      <c r="BP1653" s="66"/>
    </row>
    <row r="1654" spans="1:68" ht="13.2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/>
      <c r="AQ1654" s="75"/>
      <c r="AR1654" s="75"/>
      <c r="AS1654" s="75"/>
      <c r="AT1654" s="75"/>
      <c r="AU1654" s="75"/>
      <c r="AV1654" s="75"/>
      <c r="AW1654" s="75"/>
      <c r="AX1654" s="75"/>
      <c r="AY1654" s="67"/>
      <c r="AZ1654" s="75"/>
      <c r="BA1654" s="67"/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8"/>
      <c r="BL1654" s="78"/>
      <c r="BM1654" s="78"/>
      <c r="BN1654" s="78"/>
      <c r="BO1654" s="66"/>
      <c r="BP1654" s="66"/>
    </row>
    <row r="1655" spans="1:68" ht="13.2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/>
      <c r="AQ1655" s="75"/>
      <c r="AR1655" s="75"/>
      <c r="AS1655" s="75"/>
      <c r="AT1655" s="75"/>
      <c r="AU1655" s="75"/>
      <c r="AV1655" s="75"/>
      <c r="AW1655" s="75"/>
      <c r="AX1655" s="75"/>
      <c r="AY1655" s="67"/>
      <c r="AZ1655" s="75"/>
      <c r="BA1655" s="67"/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8"/>
      <c r="BL1655" s="78"/>
      <c r="BM1655" s="78"/>
      <c r="BN1655" s="78"/>
      <c r="BO1655" s="66"/>
      <c r="BP1655" s="66"/>
    </row>
    <row r="1656" spans="1:68" ht="13.2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/>
      <c r="AQ1656" s="75"/>
      <c r="AR1656" s="75"/>
      <c r="AS1656" s="75"/>
      <c r="AT1656" s="75"/>
      <c r="AU1656" s="75"/>
      <c r="AV1656" s="75"/>
      <c r="AW1656" s="75"/>
      <c r="AX1656" s="75"/>
      <c r="AY1656" s="67"/>
      <c r="AZ1656" s="75"/>
      <c r="BA1656" s="67"/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8"/>
      <c r="BL1656" s="78"/>
      <c r="BM1656" s="78"/>
      <c r="BN1656" s="78"/>
      <c r="BO1656" s="66"/>
      <c r="BP1656" s="66"/>
    </row>
    <row r="1657" spans="1:68" ht="13.2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/>
      <c r="AQ1657" s="75"/>
      <c r="AR1657" s="75"/>
      <c r="AS1657" s="75"/>
      <c r="AT1657" s="75"/>
      <c r="AU1657" s="75"/>
      <c r="AV1657" s="75"/>
      <c r="AW1657" s="75"/>
      <c r="AX1657" s="75"/>
      <c r="AY1657" s="67"/>
      <c r="AZ1657" s="75"/>
      <c r="BA1657" s="67"/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8"/>
      <c r="BL1657" s="78"/>
      <c r="BM1657" s="78"/>
      <c r="BN1657" s="78"/>
      <c r="BO1657" s="66"/>
      <c r="BP1657" s="66"/>
    </row>
    <row r="1658" spans="1:68" ht="13.2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/>
      <c r="AQ1658" s="75"/>
      <c r="AR1658" s="75"/>
      <c r="AS1658" s="75"/>
      <c r="AT1658" s="75"/>
      <c r="AU1658" s="75"/>
      <c r="AV1658" s="75"/>
      <c r="AW1658" s="75"/>
      <c r="AX1658" s="75"/>
      <c r="AY1658" s="67"/>
      <c r="AZ1658" s="75"/>
      <c r="BA1658" s="67"/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8"/>
      <c r="BL1658" s="78"/>
      <c r="BM1658" s="78"/>
      <c r="BN1658" s="78"/>
      <c r="BO1658" s="66"/>
      <c r="BP1658" s="66"/>
    </row>
    <row r="1659" spans="1:68" ht="13.2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/>
      <c r="AQ1659" s="75"/>
      <c r="AR1659" s="75"/>
      <c r="AS1659" s="75"/>
      <c r="AT1659" s="75"/>
      <c r="AU1659" s="75"/>
      <c r="AV1659" s="75"/>
      <c r="AW1659" s="75"/>
      <c r="AX1659" s="75"/>
      <c r="AY1659" s="67"/>
      <c r="AZ1659" s="75"/>
      <c r="BA1659" s="67"/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8"/>
      <c r="BL1659" s="78"/>
      <c r="BM1659" s="78"/>
      <c r="BN1659" s="78"/>
      <c r="BO1659" s="66"/>
      <c r="BP1659" s="66"/>
    </row>
    <row r="1660" spans="1:68" ht="13.2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/>
      <c r="AQ1660" s="75"/>
      <c r="AR1660" s="75"/>
      <c r="AS1660" s="75"/>
      <c r="AT1660" s="75"/>
      <c r="AU1660" s="75"/>
      <c r="AV1660" s="75"/>
      <c r="AW1660" s="75"/>
      <c r="AX1660" s="75"/>
      <c r="AY1660" s="67"/>
      <c r="AZ1660" s="75"/>
      <c r="BA1660" s="67"/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8"/>
      <c r="BL1660" s="78"/>
      <c r="BM1660" s="78"/>
      <c r="BN1660" s="78"/>
      <c r="BO1660" s="66"/>
      <c r="BP1660" s="66"/>
    </row>
    <row r="1661" spans="1:68" ht="13.2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/>
      <c r="AQ1661" s="75"/>
      <c r="AR1661" s="75"/>
      <c r="AS1661" s="75"/>
      <c r="AT1661" s="75"/>
      <c r="AU1661" s="75"/>
      <c r="AV1661" s="75"/>
      <c r="AW1661" s="75"/>
      <c r="AX1661" s="75"/>
      <c r="AY1661" s="67"/>
      <c r="AZ1661" s="75"/>
      <c r="BA1661" s="67"/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8"/>
      <c r="BL1661" s="78"/>
      <c r="BM1661" s="78"/>
      <c r="BN1661" s="78"/>
      <c r="BO1661" s="66"/>
      <c r="BP1661" s="66"/>
    </row>
    <row r="1662" spans="1:68" ht="13.2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/>
      <c r="AQ1662" s="75"/>
      <c r="AR1662" s="75"/>
      <c r="AS1662" s="75"/>
      <c r="AT1662" s="75"/>
      <c r="AU1662" s="75"/>
      <c r="AV1662" s="75"/>
      <c r="AW1662" s="75"/>
      <c r="AX1662" s="75"/>
      <c r="AY1662" s="67"/>
      <c r="AZ1662" s="75"/>
      <c r="BA1662" s="67"/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8"/>
      <c r="BL1662" s="78"/>
      <c r="BM1662" s="78"/>
      <c r="BN1662" s="78"/>
      <c r="BO1662" s="66"/>
      <c r="BP1662" s="66"/>
    </row>
    <row r="1663" spans="1:68" ht="13.2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/>
      <c r="AQ1663" s="75"/>
      <c r="AR1663" s="75"/>
      <c r="AS1663" s="75"/>
      <c r="AT1663" s="75"/>
      <c r="AU1663" s="75"/>
      <c r="AV1663" s="75"/>
      <c r="AW1663" s="75"/>
      <c r="AX1663" s="75"/>
      <c r="AY1663" s="67"/>
      <c r="AZ1663" s="75"/>
      <c r="BA1663" s="67"/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8"/>
      <c r="BL1663" s="78"/>
      <c r="BM1663" s="78"/>
      <c r="BN1663" s="78"/>
      <c r="BO1663" s="66"/>
      <c r="BP1663" s="66"/>
    </row>
    <row r="1664" spans="1:68" ht="13.2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/>
      <c r="AQ1664" s="75"/>
      <c r="AR1664" s="75"/>
      <c r="AS1664" s="75"/>
      <c r="AT1664" s="75"/>
      <c r="AU1664" s="75"/>
      <c r="AV1664" s="75"/>
      <c r="AW1664" s="75"/>
      <c r="AX1664" s="75"/>
      <c r="AY1664" s="67"/>
      <c r="AZ1664" s="75"/>
      <c r="BA1664" s="67"/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8"/>
      <c r="BL1664" s="78"/>
      <c r="BM1664" s="78"/>
      <c r="BN1664" s="78"/>
      <c r="BO1664" s="66"/>
      <c r="BP1664" s="66"/>
    </row>
    <row r="1665" spans="1:68" ht="13.2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/>
      <c r="AQ1665" s="75"/>
      <c r="AR1665" s="75"/>
      <c r="AS1665" s="75"/>
      <c r="AT1665" s="75"/>
      <c r="AU1665" s="75"/>
      <c r="AV1665" s="75"/>
      <c r="AW1665" s="75"/>
      <c r="AX1665" s="75"/>
      <c r="AY1665" s="67"/>
      <c r="AZ1665" s="75"/>
      <c r="BA1665" s="67"/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8"/>
      <c r="BL1665" s="78"/>
      <c r="BM1665" s="78"/>
      <c r="BN1665" s="78"/>
      <c r="BO1665" s="66"/>
      <c r="BP1665" s="66"/>
    </row>
    <row r="1666" spans="1:68" ht="13.2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/>
      <c r="AQ1666" s="75"/>
      <c r="AR1666" s="75"/>
      <c r="AS1666" s="75"/>
      <c r="AT1666" s="75"/>
      <c r="AU1666" s="75"/>
      <c r="AV1666" s="75"/>
      <c r="AW1666" s="75"/>
      <c r="AX1666" s="75"/>
      <c r="AY1666" s="67"/>
      <c r="AZ1666" s="75"/>
      <c r="BA1666" s="67"/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8"/>
      <c r="BL1666" s="78"/>
      <c r="BM1666" s="78"/>
      <c r="BN1666" s="78"/>
      <c r="BO1666" s="66"/>
      <c r="BP1666" s="66"/>
    </row>
    <row r="1667" spans="1:68" ht="13.2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/>
      <c r="AQ1667" s="75"/>
      <c r="AR1667" s="75"/>
      <c r="AS1667" s="75"/>
      <c r="AT1667" s="75"/>
      <c r="AU1667" s="75"/>
      <c r="AV1667" s="75"/>
      <c r="AW1667" s="75"/>
      <c r="AX1667" s="75"/>
      <c r="AY1667" s="67"/>
      <c r="AZ1667" s="75"/>
      <c r="BA1667" s="67"/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8"/>
      <c r="BL1667" s="78"/>
      <c r="BM1667" s="78"/>
      <c r="BN1667" s="78"/>
      <c r="BO1667" s="66"/>
      <c r="BP1667" s="66"/>
    </row>
    <row r="1668" spans="1:68" ht="13.2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/>
      <c r="AQ1668" s="75"/>
      <c r="AR1668" s="75"/>
      <c r="AS1668" s="75"/>
      <c r="AT1668" s="75"/>
      <c r="AU1668" s="75"/>
      <c r="AV1668" s="75"/>
      <c r="AW1668" s="75"/>
      <c r="AX1668" s="75"/>
      <c r="AY1668" s="67"/>
      <c r="AZ1668" s="75"/>
      <c r="BA1668" s="67"/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8"/>
      <c r="BL1668" s="78"/>
      <c r="BM1668" s="78"/>
      <c r="BN1668" s="78"/>
      <c r="BO1668" s="66"/>
      <c r="BP1668" s="66"/>
    </row>
    <row r="1669" spans="1:68" ht="13.2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/>
      <c r="AQ1669" s="75"/>
      <c r="AR1669" s="75"/>
      <c r="AS1669" s="75"/>
      <c r="AT1669" s="75"/>
      <c r="AU1669" s="75"/>
      <c r="AV1669" s="75"/>
      <c r="AW1669" s="75"/>
      <c r="AX1669" s="75"/>
      <c r="AY1669" s="67"/>
      <c r="AZ1669" s="75"/>
      <c r="BA1669" s="67"/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8"/>
      <c r="BL1669" s="78"/>
      <c r="BM1669" s="78"/>
      <c r="BN1669" s="78"/>
      <c r="BO1669" s="66"/>
      <c r="BP1669" s="66"/>
    </row>
    <row r="1670" spans="1:68" ht="13.2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/>
      <c r="AQ1670" s="75"/>
      <c r="AR1670" s="75"/>
      <c r="AS1670" s="75"/>
      <c r="AT1670" s="75"/>
      <c r="AU1670" s="75"/>
      <c r="AV1670" s="75"/>
      <c r="AW1670" s="75"/>
      <c r="AX1670" s="75"/>
      <c r="AY1670" s="67"/>
      <c r="AZ1670" s="75"/>
      <c r="BA1670" s="67"/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8"/>
      <c r="BL1670" s="78"/>
      <c r="BM1670" s="78"/>
      <c r="BN1670" s="78"/>
      <c r="BO1670" s="66"/>
      <c r="BP1670" s="66"/>
    </row>
    <row r="1671" spans="1:68" ht="13.2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/>
      <c r="AQ1671" s="75"/>
      <c r="AR1671" s="75"/>
      <c r="AS1671" s="75"/>
      <c r="AT1671" s="75"/>
      <c r="AU1671" s="75"/>
      <c r="AV1671" s="75"/>
      <c r="AW1671" s="75"/>
      <c r="AX1671" s="75"/>
      <c r="AY1671" s="67"/>
      <c r="AZ1671" s="75"/>
      <c r="BA1671" s="67"/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8"/>
      <c r="BL1671" s="78"/>
      <c r="BM1671" s="78"/>
      <c r="BN1671" s="78"/>
      <c r="BO1671" s="66"/>
      <c r="BP1671" s="66"/>
    </row>
    <row r="1672" spans="1:68" ht="13.2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/>
      <c r="AQ1672" s="75"/>
      <c r="AR1672" s="75"/>
      <c r="AS1672" s="75"/>
      <c r="AT1672" s="75"/>
      <c r="AU1672" s="75"/>
      <c r="AV1672" s="75"/>
      <c r="AW1672" s="75"/>
      <c r="AX1672" s="75"/>
      <c r="AY1672" s="67"/>
      <c r="AZ1672" s="75"/>
      <c r="BA1672" s="67"/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8"/>
      <c r="BL1672" s="78"/>
      <c r="BM1672" s="78"/>
      <c r="BN1672" s="78"/>
      <c r="BO1672" s="66"/>
      <c r="BP1672" s="66"/>
    </row>
    <row r="1673" spans="1:68" ht="13.2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/>
      <c r="AQ1673" s="75"/>
      <c r="AR1673" s="75"/>
      <c r="AS1673" s="75"/>
      <c r="AT1673" s="75"/>
      <c r="AU1673" s="75"/>
      <c r="AV1673" s="75"/>
      <c r="AW1673" s="75"/>
      <c r="AX1673" s="75"/>
      <c r="AY1673" s="67"/>
      <c r="AZ1673" s="75"/>
      <c r="BA1673" s="67"/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8"/>
      <c r="BL1673" s="78"/>
      <c r="BM1673" s="78"/>
      <c r="BN1673" s="78"/>
      <c r="BO1673" s="66"/>
      <c r="BP1673" s="66"/>
    </row>
    <row r="1674" spans="1:68" ht="13.2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/>
      <c r="AQ1674" s="75"/>
      <c r="AR1674" s="75"/>
      <c r="AS1674" s="75"/>
      <c r="AT1674" s="75"/>
      <c r="AU1674" s="75"/>
      <c r="AV1674" s="75"/>
      <c r="AW1674" s="75"/>
      <c r="AX1674" s="75"/>
      <c r="AY1674" s="67"/>
      <c r="AZ1674" s="75"/>
      <c r="BA1674" s="67"/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8"/>
      <c r="BL1674" s="78"/>
      <c r="BM1674" s="78"/>
      <c r="BN1674" s="78"/>
      <c r="BO1674" s="66"/>
      <c r="BP1674" s="66"/>
    </row>
    <row r="1675" spans="1:68" ht="13.2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/>
      <c r="AQ1675" s="75"/>
      <c r="AR1675" s="75"/>
      <c r="AS1675" s="75"/>
      <c r="AT1675" s="75"/>
      <c r="AU1675" s="75"/>
      <c r="AV1675" s="75"/>
      <c r="AW1675" s="75"/>
      <c r="AX1675" s="75"/>
      <c r="AY1675" s="67"/>
      <c r="AZ1675" s="75"/>
      <c r="BA1675" s="67"/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8"/>
      <c r="BL1675" s="78"/>
      <c r="BM1675" s="78"/>
      <c r="BN1675" s="78"/>
      <c r="BO1675" s="66"/>
      <c r="BP1675" s="66"/>
    </row>
    <row r="1676" spans="1:68" ht="13.2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/>
      <c r="AQ1676" s="75"/>
      <c r="AR1676" s="75"/>
      <c r="AS1676" s="75"/>
      <c r="AT1676" s="75"/>
      <c r="AU1676" s="75"/>
      <c r="AV1676" s="75"/>
      <c r="AW1676" s="75"/>
      <c r="AX1676" s="75"/>
      <c r="AY1676" s="67"/>
      <c r="AZ1676" s="75"/>
      <c r="BA1676" s="67"/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8"/>
      <c r="BL1676" s="78"/>
      <c r="BM1676" s="78"/>
      <c r="BN1676" s="78"/>
      <c r="BO1676" s="66"/>
      <c r="BP1676" s="66"/>
    </row>
    <row r="1677" spans="1:68" ht="13.2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/>
      <c r="AQ1677" s="75"/>
      <c r="AR1677" s="75"/>
      <c r="AS1677" s="75"/>
      <c r="AT1677" s="75"/>
      <c r="AU1677" s="75"/>
      <c r="AV1677" s="75"/>
      <c r="AW1677" s="75"/>
      <c r="AX1677" s="75"/>
      <c r="AY1677" s="67"/>
      <c r="AZ1677" s="75"/>
      <c r="BA1677" s="67"/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8"/>
      <c r="BL1677" s="78"/>
      <c r="BM1677" s="78"/>
      <c r="BN1677" s="78"/>
      <c r="BO1677" s="66"/>
      <c r="BP1677" s="66"/>
    </row>
    <row r="1678" spans="1:68" ht="13.2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/>
      <c r="AQ1678" s="75"/>
      <c r="AR1678" s="75"/>
      <c r="AS1678" s="75"/>
      <c r="AT1678" s="75"/>
      <c r="AU1678" s="75"/>
      <c r="AV1678" s="75"/>
      <c r="AW1678" s="75"/>
      <c r="AX1678" s="75"/>
      <c r="AY1678" s="67"/>
      <c r="AZ1678" s="75"/>
      <c r="BA1678" s="67"/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8"/>
      <c r="BL1678" s="78"/>
      <c r="BM1678" s="78"/>
      <c r="BN1678" s="78"/>
      <c r="BO1678" s="66"/>
      <c r="BP1678" s="66"/>
    </row>
    <row r="1679" spans="1:68" ht="13.2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/>
      <c r="AQ1679" s="75"/>
      <c r="AR1679" s="75"/>
      <c r="AS1679" s="75"/>
      <c r="AT1679" s="75"/>
      <c r="AU1679" s="75"/>
      <c r="AV1679" s="75"/>
      <c r="AW1679" s="75"/>
      <c r="AX1679" s="75"/>
      <c r="AY1679" s="67"/>
      <c r="AZ1679" s="75"/>
      <c r="BA1679" s="67"/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8"/>
      <c r="BL1679" s="78"/>
      <c r="BM1679" s="78"/>
      <c r="BN1679" s="78"/>
      <c r="BO1679" s="66"/>
      <c r="BP1679" s="66"/>
    </row>
    <row r="1680" spans="1:68" ht="13.2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/>
      <c r="AQ1680" s="75"/>
      <c r="AR1680" s="75"/>
      <c r="AS1680" s="75"/>
      <c r="AT1680" s="75"/>
      <c r="AU1680" s="75"/>
      <c r="AV1680" s="75"/>
      <c r="AW1680" s="75"/>
      <c r="AX1680" s="75"/>
      <c r="AY1680" s="67"/>
      <c r="AZ1680" s="75"/>
      <c r="BA1680" s="67"/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8"/>
      <c r="BL1680" s="78"/>
      <c r="BM1680" s="78"/>
      <c r="BN1680" s="78"/>
      <c r="BO1680" s="66"/>
      <c r="BP1680" s="66"/>
    </row>
    <row r="1681" spans="1:68" ht="13.2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/>
      <c r="AQ1681" s="75"/>
      <c r="AR1681" s="75"/>
      <c r="AS1681" s="75"/>
      <c r="AT1681" s="75"/>
      <c r="AU1681" s="75"/>
      <c r="AV1681" s="75"/>
      <c r="AW1681" s="75"/>
      <c r="AX1681" s="75"/>
      <c r="AY1681" s="67"/>
      <c r="AZ1681" s="75"/>
      <c r="BA1681" s="67"/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8"/>
      <c r="BL1681" s="78"/>
      <c r="BM1681" s="78"/>
      <c r="BN1681" s="78"/>
      <c r="BO1681" s="66"/>
      <c r="BP1681" s="66"/>
    </row>
    <row r="1682" spans="1:68" ht="13.2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/>
      <c r="AQ1682" s="75"/>
      <c r="AR1682" s="75"/>
      <c r="AS1682" s="75"/>
      <c r="AT1682" s="75"/>
      <c r="AU1682" s="75"/>
      <c r="AV1682" s="75"/>
      <c r="AW1682" s="75"/>
      <c r="AX1682" s="75"/>
      <c r="AY1682" s="67"/>
      <c r="AZ1682" s="75"/>
      <c r="BA1682" s="67"/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8"/>
      <c r="BL1682" s="78"/>
      <c r="BM1682" s="78"/>
      <c r="BN1682" s="78"/>
      <c r="BO1682" s="66"/>
      <c r="BP1682" s="66"/>
    </row>
    <row r="1683" spans="1:68" ht="13.2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/>
      <c r="AQ1683" s="75"/>
      <c r="AR1683" s="75"/>
      <c r="AS1683" s="75"/>
      <c r="AT1683" s="75"/>
      <c r="AU1683" s="75"/>
      <c r="AV1683" s="75"/>
      <c r="AW1683" s="75"/>
      <c r="AX1683" s="75"/>
      <c r="AY1683" s="67"/>
      <c r="AZ1683" s="75"/>
      <c r="BA1683" s="67"/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8"/>
      <c r="BL1683" s="78"/>
      <c r="BM1683" s="78"/>
      <c r="BN1683" s="78"/>
      <c r="BO1683" s="66"/>
      <c r="BP1683" s="66"/>
    </row>
    <row r="1684" spans="1:68" ht="13.2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/>
      <c r="AQ1684" s="75"/>
      <c r="AR1684" s="75"/>
      <c r="AS1684" s="75"/>
      <c r="AT1684" s="75"/>
      <c r="AU1684" s="75"/>
      <c r="AV1684" s="75"/>
      <c r="AW1684" s="75"/>
      <c r="AX1684" s="75"/>
      <c r="AY1684" s="67"/>
      <c r="AZ1684" s="75"/>
      <c r="BA1684" s="67"/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8"/>
      <c r="BL1684" s="78"/>
      <c r="BM1684" s="78"/>
      <c r="BN1684" s="78"/>
      <c r="BO1684" s="66"/>
      <c r="BP1684" s="66"/>
    </row>
    <row r="1685" spans="1:68" ht="13.2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/>
      <c r="AQ1685" s="75"/>
      <c r="AR1685" s="75"/>
      <c r="AS1685" s="75"/>
      <c r="AT1685" s="75"/>
      <c r="AU1685" s="75"/>
      <c r="AV1685" s="75"/>
      <c r="AW1685" s="75"/>
      <c r="AX1685" s="75"/>
      <c r="AY1685" s="67"/>
      <c r="AZ1685" s="75"/>
      <c r="BA1685" s="67"/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8"/>
      <c r="BL1685" s="78"/>
      <c r="BM1685" s="78"/>
      <c r="BN1685" s="78"/>
      <c r="BO1685" s="66"/>
      <c r="BP1685" s="66"/>
    </row>
    <row r="1686" spans="1:68" ht="13.2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/>
      <c r="AQ1686" s="75"/>
      <c r="AR1686" s="75"/>
      <c r="AS1686" s="75"/>
      <c r="AT1686" s="75"/>
      <c r="AU1686" s="75"/>
      <c r="AV1686" s="75"/>
      <c r="AW1686" s="75"/>
      <c r="AX1686" s="75"/>
      <c r="AY1686" s="67"/>
      <c r="AZ1686" s="75"/>
      <c r="BA1686" s="67"/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8"/>
      <c r="BL1686" s="78"/>
      <c r="BM1686" s="78"/>
      <c r="BN1686" s="78"/>
      <c r="BO1686" s="66"/>
      <c r="BP1686" s="66"/>
    </row>
    <row r="1687" spans="1:68" ht="13.2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/>
      <c r="AQ1687" s="75"/>
      <c r="AR1687" s="75"/>
      <c r="AS1687" s="75"/>
      <c r="AT1687" s="75"/>
      <c r="AU1687" s="75"/>
      <c r="AV1687" s="75"/>
      <c r="AW1687" s="75"/>
      <c r="AX1687" s="75"/>
      <c r="AY1687" s="67"/>
      <c r="AZ1687" s="75"/>
      <c r="BA1687" s="67"/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8"/>
      <c r="BL1687" s="78"/>
      <c r="BM1687" s="78"/>
      <c r="BN1687" s="78"/>
      <c r="BO1687" s="66"/>
      <c r="BP1687" s="66"/>
    </row>
    <row r="1688" spans="1:68" ht="13.2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/>
      <c r="AQ1688" s="75"/>
      <c r="AR1688" s="75"/>
      <c r="AS1688" s="75"/>
      <c r="AT1688" s="75"/>
      <c r="AU1688" s="75"/>
      <c r="AV1688" s="75"/>
      <c r="AW1688" s="75"/>
      <c r="AX1688" s="75"/>
      <c r="AY1688" s="67"/>
      <c r="AZ1688" s="75"/>
      <c r="BA1688" s="67"/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8"/>
      <c r="BL1688" s="78"/>
      <c r="BM1688" s="78"/>
      <c r="BN1688" s="78"/>
      <c r="BO1688" s="66"/>
      <c r="BP1688" s="66"/>
    </row>
    <row r="1689" spans="1:68" ht="13.2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/>
      <c r="AQ1689" s="75"/>
      <c r="AR1689" s="75"/>
      <c r="AS1689" s="75"/>
      <c r="AT1689" s="75"/>
      <c r="AU1689" s="75"/>
      <c r="AV1689" s="75"/>
      <c r="AW1689" s="75"/>
      <c r="AX1689" s="75"/>
      <c r="AY1689" s="67"/>
      <c r="AZ1689" s="75"/>
      <c r="BA1689" s="67"/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8"/>
      <c r="BL1689" s="78"/>
      <c r="BM1689" s="78"/>
      <c r="BN1689" s="78"/>
      <c r="BO1689" s="66"/>
      <c r="BP1689" s="66"/>
    </row>
    <row r="1690" spans="1:68" ht="13.2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/>
      <c r="AQ1690" s="75"/>
      <c r="AR1690" s="75"/>
      <c r="AS1690" s="75"/>
      <c r="AT1690" s="75"/>
      <c r="AU1690" s="75"/>
      <c r="AV1690" s="75"/>
      <c r="AW1690" s="75"/>
      <c r="AX1690" s="75"/>
      <c r="AY1690" s="67"/>
      <c r="AZ1690" s="75"/>
      <c r="BA1690" s="67"/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8"/>
      <c r="BL1690" s="78"/>
      <c r="BM1690" s="78"/>
      <c r="BN1690" s="78"/>
      <c r="BO1690" s="66"/>
      <c r="BP1690" s="66"/>
    </row>
    <row r="1691" spans="1:68" ht="13.2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/>
      <c r="AQ1691" s="75"/>
      <c r="AR1691" s="75"/>
      <c r="AS1691" s="75"/>
      <c r="AT1691" s="75"/>
      <c r="AU1691" s="75"/>
      <c r="AV1691" s="75"/>
      <c r="AW1691" s="75"/>
      <c r="AX1691" s="75"/>
      <c r="AY1691" s="67"/>
      <c r="AZ1691" s="75"/>
      <c r="BA1691" s="67"/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8"/>
      <c r="BL1691" s="78"/>
      <c r="BM1691" s="78"/>
      <c r="BN1691" s="78"/>
      <c r="BO1691" s="66"/>
      <c r="BP1691" s="66"/>
    </row>
    <row r="1692" spans="1:68" ht="13.2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/>
      <c r="AQ1692" s="75"/>
      <c r="AR1692" s="75"/>
      <c r="AS1692" s="75"/>
      <c r="AT1692" s="75"/>
      <c r="AU1692" s="75"/>
      <c r="AV1692" s="75"/>
      <c r="AW1692" s="75"/>
      <c r="AX1692" s="75"/>
      <c r="AY1692" s="67"/>
      <c r="AZ1692" s="75"/>
      <c r="BA1692" s="67"/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8"/>
      <c r="BL1692" s="78"/>
      <c r="BM1692" s="78"/>
      <c r="BN1692" s="78"/>
      <c r="BO1692" s="66"/>
      <c r="BP1692" s="66"/>
    </row>
    <row r="1693" spans="1:68" ht="13.2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/>
      <c r="AQ1693" s="75"/>
      <c r="AR1693" s="75"/>
      <c r="AS1693" s="75"/>
      <c r="AT1693" s="75"/>
      <c r="AU1693" s="75"/>
      <c r="AV1693" s="75"/>
      <c r="AW1693" s="75"/>
      <c r="AX1693" s="75"/>
      <c r="AY1693" s="67"/>
      <c r="AZ1693" s="75"/>
      <c r="BA1693" s="67"/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8"/>
      <c r="BL1693" s="78"/>
      <c r="BM1693" s="78"/>
      <c r="BN1693" s="78"/>
      <c r="BO1693" s="66"/>
      <c r="BP1693" s="66"/>
    </row>
    <row r="1694" spans="1:68" ht="13.2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/>
      <c r="AQ1694" s="75"/>
      <c r="AR1694" s="75"/>
      <c r="AS1694" s="75"/>
      <c r="AT1694" s="75"/>
      <c r="AU1694" s="75"/>
      <c r="AV1694" s="75"/>
      <c r="AW1694" s="75"/>
      <c r="AX1694" s="75"/>
      <c r="AY1694" s="67"/>
      <c r="AZ1694" s="75"/>
      <c r="BA1694" s="67"/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8"/>
      <c r="BL1694" s="78"/>
      <c r="BM1694" s="78"/>
      <c r="BN1694" s="78"/>
      <c r="BO1694" s="66"/>
      <c r="BP1694" s="66"/>
    </row>
    <row r="1695" spans="1:68" ht="13.2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/>
      <c r="AQ1695" s="75"/>
      <c r="AR1695" s="75"/>
      <c r="AS1695" s="75"/>
      <c r="AT1695" s="75"/>
      <c r="AU1695" s="75"/>
      <c r="AV1695" s="75"/>
      <c r="AW1695" s="75"/>
      <c r="AX1695" s="75"/>
      <c r="AY1695" s="67"/>
      <c r="AZ1695" s="75"/>
      <c r="BA1695" s="67"/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8"/>
      <c r="BL1695" s="78"/>
      <c r="BM1695" s="78"/>
      <c r="BN1695" s="78"/>
      <c r="BO1695" s="66"/>
      <c r="BP1695" s="66"/>
    </row>
    <row r="1696" spans="1:68" ht="13.2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/>
      <c r="AQ1696" s="75"/>
      <c r="AR1696" s="75"/>
      <c r="AS1696" s="75"/>
      <c r="AT1696" s="75"/>
      <c r="AU1696" s="75"/>
      <c r="AV1696" s="75"/>
      <c r="AW1696" s="75"/>
      <c r="AX1696" s="75"/>
      <c r="AY1696" s="67"/>
      <c r="AZ1696" s="75"/>
      <c r="BA1696" s="67"/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8"/>
      <c r="BL1696" s="78"/>
      <c r="BM1696" s="78"/>
      <c r="BN1696" s="78"/>
      <c r="BO1696" s="66"/>
      <c r="BP1696" s="66"/>
    </row>
    <row r="1697" spans="1:68" ht="13.2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/>
      <c r="AQ1697" s="75"/>
      <c r="AR1697" s="75"/>
      <c r="AS1697" s="75"/>
      <c r="AT1697" s="75"/>
      <c r="AU1697" s="75"/>
      <c r="AV1697" s="75"/>
      <c r="AW1697" s="75"/>
      <c r="AX1697" s="75"/>
      <c r="AY1697" s="67"/>
      <c r="AZ1697" s="75"/>
      <c r="BA1697" s="67"/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8"/>
      <c r="BL1697" s="78"/>
      <c r="BM1697" s="78"/>
      <c r="BN1697" s="78"/>
      <c r="BO1697" s="66"/>
      <c r="BP1697" s="66"/>
    </row>
    <row r="1698" spans="1:68" ht="13.2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/>
      <c r="AQ1698" s="75"/>
      <c r="AR1698" s="75"/>
      <c r="AS1698" s="75"/>
      <c r="AT1698" s="75"/>
      <c r="AU1698" s="75"/>
      <c r="AV1698" s="75"/>
      <c r="AW1698" s="75"/>
      <c r="AX1698" s="75"/>
      <c r="AY1698" s="67"/>
      <c r="AZ1698" s="75"/>
      <c r="BA1698" s="67"/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8"/>
      <c r="BL1698" s="78"/>
      <c r="BM1698" s="78"/>
      <c r="BN1698" s="78"/>
      <c r="BO1698" s="66"/>
      <c r="BP1698" s="66"/>
    </row>
    <row r="1699" spans="1:68" ht="13.2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/>
      <c r="AQ1699" s="75"/>
      <c r="AR1699" s="75"/>
      <c r="AS1699" s="75"/>
      <c r="AT1699" s="75"/>
      <c r="AU1699" s="75"/>
      <c r="AV1699" s="75"/>
      <c r="AW1699" s="75"/>
      <c r="AX1699" s="75"/>
      <c r="AY1699" s="67"/>
      <c r="AZ1699" s="75"/>
      <c r="BA1699" s="67"/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8"/>
      <c r="BL1699" s="78"/>
      <c r="BM1699" s="78"/>
      <c r="BN1699" s="78"/>
      <c r="BO1699" s="66"/>
      <c r="BP1699" s="66"/>
    </row>
    <row r="1700" spans="1:68" ht="13.2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/>
      <c r="AQ1700" s="75"/>
      <c r="AR1700" s="75"/>
      <c r="AS1700" s="75"/>
      <c r="AT1700" s="75"/>
      <c r="AU1700" s="75"/>
      <c r="AV1700" s="75"/>
      <c r="AW1700" s="75"/>
      <c r="AX1700" s="75"/>
      <c r="AY1700" s="67"/>
      <c r="AZ1700" s="75"/>
      <c r="BA1700" s="67"/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8"/>
      <c r="BL1700" s="78"/>
      <c r="BM1700" s="78"/>
      <c r="BN1700" s="78"/>
      <c r="BO1700" s="66"/>
      <c r="BP1700" s="66"/>
    </row>
    <row r="1701" spans="1:68" ht="13.2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/>
      <c r="AQ1701" s="75"/>
      <c r="AR1701" s="75"/>
      <c r="AS1701" s="75"/>
      <c r="AT1701" s="75"/>
      <c r="AU1701" s="75"/>
      <c r="AV1701" s="75"/>
      <c r="AW1701" s="75"/>
      <c r="AX1701" s="75"/>
      <c r="AY1701" s="67"/>
      <c r="AZ1701" s="75"/>
      <c r="BA1701" s="67"/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8"/>
      <c r="BL1701" s="78"/>
      <c r="BM1701" s="78"/>
      <c r="BN1701" s="78"/>
      <c r="BO1701" s="66"/>
      <c r="BP1701" s="66"/>
    </row>
    <row r="1702" spans="1:68" ht="13.2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/>
      <c r="AQ1702" s="75"/>
      <c r="AR1702" s="75"/>
      <c r="AS1702" s="75"/>
      <c r="AT1702" s="75"/>
      <c r="AU1702" s="75"/>
      <c r="AV1702" s="75"/>
      <c r="AW1702" s="75"/>
      <c r="AX1702" s="75"/>
      <c r="AY1702" s="67"/>
      <c r="AZ1702" s="75"/>
      <c r="BA1702" s="67"/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8"/>
      <c r="BL1702" s="78"/>
      <c r="BM1702" s="78"/>
      <c r="BN1702" s="78"/>
      <c r="BO1702" s="66"/>
      <c r="BP1702" s="66"/>
    </row>
    <row r="1703" spans="1:68" ht="13.2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/>
      <c r="AQ1703" s="75"/>
      <c r="AR1703" s="75"/>
      <c r="AS1703" s="75"/>
      <c r="AT1703" s="75"/>
      <c r="AU1703" s="75"/>
      <c r="AV1703" s="75"/>
      <c r="AW1703" s="75"/>
      <c r="AX1703" s="75"/>
      <c r="AY1703" s="67"/>
      <c r="AZ1703" s="75"/>
      <c r="BA1703" s="67"/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8"/>
      <c r="BL1703" s="78"/>
      <c r="BM1703" s="78"/>
      <c r="BN1703" s="78"/>
      <c r="BO1703" s="66"/>
      <c r="BP1703" s="66"/>
    </row>
    <row r="1704" spans="1:68" ht="13.2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/>
      <c r="AQ1704" s="75"/>
      <c r="AR1704" s="75"/>
      <c r="AS1704" s="75"/>
      <c r="AT1704" s="75"/>
      <c r="AU1704" s="75"/>
      <c r="AV1704" s="75"/>
      <c r="AW1704" s="75"/>
      <c r="AX1704" s="75"/>
      <c r="AY1704" s="67"/>
      <c r="AZ1704" s="75"/>
      <c r="BA1704" s="67"/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8"/>
      <c r="BL1704" s="78"/>
      <c r="BM1704" s="78"/>
      <c r="BN1704" s="78"/>
      <c r="BO1704" s="66"/>
      <c r="BP1704" s="66"/>
    </row>
    <row r="1705" spans="1:68" ht="13.2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/>
      <c r="AQ1705" s="75"/>
      <c r="AR1705" s="75"/>
      <c r="AS1705" s="75"/>
      <c r="AT1705" s="75"/>
      <c r="AU1705" s="75"/>
      <c r="AV1705" s="75"/>
      <c r="AW1705" s="75"/>
      <c r="AX1705" s="75"/>
      <c r="AY1705" s="67"/>
      <c r="AZ1705" s="75"/>
      <c r="BA1705" s="67"/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8"/>
      <c r="BL1705" s="78"/>
      <c r="BM1705" s="78"/>
      <c r="BN1705" s="78"/>
      <c r="BO1705" s="66"/>
      <c r="BP1705" s="66"/>
    </row>
    <row r="1706" spans="1:68" ht="13.2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/>
      <c r="AQ1706" s="75"/>
      <c r="AR1706" s="75"/>
      <c r="AS1706" s="75"/>
      <c r="AT1706" s="75"/>
      <c r="AU1706" s="75"/>
      <c r="AV1706" s="75"/>
      <c r="AW1706" s="75"/>
      <c r="AX1706" s="75"/>
      <c r="AY1706" s="67"/>
      <c r="AZ1706" s="75"/>
      <c r="BA1706" s="67"/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8"/>
      <c r="BL1706" s="78"/>
      <c r="BM1706" s="78"/>
      <c r="BN1706" s="78"/>
      <c r="BO1706" s="66"/>
      <c r="BP1706" s="66"/>
    </row>
    <row r="1707" spans="1:68" ht="13.2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/>
      <c r="AQ1707" s="75"/>
      <c r="AR1707" s="75"/>
      <c r="AS1707" s="75"/>
      <c r="AT1707" s="75"/>
      <c r="AU1707" s="75"/>
      <c r="AV1707" s="75"/>
      <c r="AW1707" s="75"/>
      <c r="AX1707" s="75"/>
      <c r="AY1707" s="67"/>
      <c r="AZ1707" s="75"/>
      <c r="BA1707" s="67"/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8"/>
      <c r="BL1707" s="78"/>
      <c r="BM1707" s="78"/>
      <c r="BN1707" s="78"/>
      <c r="BO1707" s="66"/>
      <c r="BP1707" s="66"/>
    </row>
    <row r="1708" spans="1:68" ht="13.2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/>
      <c r="AQ1708" s="75"/>
      <c r="AR1708" s="75"/>
      <c r="AS1708" s="75"/>
      <c r="AT1708" s="75"/>
      <c r="AU1708" s="75"/>
      <c r="AV1708" s="75"/>
      <c r="AW1708" s="75"/>
      <c r="AX1708" s="75"/>
      <c r="AY1708" s="67"/>
      <c r="AZ1708" s="75"/>
      <c r="BA1708" s="67"/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8"/>
      <c r="BL1708" s="78"/>
      <c r="BM1708" s="78"/>
      <c r="BN1708" s="78"/>
      <c r="BO1708" s="66"/>
      <c r="BP1708" s="66"/>
    </row>
    <row r="1709" spans="1:68" ht="13.2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/>
      <c r="AQ1709" s="75"/>
      <c r="AR1709" s="75"/>
      <c r="AS1709" s="75"/>
      <c r="AT1709" s="75"/>
      <c r="AU1709" s="75"/>
      <c r="AV1709" s="75"/>
      <c r="AW1709" s="75"/>
      <c r="AX1709" s="75"/>
      <c r="AY1709" s="67"/>
      <c r="AZ1709" s="75"/>
      <c r="BA1709" s="67"/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8"/>
      <c r="BL1709" s="78"/>
      <c r="BM1709" s="78"/>
      <c r="BN1709" s="78"/>
      <c r="BO1709" s="66"/>
      <c r="BP1709" s="66"/>
    </row>
    <row r="1710" spans="1:68" ht="13.2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/>
      <c r="AQ1710" s="75"/>
      <c r="AR1710" s="75"/>
      <c r="AS1710" s="75"/>
      <c r="AT1710" s="75"/>
      <c r="AU1710" s="75"/>
      <c r="AV1710" s="75"/>
      <c r="AW1710" s="75"/>
      <c r="AX1710" s="75"/>
      <c r="AY1710" s="67"/>
      <c r="AZ1710" s="75"/>
      <c r="BA1710" s="67"/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8"/>
      <c r="BL1710" s="78"/>
      <c r="BM1710" s="78"/>
      <c r="BN1710" s="78"/>
      <c r="BO1710" s="66"/>
      <c r="BP1710" s="66"/>
    </row>
    <row r="1711" spans="1:68" ht="13.2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/>
      <c r="AQ1711" s="75"/>
      <c r="AR1711" s="75"/>
      <c r="AS1711" s="75"/>
      <c r="AT1711" s="75"/>
      <c r="AU1711" s="75"/>
      <c r="AV1711" s="75"/>
      <c r="AW1711" s="75"/>
      <c r="AX1711" s="75"/>
      <c r="AY1711" s="67"/>
      <c r="AZ1711" s="75"/>
      <c r="BA1711" s="67"/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8"/>
      <c r="BL1711" s="78"/>
      <c r="BM1711" s="78"/>
      <c r="BN1711" s="78"/>
      <c r="BO1711" s="66"/>
      <c r="BP1711" s="66"/>
    </row>
    <row r="1712" spans="1:68" ht="13.2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/>
      <c r="AQ1712" s="75"/>
      <c r="AR1712" s="75"/>
      <c r="AS1712" s="75"/>
      <c r="AT1712" s="75"/>
      <c r="AU1712" s="75"/>
      <c r="AV1712" s="75"/>
      <c r="AW1712" s="75"/>
      <c r="AX1712" s="75"/>
      <c r="AY1712" s="67"/>
      <c r="AZ1712" s="75"/>
      <c r="BA1712" s="67"/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8"/>
      <c r="BL1712" s="78"/>
      <c r="BM1712" s="78"/>
      <c r="BN1712" s="78"/>
      <c r="BO1712" s="66"/>
      <c r="BP1712" s="66"/>
    </row>
    <row r="1713" spans="1:68" ht="13.2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/>
      <c r="AQ1713" s="75"/>
      <c r="AR1713" s="75"/>
      <c r="AS1713" s="75"/>
      <c r="AT1713" s="75"/>
      <c r="AU1713" s="75"/>
      <c r="AV1713" s="75"/>
      <c r="AW1713" s="75"/>
      <c r="AX1713" s="75"/>
      <c r="AY1713" s="67"/>
      <c r="AZ1713" s="75"/>
      <c r="BA1713" s="67"/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8"/>
      <c r="BL1713" s="78"/>
      <c r="BM1713" s="78"/>
      <c r="BN1713" s="78"/>
      <c r="BO1713" s="66"/>
      <c r="BP1713" s="66"/>
    </row>
    <row r="1714" spans="1:68" ht="13.2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/>
      <c r="AQ1714" s="75"/>
      <c r="AR1714" s="75"/>
      <c r="AS1714" s="75"/>
      <c r="AT1714" s="75"/>
      <c r="AU1714" s="75"/>
      <c r="AV1714" s="75"/>
      <c r="AW1714" s="75"/>
      <c r="AX1714" s="75"/>
      <c r="AY1714" s="67"/>
      <c r="AZ1714" s="75"/>
      <c r="BA1714" s="67"/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8"/>
      <c r="BL1714" s="78"/>
      <c r="BM1714" s="78"/>
      <c r="BN1714" s="78"/>
      <c r="BO1714" s="66"/>
      <c r="BP1714" s="66"/>
    </row>
    <row r="1715" spans="1:68" ht="13.2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/>
      <c r="AQ1715" s="75"/>
      <c r="AR1715" s="75"/>
      <c r="AS1715" s="75"/>
      <c r="AT1715" s="75"/>
      <c r="AU1715" s="75"/>
      <c r="AV1715" s="75"/>
      <c r="AW1715" s="75"/>
      <c r="AX1715" s="75"/>
      <c r="AY1715" s="67"/>
      <c r="AZ1715" s="75"/>
      <c r="BA1715" s="67"/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8"/>
      <c r="BL1715" s="78"/>
      <c r="BM1715" s="78"/>
      <c r="BN1715" s="78"/>
      <c r="BO1715" s="66"/>
      <c r="BP1715" s="66"/>
    </row>
    <row r="1716" spans="1:68" ht="13.2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/>
      <c r="AQ1716" s="75"/>
      <c r="AR1716" s="75"/>
      <c r="AS1716" s="75"/>
      <c r="AT1716" s="75"/>
      <c r="AU1716" s="75"/>
      <c r="AV1716" s="75"/>
      <c r="AW1716" s="75"/>
      <c r="AX1716" s="75"/>
      <c r="AY1716" s="67"/>
      <c r="AZ1716" s="75"/>
      <c r="BA1716" s="67"/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8"/>
      <c r="BL1716" s="78"/>
      <c r="BM1716" s="78"/>
      <c r="BN1716" s="78"/>
      <c r="BO1716" s="66"/>
      <c r="BP1716" s="66"/>
    </row>
    <row r="1717" spans="1:68" ht="13.2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/>
      <c r="AQ1717" s="75"/>
      <c r="AR1717" s="75"/>
      <c r="AS1717" s="75"/>
      <c r="AT1717" s="75"/>
      <c r="AU1717" s="75"/>
      <c r="AV1717" s="75"/>
      <c r="AW1717" s="75"/>
      <c r="AX1717" s="75"/>
      <c r="AY1717" s="67"/>
      <c r="AZ1717" s="75"/>
      <c r="BA1717" s="67"/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8"/>
      <c r="BL1717" s="78"/>
      <c r="BM1717" s="78"/>
      <c r="BN1717" s="78"/>
      <c r="BO1717" s="66"/>
      <c r="BP1717" s="66"/>
    </row>
    <row r="1718" spans="1:68" ht="13.2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/>
      <c r="AQ1718" s="75"/>
      <c r="AR1718" s="75"/>
      <c r="AS1718" s="75"/>
      <c r="AT1718" s="75"/>
      <c r="AU1718" s="75"/>
      <c r="AV1718" s="75"/>
      <c r="AW1718" s="75"/>
      <c r="AX1718" s="75"/>
      <c r="AY1718" s="67"/>
      <c r="AZ1718" s="75"/>
      <c r="BA1718" s="67"/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8"/>
      <c r="BL1718" s="78"/>
      <c r="BM1718" s="78"/>
      <c r="BN1718" s="78"/>
      <c r="BO1718" s="66"/>
      <c r="BP1718" s="66"/>
    </row>
    <row r="1719" spans="1:68" ht="13.2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/>
      <c r="AQ1719" s="75"/>
      <c r="AR1719" s="75"/>
      <c r="AS1719" s="75"/>
      <c r="AT1719" s="75"/>
      <c r="AU1719" s="75"/>
      <c r="AV1719" s="75"/>
      <c r="AW1719" s="75"/>
      <c r="AX1719" s="75"/>
      <c r="AY1719" s="67"/>
      <c r="AZ1719" s="75"/>
      <c r="BA1719" s="67"/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8"/>
      <c r="BL1719" s="78"/>
      <c r="BM1719" s="78"/>
      <c r="BN1719" s="78"/>
      <c r="BO1719" s="66"/>
      <c r="BP1719" s="66"/>
    </row>
    <row r="1720" spans="1:68" ht="13.2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/>
      <c r="AQ1720" s="75"/>
      <c r="AR1720" s="75"/>
      <c r="AS1720" s="75"/>
      <c r="AT1720" s="75"/>
      <c r="AU1720" s="75"/>
      <c r="AV1720" s="75"/>
      <c r="AW1720" s="75"/>
      <c r="AX1720" s="75"/>
      <c r="AY1720" s="67"/>
      <c r="AZ1720" s="75"/>
      <c r="BA1720" s="67"/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8"/>
      <c r="BL1720" s="78"/>
      <c r="BM1720" s="78"/>
      <c r="BN1720" s="78"/>
      <c r="BO1720" s="66"/>
      <c r="BP1720" s="66"/>
    </row>
    <row r="1721" spans="1:68" ht="13.2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/>
      <c r="AQ1721" s="75"/>
      <c r="AR1721" s="75"/>
      <c r="AS1721" s="75"/>
      <c r="AT1721" s="75"/>
      <c r="AU1721" s="75"/>
      <c r="AV1721" s="75"/>
      <c r="AW1721" s="75"/>
      <c r="AX1721" s="75"/>
      <c r="AY1721" s="67"/>
      <c r="AZ1721" s="75"/>
      <c r="BA1721" s="67"/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8"/>
      <c r="BL1721" s="78"/>
      <c r="BM1721" s="78"/>
      <c r="BN1721" s="78"/>
      <c r="BO1721" s="66"/>
      <c r="BP1721" s="66"/>
    </row>
    <row r="1722" spans="1:68" ht="13.2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/>
      <c r="AQ1722" s="75"/>
      <c r="AR1722" s="75"/>
      <c r="AS1722" s="75"/>
      <c r="AT1722" s="75"/>
      <c r="AU1722" s="75"/>
      <c r="AV1722" s="75"/>
      <c r="AW1722" s="75"/>
      <c r="AX1722" s="75"/>
      <c r="AY1722" s="67"/>
      <c r="AZ1722" s="75"/>
      <c r="BA1722" s="67"/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8"/>
      <c r="BL1722" s="78"/>
      <c r="BM1722" s="78"/>
      <c r="BN1722" s="78"/>
      <c r="BO1722" s="66"/>
      <c r="BP1722" s="66"/>
    </row>
    <row r="1723" spans="1:68" ht="13.2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/>
      <c r="AQ1723" s="75"/>
      <c r="AR1723" s="75"/>
      <c r="AS1723" s="75"/>
      <c r="AT1723" s="75"/>
      <c r="AU1723" s="75"/>
      <c r="AV1723" s="75"/>
      <c r="AW1723" s="75"/>
      <c r="AX1723" s="75"/>
      <c r="AY1723" s="67"/>
      <c r="AZ1723" s="75"/>
      <c r="BA1723" s="67"/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8"/>
      <c r="BL1723" s="78"/>
      <c r="BM1723" s="78"/>
      <c r="BN1723" s="78"/>
      <c r="BO1723" s="66"/>
      <c r="BP1723" s="66"/>
    </row>
    <row r="1724" spans="1:68" ht="13.2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/>
      <c r="AQ1724" s="75"/>
      <c r="AR1724" s="75"/>
      <c r="AS1724" s="75"/>
      <c r="AT1724" s="75"/>
      <c r="AU1724" s="75"/>
      <c r="AV1724" s="75"/>
      <c r="AW1724" s="75"/>
      <c r="AX1724" s="75"/>
      <c r="AY1724" s="67"/>
      <c r="AZ1724" s="75"/>
      <c r="BA1724" s="67"/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8"/>
      <c r="BL1724" s="78"/>
      <c r="BM1724" s="78"/>
      <c r="BN1724" s="78"/>
      <c r="BO1724" s="66"/>
      <c r="BP1724" s="66"/>
    </row>
    <row r="1725" spans="1:68" ht="13.2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/>
      <c r="AQ1725" s="75"/>
      <c r="AR1725" s="75"/>
      <c r="AS1725" s="75"/>
      <c r="AT1725" s="75"/>
      <c r="AU1725" s="75"/>
      <c r="AV1725" s="75"/>
      <c r="AW1725" s="75"/>
      <c r="AX1725" s="75"/>
      <c r="AY1725" s="67"/>
      <c r="AZ1725" s="75"/>
      <c r="BA1725" s="67"/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8"/>
      <c r="BL1725" s="78"/>
      <c r="BM1725" s="78"/>
      <c r="BN1725" s="78"/>
      <c r="BO1725" s="66"/>
      <c r="BP1725" s="66"/>
    </row>
    <row r="1726" spans="1:68" ht="13.2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/>
      <c r="AQ1726" s="75"/>
      <c r="AR1726" s="75"/>
      <c r="AS1726" s="75"/>
      <c r="AT1726" s="75"/>
      <c r="AU1726" s="75"/>
      <c r="AV1726" s="75"/>
      <c r="AW1726" s="75"/>
      <c r="AX1726" s="75"/>
      <c r="AY1726" s="67"/>
      <c r="AZ1726" s="75"/>
      <c r="BA1726" s="67"/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8"/>
      <c r="BL1726" s="78"/>
      <c r="BM1726" s="78"/>
      <c r="BN1726" s="78"/>
      <c r="BO1726" s="66"/>
      <c r="BP1726" s="66"/>
    </row>
    <row r="1727" spans="1:68" ht="13.2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/>
      <c r="AQ1727" s="75"/>
      <c r="AR1727" s="75"/>
      <c r="AS1727" s="75"/>
      <c r="AT1727" s="75"/>
      <c r="AU1727" s="75"/>
      <c r="AV1727" s="75"/>
      <c r="AW1727" s="75"/>
      <c r="AX1727" s="75"/>
      <c r="AY1727" s="67"/>
      <c r="AZ1727" s="75"/>
      <c r="BA1727" s="67"/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8"/>
      <c r="BL1727" s="78"/>
      <c r="BM1727" s="78"/>
      <c r="BN1727" s="78"/>
      <c r="BO1727" s="66"/>
      <c r="BP1727" s="66"/>
    </row>
    <row r="1728" spans="1:68" ht="13.2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/>
      <c r="AQ1728" s="75"/>
      <c r="AR1728" s="75"/>
      <c r="AS1728" s="75"/>
      <c r="AT1728" s="75"/>
      <c r="AU1728" s="75"/>
      <c r="AV1728" s="75"/>
      <c r="AW1728" s="75"/>
      <c r="AX1728" s="75"/>
      <c r="AY1728" s="67"/>
      <c r="AZ1728" s="75"/>
      <c r="BA1728" s="67"/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8"/>
      <c r="BL1728" s="78"/>
      <c r="BM1728" s="78"/>
      <c r="BN1728" s="78"/>
      <c r="BO1728" s="66"/>
      <c r="BP1728" s="66"/>
    </row>
    <row r="1729" spans="1:68" ht="13.2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/>
      <c r="AQ1729" s="75"/>
      <c r="AR1729" s="75"/>
      <c r="AS1729" s="75"/>
      <c r="AT1729" s="75"/>
      <c r="AU1729" s="75"/>
      <c r="AV1729" s="75"/>
      <c r="AW1729" s="75"/>
      <c r="AX1729" s="75"/>
      <c r="AY1729" s="67"/>
      <c r="AZ1729" s="75"/>
      <c r="BA1729" s="67"/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8"/>
      <c r="BL1729" s="78"/>
      <c r="BM1729" s="78"/>
      <c r="BN1729" s="78"/>
      <c r="BO1729" s="66"/>
      <c r="BP1729" s="66"/>
    </row>
    <row r="1730" spans="1:68" ht="13.2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/>
      <c r="AQ1730" s="75"/>
      <c r="AR1730" s="75"/>
      <c r="AS1730" s="75"/>
      <c r="AT1730" s="75"/>
      <c r="AU1730" s="75"/>
      <c r="AV1730" s="75"/>
      <c r="AW1730" s="75"/>
      <c r="AX1730" s="75"/>
      <c r="AY1730" s="67"/>
      <c r="AZ1730" s="75"/>
      <c r="BA1730" s="67"/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8"/>
      <c r="BL1730" s="78"/>
      <c r="BM1730" s="78"/>
      <c r="BN1730" s="78"/>
      <c r="BO1730" s="66"/>
      <c r="BP1730" s="66"/>
    </row>
    <row r="1731" spans="1:68" ht="13.2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/>
      <c r="AQ1731" s="75"/>
      <c r="AR1731" s="75"/>
      <c r="AS1731" s="75"/>
      <c r="AT1731" s="75"/>
      <c r="AU1731" s="75"/>
      <c r="AV1731" s="75"/>
      <c r="AW1731" s="75"/>
      <c r="AX1731" s="75"/>
      <c r="AY1731" s="67"/>
      <c r="AZ1731" s="75"/>
      <c r="BA1731" s="67"/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8"/>
      <c r="BL1731" s="78"/>
      <c r="BM1731" s="78"/>
      <c r="BN1731" s="78"/>
      <c r="BO1731" s="66"/>
      <c r="BP1731" s="66"/>
    </row>
    <row r="1732" spans="1:68" ht="13.2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/>
      <c r="AQ1732" s="75"/>
      <c r="AR1732" s="75"/>
      <c r="AS1732" s="75"/>
      <c r="AT1732" s="75"/>
      <c r="AU1732" s="75"/>
      <c r="AV1732" s="75"/>
      <c r="AW1732" s="75"/>
      <c r="AX1732" s="75"/>
      <c r="AY1732" s="67"/>
      <c r="AZ1732" s="75"/>
      <c r="BA1732" s="67"/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8"/>
      <c r="BL1732" s="78"/>
      <c r="BM1732" s="78"/>
      <c r="BN1732" s="78"/>
      <c r="BO1732" s="66"/>
      <c r="BP1732" s="66"/>
    </row>
    <row r="1733" spans="1:68" ht="13.2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/>
      <c r="AQ1733" s="75"/>
      <c r="AR1733" s="75"/>
      <c r="AS1733" s="75"/>
      <c r="AT1733" s="75"/>
      <c r="AU1733" s="75"/>
      <c r="AV1733" s="75"/>
      <c r="AW1733" s="75"/>
      <c r="AX1733" s="75"/>
      <c r="AY1733" s="67"/>
      <c r="AZ1733" s="75"/>
      <c r="BA1733" s="67"/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8"/>
      <c r="BL1733" s="78"/>
      <c r="BM1733" s="78"/>
      <c r="BN1733" s="78"/>
      <c r="BO1733" s="66"/>
      <c r="BP1733" s="66"/>
    </row>
    <row r="1734" spans="1:68" ht="13.2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/>
      <c r="AQ1734" s="75"/>
      <c r="AR1734" s="75"/>
      <c r="AS1734" s="75"/>
      <c r="AT1734" s="75"/>
      <c r="AU1734" s="75"/>
      <c r="AV1734" s="75"/>
      <c r="AW1734" s="75"/>
      <c r="AX1734" s="75"/>
      <c r="AY1734" s="67"/>
      <c r="AZ1734" s="75"/>
      <c r="BA1734" s="67"/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8"/>
      <c r="BL1734" s="78"/>
      <c r="BM1734" s="78"/>
      <c r="BN1734" s="78"/>
      <c r="BO1734" s="66"/>
      <c r="BP1734" s="66"/>
    </row>
    <row r="1735" spans="1:68" ht="13.2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/>
      <c r="AQ1735" s="75"/>
      <c r="AR1735" s="75"/>
      <c r="AS1735" s="75"/>
      <c r="AT1735" s="75"/>
      <c r="AU1735" s="75"/>
      <c r="AV1735" s="75"/>
      <c r="AW1735" s="75"/>
      <c r="AX1735" s="75"/>
      <c r="AY1735" s="67"/>
      <c r="AZ1735" s="75"/>
      <c r="BA1735" s="67"/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8"/>
      <c r="BL1735" s="78"/>
      <c r="BM1735" s="78"/>
      <c r="BN1735" s="78"/>
      <c r="BO1735" s="66"/>
      <c r="BP1735" s="66"/>
    </row>
    <row r="1736" spans="1:68" ht="13.2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/>
      <c r="AQ1736" s="75"/>
      <c r="AR1736" s="75"/>
      <c r="AS1736" s="75"/>
      <c r="AT1736" s="75"/>
      <c r="AU1736" s="75"/>
      <c r="AV1736" s="75"/>
      <c r="AW1736" s="75"/>
      <c r="AX1736" s="75"/>
      <c r="AY1736" s="67"/>
      <c r="AZ1736" s="75"/>
      <c r="BA1736" s="67"/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8"/>
      <c r="BL1736" s="78"/>
      <c r="BM1736" s="78"/>
      <c r="BN1736" s="78"/>
      <c r="BO1736" s="66"/>
      <c r="BP1736" s="66"/>
    </row>
    <row r="1737" spans="1:68" ht="13.2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/>
      <c r="AQ1737" s="75"/>
      <c r="AR1737" s="75"/>
      <c r="AS1737" s="75"/>
      <c r="AT1737" s="75"/>
      <c r="AU1737" s="75"/>
      <c r="AV1737" s="75"/>
      <c r="AW1737" s="75"/>
      <c r="AX1737" s="75"/>
      <c r="AY1737" s="67"/>
      <c r="AZ1737" s="75"/>
      <c r="BA1737" s="67"/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8"/>
      <c r="BL1737" s="78"/>
      <c r="BM1737" s="78"/>
      <c r="BN1737" s="78"/>
      <c r="BO1737" s="66"/>
      <c r="BP1737" s="66"/>
    </row>
    <row r="1738" spans="1:68" ht="13.2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/>
      <c r="AQ1738" s="75"/>
      <c r="AR1738" s="75"/>
      <c r="AS1738" s="75"/>
      <c r="AT1738" s="75"/>
      <c r="AU1738" s="75"/>
      <c r="AV1738" s="75"/>
      <c r="AW1738" s="75"/>
      <c r="AX1738" s="75"/>
      <c r="AY1738" s="67"/>
      <c r="AZ1738" s="75"/>
      <c r="BA1738" s="67"/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8"/>
      <c r="BL1738" s="78"/>
      <c r="BM1738" s="78"/>
      <c r="BN1738" s="78"/>
      <c r="BO1738" s="66"/>
      <c r="BP1738" s="66"/>
    </row>
    <row r="1739" spans="1:68" ht="13.2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/>
      <c r="AQ1739" s="75"/>
      <c r="AR1739" s="75"/>
      <c r="AS1739" s="75"/>
      <c r="AT1739" s="75"/>
      <c r="AU1739" s="75"/>
      <c r="AV1739" s="75"/>
      <c r="AW1739" s="75"/>
      <c r="AX1739" s="75"/>
      <c r="AY1739" s="67"/>
      <c r="AZ1739" s="75"/>
      <c r="BA1739" s="67"/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8"/>
      <c r="BL1739" s="78"/>
      <c r="BM1739" s="78"/>
      <c r="BN1739" s="78"/>
      <c r="BO1739" s="66"/>
      <c r="BP1739" s="66"/>
    </row>
    <row r="1740" spans="1:68" ht="13.2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/>
      <c r="AQ1740" s="75"/>
      <c r="AR1740" s="75"/>
      <c r="AS1740" s="75"/>
      <c r="AT1740" s="75"/>
      <c r="AU1740" s="75"/>
      <c r="AV1740" s="75"/>
      <c r="AW1740" s="75"/>
      <c r="AX1740" s="75"/>
      <c r="AY1740" s="67"/>
      <c r="AZ1740" s="75"/>
      <c r="BA1740" s="67"/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8"/>
      <c r="BL1740" s="78"/>
      <c r="BM1740" s="78"/>
      <c r="BN1740" s="78"/>
      <c r="BO1740" s="66"/>
      <c r="BP1740" s="66"/>
    </row>
    <row r="1741" spans="1:68" ht="13.2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/>
      <c r="AQ1741" s="75"/>
      <c r="AR1741" s="75"/>
      <c r="AS1741" s="75"/>
      <c r="AT1741" s="75"/>
      <c r="AU1741" s="75"/>
      <c r="AV1741" s="75"/>
      <c r="AW1741" s="75"/>
      <c r="AX1741" s="75"/>
      <c r="AY1741" s="67"/>
      <c r="AZ1741" s="75"/>
      <c r="BA1741" s="67"/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8"/>
      <c r="BL1741" s="78"/>
      <c r="BM1741" s="78"/>
      <c r="BN1741" s="78"/>
      <c r="BO1741" s="66"/>
      <c r="BP1741" s="66"/>
    </row>
    <row r="1742" spans="1:68" ht="13.2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/>
      <c r="AQ1742" s="75"/>
      <c r="AR1742" s="75"/>
      <c r="AS1742" s="75"/>
      <c r="AT1742" s="75"/>
      <c r="AU1742" s="75"/>
      <c r="AV1742" s="75"/>
      <c r="AW1742" s="75"/>
      <c r="AX1742" s="75"/>
      <c r="AY1742" s="67"/>
      <c r="AZ1742" s="75"/>
      <c r="BA1742" s="67"/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8"/>
      <c r="BL1742" s="78"/>
      <c r="BM1742" s="78"/>
      <c r="BN1742" s="78"/>
      <c r="BO1742" s="66"/>
      <c r="BP1742" s="66"/>
    </row>
    <row r="1743" spans="1:68" ht="13.2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/>
      <c r="AQ1743" s="75"/>
      <c r="AR1743" s="75"/>
      <c r="AS1743" s="75"/>
      <c r="AT1743" s="75"/>
      <c r="AU1743" s="75"/>
      <c r="AV1743" s="75"/>
      <c r="AW1743" s="75"/>
      <c r="AX1743" s="75"/>
      <c r="AY1743" s="67"/>
      <c r="AZ1743" s="75"/>
      <c r="BA1743" s="67"/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8"/>
      <c r="BL1743" s="78"/>
      <c r="BM1743" s="78"/>
      <c r="BN1743" s="78"/>
      <c r="BO1743" s="66"/>
      <c r="BP1743" s="66"/>
    </row>
    <row r="1744" spans="1:68" ht="13.2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/>
      <c r="AQ1744" s="75"/>
      <c r="AR1744" s="75"/>
      <c r="AS1744" s="75"/>
      <c r="AT1744" s="75"/>
      <c r="AU1744" s="75"/>
      <c r="AV1744" s="75"/>
      <c r="AW1744" s="75"/>
      <c r="AX1744" s="75"/>
      <c r="AY1744" s="67"/>
      <c r="AZ1744" s="75"/>
      <c r="BA1744" s="67"/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8"/>
      <c r="BL1744" s="78"/>
      <c r="BM1744" s="78"/>
      <c r="BN1744" s="78"/>
      <c r="BO1744" s="66"/>
      <c r="BP1744" s="66"/>
    </row>
    <row r="1745" spans="1:68" ht="13.2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/>
      <c r="AQ1745" s="75"/>
      <c r="AR1745" s="75"/>
      <c r="AS1745" s="75"/>
      <c r="AT1745" s="75"/>
      <c r="AU1745" s="75"/>
      <c r="AV1745" s="75"/>
      <c r="AW1745" s="75"/>
      <c r="AX1745" s="75"/>
      <c r="AY1745" s="67"/>
      <c r="AZ1745" s="75"/>
      <c r="BA1745" s="67"/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8"/>
      <c r="BL1745" s="78"/>
      <c r="BM1745" s="78"/>
      <c r="BN1745" s="78"/>
      <c r="BO1745" s="66"/>
      <c r="BP1745" s="66"/>
    </row>
    <row r="1746" spans="1:68" ht="13.2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/>
      <c r="AQ1746" s="75"/>
      <c r="AR1746" s="75"/>
      <c r="AS1746" s="75"/>
      <c r="AT1746" s="75"/>
      <c r="AU1746" s="75"/>
      <c r="AV1746" s="75"/>
      <c r="AW1746" s="75"/>
      <c r="AX1746" s="75"/>
      <c r="AY1746" s="67"/>
      <c r="AZ1746" s="75"/>
      <c r="BA1746" s="67"/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8"/>
      <c r="BL1746" s="78"/>
      <c r="BM1746" s="78"/>
      <c r="BN1746" s="78"/>
      <c r="BO1746" s="66"/>
      <c r="BP1746" s="66"/>
    </row>
    <row r="1747" spans="1:68" ht="13.2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/>
      <c r="AQ1747" s="75"/>
      <c r="AR1747" s="75"/>
      <c r="AS1747" s="75"/>
      <c r="AT1747" s="75"/>
      <c r="AU1747" s="75"/>
      <c r="AV1747" s="75"/>
      <c r="AW1747" s="75"/>
      <c r="AX1747" s="75"/>
      <c r="AY1747" s="67"/>
      <c r="AZ1747" s="75"/>
      <c r="BA1747" s="67"/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8"/>
      <c r="BL1747" s="78"/>
      <c r="BM1747" s="78"/>
      <c r="BN1747" s="78"/>
      <c r="BO1747" s="66"/>
      <c r="BP1747" s="66"/>
    </row>
    <row r="1748" spans="1:68" ht="13.2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/>
      <c r="AQ1748" s="75"/>
      <c r="AR1748" s="75"/>
      <c r="AS1748" s="75"/>
      <c r="AT1748" s="75"/>
      <c r="AU1748" s="75"/>
      <c r="AV1748" s="75"/>
      <c r="AW1748" s="75"/>
      <c r="AX1748" s="75"/>
      <c r="AY1748" s="67"/>
      <c r="AZ1748" s="75"/>
      <c r="BA1748" s="67"/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8"/>
      <c r="BL1748" s="78"/>
      <c r="BM1748" s="78"/>
      <c r="BN1748" s="78"/>
      <c r="BO1748" s="66"/>
      <c r="BP1748" s="66"/>
    </row>
    <row r="1749" spans="1:68" ht="13.2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/>
      <c r="AQ1749" s="75"/>
      <c r="AR1749" s="75"/>
      <c r="AS1749" s="75"/>
      <c r="AT1749" s="75"/>
      <c r="AU1749" s="75"/>
      <c r="AV1749" s="75"/>
      <c r="AW1749" s="75"/>
      <c r="AX1749" s="75"/>
      <c r="AY1749" s="67"/>
      <c r="AZ1749" s="75"/>
      <c r="BA1749" s="67"/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8"/>
      <c r="BL1749" s="78"/>
      <c r="BM1749" s="78"/>
      <c r="BN1749" s="78"/>
      <c r="BO1749" s="66"/>
      <c r="BP1749" s="66"/>
    </row>
    <row r="1750" spans="1:68" ht="13.2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/>
      <c r="AQ1750" s="75"/>
      <c r="AR1750" s="75"/>
      <c r="AS1750" s="75"/>
      <c r="AT1750" s="75"/>
      <c r="AU1750" s="75"/>
      <c r="AV1750" s="75"/>
      <c r="AW1750" s="75"/>
      <c r="AX1750" s="75"/>
      <c r="AY1750" s="67"/>
      <c r="AZ1750" s="75"/>
      <c r="BA1750" s="67"/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8"/>
      <c r="BL1750" s="78"/>
      <c r="BM1750" s="78"/>
      <c r="BN1750" s="78"/>
      <c r="BO1750" s="66"/>
      <c r="BP1750" s="66"/>
    </row>
    <row r="1751" spans="1:68" ht="13.2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/>
      <c r="AQ1751" s="75"/>
      <c r="AR1751" s="75"/>
      <c r="AS1751" s="75"/>
      <c r="AT1751" s="75"/>
      <c r="AU1751" s="75"/>
      <c r="AV1751" s="75"/>
      <c r="AW1751" s="75"/>
      <c r="AX1751" s="75"/>
      <c r="AY1751" s="67"/>
      <c r="AZ1751" s="75"/>
      <c r="BA1751" s="67"/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8"/>
      <c r="BL1751" s="78"/>
      <c r="BM1751" s="78"/>
      <c r="BN1751" s="78"/>
      <c r="BO1751" s="66"/>
      <c r="BP1751" s="66"/>
    </row>
    <row r="1752" spans="1:68" ht="13.2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/>
      <c r="AQ1752" s="75"/>
      <c r="AR1752" s="75"/>
      <c r="AS1752" s="75"/>
      <c r="AT1752" s="75"/>
      <c r="AU1752" s="75"/>
      <c r="AV1752" s="75"/>
      <c r="AW1752" s="75"/>
      <c r="AX1752" s="75"/>
      <c r="AY1752" s="67"/>
      <c r="AZ1752" s="75"/>
      <c r="BA1752" s="67"/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8"/>
      <c r="BL1752" s="78"/>
      <c r="BM1752" s="78"/>
      <c r="BN1752" s="78"/>
      <c r="BO1752" s="66"/>
      <c r="BP1752" s="66"/>
    </row>
    <row r="1753" spans="1:68" ht="13.2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/>
      <c r="AQ1753" s="75"/>
      <c r="AR1753" s="75"/>
      <c r="AS1753" s="75"/>
      <c r="AT1753" s="75"/>
      <c r="AU1753" s="75"/>
      <c r="AV1753" s="75"/>
      <c r="AW1753" s="75"/>
      <c r="AX1753" s="75"/>
      <c r="AY1753" s="67"/>
      <c r="AZ1753" s="75"/>
      <c r="BA1753" s="67"/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8"/>
      <c r="BL1753" s="78"/>
      <c r="BM1753" s="78"/>
      <c r="BN1753" s="78"/>
      <c r="BO1753" s="66"/>
      <c r="BP1753" s="66"/>
    </row>
    <row r="1754" spans="1:68" ht="13.2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/>
      <c r="AQ1754" s="75"/>
      <c r="AR1754" s="75"/>
      <c r="AS1754" s="75"/>
      <c r="AT1754" s="75"/>
      <c r="AU1754" s="75"/>
      <c r="AV1754" s="75"/>
      <c r="AW1754" s="75"/>
      <c r="AX1754" s="75"/>
      <c r="AY1754" s="67"/>
      <c r="AZ1754" s="75"/>
      <c r="BA1754" s="67"/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8"/>
      <c r="BL1754" s="78"/>
      <c r="BM1754" s="78"/>
      <c r="BN1754" s="78"/>
      <c r="BO1754" s="66"/>
      <c r="BP1754" s="66"/>
    </row>
    <row r="1755" spans="1:68" ht="13.2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/>
      <c r="AQ1755" s="75"/>
      <c r="AR1755" s="75"/>
      <c r="AS1755" s="75"/>
      <c r="AT1755" s="75"/>
      <c r="AU1755" s="75"/>
      <c r="AV1755" s="75"/>
      <c r="AW1755" s="75"/>
      <c r="AX1755" s="75"/>
      <c r="AY1755" s="67"/>
      <c r="AZ1755" s="75"/>
      <c r="BA1755" s="67"/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8"/>
      <c r="BL1755" s="78"/>
      <c r="BM1755" s="78"/>
      <c r="BN1755" s="78"/>
      <c r="BO1755" s="66"/>
      <c r="BP1755" s="66"/>
    </row>
    <row r="1756" spans="1:68" ht="13.2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/>
      <c r="AQ1756" s="75"/>
      <c r="AR1756" s="75"/>
      <c r="AS1756" s="75"/>
      <c r="AT1756" s="75"/>
      <c r="AU1756" s="75"/>
      <c r="AV1756" s="75"/>
      <c r="AW1756" s="75"/>
      <c r="AX1756" s="75"/>
      <c r="AY1756" s="67"/>
      <c r="AZ1756" s="75"/>
      <c r="BA1756" s="67"/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8"/>
      <c r="BL1756" s="78"/>
      <c r="BM1756" s="78"/>
      <c r="BN1756" s="78"/>
      <c r="BO1756" s="66"/>
      <c r="BP1756" s="66"/>
    </row>
    <row r="1757" spans="1:68" ht="13.2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/>
      <c r="AQ1757" s="75"/>
      <c r="AR1757" s="75"/>
      <c r="AS1757" s="75"/>
      <c r="AT1757" s="75"/>
      <c r="AU1757" s="75"/>
      <c r="AV1757" s="75"/>
      <c r="AW1757" s="75"/>
      <c r="AX1757" s="75"/>
      <c r="AY1757" s="67"/>
      <c r="AZ1757" s="75"/>
      <c r="BA1757" s="67"/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8"/>
      <c r="BL1757" s="78"/>
      <c r="BM1757" s="78"/>
      <c r="BN1757" s="78"/>
      <c r="BO1757" s="66"/>
      <c r="BP1757" s="66"/>
    </row>
    <row r="1758" spans="1:68" ht="13.2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/>
      <c r="AQ1758" s="75"/>
      <c r="AR1758" s="75"/>
      <c r="AS1758" s="75"/>
      <c r="AT1758" s="75"/>
      <c r="AU1758" s="75"/>
      <c r="AV1758" s="75"/>
      <c r="AW1758" s="75"/>
      <c r="AX1758" s="75"/>
      <c r="AY1758" s="67"/>
      <c r="AZ1758" s="75"/>
      <c r="BA1758" s="67"/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8"/>
      <c r="BL1758" s="78"/>
      <c r="BM1758" s="78"/>
      <c r="BN1758" s="78"/>
      <c r="BO1758" s="66"/>
      <c r="BP1758" s="66"/>
    </row>
    <row r="1759" spans="1:68" ht="13.2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/>
      <c r="AQ1759" s="75"/>
      <c r="AR1759" s="75"/>
      <c r="AS1759" s="75"/>
      <c r="AT1759" s="75"/>
      <c r="AU1759" s="75"/>
      <c r="AV1759" s="75"/>
      <c r="AW1759" s="75"/>
      <c r="AX1759" s="75"/>
      <c r="AY1759" s="67"/>
      <c r="AZ1759" s="75"/>
      <c r="BA1759" s="67"/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8"/>
      <c r="BL1759" s="78"/>
      <c r="BM1759" s="78"/>
      <c r="BN1759" s="78"/>
      <c r="BO1759" s="66"/>
      <c r="BP1759" s="66"/>
    </row>
    <row r="1760" spans="1:68" ht="13.2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/>
      <c r="AQ1760" s="75"/>
      <c r="AR1760" s="75"/>
      <c r="AS1760" s="75"/>
      <c r="AT1760" s="75"/>
      <c r="AU1760" s="75"/>
      <c r="AV1760" s="75"/>
      <c r="AW1760" s="75"/>
      <c r="AX1760" s="75"/>
      <c r="AY1760" s="67"/>
      <c r="AZ1760" s="75"/>
      <c r="BA1760" s="67"/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8"/>
      <c r="BL1760" s="78"/>
      <c r="BM1760" s="78"/>
      <c r="BN1760" s="78"/>
      <c r="BO1760" s="66"/>
      <c r="BP1760" s="66"/>
    </row>
    <row r="1761" spans="1:68" ht="13.2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/>
      <c r="AQ1761" s="75"/>
      <c r="AR1761" s="75"/>
      <c r="AS1761" s="75"/>
      <c r="AT1761" s="75"/>
      <c r="AU1761" s="75"/>
      <c r="AV1761" s="75"/>
      <c r="AW1761" s="75"/>
      <c r="AX1761" s="75"/>
      <c r="AY1761" s="67"/>
      <c r="AZ1761" s="75"/>
      <c r="BA1761" s="67"/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8"/>
      <c r="BL1761" s="78"/>
      <c r="BM1761" s="78"/>
      <c r="BN1761" s="78"/>
      <c r="BO1761" s="66"/>
      <c r="BP1761" s="66"/>
    </row>
    <row r="1762" spans="1:68" ht="13.2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/>
      <c r="AQ1762" s="75"/>
      <c r="AR1762" s="75"/>
      <c r="AS1762" s="75"/>
      <c r="AT1762" s="75"/>
      <c r="AU1762" s="75"/>
      <c r="AV1762" s="75"/>
      <c r="AW1762" s="75"/>
      <c r="AX1762" s="75"/>
      <c r="AY1762" s="67"/>
      <c r="AZ1762" s="75"/>
      <c r="BA1762" s="67"/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8"/>
      <c r="BL1762" s="78"/>
      <c r="BM1762" s="78"/>
      <c r="BN1762" s="78"/>
      <c r="BO1762" s="66"/>
      <c r="BP1762" s="66"/>
    </row>
    <row r="1763" spans="1:68" ht="13.2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/>
      <c r="AQ1763" s="75"/>
      <c r="AR1763" s="75"/>
      <c r="AS1763" s="75"/>
      <c r="AT1763" s="75"/>
      <c r="AU1763" s="75"/>
      <c r="AV1763" s="75"/>
      <c r="AW1763" s="75"/>
      <c r="AX1763" s="75"/>
      <c r="AY1763" s="67"/>
      <c r="AZ1763" s="75"/>
      <c r="BA1763" s="67"/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8"/>
      <c r="BL1763" s="78"/>
      <c r="BM1763" s="78"/>
      <c r="BN1763" s="78"/>
      <c r="BO1763" s="66"/>
      <c r="BP1763" s="66"/>
    </row>
    <row r="1764" spans="1:68" ht="13.2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/>
      <c r="AQ1764" s="75"/>
      <c r="AR1764" s="75"/>
      <c r="AS1764" s="75"/>
      <c r="AT1764" s="75"/>
      <c r="AU1764" s="75"/>
      <c r="AV1764" s="75"/>
      <c r="AW1764" s="75"/>
      <c r="AX1764" s="75"/>
      <c r="AY1764" s="67"/>
      <c r="AZ1764" s="75"/>
      <c r="BA1764" s="67"/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8"/>
      <c r="BL1764" s="78"/>
      <c r="BM1764" s="78"/>
      <c r="BN1764" s="78"/>
      <c r="BO1764" s="66"/>
      <c r="BP1764" s="66"/>
    </row>
    <row r="1765" spans="1:68" ht="13.2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/>
      <c r="AQ1765" s="75"/>
      <c r="AR1765" s="75"/>
      <c r="AS1765" s="75"/>
      <c r="AT1765" s="75"/>
      <c r="AU1765" s="75"/>
      <c r="AV1765" s="75"/>
      <c r="AW1765" s="75"/>
      <c r="AX1765" s="75"/>
      <c r="AY1765" s="67"/>
      <c r="AZ1765" s="75"/>
      <c r="BA1765" s="67"/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8"/>
      <c r="BL1765" s="78"/>
      <c r="BM1765" s="78"/>
      <c r="BN1765" s="78"/>
      <c r="BO1765" s="66"/>
      <c r="BP1765" s="66"/>
    </row>
    <row r="1766" spans="1:68" ht="13.2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/>
      <c r="AQ1766" s="75"/>
      <c r="AR1766" s="75"/>
      <c r="AS1766" s="75"/>
      <c r="AT1766" s="75"/>
      <c r="AU1766" s="75"/>
      <c r="AV1766" s="75"/>
      <c r="AW1766" s="75"/>
      <c r="AX1766" s="75"/>
      <c r="AY1766" s="67"/>
      <c r="AZ1766" s="75"/>
      <c r="BA1766" s="67"/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8"/>
      <c r="BL1766" s="78"/>
      <c r="BM1766" s="78"/>
      <c r="BN1766" s="78"/>
      <c r="BO1766" s="66"/>
      <c r="BP1766" s="66"/>
    </row>
    <row r="1767" spans="1:68" ht="13.2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/>
      <c r="AQ1767" s="75"/>
      <c r="AR1767" s="75"/>
      <c r="AS1767" s="75"/>
      <c r="AT1767" s="75"/>
      <c r="AU1767" s="75"/>
      <c r="AV1767" s="75"/>
      <c r="AW1767" s="75"/>
      <c r="AX1767" s="75"/>
      <c r="AY1767" s="67"/>
      <c r="AZ1767" s="75"/>
      <c r="BA1767" s="67"/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8"/>
      <c r="BL1767" s="78"/>
      <c r="BM1767" s="78"/>
      <c r="BN1767" s="78"/>
      <c r="BO1767" s="66"/>
      <c r="BP1767" s="66"/>
    </row>
    <row r="1768" spans="1:68" ht="13.2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/>
      <c r="AQ1768" s="75"/>
      <c r="AR1768" s="75"/>
      <c r="AS1768" s="75"/>
      <c r="AT1768" s="75"/>
      <c r="AU1768" s="75"/>
      <c r="AV1768" s="75"/>
      <c r="AW1768" s="75"/>
      <c r="AX1768" s="75"/>
      <c r="AY1768" s="67"/>
      <c r="AZ1768" s="75"/>
      <c r="BA1768" s="67"/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8"/>
      <c r="BL1768" s="78"/>
      <c r="BM1768" s="78"/>
      <c r="BN1768" s="78"/>
      <c r="BO1768" s="66"/>
      <c r="BP1768" s="66"/>
    </row>
    <row r="1769" spans="1:68" ht="13.2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/>
      <c r="AQ1769" s="75"/>
      <c r="AR1769" s="75"/>
      <c r="AS1769" s="75"/>
      <c r="AT1769" s="75"/>
      <c r="AU1769" s="75"/>
      <c r="AV1769" s="75"/>
      <c r="AW1769" s="75"/>
      <c r="AX1769" s="75"/>
      <c r="AY1769" s="67"/>
      <c r="AZ1769" s="75"/>
      <c r="BA1769" s="67"/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8"/>
      <c r="BL1769" s="78"/>
      <c r="BM1769" s="78"/>
      <c r="BN1769" s="78"/>
      <c r="BO1769" s="66"/>
      <c r="BP1769" s="66"/>
    </row>
    <row r="1770" spans="1:68" ht="13.2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/>
      <c r="AQ1770" s="75"/>
      <c r="AR1770" s="75"/>
      <c r="AS1770" s="75"/>
      <c r="AT1770" s="75"/>
      <c r="AU1770" s="75"/>
      <c r="AV1770" s="75"/>
      <c r="AW1770" s="75"/>
      <c r="AX1770" s="75"/>
      <c r="AY1770" s="67"/>
      <c r="AZ1770" s="75"/>
      <c r="BA1770" s="67"/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8"/>
      <c r="BL1770" s="78"/>
      <c r="BM1770" s="78"/>
      <c r="BN1770" s="78"/>
      <c r="BO1770" s="66"/>
      <c r="BP1770" s="66"/>
    </row>
    <row r="1771" spans="1:68" ht="13.2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/>
      <c r="AQ1771" s="75"/>
      <c r="AR1771" s="75"/>
      <c r="AS1771" s="75"/>
      <c r="AT1771" s="75"/>
      <c r="AU1771" s="75"/>
      <c r="AV1771" s="75"/>
      <c r="AW1771" s="75"/>
      <c r="AX1771" s="75"/>
      <c r="AY1771" s="67"/>
      <c r="AZ1771" s="75"/>
      <c r="BA1771" s="67"/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8"/>
      <c r="BL1771" s="78"/>
      <c r="BM1771" s="78"/>
      <c r="BN1771" s="78"/>
      <c r="BO1771" s="66"/>
      <c r="BP1771" s="66"/>
    </row>
    <row r="1772" spans="1:68" ht="13.2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/>
      <c r="AQ1772" s="75"/>
      <c r="AR1772" s="75"/>
      <c r="AS1772" s="75"/>
      <c r="AT1772" s="75"/>
      <c r="AU1772" s="75"/>
      <c r="AV1772" s="75"/>
      <c r="AW1772" s="75"/>
      <c r="AX1772" s="75"/>
      <c r="AY1772" s="67"/>
      <c r="AZ1772" s="75"/>
      <c r="BA1772" s="67"/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8"/>
      <c r="BL1772" s="78"/>
      <c r="BM1772" s="78"/>
      <c r="BN1772" s="78"/>
      <c r="BO1772" s="66"/>
      <c r="BP1772" s="66"/>
    </row>
    <row r="1773" spans="1:68" ht="13.2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/>
      <c r="AQ1773" s="75"/>
      <c r="AR1773" s="75"/>
      <c r="AS1773" s="75"/>
      <c r="AT1773" s="75"/>
      <c r="AU1773" s="75"/>
      <c r="AV1773" s="75"/>
      <c r="AW1773" s="75"/>
      <c r="AX1773" s="75"/>
      <c r="AY1773" s="67"/>
      <c r="AZ1773" s="75"/>
      <c r="BA1773" s="67"/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8"/>
      <c r="BL1773" s="78"/>
      <c r="BM1773" s="78"/>
      <c r="BN1773" s="78"/>
      <c r="BO1773" s="66"/>
      <c r="BP1773" s="66"/>
    </row>
    <row r="1774" spans="1:68" ht="13.2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/>
      <c r="AQ1774" s="75"/>
      <c r="AR1774" s="75"/>
      <c r="AS1774" s="75"/>
      <c r="AT1774" s="75"/>
      <c r="AU1774" s="75"/>
      <c r="AV1774" s="75"/>
      <c r="AW1774" s="75"/>
      <c r="AX1774" s="75"/>
      <c r="AY1774" s="67"/>
      <c r="AZ1774" s="75"/>
      <c r="BA1774" s="67"/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8"/>
      <c r="BL1774" s="78"/>
      <c r="BM1774" s="78"/>
      <c r="BN1774" s="78"/>
      <c r="BO1774" s="66"/>
      <c r="BP1774" s="66"/>
    </row>
    <row r="1775" spans="1:68" ht="13.2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/>
      <c r="AQ1775" s="75"/>
      <c r="AR1775" s="75"/>
      <c r="AS1775" s="75"/>
      <c r="AT1775" s="75"/>
      <c r="AU1775" s="75"/>
      <c r="AV1775" s="75"/>
      <c r="AW1775" s="75"/>
      <c r="AX1775" s="75"/>
      <c r="AY1775" s="67"/>
      <c r="AZ1775" s="75"/>
      <c r="BA1775" s="67"/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8"/>
      <c r="BL1775" s="78"/>
      <c r="BM1775" s="78"/>
      <c r="BN1775" s="78"/>
      <c r="BO1775" s="66"/>
      <c r="BP1775" s="66"/>
    </row>
    <row r="1776" spans="1:68" ht="13.2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/>
      <c r="AQ1776" s="75"/>
      <c r="AR1776" s="75"/>
      <c r="AS1776" s="75"/>
      <c r="AT1776" s="75"/>
      <c r="AU1776" s="75"/>
      <c r="AV1776" s="75"/>
      <c r="AW1776" s="75"/>
      <c r="AX1776" s="75"/>
      <c r="AY1776" s="67"/>
      <c r="AZ1776" s="75"/>
      <c r="BA1776" s="67"/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8"/>
      <c r="BL1776" s="78"/>
      <c r="BM1776" s="78"/>
      <c r="BN1776" s="78"/>
      <c r="BO1776" s="66"/>
      <c r="BP1776" s="66"/>
    </row>
    <row r="1777" spans="1:68" ht="13.2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/>
      <c r="AQ1777" s="75"/>
      <c r="AR1777" s="75"/>
      <c r="AS1777" s="75"/>
      <c r="AT1777" s="75"/>
      <c r="AU1777" s="75"/>
      <c r="AV1777" s="75"/>
      <c r="AW1777" s="75"/>
      <c r="AX1777" s="75"/>
      <c r="AY1777" s="67"/>
      <c r="AZ1777" s="75"/>
      <c r="BA1777" s="67"/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8"/>
      <c r="BL1777" s="78"/>
      <c r="BM1777" s="78"/>
      <c r="BN1777" s="78"/>
      <c r="BO1777" s="66"/>
      <c r="BP1777" s="66"/>
    </row>
    <row r="1778" spans="1:68" ht="13.2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/>
      <c r="AQ1778" s="75"/>
      <c r="AR1778" s="75"/>
      <c r="AS1778" s="75"/>
      <c r="AT1778" s="75"/>
      <c r="AU1778" s="75"/>
      <c r="AV1778" s="75"/>
      <c r="AW1778" s="75"/>
      <c r="AX1778" s="75"/>
      <c r="AY1778" s="67"/>
      <c r="AZ1778" s="75"/>
      <c r="BA1778" s="67"/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8"/>
      <c r="BL1778" s="78"/>
      <c r="BM1778" s="78"/>
      <c r="BN1778" s="78"/>
      <c r="BO1778" s="66"/>
      <c r="BP1778" s="66"/>
    </row>
    <row r="1779" spans="1:68" ht="13.2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/>
      <c r="AQ1779" s="75"/>
      <c r="AR1779" s="75"/>
      <c r="AS1779" s="75"/>
      <c r="AT1779" s="75"/>
      <c r="AU1779" s="75"/>
      <c r="AV1779" s="75"/>
      <c r="AW1779" s="75"/>
      <c r="AX1779" s="75"/>
      <c r="AY1779" s="67"/>
      <c r="AZ1779" s="75"/>
      <c r="BA1779" s="67"/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8"/>
      <c r="BL1779" s="78"/>
      <c r="BM1779" s="78"/>
      <c r="BN1779" s="78"/>
      <c r="BO1779" s="66"/>
      <c r="BP1779" s="66"/>
    </row>
    <row r="1780" spans="1:68" ht="13.2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/>
      <c r="AQ1780" s="75"/>
      <c r="AR1780" s="75"/>
      <c r="AS1780" s="75"/>
      <c r="AT1780" s="75"/>
      <c r="AU1780" s="75"/>
      <c r="AV1780" s="75"/>
      <c r="AW1780" s="75"/>
      <c r="AX1780" s="75"/>
      <c r="AY1780" s="67"/>
      <c r="AZ1780" s="75"/>
      <c r="BA1780" s="67"/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8"/>
      <c r="BL1780" s="78"/>
      <c r="BM1780" s="78"/>
      <c r="BN1780" s="78"/>
      <c r="BO1780" s="66"/>
      <c r="BP1780" s="66"/>
    </row>
    <row r="1781" spans="1:68" ht="13.2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/>
      <c r="AQ1781" s="75"/>
      <c r="AR1781" s="75"/>
      <c r="AS1781" s="75"/>
      <c r="AT1781" s="75"/>
      <c r="AU1781" s="75"/>
      <c r="AV1781" s="75"/>
      <c r="AW1781" s="75"/>
      <c r="AX1781" s="75"/>
      <c r="AY1781" s="67"/>
      <c r="AZ1781" s="75"/>
      <c r="BA1781" s="67"/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8"/>
      <c r="BL1781" s="78"/>
      <c r="BM1781" s="78"/>
      <c r="BN1781" s="78"/>
      <c r="BO1781" s="66"/>
      <c r="BP1781" s="66"/>
    </row>
    <row r="1782" spans="1:68" ht="13.2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/>
      <c r="AQ1782" s="75"/>
      <c r="AR1782" s="75"/>
      <c r="AS1782" s="75"/>
      <c r="AT1782" s="75"/>
      <c r="AU1782" s="75"/>
      <c r="AV1782" s="75"/>
      <c r="AW1782" s="75"/>
      <c r="AX1782" s="75"/>
      <c r="AY1782" s="67"/>
      <c r="AZ1782" s="75"/>
      <c r="BA1782" s="67"/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8"/>
      <c r="BL1782" s="78"/>
      <c r="BM1782" s="78"/>
      <c r="BN1782" s="78"/>
      <c r="BO1782" s="66"/>
      <c r="BP1782" s="66"/>
    </row>
    <row r="1783" spans="1:68" ht="13.2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/>
      <c r="AQ1783" s="75"/>
      <c r="AR1783" s="75"/>
      <c r="AS1783" s="75"/>
      <c r="AT1783" s="75"/>
      <c r="AU1783" s="75"/>
      <c r="AV1783" s="75"/>
      <c r="AW1783" s="75"/>
      <c r="AX1783" s="75"/>
      <c r="AY1783" s="67"/>
      <c r="AZ1783" s="75"/>
      <c r="BA1783" s="67"/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8"/>
      <c r="BL1783" s="78"/>
      <c r="BM1783" s="78"/>
      <c r="BN1783" s="78"/>
      <c r="BO1783" s="66"/>
      <c r="BP1783" s="66"/>
    </row>
    <row r="1784" spans="1:68" ht="13.2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/>
      <c r="AQ1784" s="75"/>
      <c r="AR1784" s="75"/>
      <c r="AS1784" s="75"/>
      <c r="AT1784" s="75"/>
      <c r="AU1784" s="75"/>
      <c r="AV1784" s="75"/>
      <c r="AW1784" s="75"/>
      <c r="AX1784" s="75"/>
      <c r="AY1784" s="67"/>
      <c r="AZ1784" s="75"/>
      <c r="BA1784" s="67"/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8"/>
      <c r="BL1784" s="78"/>
      <c r="BM1784" s="78"/>
      <c r="BN1784" s="78"/>
      <c r="BO1784" s="66"/>
      <c r="BP1784" s="66"/>
    </row>
    <row r="1785" spans="1:68" ht="13.2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/>
      <c r="AQ1785" s="75"/>
      <c r="AR1785" s="75"/>
      <c r="AS1785" s="75"/>
      <c r="AT1785" s="75"/>
      <c r="AU1785" s="75"/>
      <c r="AV1785" s="75"/>
      <c r="AW1785" s="75"/>
      <c r="AX1785" s="75"/>
      <c r="AY1785" s="67"/>
      <c r="AZ1785" s="75"/>
      <c r="BA1785" s="67"/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8"/>
      <c r="BL1785" s="78"/>
      <c r="BM1785" s="78"/>
      <c r="BN1785" s="78"/>
      <c r="BO1785" s="66"/>
      <c r="BP1785" s="66"/>
    </row>
    <row r="1786" spans="1:68" ht="13.2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/>
      <c r="AQ1786" s="75"/>
      <c r="AR1786" s="75"/>
      <c r="AS1786" s="75"/>
      <c r="AT1786" s="75"/>
      <c r="AU1786" s="75"/>
      <c r="AV1786" s="75"/>
      <c r="AW1786" s="75"/>
      <c r="AX1786" s="75"/>
      <c r="AY1786" s="67"/>
      <c r="AZ1786" s="75"/>
      <c r="BA1786" s="67"/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8"/>
      <c r="BL1786" s="78"/>
      <c r="BM1786" s="78"/>
      <c r="BN1786" s="78"/>
      <c r="BO1786" s="66"/>
      <c r="BP1786" s="66"/>
    </row>
    <row r="1787" spans="1:68" ht="13.2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/>
      <c r="AQ1787" s="75"/>
      <c r="AR1787" s="75"/>
      <c r="AS1787" s="75"/>
      <c r="AT1787" s="75"/>
      <c r="AU1787" s="75"/>
      <c r="AV1787" s="75"/>
      <c r="AW1787" s="75"/>
      <c r="AX1787" s="75"/>
      <c r="AY1787" s="67"/>
      <c r="AZ1787" s="75"/>
      <c r="BA1787" s="67"/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8"/>
      <c r="BL1787" s="78"/>
      <c r="BM1787" s="78"/>
      <c r="BN1787" s="78"/>
      <c r="BO1787" s="66"/>
      <c r="BP1787" s="66"/>
    </row>
    <row r="1788" spans="1:68" ht="13.2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/>
      <c r="AQ1788" s="75"/>
      <c r="AR1788" s="75"/>
      <c r="AS1788" s="75"/>
      <c r="AT1788" s="75"/>
      <c r="AU1788" s="75"/>
      <c r="AV1788" s="75"/>
      <c r="AW1788" s="75"/>
      <c r="AX1788" s="75"/>
      <c r="AY1788" s="67"/>
      <c r="AZ1788" s="75"/>
      <c r="BA1788" s="67"/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8"/>
      <c r="BL1788" s="78"/>
      <c r="BM1788" s="78"/>
      <c r="BN1788" s="78"/>
      <c r="BO1788" s="66"/>
      <c r="BP1788" s="66"/>
    </row>
    <row r="1789" spans="1:68" ht="13.2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/>
      <c r="AQ1789" s="75"/>
      <c r="AR1789" s="75"/>
      <c r="AS1789" s="75"/>
      <c r="AT1789" s="75"/>
      <c r="AU1789" s="75"/>
      <c r="AV1789" s="75"/>
      <c r="AW1789" s="75"/>
      <c r="AX1789" s="75"/>
      <c r="AY1789" s="67"/>
      <c r="AZ1789" s="75"/>
      <c r="BA1789" s="67"/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8"/>
      <c r="BL1789" s="78"/>
      <c r="BM1789" s="78"/>
      <c r="BN1789" s="78"/>
      <c r="BO1789" s="66"/>
      <c r="BP1789" s="66"/>
    </row>
    <row r="1790" spans="1:68" ht="13.2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/>
      <c r="AQ1790" s="75"/>
      <c r="AR1790" s="75"/>
      <c r="AS1790" s="75"/>
      <c r="AT1790" s="75"/>
      <c r="AU1790" s="75"/>
      <c r="AV1790" s="75"/>
      <c r="AW1790" s="75"/>
      <c r="AX1790" s="75"/>
      <c r="AY1790" s="67"/>
      <c r="AZ1790" s="75"/>
      <c r="BA1790" s="67"/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8"/>
      <c r="BL1790" s="78"/>
      <c r="BM1790" s="78"/>
      <c r="BN1790" s="78"/>
      <c r="BO1790" s="66"/>
      <c r="BP1790" s="66"/>
    </row>
    <row r="1791" spans="1:68" ht="13.2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/>
      <c r="AQ1791" s="75"/>
      <c r="AR1791" s="75"/>
      <c r="AS1791" s="75"/>
      <c r="AT1791" s="75"/>
      <c r="AU1791" s="75"/>
      <c r="AV1791" s="75"/>
      <c r="AW1791" s="75"/>
      <c r="AX1791" s="75"/>
      <c r="AY1791" s="67"/>
      <c r="AZ1791" s="75"/>
      <c r="BA1791" s="67"/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8"/>
      <c r="BL1791" s="78"/>
      <c r="BM1791" s="78"/>
      <c r="BN1791" s="78"/>
      <c r="BO1791" s="66"/>
      <c r="BP1791" s="66"/>
    </row>
    <row r="1792" spans="1:68" ht="13.2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/>
      <c r="AQ1792" s="75"/>
      <c r="AR1792" s="75"/>
      <c r="AS1792" s="75"/>
      <c r="AT1792" s="75"/>
      <c r="AU1792" s="75"/>
      <c r="AV1792" s="75"/>
      <c r="AW1792" s="75"/>
      <c r="AX1792" s="75"/>
      <c r="AY1792" s="67"/>
      <c r="AZ1792" s="75"/>
      <c r="BA1792" s="67"/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8"/>
      <c r="BL1792" s="78"/>
      <c r="BM1792" s="78"/>
      <c r="BN1792" s="78"/>
      <c r="BO1792" s="66"/>
      <c r="BP1792" s="66"/>
    </row>
    <row r="1793" spans="1:68" ht="13.2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/>
      <c r="AQ1793" s="75"/>
      <c r="AR1793" s="75"/>
      <c r="AS1793" s="75"/>
      <c r="AT1793" s="75"/>
      <c r="AU1793" s="75"/>
      <c r="AV1793" s="75"/>
      <c r="AW1793" s="75"/>
      <c r="AX1793" s="75"/>
      <c r="AY1793" s="67"/>
      <c r="AZ1793" s="75"/>
      <c r="BA1793" s="67"/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8"/>
      <c r="BL1793" s="78"/>
      <c r="BM1793" s="78"/>
      <c r="BN1793" s="78"/>
      <c r="BO1793" s="66"/>
      <c r="BP1793" s="66"/>
    </row>
    <row r="1794" spans="1:68" ht="13.2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/>
      <c r="AQ1794" s="75"/>
      <c r="AR1794" s="75"/>
      <c r="AS1794" s="75"/>
      <c r="AT1794" s="75"/>
      <c r="AU1794" s="75"/>
      <c r="AV1794" s="75"/>
      <c r="AW1794" s="75"/>
      <c r="AX1794" s="75"/>
      <c r="AY1794" s="67"/>
      <c r="AZ1794" s="75"/>
      <c r="BA1794" s="67"/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8"/>
      <c r="BL1794" s="78"/>
      <c r="BM1794" s="78"/>
      <c r="BN1794" s="78"/>
      <c r="BO1794" s="66"/>
      <c r="BP1794" s="66"/>
    </row>
    <row r="1795" spans="1:68" ht="13.2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/>
      <c r="AQ1795" s="75"/>
      <c r="AR1795" s="75"/>
      <c r="AS1795" s="75"/>
      <c r="AT1795" s="75"/>
      <c r="AU1795" s="75"/>
      <c r="AV1795" s="75"/>
      <c r="AW1795" s="75"/>
      <c r="AX1795" s="75"/>
      <c r="AY1795" s="67"/>
      <c r="AZ1795" s="75"/>
      <c r="BA1795" s="67"/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8"/>
      <c r="BL1795" s="78"/>
      <c r="BM1795" s="78"/>
      <c r="BN1795" s="78"/>
      <c r="BO1795" s="66"/>
      <c r="BP1795" s="66"/>
    </row>
    <row r="1796" spans="1:68" ht="13.2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/>
      <c r="AQ1796" s="75"/>
      <c r="AR1796" s="75"/>
      <c r="AS1796" s="75"/>
      <c r="AT1796" s="75"/>
      <c r="AU1796" s="75"/>
      <c r="AV1796" s="75"/>
      <c r="AW1796" s="75"/>
      <c r="AX1796" s="75"/>
      <c r="AY1796" s="67"/>
      <c r="AZ1796" s="75"/>
      <c r="BA1796" s="67"/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8"/>
      <c r="BL1796" s="78"/>
      <c r="BM1796" s="78"/>
      <c r="BN1796" s="78"/>
      <c r="BO1796" s="66"/>
      <c r="BP1796" s="66"/>
    </row>
    <row r="1797" spans="1:68" ht="13.2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/>
      <c r="AQ1797" s="75"/>
      <c r="AR1797" s="75"/>
      <c r="AS1797" s="75"/>
      <c r="AT1797" s="75"/>
      <c r="AU1797" s="75"/>
      <c r="AV1797" s="75"/>
      <c r="AW1797" s="75"/>
      <c r="AX1797" s="75"/>
      <c r="AY1797" s="67"/>
      <c r="AZ1797" s="75"/>
      <c r="BA1797" s="67"/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8"/>
      <c r="BL1797" s="78"/>
      <c r="BM1797" s="78"/>
      <c r="BN1797" s="78"/>
      <c r="BO1797" s="66"/>
      <c r="BP1797" s="66"/>
    </row>
    <row r="1798" spans="1:68" ht="13.2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/>
      <c r="AQ1798" s="75"/>
      <c r="AR1798" s="75"/>
      <c r="AS1798" s="75"/>
      <c r="AT1798" s="75"/>
      <c r="AU1798" s="75"/>
      <c r="AV1798" s="75"/>
      <c r="AW1798" s="75"/>
      <c r="AX1798" s="75"/>
      <c r="AY1798" s="67"/>
      <c r="AZ1798" s="75"/>
      <c r="BA1798" s="67"/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8"/>
      <c r="BL1798" s="78"/>
      <c r="BM1798" s="78"/>
      <c r="BN1798" s="78"/>
      <c r="BO1798" s="66"/>
      <c r="BP1798" s="66"/>
    </row>
    <row r="1799" spans="1:68" ht="13.2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/>
      <c r="AQ1799" s="75"/>
      <c r="AR1799" s="75"/>
      <c r="AS1799" s="75"/>
      <c r="AT1799" s="75"/>
      <c r="AU1799" s="75"/>
      <c r="AV1799" s="75"/>
      <c r="AW1799" s="75"/>
      <c r="AX1799" s="75"/>
      <c r="AY1799" s="67"/>
      <c r="AZ1799" s="75"/>
      <c r="BA1799" s="67"/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8"/>
      <c r="BL1799" s="78"/>
      <c r="BM1799" s="78"/>
      <c r="BN1799" s="78"/>
      <c r="BO1799" s="66"/>
      <c r="BP1799" s="66"/>
    </row>
    <row r="1800" spans="1:68" ht="13.2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/>
      <c r="AQ1800" s="75"/>
      <c r="AR1800" s="75"/>
      <c r="AS1800" s="75"/>
      <c r="AT1800" s="75"/>
      <c r="AU1800" s="75"/>
      <c r="AV1800" s="75"/>
      <c r="AW1800" s="75"/>
      <c r="AX1800" s="75"/>
      <c r="AY1800" s="67"/>
      <c r="AZ1800" s="75"/>
      <c r="BA1800" s="67"/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8"/>
      <c r="BL1800" s="78"/>
      <c r="BM1800" s="78"/>
      <c r="BN1800" s="78"/>
      <c r="BO1800" s="66"/>
      <c r="BP1800" s="66"/>
    </row>
    <row r="1801" spans="1:68" ht="13.2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/>
      <c r="AQ1801" s="75"/>
      <c r="AR1801" s="75"/>
      <c r="AS1801" s="75"/>
      <c r="AT1801" s="75"/>
      <c r="AU1801" s="75"/>
      <c r="AV1801" s="75"/>
      <c r="AW1801" s="75"/>
      <c r="AX1801" s="75"/>
      <c r="AY1801" s="67"/>
      <c r="AZ1801" s="75"/>
      <c r="BA1801" s="67"/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8"/>
      <c r="BL1801" s="78"/>
      <c r="BM1801" s="78"/>
      <c r="BN1801" s="78"/>
      <c r="BO1801" s="66"/>
      <c r="BP1801" s="66"/>
    </row>
    <row r="1802" spans="1:68" ht="13.2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/>
      <c r="AQ1802" s="75"/>
      <c r="AR1802" s="75"/>
      <c r="AS1802" s="75"/>
      <c r="AT1802" s="75"/>
      <c r="AU1802" s="75"/>
      <c r="AV1802" s="75"/>
      <c r="AW1802" s="75"/>
      <c r="AX1802" s="75"/>
      <c r="AY1802" s="67"/>
      <c r="AZ1802" s="75"/>
      <c r="BA1802" s="67"/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8"/>
      <c r="BL1802" s="78"/>
      <c r="BM1802" s="78"/>
      <c r="BN1802" s="78"/>
      <c r="BO1802" s="66"/>
      <c r="BP1802" s="66"/>
    </row>
    <row r="1803" spans="1:68" ht="13.2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/>
      <c r="AQ1803" s="75"/>
      <c r="AR1803" s="75"/>
      <c r="AS1803" s="75"/>
      <c r="AT1803" s="75"/>
      <c r="AU1803" s="75"/>
      <c r="AV1803" s="75"/>
      <c r="AW1803" s="75"/>
      <c r="AX1803" s="75"/>
      <c r="AY1803" s="67"/>
      <c r="AZ1803" s="75"/>
      <c r="BA1803" s="67"/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8"/>
      <c r="BL1803" s="78"/>
      <c r="BM1803" s="78"/>
      <c r="BN1803" s="78"/>
      <c r="BO1803" s="66"/>
      <c r="BP1803" s="66"/>
    </row>
    <row r="1804" spans="1:68" ht="13.2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/>
      <c r="AQ1804" s="75"/>
      <c r="AR1804" s="75"/>
      <c r="AS1804" s="75"/>
      <c r="AT1804" s="75"/>
      <c r="AU1804" s="75"/>
      <c r="AV1804" s="75"/>
      <c r="AW1804" s="75"/>
      <c r="AX1804" s="75"/>
      <c r="AY1804" s="67"/>
      <c r="AZ1804" s="75"/>
      <c r="BA1804" s="67"/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8"/>
      <c r="BL1804" s="78"/>
      <c r="BM1804" s="78"/>
      <c r="BN1804" s="78"/>
      <c r="BO1804" s="66"/>
      <c r="BP1804" s="66"/>
    </row>
    <row r="1805" spans="1:68" ht="13.2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/>
      <c r="AQ1805" s="75"/>
      <c r="AR1805" s="75"/>
      <c r="AS1805" s="75"/>
      <c r="AT1805" s="75"/>
      <c r="AU1805" s="75"/>
      <c r="AV1805" s="75"/>
      <c r="AW1805" s="75"/>
      <c r="AX1805" s="75"/>
      <c r="AY1805" s="67"/>
      <c r="AZ1805" s="75"/>
      <c r="BA1805" s="67"/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8"/>
      <c r="BL1805" s="78"/>
      <c r="BM1805" s="78"/>
      <c r="BN1805" s="78"/>
      <c r="BO1805" s="66"/>
      <c r="BP1805" s="66"/>
    </row>
    <row r="1806" spans="1:68" ht="13.2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/>
      <c r="AQ1806" s="75"/>
      <c r="AR1806" s="75"/>
      <c r="AS1806" s="75"/>
      <c r="AT1806" s="75"/>
      <c r="AU1806" s="75"/>
      <c r="AV1806" s="75"/>
      <c r="AW1806" s="75"/>
      <c r="AX1806" s="75"/>
      <c r="AY1806" s="67"/>
      <c r="AZ1806" s="75"/>
      <c r="BA1806" s="67"/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8"/>
      <c r="BL1806" s="78"/>
      <c r="BM1806" s="78"/>
      <c r="BN1806" s="78"/>
      <c r="BO1806" s="66"/>
      <c r="BP1806" s="66"/>
    </row>
    <row r="1807" spans="1:68" ht="13.2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/>
      <c r="AQ1807" s="75"/>
      <c r="AR1807" s="75"/>
      <c r="AS1807" s="75"/>
      <c r="AT1807" s="75"/>
      <c r="AU1807" s="75"/>
      <c r="AV1807" s="75"/>
      <c r="AW1807" s="75"/>
      <c r="AX1807" s="75"/>
      <c r="AY1807" s="67"/>
      <c r="AZ1807" s="75"/>
      <c r="BA1807" s="67"/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8"/>
      <c r="BL1807" s="78"/>
      <c r="BM1807" s="78"/>
      <c r="BN1807" s="78"/>
      <c r="BO1807" s="66"/>
      <c r="BP1807" s="66"/>
    </row>
    <row r="1808" spans="1:68" ht="13.2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/>
      <c r="AQ1808" s="75"/>
      <c r="AR1808" s="75"/>
      <c r="AS1808" s="75"/>
      <c r="AT1808" s="75"/>
      <c r="AU1808" s="75"/>
      <c r="AV1808" s="75"/>
      <c r="AW1808" s="75"/>
      <c r="AX1808" s="75"/>
      <c r="AY1808" s="67"/>
      <c r="AZ1808" s="75"/>
      <c r="BA1808" s="67"/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8"/>
      <c r="BL1808" s="78"/>
      <c r="BM1808" s="78"/>
      <c r="BN1808" s="78"/>
      <c r="BO1808" s="66"/>
      <c r="BP1808" s="66"/>
    </row>
    <row r="1809" spans="1:68" ht="13.2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/>
      <c r="AQ1809" s="75"/>
      <c r="AR1809" s="75"/>
      <c r="AS1809" s="75"/>
      <c r="AT1809" s="75"/>
      <c r="AU1809" s="75"/>
      <c r="AV1809" s="75"/>
      <c r="AW1809" s="75"/>
      <c r="AX1809" s="75"/>
      <c r="AY1809" s="67"/>
      <c r="AZ1809" s="75"/>
      <c r="BA1809" s="67"/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8"/>
      <c r="BL1809" s="78"/>
      <c r="BM1809" s="78"/>
      <c r="BN1809" s="78"/>
      <c r="BO1809" s="66"/>
      <c r="BP1809" s="66"/>
    </row>
    <row r="1810" spans="1:68" ht="13.2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/>
      <c r="AQ1810" s="75"/>
      <c r="AR1810" s="75"/>
      <c r="AS1810" s="75"/>
      <c r="AT1810" s="75"/>
      <c r="AU1810" s="75"/>
      <c r="AV1810" s="75"/>
      <c r="AW1810" s="75"/>
      <c r="AX1810" s="75"/>
      <c r="AY1810" s="67"/>
      <c r="AZ1810" s="75"/>
      <c r="BA1810" s="67"/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8"/>
      <c r="BL1810" s="78"/>
      <c r="BM1810" s="78"/>
      <c r="BN1810" s="78"/>
      <c r="BO1810" s="66"/>
      <c r="BP1810" s="66"/>
    </row>
    <row r="1811" spans="1:68" ht="13.2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/>
      <c r="AQ1811" s="75"/>
      <c r="AR1811" s="75"/>
      <c r="AS1811" s="75"/>
      <c r="AT1811" s="75"/>
      <c r="AU1811" s="75"/>
      <c r="AV1811" s="75"/>
      <c r="AW1811" s="75"/>
      <c r="AX1811" s="75"/>
      <c r="AY1811" s="67"/>
      <c r="AZ1811" s="75"/>
      <c r="BA1811" s="67"/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8"/>
      <c r="BL1811" s="78"/>
      <c r="BM1811" s="78"/>
      <c r="BN1811" s="78"/>
      <c r="BO1811" s="66"/>
      <c r="BP1811" s="66"/>
    </row>
    <row r="1812" spans="1:68" ht="13.2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/>
      <c r="AQ1812" s="75"/>
      <c r="AR1812" s="75"/>
      <c r="AS1812" s="75"/>
      <c r="AT1812" s="75"/>
      <c r="AU1812" s="75"/>
      <c r="AV1812" s="75"/>
      <c r="AW1812" s="75"/>
      <c r="AX1812" s="75"/>
      <c r="AY1812" s="67"/>
      <c r="AZ1812" s="75"/>
      <c r="BA1812" s="67"/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8"/>
      <c r="BL1812" s="78"/>
      <c r="BM1812" s="78"/>
      <c r="BN1812" s="78"/>
      <c r="BO1812" s="66"/>
      <c r="BP1812" s="66"/>
    </row>
    <row r="1813" spans="1:68" ht="13.2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/>
      <c r="AQ1813" s="75"/>
      <c r="AR1813" s="75"/>
      <c r="AS1813" s="75"/>
      <c r="AT1813" s="75"/>
      <c r="AU1813" s="75"/>
      <c r="AV1813" s="75"/>
      <c r="AW1813" s="75"/>
      <c r="AX1813" s="75"/>
      <c r="AY1813" s="67"/>
      <c r="AZ1813" s="75"/>
      <c r="BA1813" s="67"/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8"/>
      <c r="BL1813" s="78"/>
      <c r="BM1813" s="78"/>
      <c r="BN1813" s="78"/>
      <c r="BO1813" s="66"/>
      <c r="BP1813" s="66"/>
    </row>
    <row r="1814" spans="1:68" ht="13.2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/>
      <c r="AQ1814" s="75"/>
      <c r="AR1814" s="75"/>
      <c r="AS1814" s="75"/>
      <c r="AT1814" s="75"/>
      <c r="AU1814" s="75"/>
      <c r="AV1814" s="75"/>
      <c r="AW1814" s="75"/>
      <c r="AX1814" s="75"/>
      <c r="AY1814" s="67"/>
      <c r="AZ1814" s="75"/>
      <c r="BA1814" s="67"/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8"/>
      <c r="BL1814" s="78"/>
      <c r="BM1814" s="78"/>
      <c r="BN1814" s="78"/>
      <c r="BO1814" s="66"/>
      <c r="BP1814" s="66"/>
    </row>
    <row r="1815" spans="1:68" ht="13.2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/>
      <c r="AQ1815" s="75"/>
      <c r="AR1815" s="75"/>
      <c r="AS1815" s="75"/>
      <c r="AT1815" s="75"/>
      <c r="AU1815" s="75"/>
      <c r="AV1815" s="75"/>
      <c r="AW1815" s="75"/>
      <c r="AX1815" s="75"/>
      <c r="AY1815" s="67"/>
      <c r="AZ1815" s="75"/>
      <c r="BA1815" s="67"/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8"/>
      <c r="BL1815" s="78"/>
      <c r="BM1815" s="78"/>
      <c r="BN1815" s="78"/>
      <c r="BO1815" s="66"/>
      <c r="BP1815" s="66"/>
    </row>
    <row r="1816" spans="1:68" ht="13.2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/>
      <c r="AQ1816" s="75"/>
      <c r="AR1816" s="75"/>
      <c r="AS1816" s="75"/>
      <c r="AT1816" s="75"/>
      <c r="AU1816" s="75"/>
      <c r="AV1816" s="75"/>
      <c r="AW1816" s="75"/>
      <c r="AX1816" s="75"/>
      <c r="AY1816" s="67"/>
      <c r="AZ1816" s="75"/>
      <c r="BA1816" s="67"/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8"/>
      <c r="BL1816" s="78"/>
      <c r="BM1816" s="78"/>
      <c r="BN1816" s="78"/>
      <c r="BO1816" s="66"/>
      <c r="BP1816" s="66"/>
    </row>
    <row r="1817" spans="1:68" ht="13.2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/>
      <c r="AQ1817" s="75"/>
      <c r="AR1817" s="75"/>
      <c r="AS1817" s="75"/>
      <c r="AT1817" s="75"/>
      <c r="AU1817" s="75"/>
      <c r="AV1817" s="75"/>
      <c r="AW1817" s="75"/>
      <c r="AX1817" s="75"/>
      <c r="AY1817" s="67"/>
      <c r="AZ1817" s="75"/>
      <c r="BA1817" s="67"/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8"/>
      <c r="BL1817" s="78"/>
      <c r="BM1817" s="78"/>
      <c r="BN1817" s="78"/>
      <c r="BO1817" s="66"/>
      <c r="BP1817" s="66"/>
    </row>
    <row r="1818" spans="1:68" ht="13.2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/>
      <c r="AQ1818" s="75"/>
      <c r="AR1818" s="75"/>
      <c r="AS1818" s="75"/>
      <c r="AT1818" s="75"/>
      <c r="AU1818" s="75"/>
      <c r="AV1818" s="75"/>
      <c r="AW1818" s="75"/>
      <c r="AX1818" s="75"/>
      <c r="AY1818" s="67"/>
      <c r="AZ1818" s="75"/>
      <c r="BA1818" s="67"/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8"/>
      <c r="BL1818" s="78"/>
      <c r="BM1818" s="78"/>
      <c r="BN1818" s="78"/>
      <c r="BO1818" s="66"/>
      <c r="BP1818" s="66"/>
    </row>
    <row r="1819" spans="1:68" ht="13.2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/>
      <c r="AQ1819" s="75"/>
      <c r="AR1819" s="75"/>
      <c r="AS1819" s="75"/>
      <c r="AT1819" s="75"/>
      <c r="AU1819" s="75"/>
      <c r="AV1819" s="75"/>
      <c r="AW1819" s="75"/>
      <c r="AX1819" s="75"/>
      <c r="AY1819" s="67"/>
      <c r="AZ1819" s="75"/>
      <c r="BA1819" s="67"/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8"/>
      <c r="BL1819" s="78"/>
      <c r="BM1819" s="78"/>
      <c r="BN1819" s="78"/>
      <c r="BO1819" s="66"/>
      <c r="BP1819" s="66"/>
    </row>
    <row r="1820" spans="1:68" ht="13.2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/>
      <c r="AQ1820" s="75"/>
      <c r="AR1820" s="75"/>
      <c r="AS1820" s="75"/>
      <c r="AT1820" s="75"/>
      <c r="AU1820" s="75"/>
      <c r="AV1820" s="75"/>
      <c r="AW1820" s="75"/>
      <c r="AX1820" s="75"/>
      <c r="AY1820" s="67"/>
      <c r="AZ1820" s="75"/>
      <c r="BA1820" s="67"/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8"/>
      <c r="BL1820" s="78"/>
      <c r="BM1820" s="78"/>
      <c r="BN1820" s="78"/>
      <c r="BO1820" s="66"/>
      <c r="BP1820" s="66"/>
    </row>
    <row r="1821" spans="1:68" ht="13.2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/>
      <c r="AQ1821" s="75"/>
      <c r="AR1821" s="75"/>
      <c r="AS1821" s="75"/>
      <c r="AT1821" s="75"/>
      <c r="AU1821" s="75"/>
      <c r="AV1821" s="75"/>
      <c r="AW1821" s="75"/>
      <c r="AX1821" s="75"/>
      <c r="AY1821" s="67"/>
      <c r="AZ1821" s="75"/>
      <c r="BA1821" s="67"/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8"/>
      <c r="BL1821" s="78"/>
      <c r="BM1821" s="78"/>
      <c r="BN1821" s="78"/>
      <c r="BO1821" s="66"/>
      <c r="BP1821" s="66"/>
    </row>
    <row r="1822" spans="1:68" ht="13.2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/>
      <c r="AQ1822" s="75"/>
      <c r="AR1822" s="75"/>
      <c r="AS1822" s="75"/>
      <c r="AT1822" s="75"/>
      <c r="AU1822" s="75"/>
      <c r="AV1822" s="75"/>
      <c r="AW1822" s="75"/>
      <c r="AX1822" s="75"/>
      <c r="AY1822" s="67"/>
      <c r="AZ1822" s="75"/>
      <c r="BA1822" s="67"/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8"/>
      <c r="BL1822" s="78"/>
      <c r="BM1822" s="78"/>
      <c r="BN1822" s="78"/>
      <c r="BO1822" s="66"/>
      <c r="BP1822" s="66"/>
    </row>
    <row r="1823" spans="1:68" ht="13.2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/>
      <c r="AQ1823" s="75"/>
      <c r="AR1823" s="75"/>
      <c r="AS1823" s="75"/>
      <c r="AT1823" s="75"/>
      <c r="AU1823" s="75"/>
      <c r="AV1823" s="75"/>
      <c r="AW1823" s="75"/>
      <c r="AX1823" s="75"/>
      <c r="AY1823" s="67"/>
      <c r="AZ1823" s="75"/>
      <c r="BA1823" s="67"/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8"/>
      <c r="BL1823" s="78"/>
      <c r="BM1823" s="78"/>
      <c r="BN1823" s="78"/>
      <c r="BO1823" s="66"/>
      <c r="BP1823" s="66"/>
    </row>
    <row r="1824" spans="1:68" ht="13.2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/>
      <c r="AQ1824" s="75"/>
      <c r="AR1824" s="75"/>
      <c r="AS1824" s="75"/>
      <c r="AT1824" s="75"/>
      <c r="AU1824" s="75"/>
      <c r="AV1824" s="75"/>
      <c r="AW1824" s="75"/>
      <c r="AX1824" s="75"/>
      <c r="AY1824" s="67"/>
      <c r="AZ1824" s="75"/>
      <c r="BA1824" s="67"/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8"/>
      <c r="BL1824" s="78"/>
      <c r="BM1824" s="78"/>
      <c r="BN1824" s="78"/>
      <c r="BO1824" s="66"/>
      <c r="BP1824" s="66"/>
    </row>
    <row r="1825" spans="1:68" ht="13.2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/>
      <c r="AQ1825" s="75"/>
      <c r="AR1825" s="75"/>
      <c r="AS1825" s="75"/>
      <c r="AT1825" s="75"/>
      <c r="AU1825" s="75"/>
      <c r="AV1825" s="75"/>
      <c r="AW1825" s="75"/>
      <c r="AX1825" s="75"/>
      <c r="AY1825" s="67"/>
      <c r="AZ1825" s="75"/>
      <c r="BA1825" s="67"/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8"/>
      <c r="BL1825" s="78"/>
      <c r="BM1825" s="78"/>
      <c r="BN1825" s="78"/>
      <c r="BO1825" s="66"/>
      <c r="BP1825" s="66"/>
    </row>
    <row r="1826" spans="1:68" ht="13.2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/>
      <c r="AQ1826" s="75"/>
      <c r="AR1826" s="75"/>
      <c r="AS1826" s="75"/>
      <c r="AT1826" s="75"/>
      <c r="AU1826" s="75"/>
      <c r="AV1826" s="75"/>
      <c r="AW1826" s="75"/>
      <c r="AX1826" s="75"/>
      <c r="AY1826" s="67"/>
      <c r="AZ1826" s="75"/>
      <c r="BA1826" s="67"/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8"/>
      <c r="BL1826" s="78"/>
      <c r="BM1826" s="78"/>
      <c r="BN1826" s="78"/>
      <c r="BO1826" s="66"/>
      <c r="BP1826" s="66"/>
    </row>
    <row r="1827" spans="1:68" ht="13.2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/>
      <c r="AQ1827" s="75"/>
      <c r="AR1827" s="75"/>
      <c r="AS1827" s="75"/>
      <c r="AT1827" s="75"/>
      <c r="AU1827" s="75"/>
      <c r="AV1827" s="75"/>
      <c r="AW1827" s="75"/>
      <c r="AX1827" s="75"/>
      <c r="AY1827" s="67"/>
      <c r="AZ1827" s="75"/>
      <c r="BA1827" s="67"/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8"/>
      <c r="BL1827" s="78"/>
      <c r="BM1827" s="78"/>
      <c r="BN1827" s="78"/>
      <c r="BO1827" s="66"/>
      <c r="BP1827" s="66"/>
    </row>
    <row r="1828" spans="1:68" ht="13.2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/>
      <c r="AQ1828" s="75"/>
      <c r="AR1828" s="75"/>
      <c r="AS1828" s="75"/>
      <c r="AT1828" s="75"/>
      <c r="AU1828" s="75"/>
      <c r="AV1828" s="75"/>
      <c r="AW1828" s="75"/>
      <c r="AX1828" s="75"/>
      <c r="AY1828" s="67"/>
      <c r="AZ1828" s="75"/>
      <c r="BA1828" s="67"/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8"/>
      <c r="BL1828" s="78"/>
      <c r="BM1828" s="78"/>
      <c r="BN1828" s="78"/>
      <c r="BO1828" s="66"/>
      <c r="BP1828" s="66"/>
    </row>
    <row r="1829" spans="1:68" ht="13.2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/>
      <c r="AQ1829" s="75"/>
      <c r="AR1829" s="75"/>
      <c r="AS1829" s="75"/>
      <c r="AT1829" s="75"/>
      <c r="AU1829" s="75"/>
      <c r="AV1829" s="75"/>
      <c r="AW1829" s="75"/>
      <c r="AX1829" s="75"/>
      <c r="AY1829" s="67"/>
      <c r="AZ1829" s="75"/>
      <c r="BA1829" s="67"/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8"/>
      <c r="BL1829" s="78"/>
      <c r="BM1829" s="78"/>
      <c r="BN1829" s="78"/>
      <c r="BO1829" s="66"/>
      <c r="BP1829" s="66"/>
    </row>
    <row r="1830" spans="1:68" ht="13.2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/>
      <c r="AQ1830" s="75"/>
      <c r="AR1830" s="75"/>
      <c r="AS1830" s="75"/>
      <c r="AT1830" s="75"/>
      <c r="AU1830" s="75"/>
      <c r="AV1830" s="75"/>
      <c r="AW1830" s="75"/>
      <c r="AX1830" s="75"/>
      <c r="AY1830" s="67"/>
      <c r="AZ1830" s="75"/>
      <c r="BA1830" s="67"/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8"/>
      <c r="BL1830" s="78"/>
      <c r="BM1830" s="78"/>
      <c r="BN1830" s="78"/>
      <c r="BO1830" s="66"/>
      <c r="BP1830" s="66"/>
    </row>
    <row r="1831" spans="1:68" ht="13.2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/>
      <c r="AQ1831" s="75"/>
      <c r="AR1831" s="75"/>
      <c r="AS1831" s="75"/>
      <c r="AT1831" s="75"/>
      <c r="AU1831" s="75"/>
      <c r="AV1831" s="75"/>
      <c r="AW1831" s="75"/>
      <c r="AX1831" s="75"/>
      <c r="AY1831" s="67"/>
      <c r="AZ1831" s="75"/>
      <c r="BA1831" s="67"/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8"/>
      <c r="BL1831" s="78"/>
      <c r="BM1831" s="78"/>
      <c r="BN1831" s="78"/>
      <c r="BO1831" s="66"/>
      <c r="BP1831" s="66"/>
    </row>
    <row r="1832" spans="1:68" ht="13.2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/>
      <c r="AQ1832" s="75"/>
      <c r="AR1832" s="75"/>
      <c r="AS1832" s="75"/>
      <c r="AT1832" s="75"/>
      <c r="AU1832" s="75"/>
      <c r="AV1832" s="75"/>
      <c r="AW1832" s="75"/>
      <c r="AX1832" s="75"/>
      <c r="AY1832" s="67"/>
      <c r="AZ1832" s="75"/>
      <c r="BA1832" s="67"/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8"/>
      <c r="BL1832" s="78"/>
      <c r="BM1832" s="78"/>
      <c r="BN1832" s="78"/>
      <c r="BO1832" s="66"/>
      <c r="BP1832" s="66"/>
    </row>
    <row r="1833" spans="1:68" ht="13.2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/>
      <c r="AQ1833" s="75"/>
      <c r="AR1833" s="75"/>
      <c r="AS1833" s="75"/>
      <c r="AT1833" s="75"/>
      <c r="AU1833" s="75"/>
      <c r="AV1833" s="75"/>
      <c r="AW1833" s="75"/>
      <c r="AX1833" s="75"/>
      <c r="AY1833" s="67"/>
      <c r="AZ1833" s="75"/>
      <c r="BA1833" s="67"/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8"/>
      <c r="BL1833" s="78"/>
      <c r="BM1833" s="78"/>
      <c r="BN1833" s="78"/>
      <c r="BO1833" s="66"/>
      <c r="BP1833" s="66"/>
    </row>
    <row r="1834" spans="1:68" ht="13.2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/>
      <c r="AQ1834" s="75"/>
      <c r="AR1834" s="75"/>
      <c r="AS1834" s="75"/>
      <c r="AT1834" s="75"/>
      <c r="AU1834" s="75"/>
      <c r="AV1834" s="75"/>
      <c r="AW1834" s="75"/>
      <c r="AX1834" s="75"/>
      <c r="AY1834" s="67"/>
      <c r="AZ1834" s="75"/>
      <c r="BA1834" s="67"/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8"/>
      <c r="BL1834" s="78"/>
      <c r="BM1834" s="78"/>
      <c r="BN1834" s="78"/>
      <c r="BO1834" s="66"/>
      <c r="BP1834" s="66"/>
    </row>
    <row r="1835" spans="1:68" ht="13.2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/>
      <c r="AQ1835" s="75"/>
      <c r="AR1835" s="75"/>
      <c r="AS1835" s="75"/>
      <c r="AT1835" s="75"/>
      <c r="AU1835" s="75"/>
      <c r="AV1835" s="75"/>
      <c r="AW1835" s="75"/>
      <c r="AX1835" s="75"/>
      <c r="AY1835" s="67"/>
      <c r="AZ1835" s="75"/>
      <c r="BA1835" s="67"/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8"/>
      <c r="BL1835" s="78"/>
      <c r="BM1835" s="78"/>
      <c r="BN1835" s="78"/>
      <c r="BO1835" s="66"/>
      <c r="BP1835" s="66"/>
    </row>
    <row r="1836" spans="1:68" ht="13.2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/>
      <c r="AQ1836" s="75"/>
      <c r="AR1836" s="75"/>
      <c r="AS1836" s="75"/>
      <c r="AT1836" s="75"/>
      <c r="AU1836" s="75"/>
      <c r="AV1836" s="75"/>
      <c r="AW1836" s="75"/>
      <c r="AX1836" s="75"/>
      <c r="AY1836" s="67"/>
      <c r="AZ1836" s="75"/>
      <c r="BA1836" s="67"/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8"/>
      <c r="BL1836" s="78"/>
      <c r="BM1836" s="78"/>
      <c r="BN1836" s="78"/>
      <c r="BO1836" s="66"/>
      <c r="BP1836" s="66"/>
    </row>
    <row r="1837" spans="1:68" ht="13.2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/>
      <c r="AQ1837" s="75"/>
      <c r="AR1837" s="75"/>
      <c r="AS1837" s="75"/>
      <c r="AT1837" s="75"/>
      <c r="AU1837" s="75"/>
      <c r="AV1837" s="75"/>
      <c r="AW1837" s="75"/>
      <c r="AX1837" s="75"/>
      <c r="AY1837" s="67"/>
      <c r="AZ1837" s="75"/>
      <c r="BA1837" s="67"/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8"/>
      <c r="BL1837" s="78"/>
      <c r="BM1837" s="78"/>
      <c r="BN1837" s="78"/>
      <c r="BO1837" s="66"/>
      <c r="BP1837" s="66"/>
    </row>
    <row r="1838" spans="1:68" ht="13.2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/>
      <c r="AQ1838" s="75"/>
      <c r="AR1838" s="75"/>
      <c r="AS1838" s="75"/>
      <c r="AT1838" s="75"/>
      <c r="AU1838" s="75"/>
      <c r="AV1838" s="75"/>
      <c r="AW1838" s="75"/>
      <c r="AX1838" s="75"/>
      <c r="AY1838" s="67"/>
      <c r="AZ1838" s="75"/>
      <c r="BA1838" s="67"/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8"/>
      <c r="BL1838" s="78"/>
      <c r="BM1838" s="78"/>
      <c r="BN1838" s="78"/>
      <c r="BO1838" s="66"/>
      <c r="BP1838" s="66"/>
    </row>
    <row r="1839" spans="1:68" ht="13.2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/>
      <c r="AQ1839" s="75"/>
      <c r="AR1839" s="75"/>
      <c r="AS1839" s="75"/>
      <c r="AT1839" s="75"/>
      <c r="AU1839" s="75"/>
      <c r="AV1839" s="75"/>
      <c r="AW1839" s="75"/>
      <c r="AX1839" s="75"/>
      <c r="AY1839" s="67"/>
      <c r="AZ1839" s="75"/>
      <c r="BA1839" s="67"/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8"/>
      <c r="BL1839" s="78"/>
      <c r="BM1839" s="78"/>
      <c r="BN1839" s="78"/>
      <c r="BO1839" s="66"/>
      <c r="BP1839" s="66"/>
    </row>
    <row r="1840" spans="1:68" ht="13.2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/>
      <c r="AQ1840" s="75"/>
      <c r="AR1840" s="75"/>
      <c r="AS1840" s="75"/>
      <c r="AT1840" s="75"/>
      <c r="AU1840" s="75"/>
      <c r="AV1840" s="75"/>
      <c r="AW1840" s="75"/>
      <c r="AX1840" s="75"/>
      <c r="AY1840" s="67"/>
      <c r="AZ1840" s="75"/>
      <c r="BA1840" s="67"/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8"/>
      <c r="BL1840" s="78"/>
      <c r="BM1840" s="78"/>
      <c r="BN1840" s="78"/>
      <c r="BO1840" s="66"/>
      <c r="BP1840" s="66"/>
    </row>
    <row r="1841" spans="1:68" ht="13.2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/>
      <c r="AQ1841" s="75"/>
      <c r="AR1841" s="75"/>
      <c r="AS1841" s="75"/>
      <c r="AT1841" s="75"/>
      <c r="AU1841" s="75"/>
      <c r="AV1841" s="75"/>
      <c r="AW1841" s="75"/>
      <c r="AX1841" s="75"/>
      <c r="AY1841" s="67"/>
      <c r="AZ1841" s="75"/>
      <c r="BA1841" s="67"/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8"/>
      <c r="BL1841" s="78"/>
      <c r="BM1841" s="78"/>
      <c r="BN1841" s="78"/>
      <c r="BO1841" s="66"/>
      <c r="BP1841" s="66"/>
    </row>
    <row r="1842" spans="1:68" ht="13.2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/>
      <c r="AQ1842" s="75"/>
      <c r="AR1842" s="75"/>
      <c r="AS1842" s="75"/>
      <c r="AT1842" s="75"/>
      <c r="AU1842" s="75"/>
      <c r="AV1842" s="75"/>
      <c r="AW1842" s="75"/>
      <c r="AX1842" s="75"/>
      <c r="AY1842" s="67"/>
      <c r="AZ1842" s="75"/>
      <c r="BA1842" s="67"/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8"/>
      <c r="BL1842" s="78"/>
      <c r="BM1842" s="78"/>
      <c r="BN1842" s="78"/>
      <c r="BO1842" s="66"/>
      <c r="BP1842" s="66"/>
    </row>
    <row r="1843" spans="1:68" ht="13.2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/>
      <c r="AQ1843" s="75"/>
      <c r="AR1843" s="75"/>
      <c r="AS1843" s="75"/>
      <c r="AT1843" s="75"/>
      <c r="AU1843" s="75"/>
      <c r="AV1843" s="75"/>
      <c r="AW1843" s="75"/>
      <c r="AX1843" s="75"/>
      <c r="AY1843" s="67"/>
      <c r="AZ1843" s="75"/>
      <c r="BA1843" s="67"/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8"/>
      <c r="BL1843" s="78"/>
      <c r="BM1843" s="78"/>
      <c r="BN1843" s="78"/>
      <c r="BO1843" s="66"/>
      <c r="BP1843" s="66"/>
    </row>
    <row r="1844" spans="1:68" ht="13.2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/>
      <c r="AQ1844" s="75"/>
      <c r="AR1844" s="75"/>
      <c r="AS1844" s="75"/>
      <c r="AT1844" s="75"/>
      <c r="AU1844" s="75"/>
      <c r="AV1844" s="75"/>
      <c r="AW1844" s="75"/>
      <c r="AX1844" s="75"/>
      <c r="AY1844" s="67"/>
      <c r="AZ1844" s="75"/>
      <c r="BA1844" s="67"/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8"/>
      <c r="BL1844" s="78"/>
      <c r="BM1844" s="78"/>
      <c r="BN1844" s="78"/>
      <c r="BO1844" s="66"/>
      <c r="BP1844" s="66"/>
    </row>
    <row r="1845" spans="1:68" ht="13.2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/>
      <c r="AQ1845" s="75"/>
      <c r="AR1845" s="75"/>
      <c r="AS1845" s="75"/>
      <c r="AT1845" s="75"/>
      <c r="AU1845" s="75"/>
      <c r="AV1845" s="75"/>
      <c r="AW1845" s="75"/>
      <c r="AX1845" s="75"/>
      <c r="AY1845" s="67"/>
      <c r="AZ1845" s="75"/>
      <c r="BA1845" s="67"/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8"/>
      <c r="BL1845" s="78"/>
      <c r="BM1845" s="78"/>
      <c r="BN1845" s="78"/>
      <c r="BO1845" s="66"/>
      <c r="BP1845" s="66"/>
    </row>
    <row r="1846" spans="1:68" ht="13.2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/>
      <c r="AQ1846" s="75"/>
      <c r="AR1846" s="75"/>
      <c r="AS1846" s="75"/>
      <c r="AT1846" s="75"/>
      <c r="AU1846" s="75"/>
      <c r="AV1846" s="75"/>
      <c r="AW1846" s="75"/>
      <c r="AX1846" s="75"/>
      <c r="AY1846" s="67"/>
      <c r="AZ1846" s="75"/>
      <c r="BA1846" s="67"/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8"/>
      <c r="BL1846" s="78"/>
      <c r="BM1846" s="78"/>
      <c r="BN1846" s="78"/>
      <c r="BO1846" s="66"/>
      <c r="BP1846" s="66"/>
    </row>
    <row r="1847" spans="1:68" ht="13.2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/>
      <c r="AQ1847" s="75"/>
      <c r="AR1847" s="75"/>
      <c r="AS1847" s="75"/>
      <c r="AT1847" s="75"/>
      <c r="AU1847" s="75"/>
      <c r="AV1847" s="75"/>
      <c r="AW1847" s="75"/>
      <c r="AX1847" s="75"/>
      <c r="AY1847" s="67"/>
      <c r="AZ1847" s="75"/>
      <c r="BA1847" s="67"/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8"/>
      <c r="BL1847" s="78"/>
      <c r="BM1847" s="78"/>
      <c r="BN1847" s="78"/>
      <c r="BO1847" s="66"/>
      <c r="BP1847" s="66"/>
    </row>
    <row r="1848" spans="1:68" ht="13.2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/>
      <c r="AQ1848" s="75"/>
      <c r="AR1848" s="75"/>
      <c r="AS1848" s="75"/>
      <c r="AT1848" s="75"/>
      <c r="AU1848" s="75"/>
      <c r="AV1848" s="75"/>
      <c r="AW1848" s="75"/>
      <c r="AX1848" s="75"/>
      <c r="AY1848" s="67"/>
      <c r="AZ1848" s="75"/>
      <c r="BA1848" s="67"/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8"/>
      <c r="BL1848" s="78"/>
      <c r="BM1848" s="78"/>
      <c r="BN1848" s="78"/>
      <c r="BO1848" s="66"/>
      <c r="BP1848" s="66"/>
    </row>
    <row r="1849" spans="1:68" ht="13.2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/>
      <c r="AQ1849" s="75"/>
      <c r="AR1849" s="75"/>
      <c r="AS1849" s="75"/>
      <c r="AT1849" s="75"/>
      <c r="AU1849" s="75"/>
      <c r="AV1849" s="75"/>
      <c r="AW1849" s="75"/>
      <c r="AX1849" s="75"/>
      <c r="AY1849" s="67"/>
      <c r="AZ1849" s="75"/>
      <c r="BA1849" s="67"/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8"/>
      <c r="BL1849" s="78"/>
      <c r="BM1849" s="78"/>
      <c r="BN1849" s="78"/>
      <c r="BO1849" s="66"/>
      <c r="BP1849" s="66"/>
    </row>
    <row r="1850" spans="1:68" ht="13.2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/>
      <c r="AQ1850" s="75"/>
      <c r="AR1850" s="75"/>
      <c r="AS1850" s="75"/>
      <c r="AT1850" s="75"/>
      <c r="AU1850" s="75"/>
      <c r="AV1850" s="75"/>
      <c r="AW1850" s="75"/>
      <c r="AX1850" s="75"/>
      <c r="AY1850" s="67"/>
      <c r="AZ1850" s="75"/>
      <c r="BA1850" s="67"/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8"/>
      <c r="BL1850" s="78"/>
      <c r="BM1850" s="78"/>
      <c r="BN1850" s="78"/>
      <c r="BO1850" s="66"/>
      <c r="BP1850" s="66"/>
    </row>
    <row r="1851" spans="1:68" ht="13.2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/>
      <c r="AQ1851" s="75"/>
      <c r="AR1851" s="75"/>
      <c r="AS1851" s="75"/>
      <c r="AT1851" s="75"/>
      <c r="AU1851" s="75"/>
      <c r="AV1851" s="75"/>
      <c r="AW1851" s="75"/>
      <c r="AX1851" s="75"/>
      <c r="AY1851" s="67"/>
      <c r="AZ1851" s="75"/>
      <c r="BA1851" s="67"/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8"/>
      <c r="BL1851" s="78"/>
      <c r="BM1851" s="78"/>
      <c r="BN1851" s="78"/>
      <c r="BO1851" s="66"/>
      <c r="BP1851" s="66"/>
    </row>
    <row r="1852" spans="1:68" ht="13.2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/>
      <c r="AQ1852" s="75"/>
      <c r="AR1852" s="75"/>
      <c r="AS1852" s="75"/>
      <c r="AT1852" s="75"/>
      <c r="AU1852" s="75"/>
      <c r="AV1852" s="75"/>
      <c r="AW1852" s="75"/>
      <c r="AX1852" s="75"/>
      <c r="AY1852" s="67"/>
      <c r="AZ1852" s="75"/>
      <c r="BA1852" s="67"/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8"/>
      <c r="BL1852" s="78"/>
      <c r="BM1852" s="78"/>
      <c r="BN1852" s="78"/>
      <c r="BO1852" s="66"/>
      <c r="BP1852" s="66"/>
    </row>
    <row r="1853" spans="1:68" ht="13.2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/>
      <c r="AQ1853" s="75"/>
      <c r="AR1853" s="75"/>
      <c r="AS1853" s="75"/>
      <c r="AT1853" s="75"/>
      <c r="AU1853" s="75"/>
      <c r="AV1853" s="75"/>
      <c r="AW1853" s="75"/>
      <c r="AX1853" s="75"/>
      <c r="AY1853" s="67"/>
      <c r="AZ1853" s="75"/>
      <c r="BA1853" s="67"/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8"/>
      <c r="BL1853" s="78"/>
      <c r="BM1853" s="78"/>
      <c r="BN1853" s="78"/>
      <c r="BO1853" s="66"/>
      <c r="BP1853" s="66"/>
    </row>
    <row r="1854" spans="1:68" ht="13.2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/>
      <c r="AQ1854" s="75"/>
      <c r="AR1854" s="75"/>
      <c r="AS1854" s="75"/>
      <c r="AT1854" s="75"/>
      <c r="AU1854" s="75"/>
      <c r="AV1854" s="75"/>
      <c r="AW1854" s="75"/>
      <c r="AX1854" s="75"/>
      <c r="AY1854" s="67"/>
      <c r="AZ1854" s="75"/>
      <c r="BA1854" s="67"/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8"/>
      <c r="BL1854" s="78"/>
      <c r="BM1854" s="78"/>
      <c r="BN1854" s="78"/>
      <c r="BO1854" s="66"/>
      <c r="BP1854" s="66"/>
    </row>
    <row r="1855" spans="1:68" ht="13.2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/>
      <c r="AQ1855" s="75"/>
      <c r="AR1855" s="75"/>
      <c r="AS1855" s="75"/>
      <c r="AT1855" s="75"/>
      <c r="AU1855" s="75"/>
      <c r="AV1855" s="75"/>
      <c r="AW1855" s="75"/>
      <c r="AX1855" s="75"/>
      <c r="AY1855" s="67"/>
      <c r="AZ1855" s="75"/>
      <c r="BA1855" s="67"/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8"/>
      <c r="BL1855" s="78"/>
      <c r="BM1855" s="78"/>
      <c r="BN1855" s="78"/>
      <c r="BO1855" s="66"/>
      <c r="BP1855" s="66"/>
    </row>
    <row r="1856" spans="1:68" ht="13.2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/>
      <c r="AQ1856" s="75"/>
      <c r="AR1856" s="75"/>
      <c r="AS1856" s="75"/>
      <c r="AT1856" s="75"/>
      <c r="AU1856" s="75"/>
      <c r="AV1856" s="75"/>
      <c r="AW1856" s="75"/>
      <c r="AX1856" s="75"/>
      <c r="AY1856" s="67"/>
      <c r="AZ1856" s="75"/>
      <c r="BA1856" s="67"/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8"/>
      <c r="BL1856" s="78"/>
      <c r="BM1856" s="78"/>
      <c r="BN1856" s="78"/>
      <c r="BO1856" s="66"/>
      <c r="BP1856" s="66"/>
    </row>
    <row r="1857" spans="1:68" ht="13.2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/>
      <c r="AQ1857" s="75"/>
      <c r="AR1857" s="75"/>
      <c r="AS1857" s="75"/>
      <c r="AT1857" s="75"/>
      <c r="AU1857" s="75"/>
      <c r="AV1857" s="75"/>
      <c r="AW1857" s="75"/>
      <c r="AX1857" s="75"/>
      <c r="AY1857" s="67"/>
      <c r="AZ1857" s="75"/>
      <c r="BA1857" s="67"/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8"/>
      <c r="BL1857" s="78"/>
      <c r="BM1857" s="78"/>
      <c r="BN1857" s="78"/>
      <c r="BO1857" s="66"/>
      <c r="BP1857" s="66"/>
    </row>
    <row r="1858" spans="1:68" ht="13.2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/>
      <c r="AQ1858" s="75"/>
      <c r="AR1858" s="75"/>
      <c r="AS1858" s="75"/>
      <c r="AT1858" s="75"/>
      <c r="AU1858" s="75"/>
      <c r="AV1858" s="75"/>
      <c r="AW1858" s="75"/>
      <c r="AX1858" s="75"/>
      <c r="AY1858" s="67"/>
      <c r="AZ1858" s="75"/>
      <c r="BA1858" s="67"/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8"/>
      <c r="BL1858" s="78"/>
      <c r="BM1858" s="78"/>
      <c r="BN1858" s="78"/>
      <c r="BO1858" s="66"/>
      <c r="BP1858" s="66"/>
    </row>
    <row r="1859" spans="1:68" ht="13.2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/>
      <c r="AQ1859" s="75"/>
      <c r="AR1859" s="75"/>
      <c r="AS1859" s="75"/>
      <c r="AT1859" s="75"/>
      <c r="AU1859" s="75"/>
      <c r="AV1859" s="75"/>
      <c r="AW1859" s="75"/>
      <c r="AX1859" s="75"/>
      <c r="AY1859" s="67"/>
      <c r="AZ1859" s="75"/>
      <c r="BA1859" s="67"/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8"/>
      <c r="BL1859" s="78"/>
      <c r="BM1859" s="78"/>
      <c r="BN1859" s="78"/>
      <c r="BO1859" s="66"/>
      <c r="BP1859" s="66"/>
    </row>
    <row r="1860" spans="1:68" ht="13.2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/>
      <c r="AQ1860" s="75"/>
      <c r="AR1860" s="75"/>
      <c r="AS1860" s="75"/>
      <c r="AT1860" s="75"/>
      <c r="AU1860" s="75"/>
      <c r="AV1860" s="75"/>
      <c r="AW1860" s="75"/>
      <c r="AX1860" s="75"/>
      <c r="AY1860" s="67"/>
      <c r="AZ1860" s="75"/>
      <c r="BA1860" s="67"/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8"/>
      <c r="BL1860" s="78"/>
      <c r="BM1860" s="78"/>
      <c r="BN1860" s="78"/>
      <c r="BO1860" s="66"/>
      <c r="BP1860" s="66"/>
    </row>
    <row r="1861" spans="1:68" ht="13.2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/>
      <c r="AQ1861" s="75"/>
      <c r="AR1861" s="75"/>
      <c r="AS1861" s="75"/>
      <c r="AT1861" s="75"/>
      <c r="AU1861" s="75"/>
      <c r="AV1861" s="75"/>
      <c r="AW1861" s="75"/>
      <c r="AX1861" s="75"/>
      <c r="AY1861" s="67"/>
      <c r="AZ1861" s="75"/>
      <c r="BA1861" s="67"/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8"/>
      <c r="BL1861" s="78"/>
      <c r="BM1861" s="78"/>
      <c r="BN1861" s="78"/>
      <c r="BO1861" s="66"/>
      <c r="BP1861" s="66"/>
    </row>
    <row r="1862" spans="1:68" ht="13.2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/>
      <c r="AQ1862" s="75"/>
      <c r="AR1862" s="75"/>
      <c r="AS1862" s="75"/>
      <c r="AT1862" s="75"/>
      <c r="AU1862" s="75"/>
      <c r="AV1862" s="75"/>
      <c r="AW1862" s="75"/>
      <c r="AX1862" s="75"/>
      <c r="AY1862" s="67"/>
      <c r="AZ1862" s="75"/>
      <c r="BA1862" s="67"/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8"/>
      <c r="BL1862" s="78"/>
      <c r="BM1862" s="78"/>
      <c r="BN1862" s="78"/>
      <c r="BO1862" s="66"/>
      <c r="BP1862" s="66"/>
    </row>
    <row r="1863" spans="1:68" ht="13.2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/>
      <c r="AQ1863" s="75"/>
      <c r="AR1863" s="75"/>
      <c r="AS1863" s="75"/>
      <c r="AT1863" s="75"/>
      <c r="AU1863" s="75"/>
      <c r="AV1863" s="75"/>
      <c r="AW1863" s="75"/>
      <c r="AX1863" s="75"/>
      <c r="AY1863" s="67"/>
      <c r="AZ1863" s="75"/>
      <c r="BA1863" s="67"/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8"/>
      <c r="BL1863" s="78"/>
      <c r="BM1863" s="78"/>
      <c r="BN1863" s="78"/>
      <c r="BO1863" s="66"/>
      <c r="BP1863" s="66"/>
    </row>
    <row r="1864" spans="1:68" ht="13.2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/>
      <c r="AQ1864" s="75"/>
      <c r="AR1864" s="75"/>
      <c r="AS1864" s="75"/>
      <c r="AT1864" s="75"/>
      <c r="AU1864" s="75"/>
      <c r="AV1864" s="75"/>
      <c r="AW1864" s="75"/>
      <c r="AX1864" s="75"/>
      <c r="AY1864" s="67"/>
      <c r="AZ1864" s="75"/>
      <c r="BA1864" s="67"/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8"/>
      <c r="BL1864" s="78"/>
      <c r="BM1864" s="78"/>
      <c r="BN1864" s="78"/>
      <c r="BO1864" s="66"/>
      <c r="BP1864" s="66"/>
    </row>
    <row r="1865" spans="1:68" ht="13.2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/>
      <c r="AQ1865" s="75"/>
      <c r="AR1865" s="75"/>
      <c r="AS1865" s="75"/>
      <c r="AT1865" s="75"/>
      <c r="AU1865" s="75"/>
      <c r="AV1865" s="75"/>
      <c r="AW1865" s="75"/>
      <c r="AX1865" s="75"/>
      <c r="AY1865" s="67"/>
      <c r="AZ1865" s="75"/>
      <c r="BA1865" s="67"/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8"/>
      <c r="BL1865" s="78"/>
      <c r="BM1865" s="78"/>
      <c r="BN1865" s="78"/>
      <c r="BO1865" s="66"/>
      <c r="BP1865" s="66"/>
    </row>
    <row r="1866" spans="1:68" ht="13.2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/>
      <c r="AQ1866" s="75"/>
      <c r="AR1866" s="75"/>
      <c r="AS1866" s="75"/>
      <c r="AT1866" s="75"/>
      <c r="AU1866" s="75"/>
      <c r="AV1866" s="75"/>
      <c r="AW1866" s="75"/>
      <c r="AX1866" s="75"/>
      <c r="AY1866" s="67"/>
      <c r="AZ1866" s="75"/>
      <c r="BA1866" s="67"/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8"/>
      <c r="BL1866" s="78"/>
      <c r="BM1866" s="78"/>
      <c r="BN1866" s="78"/>
      <c r="BO1866" s="66"/>
      <c r="BP1866" s="66"/>
    </row>
    <row r="1867" spans="1:68" ht="13.2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/>
      <c r="AQ1867" s="75"/>
      <c r="AR1867" s="75"/>
      <c r="AS1867" s="75"/>
      <c r="AT1867" s="75"/>
      <c r="AU1867" s="75"/>
      <c r="AV1867" s="75"/>
      <c r="AW1867" s="75"/>
      <c r="AX1867" s="75"/>
      <c r="AY1867" s="67"/>
      <c r="AZ1867" s="75"/>
      <c r="BA1867" s="67"/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8"/>
      <c r="BL1867" s="78"/>
      <c r="BM1867" s="78"/>
      <c r="BN1867" s="78"/>
      <c r="BO1867" s="66"/>
      <c r="BP1867" s="66"/>
    </row>
    <row r="1868" spans="1:68" ht="13.2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/>
      <c r="AQ1868" s="75"/>
      <c r="AR1868" s="75"/>
      <c r="AS1868" s="75"/>
      <c r="AT1868" s="75"/>
      <c r="AU1868" s="75"/>
      <c r="AV1868" s="75"/>
      <c r="AW1868" s="75"/>
      <c r="AX1868" s="75"/>
      <c r="AY1868" s="67"/>
      <c r="AZ1868" s="75"/>
      <c r="BA1868" s="67"/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8"/>
      <c r="BL1868" s="78"/>
      <c r="BM1868" s="78"/>
      <c r="BN1868" s="78"/>
      <c r="BO1868" s="66"/>
      <c r="BP1868" s="66"/>
    </row>
    <row r="1869" spans="1:68" ht="13.2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/>
      <c r="AQ1869" s="75"/>
      <c r="AR1869" s="75"/>
      <c r="AS1869" s="75"/>
      <c r="AT1869" s="75"/>
      <c r="AU1869" s="75"/>
      <c r="AV1869" s="75"/>
      <c r="AW1869" s="75"/>
      <c r="AX1869" s="75"/>
      <c r="AY1869" s="67"/>
      <c r="AZ1869" s="75"/>
      <c r="BA1869" s="67"/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8"/>
      <c r="BL1869" s="78"/>
      <c r="BM1869" s="78"/>
      <c r="BN1869" s="78"/>
      <c r="BO1869" s="66"/>
      <c r="BP1869" s="66"/>
    </row>
    <row r="1870" spans="1:68" ht="13.2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/>
      <c r="AQ1870" s="75"/>
      <c r="AR1870" s="75"/>
      <c r="AS1870" s="75"/>
      <c r="AT1870" s="75"/>
      <c r="AU1870" s="75"/>
      <c r="AV1870" s="75"/>
      <c r="AW1870" s="75"/>
      <c r="AX1870" s="75"/>
      <c r="AY1870" s="67"/>
      <c r="AZ1870" s="75"/>
      <c r="BA1870" s="67"/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8"/>
      <c r="BL1870" s="78"/>
      <c r="BM1870" s="78"/>
      <c r="BN1870" s="78"/>
      <c r="BO1870" s="66"/>
      <c r="BP1870" s="66"/>
    </row>
    <row r="1871" spans="1:68" ht="13.2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/>
      <c r="AQ1871" s="75"/>
      <c r="AR1871" s="75"/>
      <c r="AS1871" s="75"/>
      <c r="AT1871" s="75"/>
      <c r="AU1871" s="75"/>
      <c r="AV1871" s="75"/>
      <c r="AW1871" s="75"/>
      <c r="AX1871" s="75"/>
      <c r="AY1871" s="67"/>
      <c r="AZ1871" s="75"/>
      <c r="BA1871" s="67"/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8"/>
      <c r="BL1871" s="78"/>
      <c r="BM1871" s="78"/>
      <c r="BN1871" s="78"/>
      <c r="BO1871" s="66"/>
      <c r="BP1871" s="66"/>
    </row>
    <row r="1872" spans="1:68" ht="13.2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/>
      <c r="AQ1872" s="75"/>
      <c r="AR1872" s="75"/>
      <c r="AS1872" s="75"/>
      <c r="AT1872" s="75"/>
      <c r="AU1872" s="75"/>
      <c r="AV1872" s="75"/>
      <c r="AW1872" s="75"/>
      <c r="AX1872" s="75"/>
      <c r="AY1872" s="67"/>
      <c r="AZ1872" s="75"/>
      <c r="BA1872" s="67"/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8"/>
      <c r="BL1872" s="78"/>
      <c r="BM1872" s="78"/>
      <c r="BN1872" s="78"/>
      <c r="BO1872" s="66"/>
      <c r="BP1872" s="66"/>
    </row>
    <row r="1873" spans="1:68" ht="13.2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/>
      <c r="AQ1873" s="75"/>
      <c r="AR1873" s="75"/>
      <c r="AS1873" s="75"/>
      <c r="AT1873" s="75"/>
      <c r="AU1873" s="75"/>
      <c r="AV1873" s="75"/>
      <c r="AW1873" s="75"/>
      <c r="AX1873" s="75"/>
      <c r="AY1873" s="67"/>
      <c r="AZ1873" s="75"/>
      <c r="BA1873" s="67"/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8"/>
      <c r="BL1873" s="78"/>
      <c r="BM1873" s="78"/>
      <c r="BN1873" s="78"/>
      <c r="BO1873" s="66"/>
      <c r="BP1873" s="66"/>
    </row>
    <row r="1874" spans="1:68" ht="13.2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/>
      <c r="AQ1874" s="75"/>
      <c r="AR1874" s="75"/>
      <c r="AS1874" s="75"/>
      <c r="AT1874" s="75"/>
      <c r="AU1874" s="75"/>
      <c r="AV1874" s="75"/>
      <c r="AW1874" s="75"/>
      <c r="AX1874" s="75"/>
      <c r="AY1874" s="67"/>
      <c r="AZ1874" s="75"/>
      <c r="BA1874" s="67"/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8"/>
      <c r="BL1874" s="78"/>
      <c r="BM1874" s="78"/>
      <c r="BN1874" s="78"/>
      <c r="BO1874" s="66"/>
      <c r="BP1874" s="66"/>
    </row>
    <row r="1875" spans="1:68" ht="13.2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/>
      <c r="AQ1875" s="75"/>
      <c r="AR1875" s="75"/>
      <c r="AS1875" s="75"/>
      <c r="AT1875" s="75"/>
      <c r="AU1875" s="75"/>
      <c r="AV1875" s="75"/>
      <c r="AW1875" s="75"/>
      <c r="AX1875" s="75"/>
      <c r="AY1875" s="67"/>
      <c r="AZ1875" s="75"/>
      <c r="BA1875" s="67"/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8"/>
      <c r="BL1875" s="78"/>
      <c r="BM1875" s="78"/>
      <c r="BN1875" s="78"/>
      <c r="BO1875" s="66"/>
      <c r="BP1875" s="66"/>
    </row>
    <row r="1876" spans="1:68" ht="13.2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/>
      <c r="AQ1876" s="75"/>
      <c r="AR1876" s="75"/>
      <c r="AS1876" s="75"/>
      <c r="AT1876" s="75"/>
      <c r="AU1876" s="75"/>
      <c r="AV1876" s="75"/>
      <c r="AW1876" s="75"/>
      <c r="AX1876" s="75"/>
      <c r="AY1876" s="67"/>
      <c r="AZ1876" s="75"/>
      <c r="BA1876" s="67"/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8"/>
      <c r="BL1876" s="78"/>
      <c r="BM1876" s="78"/>
      <c r="BN1876" s="78"/>
      <c r="BO1876" s="66"/>
      <c r="BP1876" s="66"/>
    </row>
    <row r="1877" spans="1:68" ht="13.2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/>
      <c r="AQ1877" s="75"/>
      <c r="AR1877" s="75"/>
      <c r="AS1877" s="75"/>
      <c r="AT1877" s="75"/>
      <c r="AU1877" s="75"/>
      <c r="AV1877" s="75"/>
      <c r="AW1877" s="75"/>
      <c r="AX1877" s="75"/>
      <c r="AY1877" s="67"/>
      <c r="AZ1877" s="75"/>
      <c r="BA1877" s="67"/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8"/>
      <c r="BL1877" s="78"/>
      <c r="BM1877" s="78"/>
      <c r="BN1877" s="78"/>
      <c r="BO1877" s="66"/>
      <c r="BP1877" s="66"/>
    </row>
    <row r="1878" spans="1:68" ht="13.2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/>
      <c r="AQ1878" s="75"/>
      <c r="AR1878" s="75"/>
      <c r="AS1878" s="75"/>
      <c r="AT1878" s="75"/>
      <c r="AU1878" s="75"/>
      <c r="AV1878" s="75"/>
      <c r="AW1878" s="75"/>
      <c r="AX1878" s="75"/>
      <c r="AY1878" s="67"/>
      <c r="AZ1878" s="75"/>
      <c r="BA1878" s="67"/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8"/>
      <c r="BL1878" s="78"/>
      <c r="BM1878" s="78"/>
      <c r="BN1878" s="78"/>
      <c r="BO1878" s="66"/>
      <c r="BP1878" s="66"/>
    </row>
    <row r="1879" spans="1:68" ht="13.2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/>
      <c r="AQ1879" s="75"/>
      <c r="AR1879" s="75"/>
      <c r="AS1879" s="75"/>
      <c r="AT1879" s="75"/>
      <c r="AU1879" s="75"/>
      <c r="AV1879" s="75"/>
      <c r="AW1879" s="75"/>
      <c r="AX1879" s="75"/>
      <c r="AY1879" s="67"/>
      <c r="AZ1879" s="75"/>
      <c r="BA1879" s="67"/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8"/>
      <c r="BL1879" s="78"/>
      <c r="BM1879" s="78"/>
      <c r="BN1879" s="78"/>
      <c r="BO1879" s="66"/>
      <c r="BP1879" s="66"/>
    </row>
    <row r="1880" spans="1:68" ht="13.2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/>
      <c r="AQ1880" s="75"/>
      <c r="AR1880" s="75"/>
      <c r="AS1880" s="75"/>
      <c r="AT1880" s="75"/>
      <c r="AU1880" s="75"/>
      <c r="AV1880" s="75"/>
      <c r="AW1880" s="75"/>
      <c r="AX1880" s="75"/>
      <c r="AY1880" s="67"/>
      <c r="AZ1880" s="75"/>
      <c r="BA1880" s="67"/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8"/>
      <c r="BL1880" s="78"/>
      <c r="BM1880" s="78"/>
      <c r="BN1880" s="78"/>
      <c r="BO1880" s="66"/>
      <c r="BP1880" s="66"/>
    </row>
    <row r="1881" spans="1:68" ht="13.2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/>
      <c r="AQ1881" s="75"/>
      <c r="AR1881" s="75"/>
      <c r="AS1881" s="75"/>
      <c r="AT1881" s="75"/>
      <c r="AU1881" s="75"/>
      <c r="AV1881" s="75"/>
      <c r="AW1881" s="75"/>
      <c r="AX1881" s="75"/>
      <c r="AY1881" s="67"/>
      <c r="AZ1881" s="75"/>
      <c r="BA1881" s="67"/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8"/>
      <c r="BL1881" s="78"/>
      <c r="BM1881" s="78"/>
      <c r="BN1881" s="78"/>
      <c r="BO1881" s="66"/>
      <c r="BP1881" s="66"/>
    </row>
    <row r="1882" spans="1:68" ht="13.2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/>
      <c r="AQ1882" s="75"/>
      <c r="AR1882" s="75"/>
      <c r="AS1882" s="75"/>
      <c r="AT1882" s="75"/>
      <c r="AU1882" s="75"/>
      <c r="AV1882" s="75"/>
      <c r="AW1882" s="75"/>
      <c r="AX1882" s="75"/>
      <c r="AY1882" s="67"/>
      <c r="AZ1882" s="75"/>
      <c r="BA1882" s="67"/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8"/>
      <c r="BL1882" s="78"/>
      <c r="BM1882" s="78"/>
      <c r="BN1882" s="78"/>
      <c r="BO1882" s="66"/>
      <c r="BP1882" s="66"/>
    </row>
    <row r="1883" spans="1:68" ht="13.2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/>
      <c r="AQ1883" s="75"/>
      <c r="AR1883" s="75"/>
      <c r="AS1883" s="75"/>
      <c r="AT1883" s="75"/>
      <c r="AU1883" s="75"/>
      <c r="AV1883" s="75"/>
      <c r="AW1883" s="75"/>
      <c r="AX1883" s="75"/>
      <c r="AY1883" s="67"/>
      <c r="AZ1883" s="75"/>
      <c r="BA1883" s="67"/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8"/>
      <c r="BL1883" s="78"/>
      <c r="BM1883" s="78"/>
      <c r="BN1883" s="78"/>
      <c r="BO1883" s="66"/>
      <c r="BP1883" s="66"/>
    </row>
    <row r="1884" spans="1:68" ht="13.2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/>
      <c r="AQ1884" s="75"/>
      <c r="AR1884" s="75"/>
      <c r="AS1884" s="75"/>
      <c r="AT1884" s="75"/>
      <c r="AU1884" s="75"/>
      <c r="AV1884" s="75"/>
      <c r="AW1884" s="75"/>
      <c r="AX1884" s="75"/>
      <c r="AY1884" s="67"/>
      <c r="AZ1884" s="75"/>
      <c r="BA1884" s="67"/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8"/>
      <c r="BL1884" s="78"/>
      <c r="BM1884" s="78"/>
      <c r="BN1884" s="78"/>
      <c r="BO1884" s="66"/>
      <c r="BP1884" s="66"/>
    </row>
    <row r="1885" spans="1:68" ht="13.2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/>
      <c r="AQ1885" s="75"/>
      <c r="AR1885" s="75"/>
      <c r="AS1885" s="75"/>
      <c r="AT1885" s="75"/>
      <c r="AU1885" s="75"/>
      <c r="AV1885" s="75"/>
      <c r="AW1885" s="75"/>
      <c r="AX1885" s="75"/>
      <c r="AY1885" s="67"/>
      <c r="AZ1885" s="75"/>
      <c r="BA1885" s="67"/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8"/>
      <c r="BL1885" s="78"/>
      <c r="BM1885" s="78"/>
      <c r="BN1885" s="78"/>
      <c r="BO1885" s="66"/>
      <c r="BP1885" s="66"/>
    </row>
    <row r="1886" spans="1:68" ht="13.2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/>
      <c r="AQ1886" s="75"/>
      <c r="AR1886" s="75"/>
      <c r="AS1886" s="75"/>
      <c r="AT1886" s="75"/>
      <c r="AU1886" s="75"/>
      <c r="AV1886" s="75"/>
      <c r="AW1886" s="75"/>
      <c r="AX1886" s="75"/>
      <c r="AY1886" s="67"/>
      <c r="AZ1886" s="75"/>
      <c r="BA1886" s="67"/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8"/>
      <c r="BL1886" s="78"/>
      <c r="BM1886" s="78"/>
      <c r="BN1886" s="78"/>
      <c r="BO1886" s="66"/>
      <c r="BP1886" s="66"/>
    </row>
    <row r="1887" spans="1:68" ht="13.2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/>
      <c r="AQ1887" s="75"/>
      <c r="AR1887" s="75"/>
      <c r="AS1887" s="75"/>
      <c r="AT1887" s="75"/>
      <c r="AU1887" s="75"/>
      <c r="AV1887" s="75"/>
      <c r="AW1887" s="75"/>
      <c r="AX1887" s="75"/>
      <c r="AY1887" s="67"/>
      <c r="AZ1887" s="75"/>
      <c r="BA1887" s="67"/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8"/>
      <c r="BL1887" s="78"/>
      <c r="BM1887" s="78"/>
      <c r="BN1887" s="78"/>
      <c r="BO1887" s="66"/>
      <c r="BP1887" s="66"/>
    </row>
    <row r="1888" spans="1:68" ht="13.2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/>
      <c r="AQ1888" s="75"/>
      <c r="AR1888" s="75"/>
      <c r="AS1888" s="75"/>
      <c r="AT1888" s="75"/>
      <c r="AU1888" s="75"/>
      <c r="AV1888" s="75"/>
      <c r="AW1888" s="75"/>
      <c r="AX1888" s="75"/>
      <c r="AY1888" s="67"/>
      <c r="AZ1888" s="75"/>
      <c r="BA1888" s="67"/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8"/>
      <c r="BL1888" s="78"/>
      <c r="BM1888" s="78"/>
      <c r="BN1888" s="78"/>
      <c r="BO1888" s="66"/>
      <c r="BP1888" s="66"/>
    </row>
    <row r="1889" spans="1:68" ht="13.2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/>
      <c r="AQ1889" s="75"/>
      <c r="AR1889" s="75"/>
      <c r="AS1889" s="75"/>
      <c r="AT1889" s="75"/>
      <c r="AU1889" s="75"/>
      <c r="AV1889" s="75"/>
      <c r="AW1889" s="75"/>
      <c r="AX1889" s="75"/>
      <c r="AY1889" s="67"/>
      <c r="AZ1889" s="75"/>
      <c r="BA1889" s="67"/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8"/>
      <c r="BL1889" s="78"/>
      <c r="BM1889" s="78"/>
      <c r="BN1889" s="78"/>
      <c r="BO1889" s="66"/>
      <c r="BP1889" s="66"/>
    </row>
    <row r="1890" spans="1:68" ht="13.2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/>
      <c r="AQ1890" s="75"/>
      <c r="AR1890" s="75"/>
      <c r="AS1890" s="75"/>
      <c r="AT1890" s="75"/>
      <c r="AU1890" s="75"/>
      <c r="AV1890" s="75"/>
      <c r="AW1890" s="75"/>
      <c r="AX1890" s="75"/>
      <c r="AY1890" s="67"/>
      <c r="AZ1890" s="75"/>
      <c r="BA1890" s="67"/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8"/>
      <c r="BL1890" s="78"/>
      <c r="BM1890" s="78"/>
      <c r="BN1890" s="78"/>
      <c r="BO1890" s="66"/>
      <c r="BP1890" s="66"/>
    </row>
    <row r="1891" spans="1:68" ht="13.2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/>
      <c r="AQ1891" s="75"/>
      <c r="AR1891" s="75"/>
      <c r="AS1891" s="75"/>
      <c r="AT1891" s="75"/>
      <c r="AU1891" s="75"/>
      <c r="AV1891" s="75"/>
      <c r="AW1891" s="75"/>
      <c r="AX1891" s="75"/>
      <c r="AY1891" s="67"/>
      <c r="AZ1891" s="75"/>
      <c r="BA1891" s="67"/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8"/>
      <c r="BL1891" s="78"/>
      <c r="BM1891" s="78"/>
      <c r="BN1891" s="78"/>
      <c r="BO1891" s="66"/>
      <c r="BP1891" s="66"/>
    </row>
    <row r="1892" spans="1:68" ht="13.2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/>
      <c r="AQ1892" s="75"/>
      <c r="AR1892" s="75"/>
      <c r="AS1892" s="75"/>
      <c r="AT1892" s="75"/>
      <c r="AU1892" s="75"/>
      <c r="AV1892" s="75"/>
      <c r="AW1892" s="75"/>
      <c r="AX1892" s="75"/>
      <c r="AY1892" s="67"/>
      <c r="AZ1892" s="75"/>
      <c r="BA1892" s="67"/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8"/>
      <c r="BL1892" s="78"/>
      <c r="BM1892" s="78"/>
      <c r="BN1892" s="78"/>
      <c r="BO1892" s="66"/>
      <c r="BP1892" s="66"/>
    </row>
    <row r="1893" spans="1:68" ht="13.2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/>
      <c r="AQ1893" s="75"/>
      <c r="AR1893" s="75"/>
      <c r="AS1893" s="75"/>
      <c r="AT1893" s="75"/>
      <c r="AU1893" s="75"/>
      <c r="AV1893" s="75"/>
      <c r="AW1893" s="75"/>
      <c r="AX1893" s="75"/>
      <c r="AY1893" s="67"/>
      <c r="AZ1893" s="75"/>
      <c r="BA1893" s="67"/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8"/>
      <c r="BL1893" s="78"/>
      <c r="BM1893" s="78"/>
      <c r="BN1893" s="78"/>
      <c r="BO1893" s="66"/>
      <c r="BP1893" s="66"/>
    </row>
    <row r="1894" spans="1:68" ht="13.2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/>
      <c r="AQ1894" s="75"/>
      <c r="AR1894" s="75"/>
      <c r="AS1894" s="75"/>
      <c r="AT1894" s="75"/>
      <c r="AU1894" s="75"/>
      <c r="AV1894" s="75"/>
      <c r="AW1894" s="75"/>
      <c r="AX1894" s="75"/>
      <c r="AY1894" s="67"/>
      <c r="AZ1894" s="75"/>
      <c r="BA1894" s="67"/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8"/>
      <c r="BL1894" s="78"/>
      <c r="BM1894" s="78"/>
      <c r="BN1894" s="78"/>
      <c r="BO1894" s="66"/>
      <c r="BP1894" s="66"/>
    </row>
    <row r="1895" spans="1:68" ht="13.2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/>
      <c r="AQ1895" s="75"/>
      <c r="AR1895" s="75"/>
      <c r="AS1895" s="75"/>
      <c r="AT1895" s="75"/>
      <c r="AU1895" s="75"/>
      <c r="AV1895" s="75"/>
      <c r="AW1895" s="75"/>
      <c r="AX1895" s="75"/>
      <c r="AY1895" s="67"/>
      <c r="AZ1895" s="75"/>
      <c r="BA1895" s="67"/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8"/>
      <c r="BL1895" s="78"/>
      <c r="BM1895" s="78"/>
      <c r="BN1895" s="78"/>
      <c r="BO1895" s="66"/>
      <c r="BP1895" s="66"/>
    </row>
    <row r="1896" spans="1:68" ht="13.2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/>
      <c r="AQ1896" s="75"/>
      <c r="AR1896" s="75"/>
      <c r="AS1896" s="75"/>
      <c r="AT1896" s="75"/>
      <c r="AU1896" s="75"/>
      <c r="AV1896" s="75"/>
      <c r="AW1896" s="75"/>
      <c r="AX1896" s="75"/>
      <c r="AY1896" s="67"/>
      <c r="AZ1896" s="75"/>
      <c r="BA1896" s="67"/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8"/>
      <c r="BL1896" s="78"/>
      <c r="BM1896" s="78"/>
      <c r="BN1896" s="78"/>
      <c r="BO1896" s="66"/>
      <c r="BP1896" s="66"/>
    </row>
    <row r="1897" spans="1:68" ht="13.2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/>
      <c r="AQ1897" s="75"/>
      <c r="AR1897" s="75"/>
      <c r="AS1897" s="75"/>
      <c r="AT1897" s="75"/>
      <c r="AU1897" s="75"/>
      <c r="AV1897" s="75"/>
      <c r="AW1897" s="75"/>
      <c r="AX1897" s="75"/>
      <c r="AY1897" s="67"/>
      <c r="AZ1897" s="75"/>
      <c r="BA1897" s="67"/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8"/>
      <c r="BL1897" s="78"/>
      <c r="BM1897" s="78"/>
      <c r="BN1897" s="78"/>
      <c r="BO1897" s="66"/>
      <c r="BP1897" s="66"/>
    </row>
    <row r="1898" spans="1:68" ht="13.2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/>
      <c r="AQ1898" s="75"/>
      <c r="AR1898" s="75"/>
      <c r="AS1898" s="75"/>
      <c r="AT1898" s="75"/>
      <c r="AU1898" s="75"/>
      <c r="AV1898" s="75"/>
      <c r="AW1898" s="75"/>
      <c r="AX1898" s="75"/>
      <c r="AY1898" s="67"/>
      <c r="AZ1898" s="75"/>
      <c r="BA1898" s="67"/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8"/>
      <c r="BL1898" s="78"/>
      <c r="BM1898" s="78"/>
      <c r="BN1898" s="78"/>
      <c r="BO1898" s="66"/>
      <c r="BP1898" s="66"/>
    </row>
    <row r="1899" spans="1:68" ht="13.2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/>
      <c r="AQ1899" s="75"/>
      <c r="AR1899" s="75"/>
      <c r="AS1899" s="75"/>
      <c r="AT1899" s="75"/>
      <c r="AU1899" s="75"/>
      <c r="AV1899" s="75"/>
      <c r="AW1899" s="75"/>
      <c r="AX1899" s="75"/>
      <c r="AY1899" s="67"/>
      <c r="AZ1899" s="75"/>
      <c r="BA1899" s="67"/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8"/>
      <c r="BL1899" s="78"/>
      <c r="BM1899" s="78"/>
      <c r="BN1899" s="78"/>
      <c r="BO1899" s="66"/>
      <c r="BP1899" s="66"/>
    </row>
    <row r="1900" spans="1:68" ht="13.2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/>
      <c r="AQ1900" s="75"/>
      <c r="AR1900" s="75"/>
      <c r="AS1900" s="75"/>
      <c r="AT1900" s="75"/>
      <c r="AU1900" s="75"/>
      <c r="AV1900" s="75"/>
      <c r="AW1900" s="75"/>
      <c r="AX1900" s="75"/>
      <c r="AY1900" s="67"/>
      <c r="AZ1900" s="75"/>
      <c r="BA1900" s="67"/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8"/>
      <c r="BL1900" s="78"/>
      <c r="BM1900" s="78"/>
      <c r="BN1900" s="78"/>
      <c r="BO1900" s="66"/>
      <c r="BP1900" s="66"/>
    </row>
    <row r="1901" spans="1:68" ht="13.2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/>
      <c r="AQ1901" s="75"/>
      <c r="AR1901" s="75"/>
      <c r="AS1901" s="75"/>
      <c r="AT1901" s="75"/>
      <c r="AU1901" s="75"/>
      <c r="AV1901" s="75"/>
      <c r="AW1901" s="75"/>
      <c r="AX1901" s="75"/>
      <c r="AY1901" s="67"/>
      <c r="AZ1901" s="75"/>
      <c r="BA1901" s="67"/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8"/>
      <c r="BL1901" s="78"/>
      <c r="BM1901" s="78"/>
      <c r="BN1901" s="78"/>
      <c r="BO1901" s="66"/>
      <c r="BP1901" s="66"/>
    </row>
    <row r="1902" spans="1:68" ht="13.2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/>
      <c r="AQ1902" s="75"/>
      <c r="AR1902" s="75"/>
      <c r="AS1902" s="75"/>
      <c r="AT1902" s="75"/>
      <c r="AU1902" s="75"/>
      <c r="AV1902" s="75"/>
      <c r="AW1902" s="75"/>
      <c r="AX1902" s="75"/>
      <c r="AY1902" s="67"/>
      <c r="AZ1902" s="75"/>
      <c r="BA1902" s="67"/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8"/>
      <c r="BL1902" s="78"/>
      <c r="BM1902" s="78"/>
      <c r="BN1902" s="78"/>
      <c r="BO1902" s="66"/>
      <c r="BP1902" s="66"/>
    </row>
    <row r="1903" spans="1:68" ht="13.2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/>
      <c r="AQ1903" s="75"/>
      <c r="AR1903" s="75"/>
      <c r="AS1903" s="75"/>
      <c r="AT1903" s="75"/>
      <c r="AU1903" s="75"/>
      <c r="AV1903" s="75"/>
      <c r="AW1903" s="75"/>
      <c r="AX1903" s="75"/>
      <c r="AY1903" s="67"/>
      <c r="AZ1903" s="75"/>
      <c r="BA1903" s="67"/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8"/>
      <c r="BL1903" s="78"/>
      <c r="BM1903" s="78"/>
      <c r="BN1903" s="78"/>
      <c r="BO1903" s="66"/>
      <c r="BP1903" s="66"/>
    </row>
    <row r="1904" spans="1:68" ht="13.2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/>
      <c r="AQ1904" s="75"/>
      <c r="AR1904" s="75"/>
      <c r="AS1904" s="75"/>
      <c r="AT1904" s="75"/>
      <c r="AU1904" s="75"/>
      <c r="AV1904" s="75"/>
      <c r="AW1904" s="75"/>
      <c r="AX1904" s="75"/>
      <c r="AY1904" s="67"/>
      <c r="AZ1904" s="75"/>
      <c r="BA1904" s="67"/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8"/>
      <c r="BL1904" s="78"/>
      <c r="BM1904" s="78"/>
      <c r="BN1904" s="78"/>
      <c r="BO1904" s="66"/>
      <c r="BP1904" s="66"/>
    </row>
    <row r="1905" spans="1:68" ht="13.2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/>
      <c r="AQ1905" s="75"/>
      <c r="AR1905" s="75"/>
      <c r="AS1905" s="75"/>
      <c r="AT1905" s="75"/>
      <c r="AU1905" s="75"/>
      <c r="AV1905" s="75"/>
      <c r="AW1905" s="75"/>
      <c r="AX1905" s="75"/>
      <c r="AY1905" s="67"/>
      <c r="AZ1905" s="75"/>
      <c r="BA1905" s="67"/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8"/>
      <c r="BL1905" s="78"/>
      <c r="BM1905" s="78"/>
      <c r="BN1905" s="78"/>
      <c r="BO1905" s="66"/>
      <c r="BP1905" s="66"/>
    </row>
    <row r="1906" spans="1:68" ht="13.2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/>
      <c r="AQ1906" s="75"/>
      <c r="AR1906" s="75"/>
      <c r="AS1906" s="75"/>
      <c r="AT1906" s="75"/>
      <c r="AU1906" s="75"/>
      <c r="AV1906" s="75"/>
      <c r="AW1906" s="75"/>
      <c r="AX1906" s="75"/>
      <c r="AY1906" s="67"/>
      <c r="AZ1906" s="75"/>
      <c r="BA1906" s="67"/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8"/>
      <c r="BL1906" s="78"/>
      <c r="BM1906" s="78"/>
      <c r="BN1906" s="78"/>
      <c r="BO1906" s="66"/>
      <c r="BP1906" s="66"/>
    </row>
    <row r="1907" spans="1:68" ht="13.2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/>
      <c r="AQ1907" s="75"/>
      <c r="AR1907" s="75"/>
      <c r="AS1907" s="75"/>
      <c r="AT1907" s="75"/>
      <c r="AU1907" s="75"/>
      <c r="AV1907" s="75"/>
      <c r="AW1907" s="75"/>
      <c r="AX1907" s="75"/>
      <c r="AY1907" s="67"/>
      <c r="AZ1907" s="75"/>
      <c r="BA1907" s="67"/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8"/>
      <c r="BL1907" s="78"/>
      <c r="BM1907" s="78"/>
      <c r="BN1907" s="78"/>
      <c r="BO1907" s="66"/>
      <c r="BP1907" s="66"/>
    </row>
    <row r="1908" spans="1:68" ht="13.2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/>
      <c r="AQ1908" s="75"/>
      <c r="AR1908" s="75"/>
      <c r="AS1908" s="75"/>
      <c r="AT1908" s="75"/>
      <c r="AU1908" s="75"/>
      <c r="AV1908" s="75"/>
      <c r="AW1908" s="75"/>
      <c r="AX1908" s="75"/>
      <c r="AY1908" s="67"/>
      <c r="AZ1908" s="75"/>
      <c r="BA1908" s="67"/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8"/>
      <c r="BL1908" s="78"/>
      <c r="BM1908" s="78"/>
      <c r="BN1908" s="78"/>
      <c r="BO1908" s="66"/>
      <c r="BP1908" s="66"/>
    </row>
    <row r="1909" spans="1:68" ht="13.2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/>
      <c r="AQ1909" s="75"/>
      <c r="AR1909" s="75"/>
      <c r="AS1909" s="75"/>
      <c r="AT1909" s="75"/>
      <c r="AU1909" s="75"/>
      <c r="AV1909" s="75"/>
      <c r="AW1909" s="75"/>
      <c r="AX1909" s="75"/>
      <c r="AY1909" s="67"/>
      <c r="AZ1909" s="75"/>
      <c r="BA1909" s="67"/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8"/>
      <c r="BL1909" s="78"/>
      <c r="BM1909" s="78"/>
      <c r="BN1909" s="78"/>
      <c r="BO1909" s="66"/>
      <c r="BP1909" s="66"/>
    </row>
    <row r="1910" spans="1:68" ht="13.2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/>
      <c r="AQ1910" s="75"/>
      <c r="AR1910" s="75"/>
      <c r="AS1910" s="75"/>
      <c r="AT1910" s="75"/>
      <c r="AU1910" s="75"/>
      <c r="AV1910" s="75"/>
      <c r="AW1910" s="75"/>
      <c r="AX1910" s="75"/>
      <c r="AY1910" s="67"/>
      <c r="AZ1910" s="75"/>
      <c r="BA1910" s="67"/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8"/>
      <c r="BL1910" s="78"/>
      <c r="BM1910" s="78"/>
      <c r="BN1910" s="78"/>
      <c r="BO1910" s="66"/>
      <c r="BP1910" s="66"/>
    </row>
    <row r="1911" spans="1:68" ht="13.2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/>
      <c r="AQ1911" s="75"/>
      <c r="AR1911" s="75"/>
      <c r="AS1911" s="75"/>
      <c r="AT1911" s="75"/>
      <c r="AU1911" s="75"/>
      <c r="AV1911" s="75"/>
      <c r="AW1911" s="75"/>
      <c r="AX1911" s="75"/>
      <c r="AY1911" s="67"/>
      <c r="AZ1911" s="75"/>
      <c r="BA1911" s="67"/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8"/>
      <c r="BL1911" s="78"/>
      <c r="BM1911" s="78"/>
      <c r="BN1911" s="78"/>
      <c r="BO1911" s="66"/>
      <c r="BP1911" s="66"/>
    </row>
    <row r="1912" spans="1:68" ht="13.2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/>
      <c r="AQ1912" s="75"/>
      <c r="AR1912" s="75"/>
      <c r="AS1912" s="75"/>
      <c r="AT1912" s="75"/>
      <c r="AU1912" s="75"/>
      <c r="AV1912" s="75"/>
      <c r="AW1912" s="75"/>
      <c r="AX1912" s="75"/>
      <c r="AY1912" s="67"/>
      <c r="AZ1912" s="75"/>
      <c r="BA1912" s="67"/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8"/>
      <c r="BL1912" s="78"/>
      <c r="BM1912" s="78"/>
      <c r="BN1912" s="78"/>
      <c r="BO1912" s="66"/>
      <c r="BP1912" s="66"/>
    </row>
    <row r="1913" spans="1:68" ht="13.2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/>
      <c r="AQ1913" s="75"/>
      <c r="AR1913" s="75"/>
      <c r="AS1913" s="75"/>
      <c r="AT1913" s="75"/>
      <c r="AU1913" s="75"/>
      <c r="AV1913" s="75"/>
      <c r="AW1913" s="75"/>
      <c r="AX1913" s="75"/>
      <c r="AY1913" s="67"/>
      <c r="AZ1913" s="75"/>
      <c r="BA1913" s="67"/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8"/>
      <c r="BL1913" s="78"/>
      <c r="BM1913" s="78"/>
      <c r="BN1913" s="78"/>
      <c r="BO1913" s="66"/>
      <c r="BP1913" s="66"/>
    </row>
    <row r="1914" spans="1:68" ht="13.2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/>
      <c r="AQ1914" s="75"/>
      <c r="AR1914" s="75"/>
      <c r="AS1914" s="75"/>
      <c r="AT1914" s="75"/>
      <c r="AU1914" s="75"/>
      <c r="AV1914" s="75"/>
      <c r="AW1914" s="75"/>
      <c r="AX1914" s="75"/>
      <c r="AY1914" s="67"/>
      <c r="AZ1914" s="75"/>
      <c r="BA1914" s="67"/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8"/>
      <c r="BL1914" s="78"/>
      <c r="BM1914" s="78"/>
      <c r="BN1914" s="78"/>
      <c r="BO1914" s="66"/>
      <c r="BP1914" s="66"/>
    </row>
    <row r="1915" spans="1:68" ht="13.2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/>
      <c r="AQ1915" s="75"/>
      <c r="AR1915" s="75"/>
      <c r="AS1915" s="75"/>
      <c r="AT1915" s="75"/>
      <c r="AU1915" s="75"/>
      <c r="AV1915" s="75"/>
      <c r="AW1915" s="75"/>
      <c r="AX1915" s="75"/>
      <c r="AY1915" s="67"/>
      <c r="AZ1915" s="75"/>
      <c r="BA1915" s="67"/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8"/>
      <c r="BL1915" s="78"/>
      <c r="BM1915" s="78"/>
      <c r="BN1915" s="78"/>
      <c r="BO1915" s="66"/>
      <c r="BP1915" s="66"/>
    </row>
    <row r="1916" spans="1:68" ht="13.2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/>
      <c r="AQ1916" s="75"/>
      <c r="AR1916" s="75"/>
      <c r="AS1916" s="75"/>
      <c r="AT1916" s="75"/>
      <c r="AU1916" s="75"/>
      <c r="AV1916" s="75"/>
      <c r="AW1916" s="75"/>
      <c r="AX1916" s="75"/>
      <c r="AY1916" s="67"/>
      <c r="AZ1916" s="75"/>
      <c r="BA1916" s="67"/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8"/>
      <c r="BL1916" s="78"/>
      <c r="BM1916" s="78"/>
      <c r="BN1916" s="78"/>
      <c r="BO1916" s="66"/>
      <c r="BP1916" s="66"/>
    </row>
    <row r="1917" spans="1:68" ht="13.2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/>
      <c r="AQ1917" s="75"/>
      <c r="AR1917" s="75"/>
      <c r="AS1917" s="75"/>
      <c r="AT1917" s="75"/>
      <c r="AU1917" s="75"/>
      <c r="AV1917" s="75"/>
      <c r="AW1917" s="75"/>
      <c r="AX1917" s="75"/>
      <c r="AY1917" s="67"/>
      <c r="AZ1917" s="75"/>
      <c r="BA1917" s="67"/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8"/>
      <c r="BL1917" s="78"/>
      <c r="BM1917" s="78"/>
      <c r="BN1917" s="78"/>
      <c r="BO1917" s="66"/>
      <c r="BP1917" s="66"/>
    </row>
    <row r="1918" spans="1:68" ht="13.2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/>
      <c r="AQ1918" s="75"/>
      <c r="AR1918" s="75"/>
      <c r="AS1918" s="75"/>
      <c r="AT1918" s="75"/>
      <c r="AU1918" s="75"/>
      <c r="AV1918" s="75"/>
      <c r="AW1918" s="75"/>
      <c r="AX1918" s="75"/>
      <c r="AY1918" s="67"/>
      <c r="AZ1918" s="75"/>
      <c r="BA1918" s="67"/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8"/>
      <c r="BL1918" s="78"/>
      <c r="BM1918" s="78"/>
      <c r="BN1918" s="78"/>
      <c r="BO1918" s="66"/>
      <c r="BP1918" s="66"/>
    </row>
    <row r="1919" spans="1:68" ht="13.2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/>
      <c r="AQ1919" s="75"/>
      <c r="AR1919" s="75"/>
      <c r="AS1919" s="75"/>
      <c r="AT1919" s="75"/>
      <c r="AU1919" s="75"/>
      <c r="AV1919" s="75"/>
      <c r="AW1919" s="75"/>
      <c r="AX1919" s="75"/>
      <c r="AY1919" s="67"/>
      <c r="AZ1919" s="75"/>
      <c r="BA1919" s="67"/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8"/>
      <c r="BL1919" s="78"/>
      <c r="BM1919" s="78"/>
      <c r="BN1919" s="78"/>
      <c r="BO1919" s="66"/>
      <c r="BP1919" s="66"/>
    </row>
    <row r="1920" spans="1:68" ht="13.2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/>
      <c r="AQ1920" s="75"/>
      <c r="AR1920" s="75"/>
      <c r="AS1920" s="75"/>
      <c r="AT1920" s="75"/>
      <c r="AU1920" s="75"/>
      <c r="AV1920" s="75"/>
      <c r="AW1920" s="75"/>
      <c r="AX1920" s="75"/>
      <c r="AY1920" s="67"/>
      <c r="AZ1920" s="75"/>
      <c r="BA1920" s="67"/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8"/>
      <c r="BL1920" s="78"/>
      <c r="BM1920" s="78"/>
      <c r="BN1920" s="78"/>
      <c r="BO1920" s="66"/>
      <c r="BP1920" s="66"/>
    </row>
    <row r="1921" spans="1:68" ht="13.2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/>
      <c r="AQ1921" s="75"/>
      <c r="AR1921" s="75"/>
      <c r="AS1921" s="75"/>
      <c r="AT1921" s="75"/>
      <c r="AU1921" s="75"/>
      <c r="AV1921" s="75"/>
      <c r="AW1921" s="75"/>
      <c r="AX1921" s="75"/>
      <c r="AY1921" s="67"/>
      <c r="AZ1921" s="75"/>
      <c r="BA1921" s="67"/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8"/>
      <c r="BL1921" s="78"/>
      <c r="BM1921" s="78"/>
      <c r="BN1921" s="78"/>
      <c r="BO1921" s="66"/>
      <c r="BP1921" s="66"/>
    </row>
    <row r="1922" spans="1:68" ht="13.2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/>
      <c r="AQ1922" s="75"/>
      <c r="AR1922" s="75"/>
      <c r="AS1922" s="75"/>
      <c r="AT1922" s="75"/>
      <c r="AU1922" s="75"/>
      <c r="AV1922" s="75"/>
      <c r="AW1922" s="75"/>
      <c r="AX1922" s="75"/>
      <c r="AY1922" s="67"/>
      <c r="AZ1922" s="75"/>
      <c r="BA1922" s="67"/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8"/>
      <c r="BL1922" s="78"/>
      <c r="BM1922" s="78"/>
      <c r="BN1922" s="78"/>
      <c r="BO1922" s="66"/>
      <c r="BP1922" s="66"/>
    </row>
    <row r="1923" spans="1:68" ht="13.2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/>
      <c r="AQ1923" s="75"/>
      <c r="AR1923" s="75"/>
      <c r="AS1923" s="75"/>
      <c r="AT1923" s="75"/>
      <c r="AU1923" s="75"/>
      <c r="AV1923" s="75"/>
      <c r="AW1923" s="75"/>
      <c r="AX1923" s="75"/>
      <c r="AY1923" s="67"/>
      <c r="AZ1923" s="75"/>
      <c r="BA1923" s="67"/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8"/>
      <c r="BL1923" s="78"/>
      <c r="BM1923" s="78"/>
      <c r="BN1923" s="78"/>
      <c r="BO1923" s="66"/>
      <c r="BP1923" s="66"/>
    </row>
    <row r="1924" spans="1:68" ht="13.2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/>
      <c r="AQ1924" s="75"/>
      <c r="AR1924" s="75"/>
      <c r="AS1924" s="75"/>
      <c r="AT1924" s="75"/>
      <c r="AU1924" s="75"/>
      <c r="AV1924" s="75"/>
      <c r="AW1924" s="75"/>
      <c r="AX1924" s="75"/>
      <c r="AY1924" s="67"/>
      <c r="AZ1924" s="75"/>
      <c r="BA1924" s="67"/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8"/>
      <c r="BL1924" s="78"/>
      <c r="BM1924" s="78"/>
      <c r="BN1924" s="78"/>
      <c r="BO1924" s="66"/>
      <c r="BP1924" s="66"/>
    </row>
    <row r="1925" spans="1:68" ht="13.2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/>
      <c r="AQ1925" s="75"/>
      <c r="AR1925" s="75"/>
      <c r="AS1925" s="75"/>
      <c r="AT1925" s="75"/>
      <c r="AU1925" s="75"/>
      <c r="AV1925" s="75"/>
      <c r="AW1925" s="75"/>
      <c r="AX1925" s="75"/>
      <c r="AY1925" s="67"/>
      <c r="AZ1925" s="75"/>
      <c r="BA1925" s="67"/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8"/>
      <c r="BL1925" s="78"/>
      <c r="BM1925" s="78"/>
      <c r="BN1925" s="78"/>
      <c r="BO1925" s="66"/>
      <c r="BP1925" s="66"/>
    </row>
    <row r="1926" spans="1:68" ht="13.2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/>
      <c r="AQ1926" s="75"/>
      <c r="AR1926" s="75"/>
      <c r="AS1926" s="75"/>
      <c r="AT1926" s="75"/>
      <c r="AU1926" s="75"/>
      <c r="AV1926" s="75"/>
      <c r="AW1926" s="75"/>
      <c r="AX1926" s="75"/>
      <c r="AY1926" s="67"/>
      <c r="AZ1926" s="75"/>
      <c r="BA1926" s="67"/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8"/>
      <c r="BL1926" s="78"/>
      <c r="BM1926" s="78"/>
      <c r="BN1926" s="78"/>
      <c r="BO1926" s="66"/>
      <c r="BP1926" s="66"/>
    </row>
    <row r="1927" spans="1:68" ht="13.2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/>
      <c r="AQ1927" s="75"/>
      <c r="AR1927" s="75"/>
      <c r="AS1927" s="75"/>
      <c r="AT1927" s="75"/>
      <c r="AU1927" s="75"/>
      <c r="AV1927" s="75"/>
      <c r="AW1927" s="75"/>
      <c r="AX1927" s="75"/>
      <c r="AY1927" s="67"/>
      <c r="AZ1927" s="75"/>
      <c r="BA1927" s="67"/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8"/>
      <c r="BL1927" s="78"/>
      <c r="BM1927" s="78"/>
      <c r="BN1927" s="78"/>
      <c r="BO1927" s="66"/>
      <c r="BP1927" s="66"/>
    </row>
    <row r="1928" spans="1:68" ht="13.2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/>
      <c r="AQ1928" s="75"/>
      <c r="AR1928" s="75"/>
      <c r="AS1928" s="75"/>
      <c r="AT1928" s="75"/>
      <c r="AU1928" s="75"/>
      <c r="AV1928" s="75"/>
      <c r="AW1928" s="75"/>
      <c r="AX1928" s="75"/>
      <c r="AY1928" s="67"/>
      <c r="AZ1928" s="75"/>
      <c r="BA1928" s="67"/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8"/>
      <c r="BL1928" s="78"/>
      <c r="BM1928" s="78"/>
      <c r="BN1928" s="78"/>
      <c r="BO1928" s="66"/>
      <c r="BP1928" s="66"/>
    </row>
    <row r="1929" spans="1:68" ht="13.2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/>
      <c r="AQ1929" s="75"/>
      <c r="AR1929" s="75"/>
      <c r="AS1929" s="75"/>
      <c r="AT1929" s="75"/>
      <c r="AU1929" s="75"/>
      <c r="AV1929" s="75"/>
      <c r="AW1929" s="75"/>
      <c r="AX1929" s="75"/>
      <c r="AY1929" s="67"/>
      <c r="AZ1929" s="75"/>
      <c r="BA1929" s="67"/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8"/>
      <c r="BL1929" s="78"/>
      <c r="BM1929" s="78"/>
      <c r="BN1929" s="78"/>
      <c r="BO1929" s="66"/>
      <c r="BP1929" s="66"/>
    </row>
    <row r="1930" spans="1:68" ht="13.2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/>
      <c r="AQ1930" s="75"/>
      <c r="AR1930" s="75"/>
      <c r="AS1930" s="75"/>
      <c r="AT1930" s="75"/>
      <c r="AU1930" s="75"/>
      <c r="AV1930" s="75"/>
      <c r="AW1930" s="75"/>
      <c r="AX1930" s="75"/>
      <c r="AY1930" s="67"/>
      <c r="AZ1930" s="75"/>
      <c r="BA1930" s="67"/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8"/>
      <c r="BL1930" s="78"/>
      <c r="BM1930" s="78"/>
      <c r="BN1930" s="78"/>
      <c r="BO1930" s="66"/>
      <c r="BP1930" s="66"/>
    </row>
    <row r="1931" spans="1:68" ht="13.2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/>
      <c r="AQ1931" s="75"/>
      <c r="AR1931" s="75"/>
      <c r="AS1931" s="75"/>
      <c r="AT1931" s="75"/>
      <c r="AU1931" s="75"/>
      <c r="AV1931" s="75"/>
      <c r="AW1931" s="75"/>
      <c r="AX1931" s="75"/>
      <c r="AY1931" s="67"/>
      <c r="AZ1931" s="75"/>
      <c r="BA1931" s="67"/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8"/>
      <c r="BL1931" s="78"/>
      <c r="BM1931" s="78"/>
      <c r="BN1931" s="78"/>
      <c r="BO1931" s="66"/>
      <c r="BP1931" s="66"/>
    </row>
    <row r="1932" spans="1:68" ht="13.2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/>
      <c r="AQ1932" s="75"/>
      <c r="AR1932" s="75"/>
      <c r="AS1932" s="75"/>
      <c r="AT1932" s="75"/>
      <c r="AU1932" s="75"/>
      <c r="AV1932" s="75"/>
      <c r="AW1932" s="75"/>
      <c r="AX1932" s="75"/>
      <c r="AY1932" s="67"/>
      <c r="AZ1932" s="75"/>
      <c r="BA1932" s="67"/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8"/>
      <c r="BL1932" s="78"/>
      <c r="BM1932" s="78"/>
      <c r="BN1932" s="78"/>
      <c r="BO1932" s="66"/>
      <c r="BP1932" s="66"/>
    </row>
    <row r="1933" spans="1:68" ht="13.2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/>
      <c r="AQ1933" s="75"/>
      <c r="AR1933" s="75"/>
      <c r="AS1933" s="75"/>
      <c r="AT1933" s="75"/>
      <c r="AU1933" s="75"/>
      <c r="AV1933" s="75"/>
      <c r="AW1933" s="75"/>
      <c r="AX1933" s="75"/>
      <c r="AY1933" s="67"/>
      <c r="AZ1933" s="75"/>
      <c r="BA1933" s="67"/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8"/>
      <c r="BL1933" s="78"/>
      <c r="BM1933" s="78"/>
      <c r="BN1933" s="78"/>
      <c r="BO1933" s="66"/>
      <c r="BP1933" s="66"/>
    </row>
    <row r="1934" spans="1:68" ht="13.2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/>
      <c r="AQ1934" s="75"/>
      <c r="AR1934" s="75"/>
      <c r="AS1934" s="75"/>
      <c r="AT1934" s="75"/>
      <c r="AU1934" s="75"/>
      <c r="AV1934" s="75"/>
      <c r="AW1934" s="75"/>
      <c r="AX1934" s="75"/>
      <c r="AY1934" s="67"/>
      <c r="AZ1934" s="75"/>
      <c r="BA1934" s="67"/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8"/>
      <c r="BL1934" s="78"/>
      <c r="BM1934" s="78"/>
      <c r="BN1934" s="78"/>
      <c r="BO1934" s="66"/>
      <c r="BP1934" s="66"/>
    </row>
    <row r="1935" spans="1:68" ht="13.2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/>
      <c r="AQ1935" s="75"/>
      <c r="AR1935" s="75"/>
      <c r="AS1935" s="75"/>
      <c r="AT1935" s="75"/>
      <c r="AU1935" s="75"/>
      <c r="AV1935" s="75"/>
      <c r="AW1935" s="75"/>
      <c r="AX1935" s="75"/>
      <c r="AY1935" s="67"/>
      <c r="AZ1935" s="75"/>
      <c r="BA1935" s="67"/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8"/>
      <c r="BL1935" s="78"/>
      <c r="BM1935" s="78"/>
      <c r="BN1935" s="78"/>
      <c r="BO1935" s="66"/>
      <c r="BP1935" s="66"/>
    </row>
    <row r="1936" spans="1:68" ht="13.2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/>
      <c r="AQ1936" s="75"/>
      <c r="AR1936" s="75"/>
      <c r="AS1936" s="75"/>
      <c r="AT1936" s="75"/>
      <c r="AU1936" s="75"/>
      <c r="AV1936" s="75"/>
      <c r="AW1936" s="75"/>
      <c r="AX1936" s="75"/>
      <c r="AY1936" s="67"/>
      <c r="AZ1936" s="75"/>
      <c r="BA1936" s="67"/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8"/>
      <c r="BL1936" s="78"/>
      <c r="BM1936" s="78"/>
      <c r="BN1936" s="78"/>
      <c r="BO1936" s="66"/>
      <c r="BP1936" s="66"/>
    </row>
    <row r="1937" spans="1:68" ht="13.2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/>
      <c r="AQ1937" s="75"/>
      <c r="AR1937" s="75"/>
      <c r="AS1937" s="75"/>
      <c r="AT1937" s="75"/>
      <c r="AU1937" s="75"/>
      <c r="AV1937" s="75"/>
      <c r="AW1937" s="75"/>
      <c r="AX1937" s="75"/>
      <c r="AY1937" s="67"/>
      <c r="AZ1937" s="75"/>
      <c r="BA1937" s="67"/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8"/>
      <c r="BL1937" s="78"/>
      <c r="BM1937" s="78"/>
      <c r="BN1937" s="78"/>
      <c r="BO1937" s="66"/>
      <c r="BP1937" s="66"/>
    </row>
    <row r="1938" spans="1:68" ht="13.2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/>
      <c r="AQ1938" s="75"/>
      <c r="AR1938" s="75"/>
      <c r="AS1938" s="75"/>
      <c r="AT1938" s="75"/>
      <c r="AU1938" s="75"/>
      <c r="AV1938" s="75"/>
      <c r="AW1938" s="75"/>
      <c r="AX1938" s="75"/>
      <c r="AY1938" s="67"/>
      <c r="AZ1938" s="75"/>
      <c r="BA1938" s="67"/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8"/>
      <c r="BL1938" s="78"/>
      <c r="BM1938" s="78"/>
      <c r="BN1938" s="78"/>
      <c r="BO1938" s="66"/>
      <c r="BP1938" s="66"/>
    </row>
    <row r="1939" spans="1:68" ht="13.2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/>
      <c r="AQ1939" s="75"/>
      <c r="AR1939" s="75"/>
      <c r="AS1939" s="75"/>
      <c r="AT1939" s="75"/>
      <c r="AU1939" s="75"/>
      <c r="AV1939" s="75"/>
      <c r="AW1939" s="75"/>
      <c r="AX1939" s="75"/>
      <c r="AY1939" s="67"/>
      <c r="AZ1939" s="75"/>
      <c r="BA1939" s="67"/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8"/>
      <c r="BL1939" s="78"/>
      <c r="BM1939" s="78"/>
      <c r="BN1939" s="78"/>
      <c r="BO1939" s="66"/>
      <c r="BP1939" s="66"/>
    </row>
    <row r="1940" spans="1:68" ht="13.2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/>
      <c r="AQ1940" s="75"/>
      <c r="AR1940" s="75"/>
      <c r="AS1940" s="75"/>
      <c r="AT1940" s="75"/>
      <c r="AU1940" s="75"/>
      <c r="AV1940" s="75"/>
      <c r="AW1940" s="75"/>
      <c r="AX1940" s="75"/>
      <c r="AY1940" s="67"/>
      <c r="AZ1940" s="75"/>
      <c r="BA1940" s="67"/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8"/>
      <c r="BL1940" s="78"/>
      <c r="BM1940" s="78"/>
      <c r="BN1940" s="78"/>
      <c r="BO1940" s="66"/>
      <c r="BP1940" s="66"/>
    </row>
    <row r="1941" spans="1:68" ht="13.2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/>
      <c r="AQ1941" s="75"/>
      <c r="AR1941" s="75"/>
      <c r="AS1941" s="75"/>
      <c r="AT1941" s="75"/>
      <c r="AU1941" s="75"/>
      <c r="AV1941" s="75"/>
      <c r="AW1941" s="75"/>
      <c r="AX1941" s="75"/>
      <c r="AY1941" s="67"/>
      <c r="AZ1941" s="75"/>
      <c r="BA1941" s="67"/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8"/>
      <c r="BL1941" s="78"/>
      <c r="BM1941" s="78"/>
      <c r="BN1941" s="78"/>
      <c r="BO1941" s="66"/>
      <c r="BP1941" s="66"/>
    </row>
    <row r="1942" spans="1:68" ht="13.2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/>
      <c r="AQ1942" s="75"/>
      <c r="AR1942" s="75"/>
      <c r="AS1942" s="75"/>
      <c r="AT1942" s="75"/>
      <c r="AU1942" s="75"/>
      <c r="AV1942" s="75"/>
      <c r="AW1942" s="75"/>
      <c r="AX1942" s="75"/>
      <c r="AY1942" s="67"/>
      <c r="AZ1942" s="75"/>
      <c r="BA1942" s="67"/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8"/>
      <c r="BL1942" s="78"/>
      <c r="BM1942" s="78"/>
      <c r="BN1942" s="78"/>
      <c r="BO1942" s="66"/>
      <c r="BP1942" s="66"/>
    </row>
    <row r="1943" spans="1:68" ht="13.2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/>
      <c r="AQ1943" s="75"/>
      <c r="AR1943" s="75"/>
      <c r="AS1943" s="75"/>
      <c r="AT1943" s="75"/>
      <c r="AU1943" s="75"/>
      <c r="AV1943" s="75"/>
      <c r="AW1943" s="75"/>
      <c r="AX1943" s="75"/>
      <c r="AY1943" s="67"/>
      <c r="AZ1943" s="75"/>
      <c r="BA1943" s="67"/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8"/>
      <c r="BL1943" s="78"/>
      <c r="BM1943" s="78"/>
      <c r="BN1943" s="78"/>
      <c r="BO1943" s="66"/>
      <c r="BP1943" s="66"/>
    </row>
    <row r="1944" spans="1:68" ht="13.2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/>
      <c r="AQ1944" s="75"/>
      <c r="AR1944" s="75"/>
      <c r="AS1944" s="75"/>
      <c r="AT1944" s="75"/>
      <c r="AU1944" s="75"/>
      <c r="AV1944" s="75"/>
      <c r="AW1944" s="75"/>
      <c r="AX1944" s="75"/>
      <c r="AY1944" s="67"/>
      <c r="AZ1944" s="75"/>
      <c r="BA1944" s="67"/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8"/>
      <c r="BL1944" s="78"/>
      <c r="BM1944" s="78"/>
      <c r="BN1944" s="78"/>
      <c r="BO1944" s="66"/>
      <c r="BP1944" s="66"/>
    </row>
    <row r="1945" spans="1:68" ht="13.2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/>
      <c r="AQ1945" s="75"/>
      <c r="AR1945" s="75"/>
      <c r="AS1945" s="75"/>
      <c r="AT1945" s="75"/>
      <c r="AU1945" s="75"/>
      <c r="AV1945" s="75"/>
      <c r="AW1945" s="75"/>
      <c r="AX1945" s="75"/>
      <c r="AY1945" s="67"/>
      <c r="AZ1945" s="75"/>
      <c r="BA1945" s="67"/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8"/>
      <c r="BL1945" s="78"/>
      <c r="BM1945" s="78"/>
      <c r="BN1945" s="78"/>
      <c r="BO1945" s="66"/>
      <c r="BP1945" s="66"/>
    </row>
    <row r="1946" spans="1:68" ht="13.2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/>
      <c r="AQ1946" s="75"/>
      <c r="AR1946" s="75"/>
      <c r="AS1946" s="75"/>
      <c r="AT1946" s="75"/>
      <c r="AU1946" s="75"/>
      <c r="AV1946" s="75"/>
      <c r="AW1946" s="75"/>
      <c r="AX1946" s="75"/>
      <c r="AY1946" s="67"/>
      <c r="AZ1946" s="75"/>
      <c r="BA1946" s="67"/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8"/>
      <c r="BL1946" s="78"/>
      <c r="BM1946" s="78"/>
      <c r="BN1946" s="78"/>
      <c r="BO1946" s="66"/>
      <c r="BP1946" s="66"/>
    </row>
    <row r="1947" spans="1:68" ht="13.2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/>
      <c r="AQ1947" s="75"/>
      <c r="AR1947" s="75"/>
      <c r="AS1947" s="75"/>
      <c r="AT1947" s="75"/>
      <c r="AU1947" s="75"/>
      <c r="AV1947" s="75"/>
      <c r="AW1947" s="75"/>
      <c r="AX1947" s="75"/>
      <c r="AY1947" s="67"/>
      <c r="AZ1947" s="75"/>
      <c r="BA1947" s="67"/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8"/>
      <c r="BL1947" s="78"/>
      <c r="BM1947" s="78"/>
      <c r="BN1947" s="78"/>
      <c r="BO1947" s="66"/>
      <c r="BP1947" s="66"/>
    </row>
    <row r="1948" spans="1:68" ht="13.2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/>
      <c r="AQ1948" s="75"/>
      <c r="AR1948" s="75"/>
      <c r="AS1948" s="75"/>
      <c r="AT1948" s="75"/>
      <c r="AU1948" s="75"/>
      <c r="AV1948" s="75"/>
      <c r="AW1948" s="75"/>
      <c r="AX1948" s="75"/>
      <c r="AY1948" s="67"/>
      <c r="AZ1948" s="75"/>
      <c r="BA1948" s="67"/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8"/>
      <c r="BL1948" s="78"/>
      <c r="BM1948" s="78"/>
      <c r="BN1948" s="78"/>
      <c r="BO1948" s="66"/>
      <c r="BP1948" s="66"/>
    </row>
  </sheetData>
  <autoFilter ref="A12:BP1948"/>
  <mergeCells count="67"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8:B11"/>
    <mergeCell ref="C8:C11"/>
    <mergeCell ref="D8:D11"/>
    <mergeCell ref="E8:E11"/>
    <mergeCell ref="F8:F11"/>
    <mergeCell ref="BD8:BD11"/>
    <mergeCell ref="BE8:BE11"/>
    <mergeCell ref="BF8:BF11"/>
    <mergeCell ref="AO9:AO11"/>
    <mergeCell ref="H8:I10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AV10:AW10"/>
    <mergeCell ref="AX10:AY10"/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AP10:AQ10"/>
    <mergeCell ref="AR10:AS10"/>
    <mergeCell ref="AT10:AU10"/>
    <mergeCell ref="AI10:AI11"/>
  </mergeCells>
  <conditionalFormatting sqref="C4">
    <cfRule type="containsText" dxfId="8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7" priority="2" operator="containsText" text="Согласовано">
      <formula>NOT(ISERROR(SEARCH(("Согласовано"),(C1))))</formula>
    </cfRule>
  </conditionalFormatting>
  <conditionalFormatting sqref="C1:C3">
    <cfRule type="containsText" dxfId="6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5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4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3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2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0" priority="9" operator="containsText" text="Работы завершены">
      <formula>NOT(ISERROR(SEARCH(("Работы завершены"),(AL13))))</formula>
    </cfRule>
  </conditionalFormatting>
  <dataValidations count="8"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list" allowBlank="1" showErrorMessage="1" sqref="P13:P54 S13:S54 V13:V54 AB13:AB54 AE13:AE54 AH13:AH54 P586:P1948 S586:S1948 V586:V1948 AB586:AB1948 AE586:AE1948 AH586:AH1948">
      <formula1>"Выполнено,Не требуется,Не выполнено"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AX13:AX1948">
      <formula1>-99999999</formula1>
    </dataValidation>
    <dataValidation type="decimal" operator="greaterThanOrEqual" allowBlank="1" showDropDown="1" showErrorMessage="1" sqref="BK13:BK1948 BM13:BM1948">
      <formula1>-10000000</formula1>
    </dataValidation>
    <dataValidation type="decimal" operator="greaterThanOrEqual" allowBlank="1" showDropDown="1" showErrorMessage="1" sqref="AP13:AW1948">
      <formula1>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  <x14:dataValidation type="list" allowBlank="1" showErrorMessage="1">
          <x14:formula1>
            <xm:f>'Перечень ОЗВ'!$B$5:$B$200</xm:f>
          </x14:formula1>
          <xm:sqref>BJ13:BJ1948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Памятка по заполнению</vt:lpstr>
      <vt:lpstr>Всплывающий список</vt:lpstr>
      <vt:lpstr>Перечень ОЗВ</vt:lpstr>
      <vt:lpstr>Ссылки на отчеты предприятий</vt:lpstr>
      <vt:lpstr>Информация по городу</vt:lpstr>
      <vt:lpstr>Сводная информация по всем меро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Бянкина Оксана Валерьевна</dc:creator>
  <cp:lastModifiedBy>ByankinaOV</cp:lastModifiedBy>
  <dcterms:created xsi:type="dcterms:W3CDTF">2023-10-02T05:30:50Z</dcterms:created>
  <dcterms:modified xsi:type="dcterms:W3CDTF">2023-10-02T05:30:51Z</dcterms:modified>
</cp:coreProperties>
</file>