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440" tabRatio="923" activeTab="2"/>
  </bookViews>
  <sheets>
    <sheet name="ГСМ РКО" sheetId="1" r:id="rId1"/>
    <sheet name="гсм администрации" sheetId="2" r:id="rId2"/>
    <sheet name="масла гсм" sheetId="3" r:id="rId3"/>
  </sheets>
  <definedNames>
    <definedName name="_xlnm.Print_Area" localSheetId="1">'гсм администрации'!$A$1:$X$39</definedName>
    <definedName name="_xlnm.Print_Area" localSheetId="0">'ГСМ РКО'!$A$1:$AB$27</definedName>
  </definedNames>
  <calcPr fullCalcOnLoad="1"/>
</workbook>
</file>

<file path=xl/sharedStrings.xml><?xml version="1.0" encoding="utf-8"?>
<sst xmlns="http://schemas.openxmlformats.org/spreadsheetml/2006/main" count="283" uniqueCount="173">
  <si>
    <t xml:space="preserve"> лето</t>
  </si>
  <si>
    <t>зима</t>
  </si>
  <si>
    <t>лето</t>
  </si>
  <si>
    <t>100 км</t>
  </si>
  <si>
    <t>Базовая норма</t>
  </si>
  <si>
    <t>работа в высокогорье (свыше 2000 м)</t>
  </si>
  <si>
    <t>ИТОГО:</t>
  </si>
  <si>
    <t xml:space="preserve">                                                                                Утверждено постановлением</t>
  </si>
  <si>
    <t xml:space="preserve">   </t>
  </si>
  <si>
    <t>Маршрут</t>
  </si>
  <si>
    <t>Гос.№</t>
  </si>
  <si>
    <t xml:space="preserve">Год выпуска </t>
  </si>
  <si>
    <t>Коэффициенты</t>
  </si>
  <si>
    <t>работа в зимний период</t>
  </si>
  <si>
    <t>Эксплуатация автомобиля свыше 150 тыс. км</t>
  </si>
  <si>
    <t>Эксплуатация автомобиля свыше 8 лет</t>
  </si>
  <si>
    <t>Технические остановки</t>
  </si>
  <si>
    <t>Летняя норма</t>
  </si>
  <si>
    <t>Зимняя норма</t>
  </si>
  <si>
    <t>План</t>
  </si>
  <si>
    <t>количество рабочих дней</t>
  </si>
  <si>
    <t>Суточный расход ГСМ</t>
  </si>
  <si>
    <t>Месячный расход ГСМ</t>
  </si>
  <si>
    <t>Расход ГСМ за летний период</t>
  </si>
  <si>
    <t>Расход ГСМ за зимний период</t>
  </si>
  <si>
    <t>Расход ГСМ за год</t>
  </si>
  <si>
    <t>марка автомобиля</t>
  </si>
  <si>
    <t>работа в нас. пункте с населением до 100 т.чел.</t>
  </si>
  <si>
    <t>км/сутки</t>
  </si>
  <si>
    <t>в месяц</t>
  </si>
  <si>
    <t>УАЗ-315195</t>
  </si>
  <si>
    <t>К 173 НС</t>
  </si>
  <si>
    <t>УАЗ-220695</t>
  </si>
  <si>
    <t>М 910 НЕ</t>
  </si>
  <si>
    <t>Лэнд Крузер</t>
  </si>
  <si>
    <t>Р 075 РР</t>
  </si>
  <si>
    <t>21230 Chevrolet Niva (ВАЗ-2123)</t>
  </si>
  <si>
    <t>М 881 ТУ</t>
  </si>
  <si>
    <t>UAZ Patriot</t>
  </si>
  <si>
    <t>Работа кондиционера</t>
  </si>
  <si>
    <t>Н 889 ВТ</t>
  </si>
  <si>
    <t xml:space="preserve"> ГАЗ - 322121</t>
  </si>
  <si>
    <t>К 061 ТТ</t>
  </si>
  <si>
    <t xml:space="preserve">                                                                              Приложение № 2</t>
  </si>
  <si>
    <t xml:space="preserve">                                                   Лимиты потребления ГСМ легковыми автомобилями администрации Могочинского муниципального округа" на 2024 год</t>
  </si>
  <si>
    <t>экмплутация автомобиля в зимнее и холодное время из расчета один час стоянки с работающим двигателем</t>
  </si>
  <si>
    <t>работа автотранспорта на дорогах общего пользования IV и V категории</t>
  </si>
  <si>
    <t xml:space="preserve"> от 5% до 10%</t>
  </si>
  <si>
    <t>Администрация Могочинского Муниципального округа</t>
  </si>
  <si>
    <t>ГАЗ 322121</t>
  </si>
  <si>
    <t>К061ТТ</t>
  </si>
  <si>
    <t>Р 140 РР</t>
  </si>
  <si>
    <t>Н 181 РУ</t>
  </si>
  <si>
    <t xml:space="preserve"> Администрация городского поселения "Могочинское"</t>
  </si>
  <si>
    <t>М 566 КО</t>
  </si>
  <si>
    <t>Администрация сельского посления "Амазарское"</t>
  </si>
  <si>
    <t>УАЗ-220695-04</t>
  </si>
  <si>
    <t>М897ТК</t>
  </si>
  <si>
    <t>Администрация сельского поселенияя "Ксеньевское"</t>
  </si>
  <si>
    <t>ГАЗ 221717 "Соболь"</t>
  </si>
  <si>
    <t>Н272ЕК</t>
  </si>
  <si>
    <t>Администрация сельского поселения "Ключевское"</t>
  </si>
  <si>
    <t>УАЗ - 220695-04</t>
  </si>
  <si>
    <t>К359СМ</t>
  </si>
  <si>
    <t>Администрация сельского посления "Сбегинское"</t>
  </si>
  <si>
    <t>УРАЛ 4320-0111-41</t>
  </si>
  <si>
    <t>К061НС75</t>
  </si>
  <si>
    <t>УАЗ 220695-03</t>
  </si>
  <si>
    <t>К186НС</t>
  </si>
  <si>
    <t>Админстрация сельского поселения "Давендинское"</t>
  </si>
  <si>
    <t>УАЗ 220695-04</t>
  </si>
  <si>
    <t>К063НС75</t>
  </si>
  <si>
    <t>УАЗ 315195</t>
  </si>
  <si>
    <t>Е026СМ75</t>
  </si>
  <si>
    <t>Администрация сельского поселения "Семиозерный"</t>
  </si>
  <si>
    <t>УАЗ- 31514</t>
  </si>
  <si>
    <t>75 КС №609526</t>
  </si>
  <si>
    <t>Приложение №3</t>
  </si>
  <si>
    <t>Утверждено постановлением</t>
  </si>
  <si>
    <t>администрации муниципального райоа</t>
  </si>
  <si>
    <t>"Могочинский район"</t>
  </si>
  <si>
    <t xml:space="preserve">от "____"  февраля 2024 №___ </t>
  </si>
  <si>
    <t>Марка автомобиля</t>
  </si>
  <si>
    <t>Гос. №</t>
  </si>
  <si>
    <t>Год выпуска</t>
  </si>
  <si>
    <t>Моторные масла (л)</t>
  </si>
  <si>
    <t>Трансмиссионные масла (л)</t>
  </si>
  <si>
    <t>Специальные масла (л)</t>
  </si>
  <si>
    <t>Пластичные смазки (кг)</t>
  </si>
  <si>
    <t>летний период</t>
  </si>
  <si>
    <t>зимний период</t>
  </si>
  <si>
    <t>всего за год</t>
  </si>
  <si>
    <t>УАЗ 220695</t>
  </si>
  <si>
    <t>910</t>
  </si>
  <si>
    <t>075</t>
  </si>
  <si>
    <t>0</t>
  </si>
  <si>
    <t>УРАЛ</t>
  </si>
  <si>
    <t>Итого:</t>
  </si>
  <si>
    <t>!!! Нормы расхода масел увеличиваются до 20% для автомобилей после капитального ремонта и находящихся в эксплуатации более пяти лет.</t>
  </si>
  <si>
    <t>Нормы расхода масел (л/100 л топлива) и смазки (кг/100 л топлива)</t>
  </si>
  <si>
    <t>Норма расхода</t>
  </si>
  <si>
    <t>Моторное масло (л/100л)</t>
  </si>
  <si>
    <t>Трансмиссионное масло (л/100л)</t>
  </si>
  <si>
    <t>Специальное масло (л/100л)</t>
  </si>
  <si>
    <t>Пластичные смазки (кг/100 л)</t>
  </si>
  <si>
    <t>Расчет выполнен на основании Распоряжения Минтранса РФ от 14.03.2008 N АМ-23-р (изм. От 14.05.2014 г.) "О ВВЕДЕНИИ В ДЕЙСТВИЕ МЕТОДИЧЕСКИХ РЕКОМЕНДАЦИЙ "НОРМЫ РАСХОДА ТОПЛИВ И СМАЗОЧНЫХ МАТЕРИАЛОВ НА АВТОМОБИЛЬНОМ ТРАНСПОРТЕ"</t>
  </si>
  <si>
    <t>Приложение № 1</t>
  </si>
  <si>
    <t>Утверждено:</t>
  </si>
  <si>
    <t xml:space="preserve">постановлением Могочинского муниципального округа от "___ " февраля 2024 года № </t>
  </si>
  <si>
    <t>Лимиты потребления ГСМ автотранспортом комитета образования МО "Могочинский район" на 2024 год.</t>
  </si>
  <si>
    <t>№ п/п</t>
  </si>
  <si>
    <t>тип машины</t>
  </si>
  <si>
    <t>марка, модель ТС</t>
  </si>
  <si>
    <t>Тип ДВС</t>
  </si>
  <si>
    <t>Государственный номер</t>
  </si>
  <si>
    <t>Год  выпуска</t>
  </si>
  <si>
    <t>надбавка за технологическую остановку</t>
  </si>
  <si>
    <t>надбавка при работе в климатических условиях( снежные заносы, гололедица, наводнения)</t>
  </si>
  <si>
    <t>увеличение нормы для а/м свыше 5 лет</t>
  </si>
  <si>
    <t>увеличение нормы для а/м свыше 8 лет</t>
  </si>
  <si>
    <t>Обкатка нового двигателя</t>
  </si>
  <si>
    <t>работа в населенном пункте с населением до 100 тыс. чел.</t>
  </si>
  <si>
    <t>надбавка за работу кондиционеров и др оборудования</t>
  </si>
  <si>
    <t>надбавка требующая частых остановок связанных с погрузкой и выгрузкой пассажиров</t>
  </si>
  <si>
    <t>работа автотранспорта на дорогах со сложным планом</t>
  </si>
  <si>
    <t>Итого норма в летний период</t>
  </si>
  <si>
    <t>Итого норма в зимний период</t>
  </si>
  <si>
    <t>План  км/сутки</t>
  </si>
  <si>
    <t>кол-во дней в месяц</t>
  </si>
  <si>
    <t>сут. ГСМ</t>
  </si>
  <si>
    <t>Мес.       ГСМ</t>
  </si>
  <si>
    <t>Мес.        ГСМ</t>
  </si>
  <si>
    <t>ГСМ</t>
  </si>
  <si>
    <t>Всего ГСМ в год</t>
  </si>
  <si>
    <t>летний пер.</t>
  </si>
  <si>
    <t>зим.пер</t>
  </si>
  <si>
    <t>3мес</t>
  </si>
  <si>
    <t>6мес</t>
  </si>
  <si>
    <t>газель</t>
  </si>
  <si>
    <t>Семиозерный ГАЗ-322171</t>
  </si>
  <si>
    <t>бензин</t>
  </si>
  <si>
    <t>Н 082 ТН</t>
  </si>
  <si>
    <t>Семиозерный ГАЗ-322121-1288</t>
  </si>
  <si>
    <t>К 059 ТТ</t>
  </si>
  <si>
    <t>Чалдонка ГАЗ-322171</t>
  </si>
  <si>
    <t>автобус</t>
  </si>
  <si>
    <t>Чалдонка ПАЗ-32053</t>
  </si>
  <si>
    <t>М 152 ВК</t>
  </si>
  <si>
    <t xml:space="preserve">МОУ СОШ № 92 г. Могоча  ПАЗ 32053 </t>
  </si>
  <si>
    <t>К 108 НС</t>
  </si>
  <si>
    <t>КАВЗ 4238-45 Сбега</t>
  </si>
  <si>
    <t>М 931 СВ</t>
  </si>
  <si>
    <t>VolgaBus 5285 Do-0000010 Амазар</t>
  </si>
  <si>
    <t>М 465 ОВ</t>
  </si>
  <si>
    <t>МОУ СОШ № 1 г. Могоча ГАЗ -А67R43</t>
  </si>
  <si>
    <t>М 048 ТА</t>
  </si>
  <si>
    <t>МОУ СОШ № 30 п. Итака ГАЗ 66 R33</t>
  </si>
  <si>
    <t>М 222 ТС</t>
  </si>
  <si>
    <t>МОУ СОШ № 33 п. Давенда ГАЗ 66 R33</t>
  </si>
  <si>
    <t>М 876 ТУ</t>
  </si>
  <si>
    <t>МОУ СОШ № 92 г. Могоча Next A67R43</t>
  </si>
  <si>
    <t>МОУ СОШ № 1 г. Могоча Next A67R43</t>
  </si>
  <si>
    <t>Норма расхода смазочных материалов на автомобили администрации муниципального района "Могочинский район" на 2024 год</t>
  </si>
  <si>
    <t>УАЗ Patriot</t>
  </si>
  <si>
    <t>Н181 РУ</t>
  </si>
  <si>
    <t>УАЗ 31514</t>
  </si>
  <si>
    <t>А036ЕС</t>
  </si>
  <si>
    <t>УАЗ 322069-04</t>
  </si>
  <si>
    <t>А7740Х</t>
  </si>
  <si>
    <t>УАЗ- 220695</t>
  </si>
  <si>
    <t>К140НС</t>
  </si>
  <si>
    <t xml:space="preserve">                                                                                  администрации Могочинского муниципального округа</t>
  </si>
  <si>
    <t xml:space="preserve">                                                                                   № 347 от 12 марта 2024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</si>
</sst>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"/>
    <numFmt numFmtId="176" formatCode="0.00000"/>
    <numFmt numFmtId="177" formatCode="0.000000"/>
    <numFmt numFmtId="178" formatCode="0.0000000"/>
    <numFmt numFmtId="179" formatCode="_-* #,##0.0_р_._-;\-* #,##0.0_р_._-;_-* &quot;-&quot;??_р_._-;_-@_-"/>
    <numFmt numFmtId="180" formatCode="_-* #,##0_р_._-;\-* #,##0_р_._-;_-* &quot;-&quot;??_р_._-;_-@_-"/>
    <numFmt numFmtId="181" formatCode="[$-FC19]d\ mmmm\ yyyy\ &quot;г.&quot;"/>
    <numFmt numFmtId="182" formatCode="_(&quot;$&quot;* #,##0.00_);_(&quot;$&quot;* \(#,##0.00\);_(&quot;$&quot;* &quot;-&quot;??_);_(@_)"/>
    <numFmt numFmtId="183" formatCode="_(&quot;$&quot;* #,##0.000_);_(&quot;$&quot;* \(#,##0.000\);_(&quot;$&quot;* &quot;-&quot;??_);_(@_)"/>
    <numFmt numFmtId="184" formatCode="_-* #,##0.0_р_._-;\-* #,##0.0_р_._-;_-* &quot;-&quot;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8"/>
      <name val="Arial"/>
      <family val="2"/>
    </font>
    <font>
      <b/>
      <sz val="8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4"/>
      <name val="Arial"/>
      <family val="2"/>
    </font>
    <font>
      <sz val="14"/>
      <name val="Arial Cyr"/>
      <family val="0"/>
    </font>
    <font>
      <b/>
      <sz val="16"/>
      <name val="Times New Roman"/>
      <family val="1"/>
    </font>
    <font>
      <sz val="11"/>
      <name val="Arial Cyr"/>
      <family val="0"/>
    </font>
    <font>
      <i/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0" fillId="0" borderId="0" xfId="53" applyFill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/>
      <protection/>
    </xf>
    <xf numFmtId="2" fontId="3" fillId="0" borderId="0" xfId="53" applyNumberFormat="1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5" fillId="0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0" fillId="0" borderId="0" xfId="53" applyBorder="1">
      <alignment/>
      <protection/>
    </xf>
    <xf numFmtId="0" fontId="11" fillId="0" borderId="0" xfId="53" applyFont="1" applyFill="1" applyBorder="1" applyAlignment="1">
      <alignment horizontal="left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center" vertical="center"/>
      <protection/>
    </xf>
    <xf numFmtId="0" fontId="12" fillId="0" borderId="0" xfId="53" applyFont="1" applyFill="1" applyBorder="1" applyAlignment="1">
      <alignment horizontal="center" vertical="center"/>
      <protection/>
    </xf>
    <xf numFmtId="0" fontId="13" fillId="0" borderId="0" xfId="53" applyFont="1" applyFill="1" applyBorder="1" applyAlignment="1">
      <alignment horizontal="center" vertical="center"/>
      <protection/>
    </xf>
    <xf numFmtId="0" fontId="13" fillId="0" borderId="0" xfId="53" applyFont="1" applyBorder="1" applyAlignment="1">
      <alignment horizontal="center" vertical="center"/>
      <protection/>
    </xf>
    <xf numFmtId="0" fontId="14" fillId="0" borderId="0" xfId="53" applyFont="1" applyBorder="1" applyAlignment="1">
      <alignment horizontal="center" vertical="center"/>
      <protection/>
    </xf>
    <xf numFmtId="9" fontId="8" fillId="0" borderId="11" xfId="53" applyNumberFormat="1" applyFont="1" applyFill="1" applyBorder="1" applyAlignment="1">
      <alignment horizontal="center" vertical="center" wrapText="1"/>
      <protection/>
    </xf>
    <xf numFmtId="9" fontId="8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8" fillId="0" borderId="12" xfId="53" applyFont="1" applyBorder="1" applyAlignment="1">
      <alignment horizontal="center" vertical="center"/>
      <protection/>
    </xf>
    <xf numFmtId="0" fontId="14" fillId="0" borderId="0" xfId="53" applyFont="1" applyFill="1" applyBorder="1" applyAlignment="1">
      <alignment horizontal="center"/>
      <protection/>
    </xf>
    <xf numFmtId="0" fontId="0" fillId="0" borderId="0" xfId="53">
      <alignment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172" fontId="7" fillId="33" borderId="10" xfId="53" applyNumberFormat="1" applyFont="1" applyFill="1" applyBorder="1" applyAlignment="1">
      <alignment horizontal="center" vertical="center"/>
      <protection/>
    </xf>
    <xf numFmtId="0" fontId="5" fillId="0" borderId="0" xfId="53" applyFont="1" applyBorder="1">
      <alignment/>
      <protection/>
    </xf>
    <xf numFmtId="0" fontId="6" fillId="0" borderId="0" xfId="53" applyFont="1" applyBorder="1">
      <alignment/>
      <protection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0" xfId="53" applyFont="1" applyBorder="1">
      <alignment/>
      <protection/>
    </xf>
    <xf numFmtId="0" fontId="68" fillId="0" borderId="10" xfId="0" applyFont="1" applyBorder="1" applyAlignment="1">
      <alignment horizontal="center" wrapText="1"/>
    </xf>
    <xf numFmtId="0" fontId="7" fillId="0" borderId="12" xfId="53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9" fontId="8" fillId="0" borderId="10" xfId="53" applyNumberFormat="1" applyFont="1" applyFill="1" applyBorder="1" applyAlignment="1">
      <alignment horizontal="center" vertical="center" wrapText="1"/>
      <protection/>
    </xf>
    <xf numFmtId="0" fontId="8" fillId="34" borderId="10" xfId="53" applyFont="1" applyFill="1" applyBorder="1" applyAlignment="1">
      <alignment horizontal="center" vertical="center"/>
      <protection/>
    </xf>
    <xf numFmtId="0" fontId="8" fillId="35" borderId="10" xfId="53" applyFont="1" applyFill="1" applyBorder="1" applyAlignment="1">
      <alignment horizontal="center" vertical="center" wrapText="1"/>
      <protection/>
    </xf>
    <xf numFmtId="0" fontId="8" fillId="35" borderId="12" xfId="53" applyFont="1" applyFill="1" applyBorder="1" applyAlignment="1">
      <alignment horizontal="center" vertical="center"/>
      <protection/>
    </xf>
    <xf numFmtId="2" fontId="7" fillId="34" borderId="10" xfId="53" applyNumberFormat="1" applyFont="1" applyFill="1" applyBorder="1" applyAlignment="1">
      <alignment horizontal="center" vertical="center"/>
      <protection/>
    </xf>
    <xf numFmtId="2" fontId="69" fillId="35" borderId="10" xfId="53" applyNumberFormat="1" applyFont="1" applyFill="1" applyBorder="1" applyAlignment="1">
      <alignment horizontal="center" vertical="center"/>
      <protection/>
    </xf>
    <xf numFmtId="0" fontId="7" fillId="35" borderId="10" xfId="53" applyFont="1" applyFill="1" applyBorder="1" applyAlignment="1">
      <alignment horizontal="center" vertical="center"/>
      <protection/>
    </xf>
    <xf numFmtId="4" fontId="10" fillId="35" borderId="10" xfId="53" applyNumberFormat="1" applyFont="1" applyFill="1" applyBorder="1" applyAlignment="1">
      <alignment horizontal="center" vertical="center"/>
      <protection/>
    </xf>
    <xf numFmtId="0" fontId="69" fillId="35" borderId="10" xfId="53" applyFont="1" applyFill="1" applyBorder="1" applyAlignment="1">
      <alignment horizontal="center" vertical="center" wrapText="1"/>
      <protection/>
    </xf>
    <xf numFmtId="49" fontId="69" fillId="35" borderId="10" xfId="53" applyNumberFormat="1" applyFont="1" applyFill="1" applyBorder="1" applyAlignment="1">
      <alignment horizontal="center" vertical="center" wrapText="1"/>
      <protection/>
    </xf>
    <xf numFmtId="0" fontId="69" fillId="35" borderId="10" xfId="53" applyFont="1" applyFill="1" applyBorder="1" applyAlignment="1">
      <alignment horizontal="center" vertical="center"/>
      <protection/>
    </xf>
    <xf numFmtId="0" fontId="69" fillId="35" borderId="11" xfId="53" applyFont="1" applyFill="1" applyBorder="1" applyAlignment="1">
      <alignment horizontal="center" vertical="center"/>
      <protection/>
    </xf>
    <xf numFmtId="172" fontId="69" fillId="35" borderId="10" xfId="53" applyNumberFormat="1" applyFont="1" applyFill="1" applyBorder="1" applyAlignment="1">
      <alignment horizontal="center" vertical="center"/>
      <protection/>
    </xf>
    <xf numFmtId="0" fontId="69" fillId="35" borderId="11" xfId="53" applyFont="1" applyFill="1" applyBorder="1" applyAlignment="1">
      <alignment horizontal="center" vertical="center" wrapText="1"/>
      <protection/>
    </xf>
    <xf numFmtId="4" fontId="70" fillId="35" borderId="10" xfId="53" applyNumberFormat="1" applyFont="1" applyFill="1" applyBorder="1" applyAlignment="1">
      <alignment horizontal="center" vertical="center"/>
      <protection/>
    </xf>
    <xf numFmtId="172" fontId="7" fillId="0" borderId="10" xfId="53" applyNumberFormat="1" applyFont="1" applyBorder="1" applyAlignment="1">
      <alignment horizontal="center" vertical="center"/>
      <protection/>
    </xf>
    <xf numFmtId="4" fontId="10" fillId="35" borderId="10" xfId="0" applyNumberFormat="1" applyFont="1" applyFill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  <xf numFmtId="2" fontId="7" fillId="35" borderId="10" xfId="53" applyNumberFormat="1" applyFont="1" applyFill="1" applyBorder="1" applyAlignment="1">
      <alignment horizontal="center" vertical="center"/>
      <protection/>
    </xf>
    <xf numFmtId="2" fontId="7" fillId="0" borderId="10" xfId="0" applyNumberFormat="1" applyFont="1" applyBorder="1" applyAlignment="1">
      <alignment horizontal="center" vertical="center"/>
    </xf>
    <xf numFmtId="172" fontId="7" fillId="34" borderId="10" xfId="53" applyNumberFormat="1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wrapText="1"/>
    </xf>
    <xf numFmtId="0" fontId="7" fillId="33" borderId="10" xfId="53" applyFont="1" applyFill="1" applyBorder="1" applyAlignment="1">
      <alignment horizontal="center" vertical="center" wrapText="1"/>
      <protection/>
    </xf>
    <xf numFmtId="0" fontId="68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7" fillId="35" borderId="10" xfId="53" applyFont="1" applyFill="1" applyBorder="1">
      <alignment/>
      <protection/>
    </xf>
    <xf numFmtId="0" fontId="10" fillId="35" borderId="10" xfId="53" applyFont="1" applyFill="1" applyBorder="1">
      <alignment/>
      <protection/>
    </xf>
    <xf numFmtId="0" fontId="7" fillId="35" borderId="10" xfId="53" applyFont="1" applyFill="1" applyBorder="1" applyAlignment="1">
      <alignment horizontal="center"/>
      <protection/>
    </xf>
    <xf numFmtId="4" fontId="10" fillId="35" borderId="10" xfId="53" applyNumberFormat="1" applyFont="1" applyFill="1" applyBorder="1" applyAlignment="1">
      <alignment horizontal="center"/>
      <protection/>
    </xf>
    <xf numFmtId="0" fontId="17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left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/>
      <protection/>
    </xf>
    <xf numFmtId="2" fontId="0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Fill="1" applyBorder="1" applyAlignment="1">
      <alignment horizontal="center"/>
    </xf>
    <xf numFmtId="17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0" xfId="0" applyNumberFormat="1" applyBorder="1" applyAlignment="1">
      <alignment horizontal="center" vertical="center" wrapText="1"/>
    </xf>
    <xf numFmtId="0" fontId="71" fillId="0" borderId="10" xfId="0" applyFont="1" applyBorder="1" applyAlignment="1">
      <alignment horizontal="left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2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" fontId="17" fillId="33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textRotation="90"/>
    </xf>
    <xf numFmtId="2" fontId="17" fillId="33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 textRotation="90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textRotation="90" wrapText="1"/>
    </xf>
    <xf numFmtId="0" fontId="8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33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72" fontId="8" fillId="33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 textRotation="90" wrapText="1"/>
    </xf>
    <xf numFmtId="1" fontId="8" fillId="33" borderId="10" xfId="43" applyNumberFormat="1" applyFont="1" applyFill="1" applyBorder="1" applyAlignment="1">
      <alignment horizontal="center" vertical="center"/>
    </xf>
    <xf numFmtId="1" fontId="17" fillId="33" borderId="11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textRotation="90"/>
    </xf>
    <xf numFmtId="0" fontId="17" fillId="33" borderId="10" xfId="0" applyFont="1" applyFill="1" applyBorder="1" applyAlignment="1">
      <alignment horizontal="center" vertical="center" textRotation="90" wrapText="1"/>
    </xf>
    <xf numFmtId="2" fontId="1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1" fontId="17" fillId="33" borderId="1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textRotation="90" wrapText="1"/>
    </xf>
    <xf numFmtId="0" fontId="8" fillId="33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textRotation="90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 textRotation="90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textRotation="90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textRotation="90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center"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textRotation="90"/>
    </xf>
    <xf numFmtId="0" fontId="2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textRotation="90" wrapText="1"/>
    </xf>
    <xf numFmtId="1" fontId="4" fillId="0" borderId="0" xfId="43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20" fillId="0" borderId="0" xfId="0" applyFont="1" applyBorder="1" applyAlignment="1">
      <alignment/>
    </xf>
    <xf numFmtId="2" fontId="7" fillId="0" borderId="10" xfId="53" applyNumberFormat="1" applyFont="1" applyFill="1" applyBorder="1" applyAlignment="1">
      <alignment horizontal="center" vertical="center"/>
      <protection/>
    </xf>
    <xf numFmtId="173" fontId="7" fillId="0" borderId="10" xfId="53" applyNumberFormat="1" applyFont="1" applyBorder="1" applyAlignment="1">
      <alignment horizontal="center" vertical="center"/>
      <protection/>
    </xf>
    <xf numFmtId="173" fontId="7" fillId="34" borderId="10" xfId="53" applyNumberFormat="1" applyFont="1" applyFill="1" applyBorder="1" applyAlignment="1">
      <alignment horizontal="center" vertical="center"/>
      <protection/>
    </xf>
    <xf numFmtId="2" fontId="8" fillId="33" borderId="12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textRotation="90" wrapText="1"/>
    </xf>
    <xf numFmtId="0" fontId="17" fillId="0" borderId="11" xfId="0" applyFont="1" applyFill="1" applyBorder="1" applyAlignment="1">
      <alignment horizontal="center" vertical="center" textRotation="90" wrapText="1"/>
    </xf>
    <xf numFmtId="0" fontId="17" fillId="33" borderId="12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2" fontId="17" fillId="33" borderId="12" xfId="0" applyNumberFormat="1" applyFont="1" applyFill="1" applyBorder="1" applyAlignment="1">
      <alignment horizontal="center" vertical="center"/>
    </xf>
    <xf numFmtId="2" fontId="17" fillId="33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textRotation="90"/>
    </xf>
    <xf numFmtId="0" fontId="17" fillId="0" borderId="11" xfId="0" applyFont="1" applyFill="1" applyBorder="1" applyAlignment="1">
      <alignment horizontal="center" vertical="center" textRotation="90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textRotation="90" wrapText="1"/>
    </xf>
    <xf numFmtId="0" fontId="17" fillId="33" borderId="11" xfId="0" applyFont="1" applyFill="1" applyBorder="1" applyAlignment="1">
      <alignment horizontal="center" vertical="center" textRotation="90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1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textRotation="90"/>
    </xf>
    <xf numFmtId="0" fontId="17" fillId="0" borderId="11" xfId="0" applyFont="1" applyBorder="1" applyAlignment="1">
      <alignment horizontal="center" vertical="center" textRotation="90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 textRotation="90"/>
    </xf>
    <xf numFmtId="0" fontId="25" fillId="0" borderId="11" xfId="0" applyFont="1" applyBorder="1" applyAlignment="1">
      <alignment horizontal="center" textRotation="90"/>
    </xf>
    <xf numFmtId="0" fontId="17" fillId="0" borderId="12" xfId="0" applyFont="1" applyFill="1" applyBorder="1" applyAlignment="1">
      <alignment wrapText="1"/>
    </xf>
    <xf numFmtId="0" fontId="17" fillId="0" borderId="11" xfId="0" applyFont="1" applyBorder="1" applyAlignment="1">
      <alignment wrapText="1"/>
    </xf>
    <xf numFmtId="0" fontId="17" fillId="0" borderId="12" xfId="0" applyFont="1" applyFill="1" applyBorder="1" applyAlignment="1">
      <alignment horizontal="center" textRotation="90"/>
    </xf>
    <xf numFmtId="0" fontId="17" fillId="0" borderId="11" xfId="0" applyFont="1" applyBorder="1" applyAlignment="1">
      <alignment horizontal="center" textRotation="90"/>
    </xf>
    <xf numFmtId="0" fontId="26" fillId="0" borderId="12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2" fontId="27" fillId="0" borderId="12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2" fontId="27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8" fillId="0" borderId="11" xfId="0" applyNumberFormat="1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textRotation="90"/>
    </xf>
    <xf numFmtId="0" fontId="2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7" fillId="34" borderId="12" xfId="53" applyNumberFormat="1" applyFont="1" applyFill="1" applyBorder="1" applyAlignment="1">
      <alignment horizontal="center" vertical="center"/>
      <protection/>
    </xf>
    <xf numFmtId="2" fontId="7" fillId="34" borderId="11" xfId="53" applyNumberFormat="1" applyFont="1" applyFill="1" applyBorder="1" applyAlignment="1">
      <alignment horizontal="center" vertical="center"/>
      <protection/>
    </xf>
    <xf numFmtId="0" fontId="72" fillId="0" borderId="13" xfId="0" applyFont="1" applyBorder="1" applyAlignment="1">
      <alignment horizontal="center" wrapText="1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4" fontId="10" fillId="35" borderId="12" xfId="53" applyNumberFormat="1" applyFont="1" applyFill="1" applyBorder="1" applyAlignment="1">
      <alignment horizontal="center" vertical="center"/>
      <protection/>
    </xf>
    <xf numFmtId="4" fontId="10" fillId="35" borderId="11" xfId="53" applyNumberFormat="1" applyFont="1" applyFill="1" applyBorder="1" applyAlignment="1">
      <alignment horizontal="center" vertical="center"/>
      <protection/>
    </xf>
    <xf numFmtId="0" fontId="10" fillId="33" borderId="13" xfId="0" applyFont="1" applyFill="1" applyBorder="1" applyAlignment="1">
      <alignment horizontal="center" wrapText="1"/>
    </xf>
    <xf numFmtId="0" fontId="15" fillId="33" borderId="16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2" fontId="69" fillId="35" borderId="12" xfId="53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7" fillId="0" borderId="12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0" fontId="7" fillId="35" borderId="12" xfId="53" applyFont="1" applyFill="1" applyBorder="1" applyAlignment="1">
      <alignment horizontal="center" vertical="center"/>
      <protection/>
    </xf>
    <xf numFmtId="0" fontId="7" fillId="35" borderId="11" xfId="53" applyFont="1" applyFill="1" applyBorder="1" applyAlignment="1">
      <alignment horizontal="center" vertical="center"/>
      <protection/>
    </xf>
    <xf numFmtId="0" fontId="7" fillId="0" borderId="12" xfId="53" applyFont="1" applyFill="1" applyBorder="1" applyAlignment="1">
      <alignment horizontal="center" vertical="center"/>
      <protection/>
    </xf>
    <xf numFmtId="0" fontId="7" fillId="0" borderId="11" xfId="53" applyFont="1" applyFill="1" applyBorder="1" applyAlignment="1">
      <alignment horizontal="center" vertical="center"/>
      <protection/>
    </xf>
    <xf numFmtId="172" fontId="7" fillId="0" borderId="12" xfId="53" applyNumberFormat="1" applyFont="1" applyBorder="1" applyAlignment="1">
      <alignment horizontal="center" vertical="center"/>
      <protection/>
    </xf>
    <xf numFmtId="172" fontId="7" fillId="0" borderId="11" xfId="53" applyNumberFormat="1" applyFont="1" applyBorder="1" applyAlignment="1">
      <alignment horizontal="center" vertical="center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8" fillId="35" borderId="12" xfId="53" applyFont="1" applyFill="1" applyBorder="1" applyAlignment="1">
      <alignment horizontal="center" vertical="center" wrapText="1"/>
      <protection/>
    </xf>
    <xf numFmtId="0" fontId="8" fillId="35" borderId="14" xfId="53" applyFont="1" applyFill="1" applyBorder="1" applyAlignment="1">
      <alignment horizontal="center" vertical="center" wrapText="1"/>
      <protection/>
    </xf>
    <xf numFmtId="0" fontId="8" fillId="35" borderId="11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2" fontId="8" fillId="0" borderId="12" xfId="53" applyNumberFormat="1" applyFont="1" applyFill="1" applyBorder="1" applyAlignment="1">
      <alignment horizontal="center" vertical="center" wrapText="1"/>
      <protection/>
    </xf>
    <xf numFmtId="2" fontId="8" fillId="0" borderId="14" xfId="53" applyNumberFormat="1" applyFont="1" applyFill="1" applyBorder="1" applyAlignment="1">
      <alignment horizontal="center" vertical="center" wrapText="1"/>
      <protection/>
    </xf>
    <xf numFmtId="2" fontId="8" fillId="0" borderId="11" xfId="53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34" borderId="12" xfId="53" applyFont="1" applyFill="1" applyBorder="1" applyAlignment="1">
      <alignment horizontal="center" vertical="center" wrapText="1"/>
      <protection/>
    </xf>
    <xf numFmtId="0" fontId="8" fillId="34" borderId="14" xfId="53" applyFont="1" applyFill="1" applyBorder="1" applyAlignment="1">
      <alignment horizontal="center" vertical="center" wrapText="1"/>
      <protection/>
    </xf>
    <xf numFmtId="0" fontId="8" fillId="34" borderId="11" xfId="53" applyFont="1" applyFill="1" applyBorder="1" applyAlignment="1">
      <alignment horizontal="center" vertical="center" wrapText="1"/>
      <protection/>
    </xf>
    <xf numFmtId="0" fontId="8" fillId="0" borderId="17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0" fontId="10" fillId="0" borderId="18" xfId="53" applyFont="1" applyFill="1" applyBorder="1" applyAlignment="1">
      <alignment horizontal="left"/>
      <protection/>
    </xf>
    <xf numFmtId="0" fontId="0" fillId="0" borderId="0" xfId="0" applyAlignment="1">
      <alignment/>
    </xf>
    <xf numFmtId="0" fontId="17" fillId="0" borderId="0" xfId="0" applyFont="1" applyBorder="1" applyAlignment="1">
      <alignment horizontal="left" wrapText="1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7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B42"/>
  <sheetViews>
    <sheetView view="pageBreakPreview" zoomScale="60" zoomScaleNormal="80" workbookViewId="0" topLeftCell="A1">
      <selection activeCell="J24" sqref="J24"/>
    </sheetView>
  </sheetViews>
  <sheetFormatPr defaultColWidth="9.00390625" defaultRowHeight="12.75"/>
  <cols>
    <col min="1" max="1" width="4.875" style="0" customWidth="1"/>
    <col min="2" max="2" width="6.125" style="0" customWidth="1"/>
    <col min="3" max="3" width="15.00390625" style="0" customWidth="1"/>
    <col min="4" max="4" width="7.625" style="0" customWidth="1"/>
    <col min="5" max="5" width="10.75390625" style="0" customWidth="1"/>
    <col min="6" max="6" width="8.375" style="0" customWidth="1"/>
    <col min="7" max="7" width="7.00390625" style="0" customWidth="1"/>
    <col min="8" max="8" width="8.125" style="0" customWidth="1"/>
    <col min="9" max="9" width="8.75390625" style="0" customWidth="1"/>
    <col min="10" max="10" width="7.625" style="0" customWidth="1"/>
    <col min="11" max="13" width="7.125" style="0" customWidth="1"/>
    <col min="14" max="14" width="8.75390625" style="0" customWidth="1"/>
    <col min="15" max="15" width="9.875" style="0" customWidth="1"/>
    <col min="16" max="16" width="11.125" style="0" customWidth="1"/>
    <col min="17" max="17" width="8.75390625" style="0" customWidth="1"/>
    <col min="18" max="18" width="8.375" style="0" customWidth="1"/>
    <col min="19" max="19" width="9.25390625" style="0" customWidth="1"/>
    <col min="20" max="20" width="9.125" style="0" customWidth="1"/>
    <col min="21" max="21" width="9.00390625" style="0" customWidth="1"/>
    <col min="22" max="22" width="9.625" style="0" customWidth="1"/>
    <col min="23" max="23" width="9.125" style="0" customWidth="1"/>
    <col min="24" max="24" width="8.875" style="0" customWidth="1"/>
    <col min="25" max="25" width="9.125" style="0" customWidth="1"/>
    <col min="26" max="27" width="9.25390625" style="0" bestFit="1" customWidth="1"/>
    <col min="28" max="28" width="10.375" style="0" bestFit="1" customWidth="1"/>
  </cols>
  <sheetData>
    <row r="1" spans="3:38" ht="16.5" customHeight="1">
      <c r="C1" s="121"/>
      <c r="D1" s="121"/>
      <c r="E1" s="122"/>
      <c r="F1" s="123"/>
      <c r="G1" s="123"/>
      <c r="H1" s="124"/>
      <c r="I1" s="124"/>
      <c r="J1" s="124"/>
      <c r="K1" s="123"/>
      <c r="L1" s="123"/>
      <c r="M1" s="123"/>
      <c r="N1" s="123"/>
      <c r="O1" s="123"/>
      <c r="P1" s="123"/>
      <c r="Q1" s="123"/>
      <c r="R1" s="123"/>
      <c r="S1" s="125"/>
      <c r="T1" s="126"/>
      <c r="U1" s="126"/>
      <c r="V1" s="256" t="s">
        <v>106</v>
      </c>
      <c r="W1" s="256"/>
      <c r="X1" s="256"/>
      <c r="Y1" s="256"/>
      <c r="Z1" s="257"/>
      <c r="AA1" s="257"/>
      <c r="AB1" s="257"/>
      <c r="AC1" s="127"/>
      <c r="AD1" s="127"/>
      <c r="AE1" s="127"/>
      <c r="AF1" s="127"/>
      <c r="AG1" s="127"/>
      <c r="AH1" s="127"/>
      <c r="AI1" s="127"/>
      <c r="AJ1" s="127"/>
      <c r="AK1" s="127"/>
      <c r="AL1" s="127"/>
    </row>
    <row r="2" spans="1:38" ht="20.25" customHeight="1">
      <c r="A2" s="128"/>
      <c r="C2" s="121"/>
      <c r="D2" s="121"/>
      <c r="E2" s="122"/>
      <c r="F2" s="123"/>
      <c r="G2" s="123"/>
      <c r="H2" s="124"/>
      <c r="I2" s="124"/>
      <c r="J2" s="124"/>
      <c r="K2" s="123"/>
      <c r="L2" s="123"/>
      <c r="M2" s="123"/>
      <c r="N2" s="123"/>
      <c r="O2" s="123"/>
      <c r="P2" s="123"/>
      <c r="Q2" s="123"/>
      <c r="R2" s="123"/>
      <c r="S2" s="129"/>
      <c r="T2" s="130"/>
      <c r="U2" s="131"/>
      <c r="V2" s="256" t="s">
        <v>107</v>
      </c>
      <c r="W2" s="256"/>
      <c r="X2" s="256"/>
      <c r="Y2" s="256"/>
      <c r="Z2" s="258"/>
      <c r="AA2" s="258"/>
      <c r="AB2" s="258"/>
      <c r="AC2" s="127"/>
      <c r="AD2" s="127"/>
      <c r="AE2" s="127"/>
      <c r="AF2" s="127"/>
      <c r="AG2" s="127"/>
      <c r="AH2" s="127"/>
      <c r="AI2" s="127"/>
      <c r="AJ2" s="127"/>
      <c r="AK2" s="127"/>
      <c r="AL2" s="127"/>
    </row>
    <row r="3" spans="1:38" ht="13.5" customHeight="1">
      <c r="A3" s="128"/>
      <c r="C3" s="121"/>
      <c r="D3" s="121"/>
      <c r="E3" s="122"/>
      <c r="F3" s="123"/>
      <c r="G3" s="123"/>
      <c r="H3" s="124"/>
      <c r="I3" s="124"/>
      <c r="J3" s="124"/>
      <c r="K3" s="123"/>
      <c r="L3" s="123"/>
      <c r="M3" s="123"/>
      <c r="N3" s="123"/>
      <c r="O3" s="123"/>
      <c r="P3" s="123"/>
      <c r="Q3" s="123"/>
      <c r="R3" s="123"/>
      <c r="S3" s="130"/>
      <c r="T3" s="130"/>
      <c r="U3" s="256" t="s">
        <v>108</v>
      </c>
      <c r="V3" s="256"/>
      <c r="W3" s="256"/>
      <c r="X3" s="256"/>
      <c r="Y3" s="256"/>
      <c r="Z3" s="256"/>
      <c r="AA3" s="258"/>
      <c r="AB3" s="258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38" ht="18">
      <c r="A4" s="128"/>
      <c r="C4" s="121"/>
      <c r="D4" s="121"/>
      <c r="E4" s="122"/>
      <c r="F4" s="123"/>
      <c r="G4" s="123"/>
      <c r="H4" s="124"/>
      <c r="I4" s="124"/>
      <c r="J4" s="124"/>
      <c r="K4" s="123"/>
      <c r="L4" s="123"/>
      <c r="M4" s="123"/>
      <c r="N4" s="123"/>
      <c r="O4" s="123"/>
      <c r="P4" s="123"/>
      <c r="Q4" s="123"/>
      <c r="R4" s="123"/>
      <c r="S4" s="129"/>
      <c r="T4" s="130"/>
      <c r="U4" s="256"/>
      <c r="V4" s="256"/>
      <c r="W4" s="256"/>
      <c r="X4" s="256"/>
      <c r="Y4" s="256"/>
      <c r="Z4" s="256"/>
      <c r="AA4" s="258"/>
      <c r="AB4" s="258"/>
      <c r="AC4" s="127"/>
      <c r="AD4" s="127"/>
      <c r="AE4" s="127"/>
      <c r="AF4" s="127"/>
      <c r="AG4" s="127"/>
      <c r="AH4" s="127"/>
      <c r="AI4" s="127"/>
      <c r="AJ4" s="127"/>
      <c r="AK4" s="127"/>
      <c r="AL4" s="127"/>
    </row>
    <row r="5" spans="1:38" ht="14.25" customHeight="1">
      <c r="A5" s="128"/>
      <c r="C5" s="121"/>
      <c r="D5" s="121"/>
      <c r="E5" s="122"/>
      <c r="F5" s="123"/>
      <c r="G5" s="123"/>
      <c r="H5" s="124"/>
      <c r="I5" s="124"/>
      <c r="J5" s="124"/>
      <c r="K5" s="123"/>
      <c r="L5" s="123"/>
      <c r="M5" s="123"/>
      <c r="N5" s="123"/>
      <c r="O5" s="124"/>
      <c r="P5" s="124"/>
      <c r="Q5" s="124"/>
      <c r="R5" s="123"/>
      <c r="S5" s="129"/>
      <c r="T5" s="130"/>
      <c r="U5" s="256"/>
      <c r="V5" s="256"/>
      <c r="W5" s="256"/>
      <c r="X5" s="256"/>
      <c r="Y5" s="256"/>
      <c r="Z5" s="256"/>
      <c r="AA5" s="258"/>
      <c r="AB5" s="258"/>
      <c r="AC5" s="127"/>
      <c r="AD5" s="127"/>
      <c r="AE5" s="127"/>
      <c r="AF5" s="127"/>
      <c r="AG5" s="127"/>
      <c r="AH5" s="127"/>
      <c r="AI5" s="127"/>
      <c r="AJ5" s="127"/>
      <c r="AK5" s="127"/>
      <c r="AL5" s="127"/>
    </row>
    <row r="6" spans="1:38" ht="20.25" customHeight="1">
      <c r="A6" s="259" t="s">
        <v>109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132"/>
      <c r="AD6" s="132"/>
      <c r="AE6" s="132"/>
      <c r="AF6" s="132"/>
      <c r="AG6" s="132"/>
      <c r="AH6" s="132"/>
      <c r="AI6" s="132"/>
      <c r="AJ6" s="132"/>
      <c r="AK6" s="132"/>
      <c r="AL6" s="132"/>
    </row>
    <row r="7" spans="1:38" ht="42.75" customHeight="1">
      <c r="A7" s="261" t="s">
        <v>110</v>
      </c>
      <c r="B7" s="263" t="s">
        <v>111</v>
      </c>
      <c r="C7" s="265" t="s">
        <v>112</v>
      </c>
      <c r="D7" s="265" t="s">
        <v>113</v>
      </c>
      <c r="E7" s="234" t="s">
        <v>114</v>
      </c>
      <c r="F7" s="234" t="s">
        <v>115</v>
      </c>
      <c r="G7" s="234" t="s">
        <v>4</v>
      </c>
      <c r="H7" s="234" t="s">
        <v>116</v>
      </c>
      <c r="I7" s="234" t="s">
        <v>117</v>
      </c>
      <c r="J7" s="234" t="s">
        <v>118</v>
      </c>
      <c r="K7" s="234" t="s">
        <v>119</v>
      </c>
      <c r="L7" s="234" t="s">
        <v>5</v>
      </c>
      <c r="M7" s="234" t="s">
        <v>120</v>
      </c>
      <c r="N7" s="234" t="s">
        <v>121</v>
      </c>
      <c r="O7" s="234" t="s">
        <v>122</v>
      </c>
      <c r="P7" s="234" t="s">
        <v>123</v>
      </c>
      <c r="Q7" s="234" t="s">
        <v>124</v>
      </c>
      <c r="R7" s="268" t="s">
        <v>125</v>
      </c>
      <c r="S7" s="268" t="s">
        <v>126</v>
      </c>
      <c r="T7" s="265" t="s">
        <v>127</v>
      </c>
      <c r="U7" s="265" t="s">
        <v>128</v>
      </c>
      <c r="V7" s="133" t="s">
        <v>129</v>
      </c>
      <c r="W7" s="133" t="s">
        <v>129</v>
      </c>
      <c r="X7" s="133" t="s">
        <v>130</v>
      </c>
      <c r="Y7" s="133" t="s">
        <v>131</v>
      </c>
      <c r="Z7" s="134" t="s">
        <v>132</v>
      </c>
      <c r="AA7" s="134" t="s">
        <v>132</v>
      </c>
      <c r="AB7" s="270" t="s">
        <v>133</v>
      </c>
      <c r="AC7" s="135"/>
      <c r="AD7" s="135"/>
      <c r="AE7" s="135"/>
      <c r="AF7" s="135"/>
      <c r="AG7" s="135"/>
      <c r="AH7" s="135"/>
      <c r="AI7" s="135"/>
      <c r="AJ7" s="135"/>
      <c r="AK7" s="135"/>
      <c r="AL7" s="135"/>
    </row>
    <row r="8" spans="1:38" ht="80.25" customHeight="1">
      <c r="A8" s="262"/>
      <c r="B8" s="264"/>
      <c r="C8" s="266"/>
      <c r="D8" s="266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67"/>
      <c r="Q8" s="267"/>
      <c r="R8" s="269"/>
      <c r="S8" s="269"/>
      <c r="T8" s="266"/>
      <c r="U8" s="266"/>
      <c r="V8" s="133" t="s">
        <v>0</v>
      </c>
      <c r="W8" s="133" t="s">
        <v>1</v>
      </c>
      <c r="X8" s="133" t="s">
        <v>2</v>
      </c>
      <c r="Y8" s="133" t="s">
        <v>1</v>
      </c>
      <c r="Z8" s="134" t="s">
        <v>134</v>
      </c>
      <c r="AA8" s="138" t="s">
        <v>135</v>
      </c>
      <c r="AB8" s="271"/>
      <c r="AC8" s="139"/>
      <c r="AD8" s="139"/>
      <c r="AE8" s="139"/>
      <c r="AF8" s="139"/>
      <c r="AG8" s="139"/>
      <c r="AH8" s="139"/>
      <c r="AI8" s="139"/>
      <c r="AJ8" s="139"/>
      <c r="AK8" s="139"/>
      <c r="AL8" s="139"/>
    </row>
    <row r="9" spans="1:38" ht="18">
      <c r="A9" s="104"/>
      <c r="B9" s="104"/>
      <c r="C9" s="140"/>
      <c r="D9" s="140"/>
      <c r="E9" s="140"/>
      <c r="F9" s="141"/>
      <c r="G9" s="142" t="s">
        <v>3</v>
      </c>
      <c r="H9" s="143">
        <v>0.1</v>
      </c>
      <c r="I9" s="143">
        <v>0.18</v>
      </c>
      <c r="J9" s="143">
        <v>0.05</v>
      </c>
      <c r="K9" s="143">
        <v>0.1</v>
      </c>
      <c r="L9" s="143">
        <v>0.15</v>
      </c>
      <c r="M9" s="143">
        <v>0.1</v>
      </c>
      <c r="N9" s="143">
        <v>0.05</v>
      </c>
      <c r="O9" s="143">
        <v>0.07</v>
      </c>
      <c r="P9" s="143">
        <v>0.1</v>
      </c>
      <c r="Q9" s="143">
        <v>0.3</v>
      </c>
      <c r="R9" s="142" t="s">
        <v>3</v>
      </c>
      <c r="S9" s="142" t="s">
        <v>3</v>
      </c>
      <c r="T9" s="144"/>
      <c r="U9" s="144"/>
      <c r="V9" s="144"/>
      <c r="W9" s="144"/>
      <c r="X9" s="144"/>
      <c r="Y9" s="144"/>
      <c r="Z9" s="142" t="s">
        <v>136</v>
      </c>
      <c r="AA9" s="145" t="s">
        <v>137</v>
      </c>
      <c r="AB9" s="145"/>
      <c r="AC9" s="146"/>
      <c r="AD9" s="146"/>
      <c r="AE9" s="147"/>
      <c r="AF9" s="147"/>
      <c r="AG9" s="147"/>
      <c r="AH9" s="147"/>
      <c r="AI9" s="147"/>
      <c r="AJ9" s="147"/>
      <c r="AK9" s="147"/>
      <c r="AL9" s="147"/>
    </row>
    <row r="10" spans="1:38" ht="12.75" customHeight="1">
      <c r="A10" s="272">
        <v>1</v>
      </c>
      <c r="B10" s="274" t="s">
        <v>138</v>
      </c>
      <c r="C10" s="276" t="s">
        <v>139</v>
      </c>
      <c r="D10" s="278" t="s">
        <v>140</v>
      </c>
      <c r="E10" s="280" t="s">
        <v>141</v>
      </c>
      <c r="F10" s="280">
        <v>2023</v>
      </c>
      <c r="G10" s="283">
        <v>16.9</v>
      </c>
      <c r="H10" s="283">
        <f>G10*H9</f>
        <v>1.69</v>
      </c>
      <c r="I10" s="283">
        <f>G10*I9</f>
        <v>3.042</v>
      </c>
      <c r="J10" s="283"/>
      <c r="K10" s="283"/>
      <c r="L10" s="283">
        <f>G10*L9</f>
        <v>2.5349999999999997</v>
      </c>
      <c r="M10" s="283">
        <v>1.5</v>
      </c>
      <c r="N10" s="283">
        <f>G10*N9</f>
        <v>0.845</v>
      </c>
      <c r="O10" s="283">
        <f>G10*O9</f>
        <v>1.183</v>
      </c>
      <c r="P10" s="283">
        <f>G10*P9</f>
        <v>1.69</v>
      </c>
      <c r="Q10" s="283">
        <f>G10*Q9</f>
        <v>5.069999999999999</v>
      </c>
      <c r="R10" s="243">
        <f>G10+H10+J10+K10+L10+M10+N10+O10+P10+Q10</f>
        <v>31.413</v>
      </c>
      <c r="S10" s="243">
        <f>R10+I10</f>
        <v>34.455</v>
      </c>
      <c r="T10" s="288">
        <v>109</v>
      </c>
      <c r="U10" s="243">
        <v>26</v>
      </c>
      <c r="V10" s="232">
        <f>R10*T10/100</f>
        <v>34.24017</v>
      </c>
      <c r="W10" s="232">
        <f>T10*S10/100</f>
        <v>37.555949999999996</v>
      </c>
      <c r="X10" s="288">
        <f>V10*U10</f>
        <v>890.24442</v>
      </c>
      <c r="Y10" s="232">
        <f>V10*U10</f>
        <v>890.24442</v>
      </c>
      <c r="Z10" s="232">
        <f>X10*3</f>
        <v>2670.73326</v>
      </c>
      <c r="AA10" s="232">
        <f>Y10*6</f>
        <v>5341.46652</v>
      </c>
      <c r="AB10" s="232">
        <f>Z10+AA10</f>
        <v>8012.19978</v>
      </c>
      <c r="AC10" s="146"/>
      <c r="AD10" s="146"/>
      <c r="AE10" s="147"/>
      <c r="AF10" s="147"/>
      <c r="AG10" s="147"/>
      <c r="AH10" s="147"/>
      <c r="AI10" s="147"/>
      <c r="AJ10" s="147"/>
      <c r="AK10" s="147"/>
      <c r="AL10" s="147"/>
    </row>
    <row r="11" spans="1:38" ht="33.75" customHeight="1">
      <c r="A11" s="273"/>
      <c r="B11" s="275"/>
      <c r="C11" s="277"/>
      <c r="D11" s="279"/>
      <c r="E11" s="281"/>
      <c r="F11" s="282"/>
      <c r="G11" s="284"/>
      <c r="H11" s="285"/>
      <c r="I11" s="285"/>
      <c r="J11" s="285"/>
      <c r="K11" s="285"/>
      <c r="L11" s="285"/>
      <c r="M11" s="285"/>
      <c r="N11" s="285"/>
      <c r="O11" s="285"/>
      <c r="P11" s="286"/>
      <c r="Q11" s="286"/>
      <c r="R11" s="287"/>
      <c r="S11" s="287"/>
      <c r="T11" s="289"/>
      <c r="U11" s="290"/>
      <c r="V11" s="233"/>
      <c r="W11" s="233"/>
      <c r="X11" s="289"/>
      <c r="Y11" s="233"/>
      <c r="Z11" s="233"/>
      <c r="AA11" s="233"/>
      <c r="AB11" s="233"/>
      <c r="AC11" s="146"/>
      <c r="AD11" s="146"/>
      <c r="AE11" s="147"/>
      <c r="AF11" s="147"/>
      <c r="AG11" s="147"/>
      <c r="AH11" s="147"/>
      <c r="AI11" s="147"/>
      <c r="AJ11" s="147"/>
      <c r="AK11" s="147"/>
      <c r="AL11" s="147"/>
    </row>
    <row r="12" spans="1:38" ht="18" customHeight="1">
      <c r="A12" s="246">
        <v>2</v>
      </c>
      <c r="B12" s="248" t="s">
        <v>138</v>
      </c>
      <c r="C12" s="250" t="s">
        <v>142</v>
      </c>
      <c r="D12" s="252" t="s">
        <v>140</v>
      </c>
      <c r="E12" s="254" t="s">
        <v>143</v>
      </c>
      <c r="F12" s="244">
        <v>2013</v>
      </c>
      <c r="G12" s="236">
        <v>16.9</v>
      </c>
      <c r="H12" s="238">
        <f>G12*H9</f>
        <v>1.69</v>
      </c>
      <c r="I12" s="238">
        <f>G12*I9</f>
        <v>3.042</v>
      </c>
      <c r="J12" s="238">
        <f>G12*J9</f>
        <v>0.845</v>
      </c>
      <c r="K12" s="236">
        <v>0</v>
      </c>
      <c r="L12" s="236">
        <f>G12*L9</f>
        <v>2.5349999999999997</v>
      </c>
      <c r="M12" s="236"/>
      <c r="N12" s="236">
        <f>G12*N9</f>
        <v>0.845</v>
      </c>
      <c r="O12" s="238">
        <f>G12*O9</f>
        <v>1.183</v>
      </c>
      <c r="P12" s="150"/>
      <c r="Q12" s="150"/>
      <c r="R12" s="243">
        <f>O12+J12+G12+H12+L12+N12</f>
        <v>23.997999999999998</v>
      </c>
      <c r="S12" s="243">
        <f>G12+H12+I12+J12+K12+O12+N12+L12</f>
        <v>27.039999999999996</v>
      </c>
      <c r="T12" s="240">
        <v>109</v>
      </c>
      <c r="U12" s="240">
        <v>26</v>
      </c>
      <c r="V12" s="232">
        <f>R12*T12/100</f>
        <v>26.157819999999997</v>
      </c>
      <c r="W12" s="232">
        <f>T12*S12/100</f>
        <v>29.473599999999998</v>
      </c>
      <c r="X12" s="291">
        <f>V12*U12</f>
        <v>680.1033199999999</v>
      </c>
      <c r="Y12" s="232">
        <f>V12*U12</f>
        <v>680.1033199999999</v>
      </c>
      <c r="Z12" s="244">
        <f>X12*3</f>
        <v>2040.3099599999998</v>
      </c>
      <c r="AA12" s="244">
        <f>Y12*6</f>
        <v>4080.6199199999996</v>
      </c>
      <c r="AB12" s="232">
        <f>Z12+AA12</f>
        <v>6120.92988</v>
      </c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</row>
    <row r="13" spans="1:38" ht="31.5" customHeight="1">
      <c r="A13" s="247"/>
      <c r="B13" s="249"/>
      <c r="C13" s="251"/>
      <c r="D13" s="253"/>
      <c r="E13" s="255"/>
      <c r="F13" s="245"/>
      <c r="G13" s="237"/>
      <c r="H13" s="239"/>
      <c r="I13" s="239"/>
      <c r="J13" s="239"/>
      <c r="K13" s="237"/>
      <c r="L13" s="237"/>
      <c r="M13" s="237"/>
      <c r="N13" s="237"/>
      <c r="O13" s="239"/>
      <c r="P13" s="154"/>
      <c r="Q13" s="154"/>
      <c r="R13" s="241"/>
      <c r="S13" s="241"/>
      <c r="T13" s="241"/>
      <c r="U13" s="242"/>
      <c r="V13" s="233"/>
      <c r="W13" s="233"/>
      <c r="X13" s="292"/>
      <c r="Y13" s="233"/>
      <c r="Z13" s="245"/>
      <c r="AA13" s="245"/>
      <c r="AB13" s="233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</row>
    <row r="14" spans="1:38" ht="36.75" customHeight="1">
      <c r="A14" s="1">
        <v>3</v>
      </c>
      <c r="B14" s="156" t="s">
        <v>138</v>
      </c>
      <c r="C14" s="157" t="s">
        <v>30</v>
      </c>
      <c r="D14" s="158" t="s">
        <v>140</v>
      </c>
      <c r="E14" s="159" t="s">
        <v>31</v>
      </c>
      <c r="F14" s="159">
        <v>2008</v>
      </c>
      <c r="G14" s="160">
        <v>13.5</v>
      </c>
      <c r="H14" s="150">
        <f>G14*H9</f>
        <v>1.35</v>
      </c>
      <c r="I14" s="161">
        <f>G14*I9</f>
        <v>2.4299999999999997</v>
      </c>
      <c r="J14" s="161">
        <f>G14*J9</f>
        <v>0.675</v>
      </c>
      <c r="K14" s="160">
        <f>G14*K9</f>
        <v>1.35</v>
      </c>
      <c r="L14" s="161">
        <f>G14*L9</f>
        <v>2.025</v>
      </c>
      <c r="M14" s="160"/>
      <c r="N14" s="161">
        <f>G14*N9</f>
        <v>0.675</v>
      </c>
      <c r="O14" s="150">
        <f>G14*O9</f>
        <v>0.9450000000000001</v>
      </c>
      <c r="P14" s="150"/>
      <c r="Q14" s="150"/>
      <c r="R14" s="148">
        <f>O14+J14+G14+H14+L14+N14</f>
        <v>19.17</v>
      </c>
      <c r="S14" s="148">
        <f>G14+H14+I14+J14+O14+L14+N14</f>
        <v>21.6</v>
      </c>
      <c r="T14" s="162">
        <v>100</v>
      </c>
      <c r="U14" s="155">
        <v>10</v>
      </c>
      <c r="V14" s="163">
        <f>T14*R14/100</f>
        <v>19.17</v>
      </c>
      <c r="W14" s="163">
        <f>T14*S14/100</f>
        <v>21.6</v>
      </c>
      <c r="X14" s="163">
        <f>V14*U14</f>
        <v>191.70000000000002</v>
      </c>
      <c r="Y14" s="163">
        <f aca="true" t="shared" si="0" ref="Y14:Y23">W14*U14</f>
        <v>216</v>
      </c>
      <c r="Z14" s="164">
        <f aca="true" t="shared" si="1" ref="Z14:Z23">X14*3</f>
        <v>575.1</v>
      </c>
      <c r="AA14" s="165">
        <f aca="true" t="shared" si="2" ref="AA14:AA23">Y14*6</f>
        <v>1296</v>
      </c>
      <c r="AB14" s="163">
        <f>AA14+Z14</f>
        <v>1871.1</v>
      </c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</row>
    <row r="15" spans="1:38" ht="36.75" customHeight="1">
      <c r="A15" s="149">
        <v>4</v>
      </c>
      <c r="B15" s="156" t="s">
        <v>138</v>
      </c>
      <c r="C15" s="157" t="s">
        <v>144</v>
      </c>
      <c r="D15" s="158" t="s">
        <v>140</v>
      </c>
      <c r="E15" s="159"/>
      <c r="F15" s="159">
        <v>2023</v>
      </c>
      <c r="G15" s="160">
        <v>16.9</v>
      </c>
      <c r="H15" s="150">
        <v>1.69</v>
      </c>
      <c r="I15" s="161">
        <v>3.04</v>
      </c>
      <c r="J15" s="161"/>
      <c r="K15" s="160"/>
      <c r="L15" s="161">
        <v>2.54</v>
      </c>
      <c r="M15" s="167">
        <v>1.5</v>
      </c>
      <c r="N15" s="161">
        <v>0.85</v>
      </c>
      <c r="O15" s="150">
        <v>1.18</v>
      </c>
      <c r="P15" s="150">
        <v>1.69</v>
      </c>
      <c r="Q15" s="150">
        <v>5.07</v>
      </c>
      <c r="R15" s="148">
        <f>G15+H15+J15+K15+L15+M15+N15+O15+P15+Q15</f>
        <v>31.42</v>
      </c>
      <c r="S15" s="148">
        <f>R15+I15</f>
        <v>34.46</v>
      </c>
      <c r="T15" s="162">
        <v>109</v>
      </c>
      <c r="U15" s="155">
        <v>26</v>
      </c>
      <c r="V15" s="163">
        <f>T15*R15/100</f>
        <v>34.247800000000005</v>
      </c>
      <c r="W15" s="163">
        <f>T15*S15/100</f>
        <v>37.5614</v>
      </c>
      <c r="X15" s="163">
        <f>V15*U15</f>
        <v>890.4428000000001</v>
      </c>
      <c r="Y15" s="163">
        <f t="shared" si="0"/>
        <v>976.5964</v>
      </c>
      <c r="Z15" s="164">
        <f t="shared" si="1"/>
        <v>2671.3284000000003</v>
      </c>
      <c r="AA15" s="165">
        <f t="shared" si="2"/>
        <v>5859.5784</v>
      </c>
      <c r="AB15" s="163">
        <f>AA15+Z15</f>
        <v>8530.9068</v>
      </c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</row>
    <row r="16" spans="1:38" ht="45.75" customHeight="1">
      <c r="A16" s="149">
        <v>5</v>
      </c>
      <c r="B16" s="156" t="s">
        <v>145</v>
      </c>
      <c r="C16" s="157" t="s">
        <v>146</v>
      </c>
      <c r="D16" s="168" t="s">
        <v>140</v>
      </c>
      <c r="E16" s="169" t="s">
        <v>147</v>
      </c>
      <c r="F16" s="159">
        <v>2013</v>
      </c>
      <c r="G16" s="160">
        <v>32.5</v>
      </c>
      <c r="H16" s="160">
        <f>G16*H9</f>
        <v>3.25</v>
      </c>
      <c r="I16" s="161">
        <f>G16*I9</f>
        <v>5.85</v>
      </c>
      <c r="J16" s="161">
        <f>G16*J9</f>
        <v>1.625</v>
      </c>
      <c r="K16" s="160">
        <v>0</v>
      </c>
      <c r="L16" s="161">
        <f>G16*L9</f>
        <v>4.875</v>
      </c>
      <c r="M16" s="170"/>
      <c r="N16" s="161">
        <f>G16*N9</f>
        <v>1.625</v>
      </c>
      <c r="O16" s="150">
        <f>G16*O9</f>
        <v>2.2750000000000004</v>
      </c>
      <c r="P16" s="150"/>
      <c r="Q16" s="150"/>
      <c r="R16" s="171">
        <f>O16+J16+G16+H16+L16+N16</f>
        <v>46.15</v>
      </c>
      <c r="S16" s="171">
        <f>G16+H16+I16+J16+O16+L16+N16</f>
        <v>52</v>
      </c>
      <c r="T16" s="162">
        <v>96</v>
      </c>
      <c r="U16" s="155">
        <v>26</v>
      </c>
      <c r="V16" s="159">
        <f>T16*R16/100</f>
        <v>44.303999999999995</v>
      </c>
      <c r="W16" s="172">
        <f>T16*S16/100</f>
        <v>49.92</v>
      </c>
      <c r="X16" s="172">
        <f aca="true" t="shared" si="3" ref="X16:X23">V16*U16</f>
        <v>1151.9039999999998</v>
      </c>
      <c r="Y16" s="172">
        <f t="shared" si="0"/>
        <v>1297.92</v>
      </c>
      <c r="Z16" s="159">
        <f t="shared" si="1"/>
        <v>3455.7119999999995</v>
      </c>
      <c r="AA16" s="159">
        <f t="shared" si="2"/>
        <v>7787.52</v>
      </c>
      <c r="AB16" s="172">
        <f>AA16+Z16</f>
        <v>11243.232</v>
      </c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</row>
    <row r="17" spans="1:38" ht="42.75" customHeight="1" hidden="1">
      <c r="A17" s="149">
        <v>5</v>
      </c>
      <c r="B17" s="156" t="s">
        <v>138</v>
      </c>
      <c r="C17" s="157" t="s">
        <v>146</v>
      </c>
      <c r="D17" s="168" t="s">
        <v>140</v>
      </c>
      <c r="E17" s="169"/>
      <c r="F17" s="159"/>
      <c r="G17" s="160"/>
      <c r="H17" s="160"/>
      <c r="I17" s="161"/>
      <c r="J17" s="161"/>
      <c r="K17" s="160"/>
      <c r="L17" s="161"/>
      <c r="M17" s="170"/>
      <c r="N17" s="161"/>
      <c r="O17" s="150"/>
      <c r="P17" s="150"/>
      <c r="Q17" s="150"/>
      <c r="R17" s="171"/>
      <c r="S17" s="171"/>
      <c r="T17" s="162"/>
      <c r="U17" s="155"/>
      <c r="V17" s="159"/>
      <c r="W17" s="172"/>
      <c r="X17" s="172"/>
      <c r="Y17" s="172"/>
      <c r="Z17" s="159"/>
      <c r="AA17" s="159"/>
      <c r="AB17" s="172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</row>
    <row r="18" spans="1:38" s="178" customFormat="1" ht="46.5" customHeight="1">
      <c r="A18" s="1">
        <v>6</v>
      </c>
      <c r="B18" s="173" t="s">
        <v>145</v>
      </c>
      <c r="C18" s="133" t="s">
        <v>148</v>
      </c>
      <c r="D18" s="174" t="s">
        <v>140</v>
      </c>
      <c r="E18" s="159" t="s">
        <v>149</v>
      </c>
      <c r="F18" s="159">
        <v>2011</v>
      </c>
      <c r="G18" s="160">
        <v>31.6</v>
      </c>
      <c r="H18" s="160">
        <f>G18*H9</f>
        <v>3.16</v>
      </c>
      <c r="I18" s="160">
        <f>G18*I9</f>
        <v>5.688</v>
      </c>
      <c r="J18" s="160">
        <v>0</v>
      </c>
      <c r="K18" s="160">
        <f>G18*K9</f>
        <v>3.16</v>
      </c>
      <c r="L18" s="160">
        <f>G18*L9</f>
        <v>4.74</v>
      </c>
      <c r="M18" s="170"/>
      <c r="N18" s="160">
        <f>G18*N9</f>
        <v>1.58</v>
      </c>
      <c r="O18" s="175">
        <f>O9*G18</f>
        <v>2.212</v>
      </c>
      <c r="P18" s="175"/>
      <c r="Q18" s="175"/>
      <c r="R18" s="171">
        <f>O18+G18+H18+L18+N18+K18</f>
        <v>46.45200000000001</v>
      </c>
      <c r="S18" s="171">
        <f>G18+H18+I18+L18+N18+O18+K18</f>
        <v>52.140000000000015</v>
      </c>
      <c r="T18" s="162">
        <v>72</v>
      </c>
      <c r="U18" s="155">
        <v>24</v>
      </c>
      <c r="V18" s="172">
        <f>T18*R18/100</f>
        <v>33.445440000000005</v>
      </c>
      <c r="W18" s="172">
        <f>T18*S18/100</f>
        <v>37.54080000000001</v>
      </c>
      <c r="X18" s="172">
        <f t="shared" si="3"/>
        <v>802.6905600000001</v>
      </c>
      <c r="Y18" s="172">
        <f t="shared" si="0"/>
        <v>900.9792000000002</v>
      </c>
      <c r="Z18" s="159">
        <f t="shared" si="1"/>
        <v>2408.0716800000005</v>
      </c>
      <c r="AA18" s="159">
        <f t="shared" si="2"/>
        <v>5405.875200000001</v>
      </c>
      <c r="AB18" s="172">
        <f>AA18+Z18</f>
        <v>7813.946880000001</v>
      </c>
      <c r="AC18" s="176"/>
      <c r="AD18" s="176"/>
      <c r="AE18" s="176"/>
      <c r="AF18" s="177"/>
      <c r="AG18" s="177"/>
      <c r="AH18" s="177"/>
      <c r="AI18" s="177"/>
      <c r="AJ18" s="177"/>
      <c r="AK18" s="177"/>
      <c r="AL18" s="177"/>
    </row>
    <row r="19" spans="1:38" s="178" customFormat="1" ht="48.75" customHeight="1">
      <c r="A19" s="1">
        <v>7</v>
      </c>
      <c r="B19" s="156" t="s">
        <v>145</v>
      </c>
      <c r="C19" s="157" t="s">
        <v>150</v>
      </c>
      <c r="D19" s="168" t="s">
        <v>140</v>
      </c>
      <c r="E19" s="159" t="s">
        <v>151</v>
      </c>
      <c r="F19" s="159">
        <v>2016</v>
      </c>
      <c r="G19" s="160">
        <v>26.7</v>
      </c>
      <c r="H19" s="160">
        <f>G19*H9</f>
        <v>2.67</v>
      </c>
      <c r="I19" s="161">
        <f>G19*I9</f>
        <v>4.806</v>
      </c>
      <c r="J19" s="161">
        <v>0</v>
      </c>
      <c r="K19" s="160">
        <v>0</v>
      </c>
      <c r="L19" s="161">
        <f>G19*L9</f>
        <v>4.005</v>
      </c>
      <c r="M19" s="170"/>
      <c r="N19" s="161">
        <f>G19*N9</f>
        <v>1.335</v>
      </c>
      <c r="O19" s="150">
        <f>G19*O9</f>
        <v>1.8690000000000002</v>
      </c>
      <c r="P19" s="150"/>
      <c r="Q19" s="150"/>
      <c r="R19" s="171">
        <f>G19+H19+J19++L19+N19</f>
        <v>34.71</v>
      </c>
      <c r="S19" s="171">
        <f>G19+H19+I19+J19+L19+K19+M19+N19+O20</f>
        <v>42.022</v>
      </c>
      <c r="T19" s="162">
        <v>102</v>
      </c>
      <c r="U19" s="155">
        <v>22</v>
      </c>
      <c r="V19" s="172">
        <f>R19*T19/100</f>
        <v>35.4042</v>
      </c>
      <c r="W19" s="172">
        <f>S19*T19/100</f>
        <v>42.86244</v>
      </c>
      <c r="X19" s="172">
        <f t="shared" si="3"/>
        <v>778.8924000000001</v>
      </c>
      <c r="Y19" s="172">
        <f t="shared" si="0"/>
        <v>942.97368</v>
      </c>
      <c r="Z19" s="159">
        <f t="shared" si="1"/>
        <v>2336.6772</v>
      </c>
      <c r="AA19" s="159">
        <f t="shared" si="2"/>
        <v>5657.842079999999</v>
      </c>
      <c r="AB19" s="172">
        <f>Z19+AA19</f>
        <v>7994.5192799999995</v>
      </c>
      <c r="AC19" s="176"/>
      <c r="AD19" s="176"/>
      <c r="AE19" s="176"/>
      <c r="AF19" s="177"/>
      <c r="AG19" s="177"/>
      <c r="AH19" s="177"/>
      <c r="AI19" s="177"/>
      <c r="AJ19" s="177"/>
      <c r="AK19" s="177"/>
      <c r="AL19" s="177"/>
    </row>
    <row r="20" spans="1:38" s="178" customFormat="1" ht="49.5" customHeight="1">
      <c r="A20" s="149">
        <v>8</v>
      </c>
      <c r="B20" s="173" t="s">
        <v>145</v>
      </c>
      <c r="C20" s="179" t="s">
        <v>152</v>
      </c>
      <c r="D20" s="174" t="s">
        <v>140</v>
      </c>
      <c r="E20" s="164" t="s">
        <v>153</v>
      </c>
      <c r="F20" s="164">
        <v>2016</v>
      </c>
      <c r="G20" s="161">
        <v>35.8</v>
      </c>
      <c r="H20" s="160">
        <f>G20*H9</f>
        <v>3.58</v>
      </c>
      <c r="I20" s="160">
        <f>G20*I9</f>
        <v>6.443999999999999</v>
      </c>
      <c r="J20" s="160">
        <v>0</v>
      </c>
      <c r="K20" s="180">
        <v>0</v>
      </c>
      <c r="L20" s="175">
        <f>G20*L9</f>
        <v>5.369999999999999</v>
      </c>
      <c r="M20" s="180"/>
      <c r="N20" s="175">
        <f>G20*N9</f>
        <v>1.79</v>
      </c>
      <c r="O20" s="175">
        <f>G20*O9</f>
        <v>2.5060000000000002</v>
      </c>
      <c r="P20" s="175"/>
      <c r="Q20" s="175"/>
      <c r="R20" s="171">
        <f>G20+H20+J20+K20+L20+N20</f>
        <v>46.53999999999999</v>
      </c>
      <c r="S20" s="171">
        <f>G20+H20+I20+J20+K20+L20+M20+N20+O20</f>
        <v>55.489999999999995</v>
      </c>
      <c r="T20" s="162">
        <v>70</v>
      </c>
      <c r="U20" s="155">
        <v>22</v>
      </c>
      <c r="V20" s="172">
        <f>R20*T20/100</f>
        <v>32.577999999999996</v>
      </c>
      <c r="W20" s="172">
        <f>S20*T20/100</f>
        <v>38.842999999999996</v>
      </c>
      <c r="X20" s="172">
        <f t="shared" si="3"/>
        <v>716.7159999999999</v>
      </c>
      <c r="Y20" s="172">
        <f t="shared" si="0"/>
        <v>854.5459999999999</v>
      </c>
      <c r="Z20" s="159">
        <f t="shared" si="1"/>
        <v>2150.1479999999997</v>
      </c>
      <c r="AA20" s="159">
        <f t="shared" si="2"/>
        <v>5127.276</v>
      </c>
      <c r="AB20" s="159">
        <f>Z20+AA20</f>
        <v>7277.423999999999</v>
      </c>
      <c r="AC20" s="176"/>
      <c r="AD20" s="176"/>
      <c r="AE20" s="176"/>
      <c r="AF20" s="177"/>
      <c r="AG20" s="177"/>
      <c r="AH20" s="177"/>
      <c r="AI20" s="177"/>
      <c r="AJ20" s="177"/>
      <c r="AK20" s="177"/>
      <c r="AL20" s="177"/>
    </row>
    <row r="21" spans="1:38" s="178" customFormat="1" ht="52.5" customHeight="1">
      <c r="A21" s="181">
        <v>9</v>
      </c>
      <c r="B21" s="173" t="s">
        <v>138</v>
      </c>
      <c r="C21" s="182" t="s">
        <v>154</v>
      </c>
      <c r="D21" s="183" t="s">
        <v>140</v>
      </c>
      <c r="E21" s="159" t="s">
        <v>155</v>
      </c>
      <c r="F21" s="159">
        <v>2018</v>
      </c>
      <c r="G21" s="160">
        <v>17</v>
      </c>
      <c r="H21" s="167">
        <v>1.7</v>
      </c>
      <c r="I21" s="167">
        <v>3.06</v>
      </c>
      <c r="J21" s="167">
        <v>0</v>
      </c>
      <c r="K21" s="170">
        <v>0</v>
      </c>
      <c r="L21" s="154">
        <f>G21*L9</f>
        <v>2.55</v>
      </c>
      <c r="M21" s="170"/>
      <c r="N21" s="154">
        <f>G21*N9</f>
        <v>0.8500000000000001</v>
      </c>
      <c r="O21" s="154">
        <f>G21*O9</f>
        <v>1.1900000000000002</v>
      </c>
      <c r="P21" s="154"/>
      <c r="Q21" s="154"/>
      <c r="R21" s="172">
        <f>G21+H21+K21+L21+N21</f>
        <v>22.1</v>
      </c>
      <c r="S21" s="172">
        <f>R21+I21</f>
        <v>25.16</v>
      </c>
      <c r="T21" s="184">
        <v>78</v>
      </c>
      <c r="U21" s="184">
        <v>26</v>
      </c>
      <c r="V21" s="172">
        <f>R21*T21/100</f>
        <v>17.238000000000003</v>
      </c>
      <c r="W21" s="172">
        <f>S21*T21/100</f>
        <v>19.6248</v>
      </c>
      <c r="X21" s="172">
        <f t="shared" si="3"/>
        <v>448.1880000000001</v>
      </c>
      <c r="Y21" s="172">
        <f t="shared" si="0"/>
        <v>510.2448</v>
      </c>
      <c r="Z21" s="159">
        <f t="shared" si="1"/>
        <v>1344.5640000000003</v>
      </c>
      <c r="AA21" s="159">
        <f t="shared" si="2"/>
        <v>3061.4688</v>
      </c>
      <c r="AB21" s="159">
        <f>Z21+AA21</f>
        <v>4406.032800000001</v>
      </c>
      <c r="AC21" s="176"/>
      <c r="AD21" s="176"/>
      <c r="AE21" s="176"/>
      <c r="AF21" s="177"/>
      <c r="AG21" s="177"/>
      <c r="AH21" s="177"/>
      <c r="AI21" s="177"/>
      <c r="AJ21" s="177"/>
      <c r="AK21" s="177"/>
      <c r="AL21" s="177"/>
    </row>
    <row r="22" spans="1:132" s="192" customFormat="1" ht="45" customHeight="1">
      <c r="A22" s="1">
        <v>10</v>
      </c>
      <c r="B22" s="185" t="s">
        <v>138</v>
      </c>
      <c r="C22" s="136" t="s">
        <v>156</v>
      </c>
      <c r="D22" s="137" t="s">
        <v>140</v>
      </c>
      <c r="E22" s="162" t="s">
        <v>157</v>
      </c>
      <c r="F22" s="162">
        <v>2019</v>
      </c>
      <c r="G22" s="186">
        <v>16.9</v>
      </c>
      <c r="H22" s="187">
        <v>1.69</v>
      </c>
      <c r="I22" s="187">
        <v>3.04</v>
      </c>
      <c r="J22" s="187">
        <v>0</v>
      </c>
      <c r="K22" s="187">
        <v>0</v>
      </c>
      <c r="L22" s="188">
        <f>G22*L9</f>
        <v>2.5349999999999997</v>
      </c>
      <c r="M22" s="189"/>
      <c r="N22" s="188">
        <f>G22*N9</f>
        <v>0.845</v>
      </c>
      <c r="O22" s="188">
        <f>G22*O9</f>
        <v>1.183</v>
      </c>
      <c r="P22" s="188"/>
      <c r="Q22" s="188"/>
      <c r="R22" s="171">
        <f>G22+H22+K22+L22+N22</f>
        <v>21.97</v>
      </c>
      <c r="S22" s="171">
        <f>R22+I22</f>
        <v>25.009999999999998</v>
      </c>
      <c r="T22" s="155">
        <v>100</v>
      </c>
      <c r="U22" s="155">
        <v>10</v>
      </c>
      <c r="V22" s="172">
        <f>R22*T22/100</f>
        <v>21.97</v>
      </c>
      <c r="W22" s="172">
        <f>S22*T22/100</f>
        <v>25.01</v>
      </c>
      <c r="X22" s="172">
        <f t="shared" si="3"/>
        <v>219.7</v>
      </c>
      <c r="Y22" s="172">
        <f t="shared" si="0"/>
        <v>250.10000000000002</v>
      </c>
      <c r="Z22" s="159">
        <f t="shared" si="1"/>
        <v>659.0999999999999</v>
      </c>
      <c r="AA22" s="159">
        <f t="shared" si="2"/>
        <v>1500.6000000000001</v>
      </c>
      <c r="AB22" s="159">
        <f>Z22+AA22</f>
        <v>2159.7</v>
      </c>
      <c r="AC22" s="190"/>
      <c r="AD22" s="190"/>
      <c r="AE22" s="190"/>
      <c r="AF22" s="166"/>
      <c r="AG22" s="166"/>
      <c r="AH22" s="166"/>
      <c r="AI22" s="166"/>
      <c r="AJ22" s="166"/>
      <c r="AK22" s="166"/>
      <c r="AL22" s="166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</row>
    <row r="23" spans="1:132" s="192" customFormat="1" ht="49.5" customHeight="1">
      <c r="A23" s="152">
        <v>11</v>
      </c>
      <c r="B23" s="153" t="s">
        <v>138</v>
      </c>
      <c r="C23" s="136" t="s">
        <v>158</v>
      </c>
      <c r="D23" s="137" t="s">
        <v>140</v>
      </c>
      <c r="E23" s="162" t="s">
        <v>159</v>
      </c>
      <c r="F23" s="162">
        <v>2019</v>
      </c>
      <c r="G23" s="186">
        <v>16.9</v>
      </c>
      <c r="H23" s="187">
        <v>1.69</v>
      </c>
      <c r="I23" s="187">
        <v>3.04</v>
      </c>
      <c r="J23" s="187">
        <v>0</v>
      </c>
      <c r="K23" s="187">
        <v>0</v>
      </c>
      <c r="L23" s="188">
        <f>G23*L9</f>
        <v>2.5349999999999997</v>
      </c>
      <c r="M23" s="189"/>
      <c r="N23" s="188">
        <f>G23*N9</f>
        <v>0.845</v>
      </c>
      <c r="O23" s="188">
        <f>G23*O9</f>
        <v>1.183</v>
      </c>
      <c r="P23" s="188"/>
      <c r="Q23" s="188"/>
      <c r="R23" s="171">
        <f>G23+H23+K23+L23+N23</f>
        <v>21.97</v>
      </c>
      <c r="S23" s="171">
        <f>R23+I23</f>
        <v>25.009999999999998</v>
      </c>
      <c r="T23" s="155">
        <v>68</v>
      </c>
      <c r="U23" s="155">
        <v>26</v>
      </c>
      <c r="V23" s="172">
        <f>R23*T23/100</f>
        <v>14.9396</v>
      </c>
      <c r="W23" s="172">
        <f>S23*T23/100</f>
        <v>17.0068</v>
      </c>
      <c r="X23" s="172">
        <f t="shared" si="3"/>
        <v>388.4296</v>
      </c>
      <c r="Y23" s="172">
        <f t="shared" si="0"/>
        <v>442.17679999999996</v>
      </c>
      <c r="Z23" s="159">
        <f t="shared" si="1"/>
        <v>1165.2888</v>
      </c>
      <c r="AA23" s="159">
        <f t="shared" si="2"/>
        <v>2653.0607999999997</v>
      </c>
      <c r="AB23" s="159">
        <f>Z23+AA23</f>
        <v>3818.3495999999996</v>
      </c>
      <c r="AC23" s="190"/>
      <c r="AD23" s="190"/>
      <c r="AE23" s="190"/>
      <c r="AF23" s="166"/>
      <c r="AG23" s="166"/>
      <c r="AH23" s="166"/>
      <c r="AI23" s="166"/>
      <c r="AJ23" s="166"/>
      <c r="AK23" s="166"/>
      <c r="AL23" s="166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1"/>
      <c r="EB23" s="191"/>
    </row>
    <row r="24" spans="1:38" s="178" customFormat="1" ht="57" customHeight="1">
      <c r="A24" s="193">
        <v>12</v>
      </c>
      <c r="B24" s="173" t="s">
        <v>138</v>
      </c>
      <c r="C24" s="179" t="s">
        <v>160</v>
      </c>
      <c r="D24" s="174" t="s">
        <v>140</v>
      </c>
      <c r="E24" s="159"/>
      <c r="F24" s="159">
        <v>2021</v>
      </c>
      <c r="G24" s="160">
        <v>17</v>
      </c>
      <c r="H24" s="160">
        <v>1.7</v>
      </c>
      <c r="I24" s="160">
        <v>3.06</v>
      </c>
      <c r="J24" s="160">
        <v>0</v>
      </c>
      <c r="K24" s="160">
        <v>0</v>
      </c>
      <c r="L24" s="175">
        <v>2.55</v>
      </c>
      <c r="M24" s="180"/>
      <c r="N24" s="175">
        <v>0.85</v>
      </c>
      <c r="O24" s="175">
        <v>1.19</v>
      </c>
      <c r="P24" s="175"/>
      <c r="Q24" s="175"/>
      <c r="R24" s="172">
        <v>22.1</v>
      </c>
      <c r="S24" s="172">
        <v>25.16</v>
      </c>
      <c r="T24" s="159">
        <v>78</v>
      </c>
      <c r="U24" s="159">
        <v>26</v>
      </c>
      <c r="V24" s="172">
        <v>17.238000000000003</v>
      </c>
      <c r="W24" s="172">
        <v>19.6248</v>
      </c>
      <c r="X24" s="172">
        <v>448.1880000000001</v>
      </c>
      <c r="Y24" s="172">
        <v>510.2448</v>
      </c>
      <c r="Z24" s="159">
        <v>1344.5640000000003</v>
      </c>
      <c r="AA24" s="159">
        <v>3061.4688</v>
      </c>
      <c r="AB24" s="172">
        <v>4406.032800000001</v>
      </c>
      <c r="AC24" s="176"/>
      <c r="AD24" s="176"/>
      <c r="AE24" s="176"/>
      <c r="AF24" s="177"/>
      <c r="AG24" s="177"/>
      <c r="AH24" s="177"/>
      <c r="AI24" s="177"/>
      <c r="AJ24" s="177"/>
      <c r="AK24" s="177"/>
      <c r="AL24" s="177"/>
    </row>
    <row r="25" spans="1:38" s="197" customFormat="1" ht="48.75" customHeight="1">
      <c r="A25" s="181">
        <v>13</v>
      </c>
      <c r="B25" s="194" t="s">
        <v>138</v>
      </c>
      <c r="C25" s="182" t="s">
        <v>161</v>
      </c>
      <c r="D25" s="183" t="s">
        <v>140</v>
      </c>
      <c r="E25" s="159"/>
      <c r="F25" s="159">
        <v>2021</v>
      </c>
      <c r="G25" s="160">
        <v>17</v>
      </c>
      <c r="H25" s="167">
        <v>1.7</v>
      </c>
      <c r="I25" s="167">
        <v>3.06</v>
      </c>
      <c r="J25" s="167">
        <v>0</v>
      </c>
      <c r="K25" s="167">
        <v>0</v>
      </c>
      <c r="L25" s="154">
        <v>2.55</v>
      </c>
      <c r="M25" s="170"/>
      <c r="N25" s="154">
        <v>0.85</v>
      </c>
      <c r="O25" s="154">
        <v>1.19</v>
      </c>
      <c r="P25" s="154"/>
      <c r="Q25" s="154"/>
      <c r="R25" s="172">
        <v>22.1</v>
      </c>
      <c r="S25" s="172">
        <v>25.16</v>
      </c>
      <c r="T25" s="184">
        <v>78</v>
      </c>
      <c r="U25" s="184">
        <v>26</v>
      </c>
      <c r="V25" s="172">
        <v>17.238000000000003</v>
      </c>
      <c r="W25" s="172">
        <v>19.6248</v>
      </c>
      <c r="X25" s="172">
        <v>448.1880000000001</v>
      </c>
      <c r="Y25" s="172">
        <v>510.2448</v>
      </c>
      <c r="Z25" s="159">
        <v>1344.5640000000003</v>
      </c>
      <c r="AA25" s="159">
        <v>3061.4688</v>
      </c>
      <c r="AB25" s="159">
        <v>4406.032800000001</v>
      </c>
      <c r="AC25" s="195"/>
      <c r="AD25" s="195"/>
      <c r="AE25" s="196"/>
      <c r="AF25" s="196"/>
      <c r="AG25" s="196"/>
      <c r="AH25" s="196"/>
      <c r="AI25" s="196"/>
      <c r="AJ25" s="196"/>
      <c r="AK25" s="196"/>
      <c r="AL25" s="196"/>
    </row>
    <row r="26" spans="1:38" s="117" customFormat="1" ht="18" customHeight="1" hidden="1">
      <c r="A26" s="198"/>
      <c r="B26" s="199" t="s">
        <v>138</v>
      </c>
      <c r="C26" s="200" t="s">
        <v>160</v>
      </c>
      <c r="D26" s="201" t="s">
        <v>140</v>
      </c>
      <c r="E26" s="151"/>
      <c r="F26" s="151">
        <v>2021</v>
      </c>
      <c r="G26" s="202">
        <v>17</v>
      </c>
      <c r="H26" s="203">
        <v>1.7</v>
      </c>
      <c r="I26" s="203">
        <v>3.06</v>
      </c>
      <c r="J26" s="203">
        <v>0</v>
      </c>
      <c r="K26" s="203">
        <v>0</v>
      </c>
      <c r="L26" s="204">
        <v>2.55</v>
      </c>
      <c r="M26" s="205"/>
      <c r="N26" s="204">
        <v>0.85</v>
      </c>
      <c r="O26" s="204">
        <v>1.19</v>
      </c>
      <c r="P26" s="204"/>
      <c r="Q26" s="204"/>
      <c r="R26" s="148">
        <f>G26+H26+K26+L26+N26</f>
        <v>22.1</v>
      </c>
      <c r="S26" s="148">
        <f>R26+I26</f>
        <v>25.16</v>
      </c>
      <c r="T26" s="206">
        <v>78</v>
      </c>
      <c r="U26" s="207">
        <v>26</v>
      </c>
      <c r="V26" s="163">
        <f>R26*T26/100</f>
        <v>17.238000000000003</v>
      </c>
      <c r="W26" s="163">
        <f>S26*T26/100</f>
        <v>19.6248</v>
      </c>
      <c r="X26" s="163">
        <f>V26*U26</f>
        <v>448.1880000000001</v>
      </c>
      <c r="Y26" s="163">
        <f>W26*U26</f>
        <v>510.2448</v>
      </c>
      <c r="Z26" s="164">
        <f>X26*3</f>
        <v>1344.5640000000003</v>
      </c>
      <c r="AA26" s="164">
        <f>Y26*6</f>
        <v>3061.4688</v>
      </c>
      <c r="AB26" s="164">
        <f>Z26+AA26</f>
        <v>4406.032800000001</v>
      </c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</row>
    <row r="27" spans="1:38" s="117" customFormat="1" ht="42" customHeight="1">
      <c r="A27" s="293" t="s">
        <v>97</v>
      </c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08">
        <f>SUM(AB12:AB26)</f>
        <v>74454.23964</v>
      </c>
      <c r="AC27" s="190"/>
      <c r="AD27" s="190"/>
      <c r="AE27" s="190"/>
      <c r="AF27" s="166"/>
      <c r="AG27" s="166"/>
      <c r="AH27" s="166"/>
      <c r="AI27" s="166"/>
      <c r="AJ27" s="166"/>
      <c r="AK27" s="166"/>
      <c r="AL27" s="166"/>
    </row>
    <row r="28" spans="1:38" s="117" customFormat="1" ht="43.5" customHeight="1">
      <c r="A28" s="198"/>
      <c r="B28" s="209"/>
      <c r="C28" s="210"/>
      <c r="D28" s="211"/>
      <c r="E28" s="212"/>
      <c r="F28" s="213"/>
      <c r="G28" s="213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5"/>
      <c r="T28" s="213"/>
      <c r="U28" s="213"/>
      <c r="V28" s="215"/>
      <c r="W28" s="215"/>
      <c r="X28" s="215"/>
      <c r="Y28" s="215"/>
      <c r="Z28" s="214"/>
      <c r="AA28" s="213"/>
      <c r="AB28" s="216"/>
      <c r="AC28" s="190"/>
      <c r="AD28" s="190"/>
      <c r="AE28" s="190"/>
      <c r="AF28" s="166"/>
      <c r="AG28" s="166"/>
      <c r="AH28" s="166"/>
      <c r="AI28" s="166"/>
      <c r="AJ28" s="166"/>
      <c r="AK28" s="166"/>
      <c r="AL28" s="166"/>
    </row>
    <row r="29" spans="1:38" s="117" customFormat="1" ht="44.25" customHeight="1">
      <c r="A29" s="198"/>
      <c r="B29" s="209"/>
      <c r="C29" s="210"/>
      <c r="D29" s="211"/>
      <c r="E29" s="217"/>
      <c r="F29" s="213"/>
      <c r="G29" s="213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5"/>
      <c r="T29" s="213"/>
      <c r="U29" s="213"/>
      <c r="V29" s="215"/>
      <c r="W29" s="215"/>
      <c r="X29" s="215"/>
      <c r="Y29" s="215"/>
      <c r="Z29" s="214"/>
      <c r="AA29" s="213"/>
      <c r="AB29" s="216"/>
      <c r="AC29" s="190"/>
      <c r="AD29" s="190"/>
      <c r="AE29" s="190"/>
      <c r="AF29" s="166"/>
      <c r="AG29" s="166"/>
      <c r="AH29" s="166"/>
      <c r="AI29" s="166"/>
      <c r="AJ29" s="166"/>
      <c r="AK29" s="166"/>
      <c r="AL29" s="166"/>
    </row>
    <row r="30" spans="1:38" s="117" customFormat="1" ht="18" customHeight="1">
      <c r="A30" s="294"/>
      <c r="B30" s="295"/>
      <c r="C30" s="296"/>
      <c r="D30" s="297"/>
      <c r="E30" s="298"/>
      <c r="F30" s="299"/>
      <c r="G30" s="299"/>
      <c r="H30" s="300"/>
      <c r="I30" s="300"/>
      <c r="J30" s="300"/>
      <c r="K30" s="301"/>
      <c r="L30" s="215"/>
      <c r="M30" s="215"/>
      <c r="N30" s="215"/>
      <c r="O30" s="215"/>
      <c r="P30" s="215"/>
      <c r="Q30" s="215"/>
      <c r="R30" s="301"/>
      <c r="S30" s="301"/>
      <c r="T30" s="299"/>
      <c r="U30" s="299"/>
      <c r="V30" s="301"/>
      <c r="W30" s="301"/>
      <c r="X30" s="301"/>
      <c r="Y30" s="301"/>
      <c r="Z30" s="300"/>
      <c r="AA30" s="299"/>
      <c r="AB30" s="302"/>
      <c r="AC30" s="218"/>
      <c r="AD30" s="218"/>
      <c r="AE30" s="218"/>
      <c r="AF30" s="123"/>
      <c r="AG30" s="123"/>
      <c r="AH30" s="123"/>
      <c r="AI30" s="123"/>
      <c r="AJ30" s="123"/>
      <c r="AK30" s="123"/>
      <c r="AL30" s="123"/>
    </row>
    <row r="31" spans="1:38" s="117" customFormat="1" ht="14.25" customHeight="1">
      <c r="A31" s="294"/>
      <c r="B31" s="295"/>
      <c r="C31" s="296"/>
      <c r="D31" s="297"/>
      <c r="E31" s="298"/>
      <c r="F31" s="299"/>
      <c r="G31" s="299"/>
      <c r="H31" s="300"/>
      <c r="I31" s="300"/>
      <c r="J31" s="300"/>
      <c r="K31" s="301"/>
      <c r="L31" s="215"/>
      <c r="M31" s="215"/>
      <c r="N31" s="215"/>
      <c r="O31" s="215"/>
      <c r="P31" s="215"/>
      <c r="Q31" s="215"/>
      <c r="R31" s="301"/>
      <c r="S31" s="301"/>
      <c r="T31" s="299"/>
      <c r="U31" s="299"/>
      <c r="V31" s="301"/>
      <c r="W31" s="301"/>
      <c r="X31" s="301"/>
      <c r="Y31" s="301"/>
      <c r="Z31" s="300"/>
      <c r="AA31" s="299"/>
      <c r="AB31" s="302"/>
      <c r="AC31" s="190"/>
      <c r="AD31" s="190"/>
      <c r="AE31" s="190"/>
      <c r="AF31" s="166"/>
      <c r="AG31" s="166"/>
      <c r="AH31" s="166"/>
      <c r="AI31" s="166"/>
      <c r="AJ31" s="166"/>
      <c r="AK31" s="166"/>
      <c r="AL31" s="166"/>
    </row>
    <row r="32" spans="3:38" s="117" customFormat="1" ht="18">
      <c r="C32" s="219"/>
      <c r="D32" s="220"/>
      <c r="E32" s="221"/>
      <c r="F32" s="221"/>
      <c r="G32" s="221"/>
      <c r="H32" s="222"/>
      <c r="I32" s="222"/>
      <c r="J32" s="222"/>
      <c r="K32" s="223"/>
      <c r="L32" s="223"/>
      <c r="M32" s="223"/>
      <c r="N32" s="223"/>
      <c r="O32" s="223"/>
      <c r="P32" s="223"/>
      <c r="Q32" s="223"/>
      <c r="R32" s="223"/>
      <c r="S32" s="223"/>
      <c r="T32" s="224"/>
      <c r="U32" s="224"/>
      <c r="V32" s="223"/>
      <c r="W32" s="223"/>
      <c r="X32" s="223"/>
      <c r="Y32" s="224"/>
      <c r="Z32" s="223"/>
      <c r="AA32" s="225"/>
      <c r="AB32" s="216"/>
      <c r="AC32" s="226"/>
      <c r="AD32" s="226"/>
      <c r="AE32" s="226"/>
      <c r="AF32" s="227"/>
      <c r="AG32" s="227"/>
      <c r="AH32" s="227"/>
      <c r="AI32" s="227"/>
      <c r="AJ32" s="227"/>
      <c r="AK32" s="227"/>
      <c r="AL32" s="227"/>
    </row>
    <row r="33" spans="1:5" s="117" customFormat="1" ht="18">
      <c r="A33" s="228"/>
      <c r="B33" s="228"/>
      <c r="C33" s="228"/>
      <c r="D33" s="228"/>
      <c r="E33" s="228"/>
    </row>
    <row r="34" spans="1:5" ht="18">
      <c r="A34" s="128"/>
      <c r="B34" s="128"/>
      <c r="C34" s="128"/>
      <c r="D34" s="128"/>
      <c r="E34" s="128"/>
    </row>
    <row r="35" spans="1:5" ht="18">
      <c r="A35" s="128"/>
      <c r="B35" s="128"/>
      <c r="C35" s="128"/>
      <c r="D35" s="128"/>
      <c r="E35" s="128"/>
    </row>
    <row r="36" spans="1:5" ht="18">
      <c r="A36" s="128"/>
      <c r="B36" s="128"/>
      <c r="C36" s="128"/>
      <c r="D36" s="128"/>
      <c r="E36" s="128"/>
    </row>
    <row r="37" spans="1:5" ht="18">
      <c r="A37" s="128"/>
      <c r="B37" s="128"/>
      <c r="C37" s="128"/>
      <c r="D37" s="128"/>
      <c r="E37" s="128"/>
    </row>
    <row r="38" spans="1:5" ht="18">
      <c r="A38" s="128"/>
      <c r="B38" s="128"/>
      <c r="C38" s="128"/>
      <c r="D38" s="128"/>
      <c r="E38" s="128"/>
    </row>
    <row r="39" spans="1:5" ht="18">
      <c r="A39" s="128"/>
      <c r="B39" s="128"/>
      <c r="C39" s="128"/>
      <c r="D39" s="128"/>
      <c r="E39" s="128"/>
    </row>
    <row r="40" spans="1:5" ht="18">
      <c r="A40" s="128"/>
      <c r="B40" s="128"/>
      <c r="C40" s="128"/>
      <c r="D40" s="128"/>
      <c r="E40" s="128"/>
    </row>
    <row r="41" spans="1:5" ht="18">
      <c r="A41" s="128"/>
      <c r="B41" s="128"/>
      <c r="C41" s="128"/>
      <c r="D41" s="128"/>
      <c r="E41" s="128"/>
    </row>
    <row r="42" spans="1:5" ht="18">
      <c r="A42" s="128"/>
      <c r="B42" s="128"/>
      <c r="C42" s="128"/>
      <c r="D42" s="128"/>
      <c r="E42" s="128"/>
    </row>
  </sheetData>
  <sheetProtection/>
  <mergeCells count="103">
    <mergeCell ref="AB30:AB31"/>
    <mergeCell ref="V30:V31"/>
    <mergeCell ref="W30:W31"/>
    <mergeCell ref="X30:X31"/>
    <mergeCell ref="Y30:Y31"/>
    <mergeCell ref="Z30:Z31"/>
    <mergeCell ref="AA30:AA31"/>
    <mergeCell ref="J30:J31"/>
    <mergeCell ref="K30:K31"/>
    <mergeCell ref="R30:R31"/>
    <mergeCell ref="S30:S31"/>
    <mergeCell ref="T30:T31"/>
    <mergeCell ref="U30:U31"/>
    <mergeCell ref="A27:AA27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B10:AB11"/>
    <mergeCell ref="W12:W13"/>
    <mergeCell ref="X12:X13"/>
    <mergeCell ref="Y12:Y13"/>
    <mergeCell ref="Z12:Z13"/>
    <mergeCell ref="AA12:AA13"/>
    <mergeCell ref="AB12:AB13"/>
    <mergeCell ref="V10:V11"/>
    <mergeCell ref="W10:W11"/>
    <mergeCell ref="X10:X11"/>
    <mergeCell ref="Y10:Y11"/>
    <mergeCell ref="Z10:Z11"/>
    <mergeCell ref="AA10:AA11"/>
    <mergeCell ref="P10:P11"/>
    <mergeCell ref="Q10:Q11"/>
    <mergeCell ref="R10:R11"/>
    <mergeCell ref="S10:S11"/>
    <mergeCell ref="T10:T11"/>
    <mergeCell ref="U10:U11"/>
    <mergeCell ref="J10:J11"/>
    <mergeCell ref="K10:K11"/>
    <mergeCell ref="L10:L11"/>
    <mergeCell ref="M10:M11"/>
    <mergeCell ref="N10:N11"/>
    <mergeCell ref="O10:O11"/>
    <mergeCell ref="AB7:AB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P7:P8"/>
    <mergeCell ref="Q7:Q8"/>
    <mergeCell ref="R7:R8"/>
    <mergeCell ref="S7:S8"/>
    <mergeCell ref="T7:T8"/>
    <mergeCell ref="U7:U8"/>
    <mergeCell ref="I7:I8"/>
    <mergeCell ref="J7:J8"/>
    <mergeCell ref="K7:K8"/>
    <mergeCell ref="L7:L8"/>
    <mergeCell ref="M7:M8"/>
    <mergeCell ref="N7:N8"/>
    <mergeCell ref="V1:AB1"/>
    <mergeCell ref="V2:AB2"/>
    <mergeCell ref="U3:AB5"/>
    <mergeCell ref="A6:AB6"/>
    <mergeCell ref="A7:A8"/>
    <mergeCell ref="B7:B8"/>
    <mergeCell ref="C7:C8"/>
    <mergeCell ref="D7:D8"/>
    <mergeCell ref="E7:E8"/>
    <mergeCell ref="F7:F8"/>
    <mergeCell ref="F12:F13"/>
    <mergeCell ref="A12:A13"/>
    <mergeCell ref="B12:B13"/>
    <mergeCell ref="C12:C13"/>
    <mergeCell ref="D12:D13"/>
    <mergeCell ref="E12:E13"/>
    <mergeCell ref="T12:T13"/>
    <mergeCell ref="U12:U13"/>
    <mergeCell ref="S12:S13"/>
    <mergeCell ref="M12:M13"/>
    <mergeCell ref="N12:N13"/>
    <mergeCell ref="O12:O13"/>
    <mergeCell ref="R12:R13"/>
    <mergeCell ref="V12:V13"/>
    <mergeCell ref="O7:O8"/>
    <mergeCell ref="G7:G8"/>
    <mergeCell ref="H7:H8"/>
    <mergeCell ref="G12:G13"/>
    <mergeCell ref="H12:H13"/>
    <mergeCell ref="I12:I13"/>
    <mergeCell ref="J12:J13"/>
    <mergeCell ref="K12:K13"/>
    <mergeCell ref="L12:L13"/>
  </mergeCells>
  <printOptions/>
  <pageMargins left="0.7086614173228347" right="0.7086614173228347" top="0.29" bottom="0.22" header="0.31496062992125984" footer="0.31496062992125984"/>
  <pageSetup horizontalDpi="600" verticalDpi="600" orientation="landscape" paperSize="9" scale="54" r:id="rId1"/>
  <rowBreaks count="1" manualBreakCount="1">
    <brk id="27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39"/>
  <sheetViews>
    <sheetView view="pageBreakPreview" zoomScale="90" zoomScaleSheetLayoutView="90" zoomScalePageLayoutView="0" workbookViewId="0" topLeftCell="A47">
      <selection activeCell="D17" sqref="D17"/>
    </sheetView>
  </sheetViews>
  <sheetFormatPr defaultColWidth="9.00390625" defaultRowHeight="12.75"/>
  <cols>
    <col min="1" max="1" width="16.875" style="0" customWidth="1"/>
    <col min="2" max="2" width="14.125" style="0" customWidth="1"/>
    <col min="12" max="12" width="9.75390625" style="0" customWidth="1"/>
    <col min="13" max="13" width="9.625" style="0" customWidth="1"/>
    <col min="14" max="14" width="8.625" style="0" customWidth="1"/>
    <col min="15" max="15" width="8.00390625" style="0" customWidth="1"/>
    <col min="16" max="16" width="10.00390625" style="0" customWidth="1"/>
    <col min="17" max="17" width="9.375" style="0" customWidth="1"/>
    <col min="18" max="18" width="9.75390625" style="0" customWidth="1"/>
    <col min="19" max="19" width="9.00390625" style="0" customWidth="1"/>
    <col min="20" max="20" width="10.625" style="0" customWidth="1"/>
    <col min="21" max="21" width="10.00390625" style="0" customWidth="1"/>
    <col min="22" max="22" width="11.375" style="0" customWidth="1"/>
    <col min="23" max="23" width="11.625" style="0" customWidth="1"/>
    <col min="24" max="24" width="13.75390625" style="0" customWidth="1"/>
  </cols>
  <sheetData>
    <row r="1" spans="1:58" ht="12.75">
      <c r="A1" s="2"/>
      <c r="B1" s="3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346" t="s">
        <v>43</v>
      </c>
      <c r="P1" s="346"/>
      <c r="Q1" s="346"/>
      <c r="R1" s="346"/>
      <c r="S1" s="346"/>
      <c r="T1" s="346"/>
      <c r="U1" s="346"/>
      <c r="V1" s="347"/>
      <c r="W1" s="347"/>
      <c r="X1" s="347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"/>
      <c r="AK1" s="7"/>
      <c r="AL1" s="7"/>
      <c r="AM1" s="7"/>
      <c r="AN1" s="8"/>
      <c r="AO1" s="8"/>
      <c r="AP1" s="8"/>
      <c r="AQ1" s="8"/>
      <c r="AR1" s="8"/>
      <c r="AS1" s="7"/>
      <c r="AT1" s="7"/>
      <c r="AU1" s="7"/>
      <c r="AV1" s="7"/>
      <c r="AW1" s="7"/>
      <c r="AX1" s="7"/>
      <c r="AY1" s="8"/>
      <c r="AZ1" s="8"/>
      <c r="BA1" s="8"/>
      <c r="BB1" s="8"/>
      <c r="BC1" s="2"/>
      <c r="BD1" s="8"/>
      <c r="BE1" s="9"/>
      <c r="BF1" s="9"/>
    </row>
    <row r="2" spans="1:58" ht="12.75">
      <c r="A2" s="2"/>
      <c r="B2" s="3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346" t="s">
        <v>7</v>
      </c>
      <c r="P2" s="346"/>
      <c r="Q2" s="346"/>
      <c r="R2" s="346"/>
      <c r="S2" s="346"/>
      <c r="T2" s="346"/>
      <c r="U2" s="346"/>
      <c r="V2" s="347"/>
      <c r="W2" s="347"/>
      <c r="X2" s="347"/>
      <c r="Y2" s="6"/>
      <c r="Z2" s="6"/>
      <c r="AA2" s="6"/>
      <c r="AB2" s="6"/>
      <c r="AC2" s="6"/>
      <c r="AD2" s="6"/>
      <c r="AE2" s="6"/>
      <c r="AF2" s="6"/>
      <c r="AG2" s="6"/>
      <c r="AH2" s="6"/>
      <c r="AI2" s="7"/>
      <c r="AJ2" s="7"/>
      <c r="AK2" s="7"/>
      <c r="AL2" s="7"/>
      <c r="AM2" s="7"/>
      <c r="AN2" s="8"/>
      <c r="AO2" s="8"/>
      <c r="AP2" s="8"/>
      <c r="AQ2" s="8"/>
      <c r="AR2" s="8"/>
      <c r="AS2" s="7"/>
      <c r="AT2" s="7"/>
      <c r="AU2" s="7"/>
      <c r="AV2" s="7"/>
      <c r="AW2" s="7"/>
      <c r="AX2" s="7"/>
      <c r="AY2" s="8"/>
      <c r="AZ2" s="8"/>
      <c r="BA2" s="8"/>
      <c r="BB2" s="8"/>
      <c r="BC2" s="2"/>
      <c r="BD2" s="8"/>
      <c r="BE2" s="9"/>
      <c r="BF2" s="9"/>
    </row>
    <row r="3" spans="1:58" ht="12.75">
      <c r="A3" s="2"/>
      <c r="B3" s="3"/>
      <c r="C3" s="4"/>
      <c r="D3" s="4"/>
      <c r="E3" s="4"/>
      <c r="F3" s="4"/>
      <c r="G3" s="5"/>
      <c r="H3" s="4"/>
      <c r="I3" s="4"/>
      <c r="J3" s="4" t="s">
        <v>8</v>
      </c>
      <c r="K3" s="4"/>
      <c r="L3" s="4"/>
      <c r="M3" s="4"/>
      <c r="N3" s="4"/>
      <c r="O3" s="346" t="s">
        <v>171</v>
      </c>
      <c r="P3" s="346"/>
      <c r="Q3" s="346"/>
      <c r="R3" s="346"/>
      <c r="S3" s="346"/>
      <c r="T3" s="346"/>
      <c r="U3" s="346"/>
      <c r="V3" s="347"/>
      <c r="W3" s="347"/>
      <c r="X3" s="347"/>
      <c r="Y3" s="6"/>
      <c r="Z3" s="6"/>
      <c r="AA3" s="6"/>
      <c r="AB3" s="6"/>
      <c r="AC3" s="6"/>
      <c r="AD3" s="6"/>
      <c r="AE3" s="6"/>
      <c r="AF3" s="6"/>
      <c r="AG3" s="6"/>
      <c r="AH3" s="6"/>
      <c r="AI3" s="7"/>
      <c r="AJ3" s="7"/>
      <c r="AK3" s="7"/>
      <c r="AL3" s="7"/>
      <c r="AM3" s="7"/>
      <c r="AN3" s="8"/>
      <c r="AO3" s="8"/>
      <c r="AP3" s="8"/>
      <c r="AQ3" s="8"/>
      <c r="AR3" s="8"/>
      <c r="AS3" s="7"/>
      <c r="AT3" s="7"/>
      <c r="AU3" s="7"/>
      <c r="AV3" s="7"/>
      <c r="AW3" s="7"/>
      <c r="AX3" s="7"/>
      <c r="AY3" s="8"/>
      <c r="AZ3" s="8"/>
      <c r="BA3" s="8"/>
      <c r="BB3" s="8"/>
      <c r="BC3" s="2"/>
      <c r="BD3" s="8"/>
      <c r="BE3" s="9"/>
      <c r="BF3" s="9"/>
    </row>
    <row r="4" spans="1:58" ht="12.75">
      <c r="A4" s="2"/>
      <c r="B4" s="3"/>
      <c r="C4" s="4"/>
      <c r="D4" s="4"/>
      <c r="E4" s="4"/>
      <c r="F4" s="4"/>
      <c r="G4" s="5"/>
      <c r="H4" s="4"/>
      <c r="I4" s="4"/>
      <c r="J4" s="4"/>
      <c r="K4" s="4"/>
      <c r="L4" s="4"/>
      <c r="M4" s="4"/>
      <c r="N4" s="4"/>
      <c r="O4" s="346"/>
      <c r="P4" s="346"/>
      <c r="Q4" s="346"/>
      <c r="R4" s="346"/>
      <c r="S4" s="346"/>
      <c r="T4" s="346"/>
      <c r="U4" s="346"/>
      <c r="V4" s="347"/>
      <c r="W4" s="347"/>
      <c r="X4" s="347"/>
      <c r="Y4" s="6"/>
      <c r="Z4" s="6"/>
      <c r="AA4" s="6"/>
      <c r="AB4" s="6"/>
      <c r="AC4" s="6"/>
      <c r="AD4" s="6"/>
      <c r="AE4" s="6"/>
      <c r="AF4" s="6"/>
      <c r="AG4" s="6"/>
      <c r="AH4" s="6"/>
      <c r="AI4" s="7"/>
      <c r="AJ4" s="7"/>
      <c r="AK4" s="7"/>
      <c r="AL4" s="7"/>
      <c r="AM4" s="7"/>
      <c r="AN4" s="8"/>
      <c r="AO4" s="8"/>
      <c r="AP4" s="8"/>
      <c r="AQ4" s="8"/>
      <c r="AR4" s="8"/>
      <c r="AS4" s="7"/>
      <c r="AT4" s="7"/>
      <c r="AU4" s="7"/>
      <c r="AV4" s="7"/>
      <c r="AW4" s="7"/>
      <c r="AX4" s="7"/>
      <c r="AY4" s="8"/>
      <c r="AZ4" s="8"/>
      <c r="BA4" s="8"/>
      <c r="BB4" s="8"/>
      <c r="BC4" s="2"/>
      <c r="BD4" s="8"/>
      <c r="BE4" s="9"/>
      <c r="BF4" s="9"/>
    </row>
    <row r="5" spans="1:58" ht="12.75">
      <c r="A5" s="2"/>
      <c r="B5" s="3"/>
      <c r="C5" s="4"/>
      <c r="D5" s="4"/>
      <c r="E5" s="4"/>
      <c r="F5" s="4"/>
      <c r="G5" s="5"/>
      <c r="H5" s="4"/>
      <c r="I5" s="4"/>
      <c r="J5" s="4"/>
      <c r="K5" s="4"/>
      <c r="L5" s="4"/>
      <c r="M5" s="4"/>
      <c r="N5" s="4"/>
      <c r="O5" s="346" t="s">
        <v>172</v>
      </c>
      <c r="P5" s="346"/>
      <c r="Q5" s="346"/>
      <c r="R5" s="346"/>
      <c r="S5" s="346"/>
      <c r="T5" s="346"/>
      <c r="U5" s="346"/>
      <c r="V5" s="347"/>
      <c r="W5" s="347"/>
      <c r="X5" s="347"/>
      <c r="Y5" s="6"/>
      <c r="Z5" s="6"/>
      <c r="AA5" s="6"/>
      <c r="AB5" s="6"/>
      <c r="AC5" s="6"/>
      <c r="AD5" s="6"/>
      <c r="AE5" s="6"/>
      <c r="AF5" s="6"/>
      <c r="AG5" s="6"/>
      <c r="AH5" s="6"/>
      <c r="AI5" s="7"/>
      <c r="AJ5" s="7"/>
      <c r="AK5" s="7"/>
      <c r="AL5" s="7"/>
      <c r="AM5" s="7"/>
      <c r="AN5" s="8"/>
      <c r="AO5" s="8"/>
      <c r="AP5" s="8"/>
      <c r="AQ5" s="8"/>
      <c r="AR5" s="8"/>
      <c r="AS5" s="7"/>
      <c r="AT5" s="7"/>
      <c r="AU5" s="7"/>
      <c r="AV5" s="7"/>
      <c r="AW5" s="7"/>
      <c r="AX5" s="7"/>
      <c r="AY5" s="8"/>
      <c r="AZ5" s="8"/>
      <c r="BA5" s="8"/>
      <c r="BB5" s="8"/>
      <c r="BC5" s="2"/>
      <c r="BD5" s="8"/>
      <c r="BE5" s="9"/>
      <c r="BF5" s="9"/>
    </row>
    <row r="6" spans="1:58" ht="15.75">
      <c r="A6" s="348" t="s">
        <v>44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7"/>
      <c r="AJ6" s="7"/>
      <c r="AK6" s="7"/>
      <c r="AL6" s="7"/>
      <c r="AM6" s="7"/>
      <c r="AN6" s="8"/>
      <c r="AO6" s="8"/>
      <c r="AP6" s="7"/>
      <c r="AQ6" s="7"/>
      <c r="AR6" s="7"/>
      <c r="AS6" s="7"/>
      <c r="AT6" s="7"/>
      <c r="AU6" s="7"/>
      <c r="AV6" s="7"/>
      <c r="AW6" s="7"/>
      <c r="AX6" s="7"/>
      <c r="AY6" s="8"/>
      <c r="AZ6" s="8"/>
      <c r="BA6" s="8"/>
      <c r="BB6" s="8"/>
      <c r="BC6" s="2"/>
      <c r="BD6" s="8"/>
      <c r="BE6" s="9"/>
      <c r="BF6" s="9"/>
    </row>
    <row r="7" spans="1:58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7"/>
      <c r="AJ7" s="7"/>
      <c r="AK7" s="7"/>
      <c r="AL7" s="7"/>
      <c r="AM7" s="7"/>
      <c r="AN7" s="8"/>
      <c r="AO7" s="8"/>
      <c r="AP7" s="7"/>
      <c r="AQ7" s="7"/>
      <c r="AR7" s="7"/>
      <c r="AS7" s="7"/>
      <c r="AT7" s="7"/>
      <c r="AU7" s="7"/>
      <c r="AV7" s="7"/>
      <c r="AW7" s="7"/>
      <c r="AX7" s="7"/>
      <c r="AY7" s="8"/>
      <c r="AZ7" s="8"/>
      <c r="BA7" s="8"/>
      <c r="BB7" s="8"/>
      <c r="BC7" s="2"/>
      <c r="BD7" s="8"/>
      <c r="BE7" s="9"/>
      <c r="BF7" s="9"/>
    </row>
    <row r="8" spans="1:58" ht="28.5" customHeight="1">
      <c r="A8" s="11" t="s">
        <v>9</v>
      </c>
      <c r="B8" s="334" t="s">
        <v>10</v>
      </c>
      <c r="C8" s="334" t="s">
        <v>11</v>
      </c>
      <c r="D8" s="334" t="s">
        <v>4</v>
      </c>
      <c r="E8" s="324" t="s">
        <v>12</v>
      </c>
      <c r="F8" s="345"/>
      <c r="G8" s="334" t="s">
        <v>13</v>
      </c>
      <c r="H8" s="334" t="s">
        <v>14</v>
      </c>
      <c r="I8" s="334" t="s">
        <v>15</v>
      </c>
      <c r="J8" s="334" t="s">
        <v>16</v>
      </c>
      <c r="K8" s="334" t="s">
        <v>39</v>
      </c>
      <c r="L8" s="334" t="s">
        <v>45</v>
      </c>
      <c r="M8" s="337" t="s">
        <v>46</v>
      </c>
      <c r="N8" s="342" t="s">
        <v>17</v>
      </c>
      <c r="O8" s="334" t="s">
        <v>18</v>
      </c>
      <c r="P8" s="334" t="s">
        <v>19</v>
      </c>
      <c r="Q8" s="334" t="s">
        <v>20</v>
      </c>
      <c r="R8" s="331" t="s">
        <v>21</v>
      </c>
      <c r="S8" s="334" t="s">
        <v>21</v>
      </c>
      <c r="T8" s="334" t="s">
        <v>22</v>
      </c>
      <c r="U8" s="331" t="s">
        <v>22</v>
      </c>
      <c r="V8" s="334" t="s">
        <v>23</v>
      </c>
      <c r="W8" s="334" t="s">
        <v>24</v>
      </c>
      <c r="X8" s="331" t="s">
        <v>25</v>
      </c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4"/>
      <c r="BD8" s="13"/>
      <c r="BE8" s="15"/>
      <c r="BF8" s="15"/>
    </row>
    <row r="9" spans="1:58" ht="28.5" customHeight="1">
      <c r="A9" s="334" t="s">
        <v>26</v>
      </c>
      <c r="B9" s="335"/>
      <c r="C9" s="335"/>
      <c r="D9" s="335"/>
      <c r="E9" s="334" t="s">
        <v>5</v>
      </c>
      <c r="F9" s="334" t="s">
        <v>27</v>
      </c>
      <c r="G9" s="335"/>
      <c r="H9" s="335"/>
      <c r="I9" s="335"/>
      <c r="J9" s="335"/>
      <c r="K9" s="340"/>
      <c r="L9" s="335"/>
      <c r="M9" s="338"/>
      <c r="N9" s="343"/>
      <c r="O9" s="335"/>
      <c r="P9" s="335"/>
      <c r="Q9" s="335"/>
      <c r="R9" s="332"/>
      <c r="S9" s="335"/>
      <c r="T9" s="335"/>
      <c r="U9" s="332"/>
      <c r="V9" s="335"/>
      <c r="W9" s="335"/>
      <c r="X9" s="332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4"/>
      <c r="BD9" s="13"/>
      <c r="BE9" s="15"/>
      <c r="BF9" s="15"/>
    </row>
    <row r="10" spans="1:58" ht="173.25" customHeight="1">
      <c r="A10" s="335"/>
      <c r="B10" s="335"/>
      <c r="C10" s="335"/>
      <c r="D10" s="335"/>
      <c r="E10" s="336"/>
      <c r="F10" s="336"/>
      <c r="G10" s="336"/>
      <c r="H10" s="336"/>
      <c r="I10" s="336"/>
      <c r="J10" s="336"/>
      <c r="K10" s="341"/>
      <c r="L10" s="336"/>
      <c r="M10" s="339"/>
      <c r="N10" s="344"/>
      <c r="O10" s="336"/>
      <c r="P10" s="336"/>
      <c r="Q10" s="336"/>
      <c r="R10" s="333"/>
      <c r="S10" s="336"/>
      <c r="T10" s="336"/>
      <c r="U10" s="333"/>
      <c r="V10" s="336"/>
      <c r="W10" s="336"/>
      <c r="X10" s="333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4"/>
      <c r="BD10" s="13"/>
      <c r="BE10" s="15"/>
      <c r="BF10" s="15"/>
    </row>
    <row r="11" spans="1:58" ht="27.75" customHeight="1">
      <c r="A11" s="336"/>
      <c r="B11" s="336"/>
      <c r="C11" s="336"/>
      <c r="D11" s="336"/>
      <c r="E11" s="17">
        <v>0.15</v>
      </c>
      <c r="F11" s="17">
        <v>0.05</v>
      </c>
      <c r="G11" s="18">
        <v>0.18</v>
      </c>
      <c r="H11" s="18">
        <v>0.1</v>
      </c>
      <c r="I11" s="38" t="s">
        <v>47</v>
      </c>
      <c r="J11" s="18">
        <v>0.1</v>
      </c>
      <c r="K11" s="18">
        <v>0.07</v>
      </c>
      <c r="L11" s="18">
        <v>0.1</v>
      </c>
      <c r="M11" s="18">
        <v>0.3</v>
      </c>
      <c r="N11" s="39" t="s">
        <v>3</v>
      </c>
      <c r="O11" s="19" t="s">
        <v>3</v>
      </c>
      <c r="P11" s="11" t="s">
        <v>28</v>
      </c>
      <c r="Q11" s="11" t="s">
        <v>29</v>
      </c>
      <c r="R11" s="40" t="s">
        <v>0</v>
      </c>
      <c r="S11" s="11" t="s">
        <v>1</v>
      </c>
      <c r="T11" s="11" t="s">
        <v>2</v>
      </c>
      <c r="U11" s="40" t="s">
        <v>1</v>
      </c>
      <c r="V11" s="20" t="s">
        <v>2</v>
      </c>
      <c r="W11" s="21" t="s">
        <v>1</v>
      </c>
      <c r="X11" s="41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4"/>
      <c r="BD11" s="13"/>
      <c r="BE11" s="15"/>
      <c r="BF11" s="15"/>
    </row>
    <row r="12" spans="1:58" ht="27.75" customHeight="1">
      <c r="A12" s="324" t="s">
        <v>48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6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4"/>
      <c r="BD12" s="13"/>
      <c r="BE12" s="15"/>
      <c r="BF12" s="15"/>
    </row>
    <row r="13" spans="1:58" ht="16.5" customHeight="1">
      <c r="A13" s="327" t="s">
        <v>32</v>
      </c>
      <c r="B13" s="329" t="s">
        <v>33</v>
      </c>
      <c r="C13" s="320">
        <v>2015</v>
      </c>
      <c r="D13" s="320">
        <v>15.3</v>
      </c>
      <c r="E13" s="320"/>
      <c r="F13" s="320">
        <v>0.7650000000000001</v>
      </c>
      <c r="G13" s="316">
        <v>2.7540000000000004</v>
      </c>
      <c r="H13" s="316">
        <v>1.53</v>
      </c>
      <c r="I13" s="316">
        <v>0.765</v>
      </c>
      <c r="J13" s="320"/>
      <c r="K13" s="316"/>
      <c r="L13" s="35"/>
      <c r="M13" s="316">
        <f>D13*M11</f>
        <v>4.59</v>
      </c>
      <c r="N13" s="303">
        <f>D13+E13+F13+H13+I13+J13+K13+M13</f>
        <v>22.950000000000003</v>
      </c>
      <c r="O13" s="322">
        <f>N13+G13+J13</f>
        <v>25.704000000000004</v>
      </c>
      <c r="P13" s="320">
        <v>165.9</v>
      </c>
      <c r="Q13" s="320">
        <v>26</v>
      </c>
      <c r="R13" s="314">
        <f>N13*P13/100</f>
        <v>38.07405000000001</v>
      </c>
      <c r="S13" s="316">
        <v>40.15</v>
      </c>
      <c r="T13" s="316">
        <v>726.22</v>
      </c>
      <c r="U13" s="318">
        <v>883.3</v>
      </c>
      <c r="V13" s="316">
        <f>T13*6</f>
        <v>4357.32</v>
      </c>
      <c r="W13" s="320">
        <f>U13*6</f>
        <v>5299.799999999999</v>
      </c>
      <c r="X13" s="309">
        <f>W13+V13</f>
        <v>9657.119999999999</v>
      </c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7"/>
      <c r="AJ13" s="7"/>
      <c r="AK13" s="7"/>
      <c r="AL13" s="7"/>
      <c r="AM13" s="7"/>
      <c r="AN13" s="8"/>
      <c r="AO13" s="8"/>
      <c r="AP13" s="7"/>
      <c r="AQ13" s="7"/>
      <c r="AR13" s="7"/>
      <c r="AS13" s="7"/>
      <c r="AT13" s="7"/>
      <c r="AU13" s="7"/>
      <c r="AV13" s="7"/>
      <c r="AW13" s="7"/>
      <c r="AX13" s="7"/>
      <c r="AY13" s="8"/>
      <c r="AZ13" s="8"/>
      <c r="BA13" s="8"/>
      <c r="BB13" s="8"/>
      <c r="BC13" s="2"/>
      <c r="BD13" s="8"/>
      <c r="BE13" s="9"/>
      <c r="BF13" s="23"/>
    </row>
    <row r="14" spans="1:58" ht="18" customHeight="1">
      <c r="A14" s="328"/>
      <c r="B14" s="330"/>
      <c r="C14" s="321"/>
      <c r="D14" s="321"/>
      <c r="E14" s="321"/>
      <c r="F14" s="321"/>
      <c r="G14" s="317"/>
      <c r="H14" s="317"/>
      <c r="I14" s="317"/>
      <c r="J14" s="321"/>
      <c r="K14" s="315"/>
      <c r="L14" s="36"/>
      <c r="M14" s="317"/>
      <c r="N14" s="304"/>
      <c r="O14" s="323"/>
      <c r="P14" s="321"/>
      <c r="Q14" s="321"/>
      <c r="R14" s="315"/>
      <c r="S14" s="317"/>
      <c r="T14" s="317"/>
      <c r="U14" s="319"/>
      <c r="V14" s="317"/>
      <c r="W14" s="321"/>
      <c r="X14" s="310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7"/>
      <c r="AJ14" s="7"/>
      <c r="AK14" s="7"/>
      <c r="AL14" s="7"/>
      <c r="AM14" s="7"/>
      <c r="AN14" s="8"/>
      <c r="AO14" s="8"/>
      <c r="AP14" s="7"/>
      <c r="AQ14" s="7"/>
      <c r="AR14" s="7"/>
      <c r="AS14" s="7"/>
      <c r="AT14" s="7"/>
      <c r="AU14" s="7"/>
      <c r="AV14" s="7"/>
      <c r="AW14" s="7"/>
      <c r="AX14" s="7"/>
      <c r="AY14" s="8"/>
      <c r="AZ14" s="8"/>
      <c r="BA14" s="8"/>
      <c r="BB14" s="8"/>
      <c r="BC14" s="2"/>
      <c r="BD14" s="8"/>
      <c r="BE14" s="9"/>
      <c r="BF14" s="23"/>
    </row>
    <row r="15" spans="1:57" ht="40.5" customHeight="1">
      <c r="A15" s="24" t="s">
        <v>34</v>
      </c>
      <c r="B15" s="25" t="s">
        <v>35</v>
      </c>
      <c r="C15" s="26">
        <v>2010</v>
      </c>
      <c r="D15" s="26">
        <v>13.8</v>
      </c>
      <c r="E15" s="27"/>
      <c r="F15" s="27">
        <v>0.69</v>
      </c>
      <c r="G15" s="26">
        <v>2.484</v>
      </c>
      <c r="H15" s="26">
        <v>1.38</v>
      </c>
      <c r="I15" s="26">
        <v>0.69</v>
      </c>
      <c r="J15" s="27">
        <v>1.38</v>
      </c>
      <c r="K15" s="27"/>
      <c r="L15" s="27"/>
      <c r="M15" s="27">
        <f>D15*M11</f>
        <v>4.14</v>
      </c>
      <c r="N15" s="303">
        <f>D15+E15+F15+H15+I15+J15+K15+M15</f>
        <v>22.080000000000002</v>
      </c>
      <c r="O15" s="28">
        <f>N15+G15</f>
        <v>24.564</v>
      </c>
      <c r="P15" s="24">
        <v>400</v>
      </c>
      <c r="Q15" s="24">
        <v>26</v>
      </c>
      <c r="R15" s="43">
        <f>N15*P15/100</f>
        <v>88.32</v>
      </c>
      <c r="S15" s="26">
        <v>89.98</v>
      </c>
      <c r="T15" s="26">
        <v>1822</v>
      </c>
      <c r="U15" s="44">
        <v>1979</v>
      </c>
      <c r="V15" s="26">
        <f aca="true" t="shared" si="0" ref="V15:W32">T15*6</f>
        <v>10932</v>
      </c>
      <c r="W15" s="27">
        <f t="shared" si="0"/>
        <v>11874</v>
      </c>
      <c r="X15" s="45">
        <f>W15+V15</f>
        <v>22806</v>
      </c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7"/>
      <c r="AJ15" s="7"/>
      <c r="AK15" s="7"/>
      <c r="AL15" s="7"/>
      <c r="AM15" s="7"/>
      <c r="AN15" s="8"/>
      <c r="AO15" s="8"/>
      <c r="AP15" s="7"/>
      <c r="AQ15" s="7"/>
      <c r="AR15" s="7"/>
      <c r="AS15" s="7"/>
      <c r="AT15" s="7"/>
      <c r="AU15" s="7"/>
      <c r="AV15" s="7"/>
      <c r="AW15" s="7"/>
      <c r="AX15" s="7"/>
      <c r="AY15" s="8"/>
      <c r="AZ15" s="8"/>
      <c r="BA15" s="8"/>
      <c r="BB15" s="8"/>
      <c r="BC15" s="2"/>
      <c r="BD15" s="8"/>
      <c r="BE15" s="9"/>
    </row>
    <row r="16" spans="1:57" ht="51" customHeight="1" hidden="1">
      <c r="A16" s="46"/>
      <c r="B16" s="47"/>
      <c r="C16" s="48"/>
      <c r="D16" s="48"/>
      <c r="E16" s="48"/>
      <c r="F16" s="48"/>
      <c r="G16" s="48"/>
      <c r="H16" s="48"/>
      <c r="I16" s="49"/>
      <c r="J16" s="49"/>
      <c r="K16" s="49"/>
      <c r="L16" s="49"/>
      <c r="M16" s="49"/>
      <c r="N16" s="304"/>
      <c r="O16" s="50"/>
      <c r="P16" s="51"/>
      <c r="Q16" s="51"/>
      <c r="R16" s="43"/>
      <c r="S16" s="48"/>
      <c r="T16" s="48"/>
      <c r="U16" s="48"/>
      <c r="V16" s="48"/>
      <c r="W16" s="48"/>
      <c r="X16" s="5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9"/>
      <c r="AJ16" s="29"/>
      <c r="AK16" s="29"/>
      <c r="AL16" s="29"/>
      <c r="AM16" s="29"/>
      <c r="AN16" s="30"/>
      <c r="AO16" s="30"/>
      <c r="AP16" s="29"/>
      <c r="AQ16" s="29"/>
      <c r="AR16" s="29"/>
      <c r="AS16" s="29"/>
      <c r="AT16" s="29"/>
      <c r="AU16" s="29"/>
      <c r="AV16" s="29"/>
      <c r="AW16" s="29"/>
      <c r="AX16" s="29"/>
      <c r="AY16" s="30"/>
      <c r="AZ16" s="30"/>
      <c r="BA16" s="30"/>
      <c r="BB16" s="30"/>
      <c r="BC16" s="9"/>
      <c r="BD16" s="8"/>
      <c r="BE16" s="9"/>
    </row>
    <row r="17" spans="1:57" ht="51.75" customHeight="1">
      <c r="A17" s="34" t="s">
        <v>36</v>
      </c>
      <c r="B17" s="24" t="s">
        <v>37</v>
      </c>
      <c r="C17" s="26">
        <v>2019</v>
      </c>
      <c r="D17" s="26">
        <v>10.6</v>
      </c>
      <c r="E17" s="27"/>
      <c r="F17" s="26">
        <v>0.53</v>
      </c>
      <c r="G17" s="26">
        <v>1.91</v>
      </c>
      <c r="H17" s="26"/>
      <c r="I17" s="26"/>
      <c r="J17" s="26"/>
      <c r="K17" s="26"/>
      <c r="L17" s="26"/>
      <c r="M17" s="26">
        <f>D17*M11</f>
        <v>3.1799999999999997</v>
      </c>
      <c r="N17" s="42">
        <f>D17+F17+J17+M17</f>
        <v>14.309999999999999</v>
      </c>
      <c r="O17" s="53">
        <f>N17+G17</f>
        <v>16.22</v>
      </c>
      <c r="P17" s="26">
        <v>122.4</v>
      </c>
      <c r="Q17" s="26">
        <v>26</v>
      </c>
      <c r="R17" s="43">
        <f>N17*P17/100</f>
        <v>17.515439999999998</v>
      </c>
      <c r="S17" s="26">
        <v>19.2</v>
      </c>
      <c r="T17" s="26">
        <v>342.54</v>
      </c>
      <c r="U17" s="44">
        <v>422.4</v>
      </c>
      <c r="V17" s="31">
        <f t="shared" si="0"/>
        <v>2055.2400000000002</v>
      </c>
      <c r="W17" s="32">
        <f t="shared" si="0"/>
        <v>2534.3999999999996</v>
      </c>
      <c r="X17" s="54">
        <f>W17+V17</f>
        <v>4589.639999999999</v>
      </c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9"/>
      <c r="AJ17" s="9"/>
      <c r="AK17" s="9"/>
      <c r="AL17" s="9"/>
      <c r="AM17" s="30"/>
      <c r="AN17" s="9"/>
      <c r="AO17" s="8"/>
      <c r="AP17" s="9"/>
      <c r="AQ17" s="9"/>
      <c r="AR17" s="9"/>
      <c r="AS17" s="9"/>
      <c r="AT17" s="30"/>
      <c r="AU17" s="9"/>
      <c r="AV17" s="30"/>
      <c r="AW17" s="9"/>
      <c r="AX17" s="30"/>
      <c r="AY17" s="9"/>
      <c r="AZ17" s="30"/>
      <c r="BA17" s="9"/>
      <c r="BB17" s="30"/>
      <c r="BC17" s="9"/>
      <c r="BD17" s="9"/>
      <c r="BE17" s="9"/>
    </row>
    <row r="18" spans="1:57" ht="45.75" customHeight="1">
      <c r="A18" s="34" t="s">
        <v>49</v>
      </c>
      <c r="B18" s="24" t="s">
        <v>50</v>
      </c>
      <c r="C18" s="26">
        <v>2012</v>
      </c>
      <c r="D18" s="26">
        <v>16.5</v>
      </c>
      <c r="E18" s="27"/>
      <c r="F18" s="26">
        <v>0.825</v>
      </c>
      <c r="G18" s="26">
        <v>2.98</v>
      </c>
      <c r="H18" s="26"/>
      <c r="I18" s="26"/>
      <c r="J18" s="26">
        <v>1.68</v>
      </c>
      <c r="K18" s="26"/>
      <c r="L18" s="26"/>
      <c r="M18" s="26">
        <f>D18*M11</f>
        <v>4.95</v>
      </c>
      <c r="N18" s="42">
        <f>D18+E18+F18+M18</f>
        <v>22.275</v>
      </c>
      <c r="O18" s="53">
        <f>N18+J18+G18</f>
        <v>26.935</v>
      </c>
      <c r="P18" s="26">
        <v>119</v>
      </c>
      <c r="Q18" s="26">
        <v>22</v>
      </c>
      <c r="R18" s="43">
        <f>N18*P18/100</f>
        <v>26.50725</v>
      </c>
      <c r="S18" s="55">
        <f aca="true" t="shared" si="1" ref="S18:S38">O18*P18/100</f>
        <v>32.05265</v>
      </c>
      <c r="T18" s="55">
        <f aca="true" t="shared" si="2" ref="T18:T38">R18*Q18</f>
        <v>583.1595</v>
      </c>
      <c r="U18" s="56">
        <f aca="true" t="shared" si="3" ref="U18:U38">S18*Q18</f>
        <v>705.1583</v>
      </c>
      <c r="V18" s="57">
        <f t="shared" si="0"/>
        <v>3498.957</v>
      </c>
      <c r="W18" s="32">
        <f t="shared" si="0"/>
        <v>4230.9498</v>
      </c>
      <c r="X18" s="54">
        <f>V18+W18</f>
        <v>7729.906800000001</v>
      </c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9"/>
      <c r="AJ18" s="9"/>
      <c r="AK18" s="9"/>
      <c r="AL18" s="9"/>
      <c r="AM18" s="30"/>
      <c r="AN18" s="9"/>
      <c r="AO18" s="8"/>
      <c r="AP18" s="9"/>
      <c r="AQ18" s="9"/>
      <c r="AR18" s="9"/>
      <c r="AS18" s="9"/>
      <c r="AT18" s="30"/>
      <c r="AU18" s="9"/>
      <c r="AV18" s="30"/>
      <c r="AW18" s="9"/>
      <c r="AX18" s="30"/>
      <c r="AY18" s="9"/>
      <c r="AZ18" s="30"/>
      <c r="BA18" s="9"/>
      <c r="BB18" s="30"/>
      <c r="BC18" s="9"/>
      <c r="BD18" s="9"/>
      <c r="BE18" s="9"/>
    </row>
    <row r="19" spans="1:57" ht="45.75" customHeight="1">
      <c r="A19" s="34" t="s">
        <v>38</v>
      </c>
      <c r="B19" s="24" t="s">
        <v>51</v>
      </c>
      <c r="C19" s="26">
        <v>2021</v>
      </c>
      <c r="D19" s="26">
        <v>13.5</v>
      </c>
      <c r="E19" s="27"/>
      <c r="F19" s="26">
        <v>0.675</v>
      </c>
      <c r="G19" s="26">
        <v>2.43</v>
      </c>
      <c r="H19" s="26"/>
      <c r="I19" s="26"/>
      <c r="J19" s="26"/>
      <c r="K19" s="26">
        <v>0.945</v>
      </c>
      <c r="L19" s="26"/>
      <c r="M19" s="26">
        <f>D19*M11</f>
        <v>4.05</v>
      </c>
      <c r="N19" s="42">
        <f>D19+E19+F19+J19+K19+M19</f>
        <v>19.17</v>
      </c>
      <c r="O19" s="55">
        <v>20.655</v>
      </c>
      <c r="P19" s="26">
        <v>122.4</v>
      </c>
      <c r="Q19" s="26">
        <v>26</v>
      </c>
      <c r="R19" s="43">
        <f>N19*P19/100</f>
        <v>23.464080000000003</v>
      </c>
      <c r="S19" s="26">
        <v>25.61</v>
      </c>
      <c r="T19" s="26">
        <v>461.56</v>
      </c>
      <c r="U19" s="44">
        <v>563.42</v>
      </c>
      <c r="V19" s="31">
        <f t="shared" si="0"/>
        <v>2769.36</v>
      </c>
      <c r="W19" s="1">
        <f t="shared" si="0"/>
        <v>3380.5199999999995</v>
      </c>
      <c r="X19" s="54">
        <f>V19+W19</f>
        <v>6149.879999999999</v>
      </c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9"/>
      <c r="AJ19" s="9"/>
      <c r="AK19" s="9"/>
      <c r="AL19" s="9"/>
      <c r="AM19" s="30"/>
      <c r="AN19" s="9"/>
      <c r="AO19" s="8"/>
      <c r="AP19" s="9"/>
      <c r="AQ19" s="9"/>
      <c r="AR19" s="9"/>
      <c r="AS19" s="9"/>
      <c r="AT19" s="30"/>
      <c r="AU19" s="9"/>
      <c r="AV19" s="30"/>
      <c r="AW19" s="9"/>
      <c r="AX19" s="30"/>
      <c r="AY19" s="9"/>
      <c r="AZ19" s="30"/>
      <c r="BA19" s="9"/>
      <c r="BB19" s="30"/>
      <c r="BC19" s="9"/>
      <c r="BD19" s="9"/>
      <c r="BE19" s="9"/>
    </row>
    <row r="20" spans="1:57" ht="45.75" customHeight="1">
      <c r="A20" s="34" t="s">
        <v>38</v>
      </c>
      <c r="B20" s="24" t="s">
        <v>52</v>
      </c>
      <c r="C20" s="26">
        <v>2023</v>
      </c>
      <c r="D20" s="26">
        <v>13.5</v>
      </c>
      <c r="E20" s="27"/>
      <c r="F20" s="26">
        <v>0.675</v>
      </c>
      <c r="G20" s="26">
        <v>2.43</v>
      </c>
      <c r="H20" s="26"/>
      <c r="I20" s="26"/>
      <c r="J20" s="26"/>
      <c r="K20" s="26">
        <v>0.945</v>
      </c>
      <c r="L20" s="26"/>
      <c r="M20" s="26">
        <f>D20*M11</f>
        <v>4.05</v>
      </c>
      <c r="N20" s="42">
        <f>D20+E20+F20+J20+K20+M20</f>
        <v>19.17</v>
      </c>
      <c r="O20" s="55">
        <v>20.655</v>
      </c>
      <c r="P20" s="26">
        <v>122.4</v>
      </c>
      <c r="Q20" s="26">
        <v>26</v>
      </c>
      <c r="R20" s="43">
        <f>N20*P20/100</f>
        <v>23.464080000000003</v>
      </c>
      <c r="S20" s="55">
        <f t="shared" si="1"/>
        <v>25.281720000000004</v>
      </c>
      <c r="T20" s="55">
        <f t="shared" si="2"/>
        <v>610.06608</v>
      </c>
      <c r="U20" s="56">
        <f t="shared" si="3"/>
        <v>657.3247200000001</v>
      </c>
      <c r="V20" s="57">
        <f t="shared" si="0"/>
        <v>3660.3964800000003</v>
      </c>
      <c r="W20" s="32">
        <f t="shared" si="0"/>
        <v>3943.9483200000004</v>
      </c>
      <c r="X20" s="54">
        <f>V20+W20</f>
        <v>7604.344800000001</v>
      </c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9"/>
      <c r="AJ20" s="9"/>
      <c r="AK20" s="9"/>
      <c r="AL20" s="9"/>
      <c r="AM20" s="30"/>
      <c r="AN20" s="9"/>
      <c r="AO20" s="8"/>
      <c r="AP20" s="9"/>
      <c r="AQ20" s="9"/>
      <c r="AR20" s="9"/>
      <c r="AS20" s="9"/>
      <c r="AT20" s="30"/>
      <c r="AU20" s="9"/>
      <c r="AV20" s="30"/>
      <c r="AW20" s="9"/>
      <c r="AX20" s="30"/>
      <c r="AY20" s="9"/>
      <c r="AZ20" s="30"/>
      <c r="BA20" s="9"/>
      <c r="BB20" s="30"/>
      <c r="BC20" s="9"/>
      <c r="BD20" s="9"/>
      <c r="BE20" s="9"/>
    </row>
    <row r="21" spans="1:57" ht="45.75" customHeight="1">
      <c r="A21" s="305" t="s">
        <v>53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7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9"/>
      <c r="AJ21" s="9"/>
      <c r="AK21" s="9"/>
      <c r="AL21" s="9"/>
      <c r="AM21" s="30"/>
      <c r="AN21" s="9"/>
      <c r="AO21" s="8"/>
      <c r="AP21" s="9"/>
      <c r="AQ21" s="9"/>
      <c r="AR21" s="9"/>
      <c r="AS21" s="9"/>
      <c r="AT21" s="30"/>
      <c r="AU21" s="9"/>
      <c r="AV21" s="30"/>
      <c r="AW21" s="9"/>
      <c r="AX21" s="30"/>
      <c r="AY21" s="9"/>
      <c r="AZ21" s="30"/>
      <c r="BA21" s="9"/>
      <c r="BB21" s="30"/>
      <c r="BC21" s="9"/>
      <c r="BD21" s="9"/>
      <c r="BE21" s="9"/>
    </row>
    <row r="22" spans="1:57" ht="45.75" customHeight="1">
      <c r="A22" s="34" t="s">
        <v>38</v>
      </c>
      <c r="B22" s="24" t="s">
        <v>54</v>
      </c>
      <c r="C22" s="26">
        <v>2014</v>
      </c>
      <c r="D22" s="26">
        <v>15.3</v>
      </c>
      <c r="E22" s="27"/>
      <c r="F22" s="26">
        <v>0.765</v>
      </c>
      <c r="G22" s="26">
        <v>2.75</v>
      </c>
      <c r="H22" s="26">
        <v>1.53</v>
      </c>
      <c r="I22" s="26">
        <v>0.765</v>
      </c>
      <c r="J22" s="26"/>
      <c r="K22" s="26">
        <v>1.071</v>
      </c>
      <c r="L22" s="26"/>
      <c r="M22" s="26">
        <f>D22*M11</f>
        <v>4.59</v>
      </c>
      <c r="N22" s="58">
        <f>D22+F22+H22+I22+K22+M22</f>
        <v>24.021000000000004</v>
      </c>
      <c r="O22" s="53">
        <f>N22+G22-K22</f>
        <v>25.700000000000003</v>
      </c>
      <c r="P22" s="26">
        <v>122.4</v>
      </c>
      <c r="Q22" s="26">
        <v>26</v>
      </c>
      <c r="R22" s="56">
        <f aca="true" t="shared" si="4" ref="R22:R38">N22*P22/100</f>
        <v>29.40170400000001</v>
      </c>
      <c r="S22" s="55">
        <f t="shared" si="1"/>
        <v>31.4568</v>
      </c>
      <c r="T22" s="55">
        <f t="shared" si="2"/>
        <v>764.4443040000002</v>
      </c>
      <c r="U22" s="56">
        <f t="shared" si="3"/>
        <v>817.8768</v>
      </c>
      <c r="V22" s="57">
        <f t="shared" si="0"/>
        <v>4586.6658240000015</v>
      </c>
      <c r="W22" s="32">
        <f t="shared" si="0"/>
        <v>4907.2608</v>
      </c>
      <c r="X22" s="54">
        <f>V22+W22</f>
        <v>9493.926624000002</v>
      </c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9"/>
      <c r="AJ22" s="9"/>
      <c r="AK22" s="9"/>
      <c r="AL22" s="9"/>
      <c r="AM22" s="30"/>
      <c r="AN22" s="9"/>
      <c r="AO22" s="8"/>
      <c r="AP22" s="9"/>
      <c r="AQ22" s="9"/>
      <c r="AR22" s="9"/>
      <c r="AS22" s="9"/>
      <c r="AT22" s="30"/>
      <c r="AU22" s="9"/>
      <c r="AV22" s="30"/>
      <c r="AW22" s="9"/>
      <c r="AX22" s="30"/>
      <c r="AY22" s="9"/>
      <c r="AZ22" s="30"/>
      <c r="BA22" s="9"/>
      <c r="BB22" s="30"/>
      <c r="BC22" s="9"/>
      <c r="BD22" s="9"/>
      <c r="BE22" s="9"/>
    </row>
    <row r="23" spans="1:57" ht="30.75" customHeight="1">
      <c r="A23" s="305" t="s">
        <v>55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7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9"/>
      <c r="AJ23" s="9"/>
      <c r="AK23" s="9"/>
      <c r="AL23" s="9"/>
      <c r="AM23" s="30"/>
      <c r="AN23" s="9"/>
      <c r="AO23" s="8"/>
      <c r="AP23" s="9"/>
      <c r="AQ23" s="9"/>
      <c r="AR23" s="9"/>
      <c r="AS23" s="9"/>
      <c r="AT23" s="30"/>
      <c r="AU23" s="9"/>
      <c r="AV23" s="30"/>
      <c r="AW23" s="9"/>
      <c r="AX23" s="30"/>
      <c r="AY23" s="9"/>
      <c r="AZ23" s="30"/>
      <c r="BA23" s="9"/>
      <c r="BB23" s="30"/>
      <c r="BC23" s="9"/>
      <c r="BD23" s="9"/>
      <c r="BE23" s="9"/>
    </row>
    <row r="24" spans="1:57" ht="45.75" customHeight="1">
      <c r="A24" s="59" t="s">
        <v>56</v>
      </c>
      <c r="B24" s="60" t="s">
        <v>57</v>
      </c>
      <c r="C24" s="26">
        <v>2019</v>
      </c>
      <c r="D24" s="26">
        <v>15.3</v>
      </c>
      <c r="E24" s="27"/>
      <c r="F24" s="26">
        <v>0.765</v>
      </c>
      <c r="G24" s="26">
        <v>2.754</v>
      </c>
      <c r="H24" s="26"/>
      <c r="I24" s="26"/>
      <c r="J24" s="26"/>
      <c r="K24" s="26"/>
      <c r="L24" s="26"/>
      <c r="M24" s="26">
        <v>4.59</v>
      </c>
      <c r="N24" s="58">
        <f>D24+E24+F24+J24+M24</f>
        <v>20.655</v>
      </c>
      <c r="O24" s="53">
        <f>N24+G24</f>
        <v>23.409000000000002</v>
      </c>
      <c r="P24" s="26">
        <v>165.9</v>
      </c>
      <c r="Q24" s="26">
        <v>26</v>
      </c>
      <c r="R24" s="56">
        <f>N24*P24/100</f>
        <v>34.266645000000004</v>
      </c>
      <c r="S24" s="55">
        <f t="shared" si="1"/>
        <v>38.835531</v>
      </c>
      <c r="T24" s="55">
        <f t="shared" si="2"/>
        <v>890.9327700000001</v>
      </c>
      <c r="U24" s="56">
        <f t="shared" si="3"/>
        <v>1009.7238060000001</v>
      </c>
      <c r="V24" s="57">
        <f t="shared" si="0"/>
        <v>5345.59662</v>
      </c>
      <c r="W24" s="32">
        <f t="shared" si="0"/>
        <v>6058.342836000001</v>
      </c>
      <c r="X24" s="54">
        <f>V24+W24</f>
        <v>11403.939456</v>
      </c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9"/>
      <c r="AJ24" s="9"/>
      <c r="AK24" s="9"/>
      <c r="AL24" s="9"/>
      <c r="AM24" s="30"/>
      <c r="AN24" s="9"/>
      <c r="AO24" s="8"/>
      <c r="AP24" s="9"/>
      <c r="AQ24" s="9"/>
      <c r="AR24" s="9"/>
      <c r="AS24" s="9"/>
      <c r="AT24" s="30"/>
      <c r="AU24" s="9"/>
      <c r="AV24" s="30"/>
      <c r="AW24" s="9"/>
      <c r="AX24" s="30"/>
      <c r="AY24" s="9"/>
      <c r="AZ24" s="30"/>
      <c r="BA24" s="9"/>
      <c r="BB24" s="30"/>
      <c r="BC24" s="9"/>
      <c r="BD24" s="9"/>
      <c r="BE24" s="9"/>
    </row>
    <row r="25" spans="1:57" ht="30" customHeight="1">
      <c r="A25" s="311" t="s">
        <v>58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9"/>
      <c r="AJ25" s="9"/>
      <c r="AK25" s="9"/>
      <c r="AL25" s="9"/>
      <c r="AM25" s="30"/>
      <c r="AN25" s="9"/>
      <c r="AO25" s="8"/>
      <c r="AP25" s="9"/>
      <c r="AQ25" s="9"/>
      <c r="AR25" s="9"/>
      <c r="AS25" s="9"/>
      <c r="AT25" s="30"/>
      <c r="AU25" s="9"/>
      <c r="AV25" s="30"/>
      <c r="AW25" s="9"/>
      <c r="AX25" s="30"/>
      <c r="AY25" s="9"/>
      <c r="AZ25" s="30"/>
      <c r="BA25" s="9"/>
      <c r="BB25" s="30"/>
      <c r="BC25" s="9"/>
      <c r="BD25" s="9"/>
      <c r="BE25" s="9"/>
    </row>
    <row r="26" spans="1:57" ht="45.75" customHeight="1">
      <c r="A26" s="34" t="s">
        <v>59</v>
      </c>
      <c r="B26" s="24" t="s">
        <v>60</v>
      </c>
      <c r="C26" s="26">
        <v>2021</v>
      </c>
      <c r="D26" s="26">
        <v>13.5</v>
      </c>
      <c r="E26" s="27"/>
      <c r="F26" s="26">
        <v>0.675</v>
      </c>
      <c r="G26" s="26">
        <v>2.43</v>
      </c>
      <c r="H26" s="26"/>
      <c r="I26" s="26"/>
      <c r="J26" s="26"/>
      <c r="K26" s="26">
        <v>0.945</v>
      </c>
      <c r="L26" s="26"/>
      <c r="M26" s="26">
        <v>4.05</v>
      </c>
      <c r="N26" s="58">
        <v>19.17</v>
      </c>
      <c r="O26" s="53">
        <v>20.655</v>
      </c>
      <c r="P26" s="26">
        <v>109</v>
      </c>
      <c r="Q26" s="26">
        <v>26</v>
      </c>
      <c r="R26" s="56">
        <f t="shared" si="4"/>
        <v>20.895300000000002</v>
      </c>
      <c r="S26" s="55">
        <f t="shared" si="1"/>
        <v>22.51395</v>
      </c>
      <c r="T26" s="55">
        <f t="shared" si="2"/>
        <v>543.2778000000001</v>
      </c>
      <c r="U26" s="56">
        <f t="shared" si="3"/>
        <v>585.3627</v>
      </c>
      <c r="V26" s="57">
        <f t="shared" si="0"/>
        <v>3259.6668000000004</v>
      </c>
      <c r="W26" s="32">
        <f t="shared" si="0"/>
        <v>3512.1762</v>
      </c>
      <c r="X26" s="54">
        <f>V26+W26</f>
        <v>6771.843000000001</v>
      </c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9"/>
      <c r="AJ26" s="9"/>
      <c r="AK26" s="9"/>
      <c r="AL26" s="9"/>
      <c r="AM26" s="30"/>
      <c r="AN26" s="9"/>
      <c r="AO26" s="8"/>
      <c r="AP26" s="9"/>
      <c r="AQ26" s="9"/>
      <c r="AR26" s="9"/>
      <c r="AS26" s="9"/>
      <c r="AT26" s="30"/>
      <c r="AU26" s="9"/>
      <c r="AV26" s="30"/>
      <c r="AW26" s="9"/>
      <c r="AX26" s="30"/>
      <c r="AY26" s="9"/>
      <c r="AZ26" s="30"/>
      <c r="BA26" s="9"/>
      <c r="BB26" s="30"/>
      <c r="BC26" s="9"/>
      <c r="BD26" s="9"/>
      <c r="BE26" s="9"/>
    </row>
    <row r="27" spans="1:57" ht="26.25" customHeight="1">
      <c r="A27" s="305" t="s">
        <v>61</v>
      </c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7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9"/>
      <c r="AJ27" s="9"/>
      <c r="AK27" s="9"/>
      <c r="AL27" s="9"/>
      <c r="AM27" s="30"/>
      <c r="AN27" s="9"/>
      <c r="AO27" s="8"/>
      <c r="AP27" s="9"/>
      <c r="AQ27" s="9"/>
      <c r="AR27" s="9"/>
      <c r="AS27" s="9"/>
      <c r="AT27" s="30"/>
      <c r="AU27" s="9"/>
      <c r="AV27" s="30"/>
      <c r="AW27" s="9"/>
      <c r="AX27" s="30"/>
      <c r="AY27" s="9"/>
      <c r="AZ27" s="30"/>
      <c r="BA27" s="9"/>
      <c r="BB27" s="30"/>
      <c r="BC27" s="9"/>
      <c r="BD27" s="9"/>
      <c r="BE27" s="9"/>
    </row>
    <row r="28" spans="1:57" ht="45.75" customHeight="1">
      <c r="A28" s="34" t="s">
        <v>62</v>
      </c>
      <c r="B28" s="24" t="s">
        <v>63</v>
      </c>
      <c r="C28" s="26">
        <v>2012</v>
      </c>
      <c r="D28" s="26">
        <v>15.3</v>
      </c>
      <c r="E28" s="27"/>
      <c r="F28" s="26"/>
      <c r="G28" s="26">
        <v>2.43</v>
      </c>
      <c r="H28" s="26"/>
      <c r="I28" s="26">
        <v>0.765</v>
      </c>
      <c r="J28" s="26"/>
      <c r="K28" s="26"/>
      <c r="L28" s="26"/>
      <c r="M28" s="26">
        <v>4.59</v>
      </c>
      <c r="N28" s="58">
        <v>20.65</v>
      </c>
      <c r="O28" s="53">
        <v>23.085</v>
      </c>
      <c r="P28" s="26">
        <v>20</v>
      </c>
      <c r="Q28" s="26">
        <v>26</v>
      </c>
      <c r="R28" s="56">
        <f t="shared" si="4"/>
        <v>4.13</v>
      </c>
      <c r="S28" s="55">
        <f t="shared" si="1"/>
        <v>4.617000000000001</v>
      </c>
      <c r="T28" s="55">
        <f t="shared" si="2"/>
        <v>107.38</v>
      </c>
      <c r="U28" s="56">
        <f t="shared" si="3"/>
        <v>120.04200000000003</v>
      </c>
      <c r="V28" s="57">
        <f t="shared" si="0"/>
        <v>644.28</v>
      </c>
      <c r="W28" s="32">
        <f t="shared" si="0"/>
        <v>720.2520000000002</v>
      </c>
      <c r="X28" s="54">
        <f>V28+W28</f>
        <v>1364.5320000000002</v>
      </c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9"/>
      <c r="AJ28" s="9"/>
      <c r="AK28" s="9"/>
      <c r="AL28" s="9"/>
      <c r="AM28" s="30"/>
      <c r="AN28" s="9"/>
      <c r="AO28" s="8"/>
      <c r="AP28" s="9"/>
      <c r="AQ28" s="9"/>
      <c r="AR28" s="9"/>
      <c r="AS28" s="9"/>
      <c r="AT28" s="30"/>
      <c r="AU28" s="9"/>
      <c r="AV28" s="30"/>
      <c r="AW28" s="9"/>
      <c r="AX28" s="30"/>
      <c r="AY28" s="9"/>
      <c r="AZ28" s="30"/>
      <c r="BA28" s="9"/>
      <c r="BB28" s="30"/>
      <c r="BC28" s="9"/>
      <c r="BD28" s="9"/>
      <c r="BE28" s="9"/>
    </row>
    <row r="29" spans="1:57" ht="28.5" customHeight="1">
      <c r="A29" s="305" t="s">
        <v>64</v>
      </c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7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9"/>
      <c r="AJ29" s="9"/>
      <c r="AK29" s="9"/>
      <c r="AL29" s="9"/>
      <c r="AM29" s="30"/>
      <c r="AN29" s="9"/>
      <c r="AO29" s="8"/>
      <c r="AP29" s="9"/>
      <c r="AQ29" s="9"/>
      <c r="AR29" s="9"/>
      <c r="AS29" s="9"/>
      <c r="AT29" s="30"/>
      <c r="AU29" s="9"/>
      <c r="AV29" s="30"/>
      <c r="AW29" s="9"/>
      <c r="AX29" s="30"/>
      <c r="AY29" s="9"/>
      <c r="AZ29" s="30"/>
      <c r="BA29" s="9"/>
      <c r="BB29" s="30"/>
      <c r="BC29" s="9"/>
      <c r="BD29" s="9"/>
      <c r="BE29" s="9"/>
    </row>
    <row r="30" spans="1:57" ht="45.75" customHeight="1">
      <c r="A30" s="34" t="s">
        <v>165</v>
      </c>
      <c r="B30" s="24" t="s">
        <v>166</v>
      </c>
      <c r="C30" s="26">
        <v>2001</v>
      </c>
      <c r="D30" s="26">
        <v>15.2</v>
      </c>
      <c r="E30" s="27"/>
      <c r="F30" s="26">
        <f>D30*F11</f>
        <v>0.76</v>
      </c>
      <c r="G30" s="26">
        <f>D30*G11</f>
        <v>2.7359999999999998</v>
      </c>
      <c r="H30" s="26">
        <f>D30*H11</f>
        <v>1.52</v>
      </c>
      <c r="I30" s="26">
        <f>D30*5%</f>
        <v>0.76</v>
      </c>
      <c r="J30" s="26"/>
      <c r="K30" s="26"/>
      <c r="L30" s="26"/>
      <c r="M30" s="26">
        <f>D30*M11</f>
        <v>4.56</v>
      </c>
      <c r="N30" s="42">
        <f>D30+E30+F30+H30+I30+M30</f>
        <v>22.8</v>
      </c>
      <c r="O30" s="53">
        <f>N30+G30</f>
        <v>25.536</v>
      </c>
      <c r="P30" s="26">
        <v>10</v>
      </c>
      <c r="Q30" s="26">
        <v>10</v>
      </c>
      <c r="R30" s="43">
        <f>N30*P30/100</f>
        <v>2.28</v>
      </c>
      <c r="S30" s="55">
        <f>O30*P30/100</f>
        <v>2.5536000000000003</v>
      </c>
      <c r="T30" s="55">
        <f>R30*Q30</f>
        <v>22.799999999999997</v>
      </c>
      <c r="U30" s="56">
        <f>S30*Q30</f>
        <v>25.536</v>
      </c>
      <c r="V30" s="57">
        <f>T30*6</f>
        <v>136.79999999999998</v>
      </c>
      <c r="W30" s="32">
        <f>U30*6</f>
        <v>153.216</v>
      </c>
      <c r="X30" s="54">
        <f>V30+W30</f>
        <v>290.01599999999996</v>
      </c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9"/>
      <c r="AJ30" s="9"/>
      <c r="AK30" s="9"/>
      <c r="AL30" s="9"/>
      <c r="AM30" s="30"/>
      <c r="AN30" s="9"/>
      <c r="AO30" s="8"/>
      <c r="AP30" s="9"/>
      <c r="AQ30" s="9"/>
      <c r="AR30" s="9"/>
      <c r="AS30" s="9"/>
      <c r="AT30" s="30"/>
      <c r="AU30" s="9"/>
      <c r="AV30" s="30"/>
      <c r="AW30" s="9"/>
      <c r="AX30" s="30"/>
      <c r="AY30" s="9"/>
      <c r="AZ30" s="30"/>
      <c r="BA30" s="9"/>
      <c r="BB30" s="30"/>
      <c r="BC30" s="9"/>
      <c r="BD30" s="9"/>
      <c r="BE30" s="9"/>
    </row>
    <row r="31" spans="1:57" ht="31.5" customHeight="1">
      <c r="A31" s="34" t="s">
        <v>167</v>
      </c>
      <c r="B31" s="24" t="s">
        <v>168</v>
      </c>
      <c r="C31" s="26">
        <v>2003</v>
      </c>
      <c r="D31" s="26">
        <v>15.2</v>
      </c>
      <c r="E31" s="27"/>
      <c r="F31" s="26">
        <f>D31*F11</f>
        <v>0.76</v>
      </c>
      <c r="G31" s="26">
        <f>D31*G11</f>
        <v>2.7359999999999998</v>
      </c>
      <c r="H31" s="26">
        <f>D31*H11</f>
        <v>1.52</v>
      </c>
      <c r="I31" s="26">
        <f>D31*5%</f>
        <v>0.76</v>
      </c>
      <c r="J31" s="26"/>
      <c r="K31" s="26"/>
      <c r="L31" s="26"/>
      <c r="M31" s="26">
        <f>D31*M11</f>
        <v>4.56</v>
      </c>
      <c r="N31" s="42">
        <f>D31+E31+F31+H31+I31+M31</f>
        <v>22.8</v>
      </c>
      <c r="O31" s="53">
        <f>N31+G31</f>
        <v>25.536</v>
      </c>
      <c r="P31" s="26">
        <v>10</v>
      </c>
      <c r="Q31" s="26">
        <v>10</v>
      </c>
      <c r="R31" s="43">
        <f>N31*P31/100</f>
        <v>2.28</v>
      </c>
      <c r="S31" s="55">
        <f>O31*P31/100</f>
        <v>2.5536000000000003</v>
      </c>
      <c r="T31" s="55">
        <f>R31*Q31</f>
        <v>22.799999999999997</v>
      </c>
      <c r="U31" s="56">
        <f>S31*Q31</f>
        <v>25.536</v>
      </c>
      <c r="V31" s="57">
        <f>T31*6</f>
        <v>136.79999999999998</v>
      </c>
      <c r="W31" s="32">
        <f>U31*6</f>
        <v>153.216</v>
      </c>
      <c r="X31" s="54">
        <f>V31+W31</f>
        <v>290.01599999999996</v>
      </c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9"/>
      <c r="AJ31" s="9"/>
      <c r="AK31" s="9"/>
      <c r="AL31" s="9"/>
      <c r="AM31" s="30"/>
      <c r="AN31" s="9"/>
      <c r="AO31" s="8"/>
      <c r="AP31" s="9"/>
      <c r="AQ31" s="9"/>
      <c r="AR31" s="9"/>
      <c r="AS31" s="9"/>
      <c r="AT31" s="30"/>
      <c r="AU31" s="9"/>
      <c r="AV31" s="30"/>
      <c r="AW31" s="9"/>
      <c r="AX31" s="30"/>
      <c r="AY31" s="9"/>
      <c r="AZ31" s="30"/>
      <c r="BA31" s="9"/>
      <c r="BB31" s="30"/>
      <c r="BC31" s="9"/>
      <c r="BD31" s="9"/>
      <c r="BE31" s="9"/>
    </row>
    <row r="32" spans="1:57" ht="45.75" customHeight="1">
      <c r="A32" s="61" t="s">
        <v>65</v>
      </c>
      <c r="B32" s="62" t="s">
        <v>66</v>
      </c>
      <c r="C32" s="62">
        <v>2010</v>
      </c>
      <c r="D32" s="62">
        <v>32</v>
      </c>
      <c r="E32" s="63"/>
      <c r="F32" s="62"/>
      <c r="G32" s="62">
        <v>5.76</v>
      </c>
      <c r="H32" s="63"/>
      <c r="I32" s="62">
        <v>1.6</v>
      </c>
      <c r="J32" s="63"/>
      <c r="K32" s="63"/>
      <c r="L32" s="63"/>
      <c r="M32" s="64">
        <v>9.6</v>
      </c>
      <c r="N32" s="58">
        <f>D32+E32+F32+H32+I32+J32+K32+M32</f>
        <v>43.2</v>
      </c>
      <c r="O32" s="53">
        <f>N32+G32</f>
        <v>48.96</v>
      </c>
      <c r="P32" s="65">
        <v>10</v>
      </c>
      <c r="Q32" s="65">
        <v>26</v>
      </c>
      <c r="R32" s="44">
        <f t="shared" si="4"/>
        <v>4.32</v>
      </c>
      <c r="S32" s="55">
        <f t="shared" si="1"/>
        <v>4.896</v>
      </c>
      <c r="T32" s="55">
        <f>R32*Q32</f>
        <v>112.32000000000001</v>
      </c>
      <c r="U32" s="56">
        <f t="shared" si="3"/>
        <v>127.29599999999999</v>
      </c>
      <c r="V32" s="57">
        <f>T32*6</f>
        <v>673.9200000000001</v>
      </c>
      <c r="W32" s="32">
        <f t="shared" si="0"/>
        <v>763.776</v>
      </c>
      <c r="X32" s="54">
        <f>V32+W32</f>
        <v>1437.696</v>
      </c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9"/>
      <c r="AJ32" s="9"/>
      <c r="AK32" s="9"/>
      <c r="AL32" s="9"/>
      <c r="AM32" s="30"/>
      <c r="AN32" s="9"/>
      <c r="AO32" s="8"/>
      <c r="AP32" s="9"/>
      <c r="AQ32" s="9"/>
      <c r="AR32" s="9"/>
      <c r="AS32" s="9"/>
      <c r="AT32" s="30"/>
      <c r="AU32" s="9"/>
      <c r="AV32" s="30"/>
      <c r="AW32" s="9"/>
      <c r="AX32" s="30"/>
      <c r="AY32" s="9"/>
      <c r="AZ32" s="30"/>
      <c r="BA32" s="9"/>
      <c r="BB32" s="30"/>
      <c r="BC32" s="9"/>
      <c r="BD32" s="9"/>
      <c r="BE32" s="9"/>
    </row>
    <row r="33" spans="1:57" ht="45.75" customHeight="1">
      <c r="A33" s="34" t="s">
        <v>67</v>
      </c>
      <c r="B33" s="24" t="s">
        <v>68</v>
      </c>
      <c r="C33" s="26">
        <v>2011</v>
      </c>
      <c r="D33" s="26">
        <v>15.3</v>
      </c>
      <c r="E33" s="27"/>
      <c r="F33" s="26"/>
      <c r="G33" s="26">
        <v>2.754</v>
      </c>
      <c r="H33" s="26"/>
      <c r="I33" s="26">
        <v>0.765</v>
      </c>
      <c r="J33" s="26"/>
      <c r="K33" s="26"/>
      <c r="L33" s="26"/>
      <c r="M33" s="26">
        <v>4.41</v>
      </c>
      <c r="N33" s="42">
        <f>D33+E33+F33+H33+I33+J33+K33+M33</f>
        <v>20.475</v>
      </c>
      <c r="O33" s="53">
        <f>N33+G33</f>
        <v>23.229000000000003</v>
      </c>
      <c r="P33" s="26">
        <v>70</v>
      </c>
      <c r="Q33" s="26">
        <v>26</v>
      </c>
      <c r="R33" s="56">
        <f t="shared" si="4"/>
        <v>14.3325</v>
      </c>
      <c r="S33" s="55">
        <f t="shared" si="1"/>
        <v>16.2603</v>
      </c>
      <c r="T33" s="55">
        <f t="shared" si="2"/>
        <v>372.645</v>
      </c>
      <c r="U33" s="56">
        <f t="shared" si="3"/>
        <v>422.7678</v>
      </c>
      <c r="V33" s="57">
        <f>T33*6</f>
        <v>2235.87</v>
      </c>
      <c r="W33" s="32">
        <f>U33*6</f>
        <v>2536.6068</v>
      </c>
      <c r="X33" s="54">
        <f>V33+W33</f>
        <v>4772.4768</v>
      </c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9"/>
      <c r="AJ33" s="9"/>
      <c r="AK33" s="9"/>
      <c r="AL33" s="9"/>
      <c r="AM33" s="30"/>
      <c r="AN33" s="9"/>
      <c r="AO33" s="8"/>
      <c r="AP33" s="9"/>
      <c r="AQ33" s="9"/>
      <c r="AR33" s="9"/>
      <c r="AS33" s="9"/>
      <c r="AT33" s="30"/>
      <c r="AU33" s="9"/>
      <c r="AV33" s="30"/>
      <c r="AW33" s="9"/>
      <c r="AX33" s="30"/>
      <c r="AY33" s="9"/>
      <c r="AZ33" s="30"/>
      <c r="BA33" s="9"/>
      <c r="BB33" s="30"/>
      <c r="BC33" s="9"/>
      <c r="BD33" s="9"/>
      <c r="BE33" s="9"/>
    </row>
    <row r="34" spans="1:57" ht="30.75" customHeight="1">
      <c r="A34" s="305" t="s">
        <v>69</v>
      </c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7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9"/>
      <c r="AJ34" s="9"/>
      <c r="AK34" s="9"/>
      <c r="AL34" s="9"/>
      <c r="AM34" s="30"/>
      <c r="AN34" s="9"/>
      <c r="AO34" s="8"/>
      <c r="AP34" s="9"/>
      <c r="AQ34" s="9"/>
      <c r="AR34" s="9"/>
      <c r="AS34" s="9"/>
      <c r="AT34" s="30"/>
      <c r="AU34" s="9"/>
      <c r="AV34" s="30"/>
      <c r="AW34" s="9"/>
      <c r="AX34" s="30"/>
      <c r="AY34" s="9"/>
      <c r="AZ34" s="30"/>
      <c r="BA34" s="9"/>
      <c r="BB34" s="30"/>
      <c r="BC34" s="9"/>
      <c r="BD34" s="9"/>
      <c r="BE34" s="9"/>
    </row>
    <row r="35" spans="1:57" ht="45.75" customHeight="1">
      <c r="A35" s="66" t="s">
        <v>70</v>
      </c>
      <c r="B35" s="24" t="s">
        <v>71</v>
      </c>
      <c r="C35" s="26">
        <v>2011</v>
      </c>
      <c r="D35" s="26">
        <v>15.3</v>
      </c>
      <c r="E35" s="229"/>
      <c r="F35" s="26">
        <v>0.76</v>
      </c>
      <c r="G35" s="26">
        <v>2.736</v>
      </c>
      <c r="H35" s="26">
        <v>1.52</v>
      </c>
      <c r="I35" s="26">
        <v>0.76</v>
      </c>
      <c r="J35" s="26"/>
      <c r="K35" s="26"/>
      <c r="L35" s="26"/>
      <c r="M35" s="26">
        <v>4.56</v>
      </c>
      <c r="N35" s="42">
        <v>22.95</v>
      </c>
      <c r="O35" s="230">
        <v>25.704</v>
      </c>
      <c r="P35" s="26">
        <v>65</v>
      </c>
      <c r="Q35" s="26">
        <v>26</v>
      </c>
      <c r="R35" s="56">
        <f t="shared" si="4"/>
        <v>14.9175</v>
      </c>
      <c r="S35" s="55">
        <f t="shared" si="1"/>
        <v>16.7076</v>
      </c>
      <c r="T35" s="55">
        <f t="shared" si="2"/>
        <v>387.855</v>
      </c>
      <c r="U35" s="56">
        <f t="shared" si="3"/>
        <v>434.3976</v>
      </c>
      <c r="V35" s="57">
        <f>T35*6</f>
        <v>2327.13</v>
      </c>
      <c r="W35" s="32">
        <f>U35*6</f>
        <v>2606.3856</v>
      </c>
      <c r="X35" s="54">
        <f>V35+W35</f>
        <v>4933.515600000001</v>
      </c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9"/>
      <c r="AJ35" s="9"/>
      <c r="AK35" s="9"/>
      <c r="AL35" s="9"/>
      <c r="AM35" s="30"/>
      <c r="AN35" s="9"/>
      <c r="AO35" s="8"/>
      <c r="AP35" s="9"/>
      <c r="AQ35" s="9"/>
      <c r="AR35" s="9"/>
      <c r="AS35" s="9"/>
      <c r="AT35" s="30"/>
      <c r="AU35" s="9"/>
      <c r="AV35" s="30"/>
      <c r="AW35" s="9"/>
      <c r="AX35" s="30"/>
      <c r="AY35" s="9"/>
      <c r="AZ35" s="30"/>
      <c r="BA35" s="9"/>
      <c r="BB35" s="30"/>
      <c r="BC35" s="9"/>
      <c r="BD35" s="9"/>
      <c r="BE35" s="9"/>
    </row>
    <row r="36" spans="1:57" ht="45.75" customHeight="1">
      <c r="A36" s="66" t="s">
        <v>72</v>
      </c>
      <c r="B36" s="24" t="s">
        <v>73</v>
      </c>
      <c r="C36" s="26">
        <v>2008</v>
      </c>
      <c r="D36" s="26">
        <v>15.3</v>
      </c>
      <c r="E36" s="229"/>
      <c r="F36" s="26">
        <v>0.76</v>
      </c>
      <c r="G36" s="26">
        <v>2.736</v>
      </c>
      <c r="H36" s="26">
        <v>1.52</v>
      </c>
      <c r="I36" s="26">
        <v>0.76</v>
      </c>
      <c r="J36" s="26"/>
      <c r="K36" s="26"/>
      <c r="L36" s="26"/>
      <c r="M36" s="26">
        <v>4.56</v>
      </c>
      <c r="N36" s="42">
        <v>22.95</v>
      </c>
      <c r="O36" s="230">
        <v>25.704</v>
      </c>
      <c r="P36" s="26">
        <v>10</v>
      </c>
      <c r="Q36" s="26">
        <v>26</v>
      </c>
      <c r="R36" s="56">
        <f t="shared" si="4"/>
        <v>2.295</v>
      </c>
      <c r="S36" s="55">
        <f t="shared" si="1"/>
        <v>2.5704000000000002</v>
      </c>
      <c r="T36" s="55">
        <f t="shared" si="2"/>
        <v>59.67</v>
      </c>
      <c r="U36" s="56">
        <f t="shared" si="3"/>
        <v>66.83040000000001</v>
      </c>
      <c r="V36" s="57">
        <f>T36*6</f>
        <v>358.02</v>
      </c>
      <c r="W36" s="32">
        <f>U36*6</f>
        <v>400.9824000000001</v>
      </c>
      <c r="X36" s="54">
        <f>V36+W36</f>
        <v>759.0024000000001</v>
      </c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9"/>
      <c r="AJ36" s="9"/>
      <c r="AK36" s="9"/>
      <c r="AL36" s="9"/>
      <c r="AM36" s="30"/>
      <c r="AN36" s="9"/>
      <c r="AO36" s="8"/>
      <c r="AP36" s="9"/>
      <c r="AQ36" s="9"/>
      <c r="AR36" s="9"/>
      <c r="AS36" s="9"/>
      <c r="AT36" s="30"/>
      <c r="AU36" s="9"/>
      <c r="AV36" s="30"/>
      <c r="AW36" s="9"/>
      <c r="AX36" s="30"/>
      <c r="AY36" s="9"/>
      <c r="AZ36" s="30"/>
      <c r="BA36" s="9"/>
      <c r="BB36" s="30"/>
      <c r="BC36" s="9"/>
      <c r="BD36" s="9"/>
      <c r="BE36" s="9"/>
    </row>
    <row r="37" spans="1:57" ht="26.25" customHeight="1">
      <c r="A37" s="308" t="s">
        <v>74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7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9"/>
      <c r="AJ37" s="9"/>
      <c r="AK37" s="9"/>
      <c r="AL37" s="9"/>
      <c r="AM37" s="30"/>
      <c r="AN37" s="9"/>
      <c r="AO37" s="8"/>
      <c r="AP37" s="9"/>
      <c r="AQ37" s="9"/>
      <c r="AR37" s="9"/>
      <c r="AS37" s="9"/>
      <c r="AT37" s="30"/>
      <c r="AU37" s="9"/>
      <c r="AV37" s="30"/>
      <c r="AW37" s="9"/>
      <c r="AX37" s="30"/>
      <c r="AY37" s="9"/>
      <c r="AZ37" s="30"/>
      <c r="BA37" s="9"/>
      <c r="BB37" s="30"/>
      <c r="BC37" s="9"/>
      <c r="BD37" s="9"/>
      <c r="BE37" s="9"/>
    </row>
    <row r="38" spans="1:57" ht="45.75" customHeight="1">
      <c r="A38" s="67" t="s">
        <v>169</v>
      </c>
      <c r="B38" s="68" t="s">
        <v>170</v>
      </c>
      <c r="C38" s="65">
        <v>2011</v>
      </c>
      <c r="D38" s="26">
        <v>15.3</v>
      </c>
      <c r="E38" s="229"/>
      <c r="F38" s="26">
        <v>0.765</v>
      </c>
      <c r="G38" s="26">
        <v>2.754</v>
      </c>
      <c r="H38" s="26">
        <v>1.53</v>
      </c>
      <c r="I38" s="26">
        <v>0.765</v>
      </c>
      <c r="J38" s="26"/>
      <c r="K38" s="26"/>
      <c r="L38" s="26"/>
      <c r="M38" s="26">
        <v>4.59</v>
      </c>
      <c r="N38" s="231">
        <v>22.95</v>
      </c>
      <c r="O38" s="230">
        <v>25.704</v>
      </c>
      <c r="P38" s="26">
        <v>150</v>
      </c>
      <c r="Q38" s="26">
        <v>26</v>
      </c>
      <c r="R38" s="56">
        <f t="shared" si="4"/>
        <v>34.425</v>
      </c>
      <c r="S38" s="55">
        <f t="shared" si="1"/>
        <v>38.556</v>
      </c>
      <c r="T38" s="55">
        <f t="shared" si="2"/>
        <v>895.05</v>
      </c>
      <c r="U38" s="56">
        <f t="shared" si="3"/>
        <v>1002.4559999999999</v>
      </c>
      <c r="V38" s="57">
        <f>T38*6</f>
        <v>5370.299999999999</v>
      </c>
      <c r="W38" s="32">
        <f>U38*6</f>
        <v>6014.735999999999</v>
      </c>
      <c r="X38" s="54">
        <f>V38+W38</f>
        <v>11385.035999999998</v>
      </c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9"/>
      <c r="AJ38" s="9"/>
      <c r="AK38" s="9"/>
      <c r="AL38" s="9"/>
      <c r="AM38" s="30"/>
      <c r="AN38" s="9"/>
      <c r="AO38" s="8"/>
      <c r="AP38" s="9"/>
      <c r="AQ38" s="9"/>
      <c r="AR38" s="9"/>
      <c r="AS38" s="9"/>
      <c r="AT38" s="30"/>
      <c r="AU38" s="9"/>
      <c r="AV38" s="30"/>
      <c r="AW38" s="9"/>
      <c r="AX38" s="30"/>
      <c r="AY38" s="9"/>
      <c r="AZ38" s="30"/>
      <c r="BA38" s="9"/>
      <c r="BB38" s="30"/>
      <c r="BC38" s="9"/>
      <c r="BD38" s="9"/>
      <c r="BE38" s="9"/>
    </row>
    <row r="39" spans="1:57" ht="19.5" customHeight="1">
      <c r="A39" s="69" t="s">
        <v>6</v>
      </c>
      <c r="B39" s="70"/>
      <c r="C39" s="70"/>
      <c r="D39" s="70"/>
      <c r="E39" s="70"/>
      <c r="F39" s="70"/>
      <c r="G39" s="71"/>
      <c r="H39" s="71"/>
      <c r="I39" s="71"/>
      <c r="J39" s="70"/>
      <c r="K39" s="70"/>
      <c r="L39" s="70"/>
      <c r="M39" s="70"/>
      <c r="N39" s="71"/>
      <c r="O39" s="71"/>
      <c r="P39" s="70"/>
      <c r="Q39" s="70"/>
      <c r="R39" s="72">
        <f aca="true" t="shared" si="5" ref="R39:X39">SUM(R13:R38)</f>
        <v>380.88854899999995</v>
      </c>
      <c r="S39" s="72">
        <f t="shared" si="5"/>
        <v>413.7951510000001</v>
      </c>
      <c r="T39" s="72">
        <f t="shared" si="5"/>
        <v>8724.720454</v>
      </c>
      <c r="U39" s="72">
        <f t="shared" si="5"/>
        <v>9848.428126000003</v>
      </c>
      <c r="V39" s="72">
        <f t="shared" si="5"/>
        <v>52348.322724</v>
      </c>
      <c r="W39" s="72">
        <f t="shared" si="5"/>
        <v>59090.56875600001</v>
      </c>
      <c r="X39" s="72">
        <f t="shared" si="5"/>
        <v>111438.89147999998</v>
      </c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</row>
    <row r="40" ht="47.25" customHeight="1"/>
    <row r="41" ht="47.25" customHeight="1"/>
  </sheetData>
  <sheetProtection/>
  <mergeCells count="63">
    <mergeCell ref="O1:X1"/>
    <mergeCell ref="O2:X2"/>
    <mergeCell ref="O3:X3"/>
    <mergeCell ref="O4:X4"/>
    <mergeCell ref="O5:X5"/>
    <mergeCell ref="A6:AH6"/>
    <mergeCell ref="N8:N10"/>
    <mergeCell ref="B8:B11"/>
    <mergeCell ref="C8:C11"/>
    <mergeCell ref="D8:D11"/>
    <mergeCell ref="E8:F8"/>
    <mergeCell ref="G8:G10"/>
    <mergeCell ref="H8:H10"/>
    <mergeCell ref="A9:A11"/>
    <mergeCell ref="E9:E10"/>
    <mergeCell ref="F9:F10"/>
    <mergeCell ref="O8:O10"/>
    <mergeCell ref="P8:P10"/>
    <mergeCell ref="Q8:Q10"/>
    <mergeCell ref="I8:I10"/>
    <mergeCell ref="J8:J10"/>
    <mergeCell ref="K8:K10"/>
    <mergeCell ref="L8:L10"/>
    <mergeCell ref="H13:H14"/>
    <mergeCell ref="I13:I14"/>
    <mergeCell ref="U8:U10"/>
    <mergeCell ref="V8:V10"/>
    <mergeCell ref="W8:W10"/>
    <mergeCell ref="X8:X10"/>
    <mergeCell ref="R8:R10"/>
    <mergeCell ref="S8:S10"/>
    <mergeCell ref="T8:T10"/>
    <mergeCell ref="M8:M10"/>
    <mergeCell ref="Q13:Q14"/>
    <mergeCell ref="M13:M14"/>
    <mergeCell ref="A12:X12"/>
    <mergeCell ref="A13:A14"/>
    <mergeCell ref="B13:B14"/>
    <mergeCell ref="C13:C14"/>
    <mergeCell ref="D13:D14"/>
    <mergeCell ref="E13:E14"/>
    <mergeCell ref="F13:F14"/>
    <mergeCell ref="G13:G14"/>
    <mergeCell ref="S13:S14"/>
    <mergeCell ref="T13:T14"/>
    <mergeCell ref="U13:U14"/>
    <mergeCell ref="V13:V14"/>
    <mergeCell ref="W13:W14"/>
    <mergeCell ref="J13:J14"/>
    <mergeCell ref="K13:K14"/>
    <mergeCell ref="N13:N14"/>
    <mergeCell ref="O13:O14"/>
    <mergeCell ref="P13:P14"/>
    <mergeCell ref="N15:N16"/>
    <mergeCell ref="A34:X34"/>
    <mergeCell ref="A37:X37"/>
    <mergeCell ref="X13:X14"/>
    <mergeCell ref="A21:X21"/>
    <mergeCell ref="A23:X23"/>
    <mergeCell ref="A25:X25"/>
    <mergeCell ref="A27:X27"/>
    <mergeCell ref="A29:X29"/>
    <mergeCell ref="R13:R14"/>
  </mergeCells>
  <printOptions/>
  <pageMargins left="0.7" right="0.7" top="0.75" bottom="0.75" header="0.3" footer="0.3"/>
  <pageSetup orientation="landscape" paperSize="9" scale="52" r:id="rId1"/>
  <rowBreaks count="1" manualBreakCount="1">
    <brk id="28" max="23" man="1"/>
  </rowBreaks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="80" zoomScaleSheetLayoutView="80" zoomScalePageLayoutView="0" workbookViewId="0" topLeftCell="A1">
      <selection activeCell="E35" sqref="E35"/>
    </sheetView>
  </sheetViews>
  <sheetFormatPr defaultColWidth="9.00390625" defaultRowHeight="12.75"/>
  <cols>
    <col min="1" max="1" width="14.375" style="0" customWidth="1"/>
    <col min="2" max="2" width="13.875" style="0" customWidth="1"/>
    <col min="3" max="3" width="8.75390625" style="0" customWidth="1"/>
  </cols>
  <sheetData>
    <row r="1" spans="11:15" ht="12.75">
      <c r="K1" s="366" t="s">
        <v>77</v>
      </c>
      <c r="L1" s="366"/>
      <c r="M1" s="366"/>
      <c r="N1" s="366"/>
      <c r="O1" s="366"/>
    </row>
    <row r="2" spans="11:15" ht="12.75">
      <c r="K2" s="367" t="s">
        <v>78</v>
      </c>
      <c r="L2" s="367"/>
      <c r="M2" s="367"/>
      <c r="N2" s="367"/>
      <c r="O2" s="367"/>
    </row>
    <row r="3" spans="11:15" ht="12.75">
      <c r="K3" s="367" t="s">
        <v>79</v>
      </c>
      <c r="L3" s="367"/>
      <c r="M3" s="367"/>
      <c r="N3" s="367"/>
      <c r="O3" s="367"/>
    </row>
    <row r="4" spans="11:15" ht="12.75">
      <c r="K4" s="367" t="s">
        <v>80</v>
      </c>
      <c r="L4" s="367"/>
      <c r="M4" s="367"/>
      <c r="N4" s="367"/>
      <c r="O4" s="367"/>
    </row>
    <row r="5" spans="11:15" ht="12.75">
      <c r="K5" s="367" t="s">
        <v>81</v>
      </c>
      <c r="L5" s="367"/>
      <c r="M5" s="367"/>
      <c r="N5" s="367"/>
      <c r="O5" s="367"/>
    </row>
    <row r="6" spans="11:15" ht="11.25" customHeight="1">
      <c r="K6" s="73"/>
      <c r="L6" s="73"/>
      <c r="M6" s="73"/>
      <c r="N6" s="73"/>
      <c r="O6" s="73"/>
    </row>
    <row r="7" spans="1:15" ht="18.75" customHeight="1">
      <c r="A7" s="368" t="s">
        <v>162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</row>
    <row r="8" spans="1:16" s="75" customFormat="1" ht="12.75" customHeight="1">
      <c r="A8" s="360" t="s">
        <v>82</v>
      </c>
      <c r="B8" s="362" t="s">
        <v>83</v>
      </c>
      <c r="C8" s="364" t="s">
        <v>84</v>
      </c>
      <c r="D8" s="351" t="s">
        <v>85</v>
      </c>
      <c r="E8" s="352"/>
      <c r="F8" s="353"/>
      <c r="G8" s="351" t="s">
        <v>86</v>
      </c>
      <c r="H8" s="352"/>
      <c r="I8" s="353"/>
      <c r="J8" s="351" t="s">
        <v>87</v>
      </c>
      <c r="K8" s="352"/>
      <c r="L8" s="353"/>
      <c r="M8" s="351" t="s">
        <v>88</v>
      </c>
      <c r="N8" s="352"/>
      <c r="O8" s="353"/>
      <c r="P8" s="74"/>
    </row>
    <row r="9" spans="1:16" s="75" customFormat="1" ht="25.5">
      <c r="A9" s="361"/>
      <c r="B9" s="363"/>
      <c r="C9" s="365"/>
      <c r="D9" s="76" t="s">
        <v>89</v>
      </c>
      <c r="E9" s="76" t="s">
        <v>90</v>
      </c>
      <c r="F9" s="77" t="s">
        <v>91</v>
      </c>
      <c r="G9" s="76" t="s">
        <v>89</v>
      </c>
      <c r="H9" s="76" t="s">
        <v>90</v>
      </c>
      <c r="I9" s="77" t="s">
        <v>91</v>
      </c>
      <c r="J9" s="76" t="s">
        <v>89</v>
      </c>
      <c r="K9" s="76" t="s">
        <v>90</v>
      </c>
      <c r="L9" s="77" t="s">
        <v>91</v>
      </c>
      <c r="M9" s="76" t="s">
        <v>89</v>
      </c>
      <c r="N9" s="76" t="s">
        <v>90</v>
      </c>
      <c r="O9" s="77" t="s">
        <v>91</v>
      </c>
      <c r="P9" s="74"/>
    </row>
    <row r="10" spans="1:16" s="83" customFormat="1" ht="22.5" customHeight="1">
      <c r="A10" s="78" t="s">
        <v>92</v>
      </c>
      <c r="B10" s="79" t="s">
        <v>93</v>
      </c>
      <c r="C10" s="80">
        <v>2015</v>
      </c>
      <c r="D10" s="80">
        <f>4020.62*D34/100</f>
        <v>88.45364</v>
      </c>
      <c r="E10" s="80">
        <f>4958.76*D34/100</f>
        <v>109.09272000000001</v>
      </c>
      <c r="F10" s="81">
        <f>D10+E10</f>
        <v>197.54636</v>
      </c>
      <c r="G10" s="80">
        <f>4020.62*E34/100</f>
        <v>8.04124</v>
      </c>
      <c r="H10" s="80">
        <f>4958.76*E34/100</f>
        <v>9.917520000000001</v>
      </c>
      <c r="I10" s="81">
        <f aca="true" t="shared" si="0" ref="I10:I25">G10+H10</f>
        <v>17.95876</v>
      </c>
      <c r="J10" s="80">
        <f>4020.62*F34/100</f>
        <v>2.01031</v>
      </c>
      <c r="K10" s="80">
        <f>4958.76*F34/100</f>
        <v>2.4793800000000004</v>
      </c>
      <c r="L10" s="81">
        <f aca="true" t="shared" si="1" ref="L10:L25">J10+K10</f>
        <v>4.48969</v>
      </c>
      <c r="M10" s="80">
        <f>4020.62*G34/100+1.6</f>
        <v>9.64124</v>
      </c>
      <c r="N10" s="80">
        <f>4958.76*G34/100+2</f>
        <v>11.917520000000001</v>
      </c>
      <c r="O10" s="81">
        <f aca="true" t="shared" si="2" ref="O10:O25">M10+N10</f>
        <v>21.55876</v>
      </c>
      <c r="P10" s="82"/>
    </row>
    <row r="11" spans="1:16" s="75" customFormat="1" ht="21.75" customHeight="1">
      <c r="A11" s="84" t="s">
        <v>34</v>
      </c>
      <c r="B11" s="85" t="s">
        <v>94</v>
      </c>
      <c r="C11" s="86">
        <v>2010</v>
      </c>
      <c r="D11" s="86">
        <f>10929.6*D35/100</f>
        <v>229.52160000000003</v>
      </c>
      <c r="E11" s="86">
        <f>11876.8*D35/100</f>
        <v>249.41279999999998</v>
      </c>
      <c r="F11" s="87">
        <f>D11+E11</f>
        <v>478.9344</v>
      </c>
      <c r="G11" s="86">
        <f>10929.6*E35/100</f>
        <v>32.7888</v>
      </c>
      <c r="H11" s="86">
        <f>11876.8*E35/100</f>
        <v>35.630399999999995</v>
      </c>
      <c r="I11" s="87">
        <f t="shared" si="0"/>
        <v>68.41919999999999</v>
      </c>
      <c r="J11" s="86">
        <f>10929.6*F35/100</f>
        <v>10.9296</v>
      </c>
      <c r="K11" s="86">
        <f>11876.8*F35/100</f>
        <v>11.876800000000001</v>
      </c>
      <c r="L11" s="87">
        <f t="shared" si="1"/>
        <v>22.806400000000004</v>
      </c>
      <c r="M11" s="86">
        <f>10929.6*G35/100+5.46</f>
        <v>32.784</v>
      </c>
      <c r="N11" s="86">
        <f>11876.8*G35/100+5.94</f>
        <v>35.632</v>
      </c>
      <c r="O11" s="87">
        <f t="shared" si="2"/>
        <v>68.416</v>
      </c>
      <c r="P11" s="88"/>
    </row>
    <row r="12" spans="1:16" s="75" customFormat="1" ht="25.5" customHeight="1" hidden="1">
      <c r="A12" s="89">
        <v>0</v>
      </c>
      <c r="B12" s="90" t="s">
        <v>95</v>
      </c>
      <c r="C12" s="76">
        <v>0</v>
      </c>
      <c r="D12" s="86">
        <f>2508*D36/100</f>
        <v>0</v>
      </c>
      <c r="E12" s="86">
        <f>3029*D36/100</f>
        <v>0</v>
      </c>
      <c r="F12" s="87">
        <f>D12+E12</f>
        <v>0</v>
      </c>
      <c r="G12" s="86">
        <f>2508*E36/100</f>
        <v>0</v>
      </c>
      <c r="H12" s="86">
        <f>3029*E36/100</f>
        <v>0</v>
      </c>
      <c r="I12" s="81">
        <f t="shared" si="0"/>
        <v>0</v>
      </c>
      <c r="J12" s="86">
        <f>2508*F36/100</f>
        <v>0</v>
      </c>
      <c r="K12" s="86">
        <f>3029*F36/100</f>
        <v>0</v>
      </c>
      <c r="L12" s="87">
        <f t="shared" si="1"/>
        <v>0</v>
      </c>
      <c r="M12" s="86">
        <v>0</v>
      </c>
      <c r="N12" s="86">
        <v>0</v>
      </c>
      <c r="O12" s="87">
        <v>0</v>
      </c>
      <c r="P12" s="88"/>
    </row>
    <row r="13" spans="1:16" s="75" customFormat="1" ht="30" customHeight="1">
      <c r="A13" s="91" t="s">
        <v>41</v>
      </c>
      <c r="B13" s="92" t="s">
        <v>42</v>
      </c>
      <c r="C13" s="93">
        <v>2012</v>
      </c>
      <c r="D13" s="86">
        <f>3109.92*D38/100</f>
        <v>62.1984</v>
      </c>
      <c r="E13" s="86">
        <f>3841.2*D38/100</f>
        <v>76.824</v>
      </c>
      <c r="F13" s="87">
        <f>D13+E13</f>
        <v>139.0224</v>
      </c>
      <c r="G13" s="86">
        <f>3109.92*E38/100</f>
        <v>0</v>
      </c>
      <c r="H13" s="86">
        <f>3841.2*E38/100</f>
        <v>0</v>
      </c>
      <c r="I13" s="81">
        <f t="shared" si="0"/>
        <v>0</v>
      </c>
      <c r="J13" s="86">
        <f>3109.92*F38/100</f>
        <v>0</v>
      </c>
      <c r="K13" s="86">
        <f>3841.2*F38/100</f>
        <v>0</v>
      </c>
      <c r="L13" s="87">
        <f t="shared" si="1"/>
        <v>0</v>
      </c>
      <c r="M13" s="86">
        <f>3109.92*G38/100+1.42</f>
        <v>1.42</v>
      </c>
      <c r="N13" s="86">
        <f>3841.2*G38/100+1.72</f>
        <v>1.72</v>
      </c>
      <c r="O13" s="87">
        <f t="shared" si="2"/>
        <v>3.1399999999999997</v>
      </c>
      <c r="P13" s="88"/>
    </row>
    <row r="14" spans="1:16" s="75" customFormat="1" ht="39.75" customHeight="1">
      <c r="A14" s="94" t="s">
        <v>36</v>
      </c>
      <c r="B14" s="95" t="s">
        <v>37</v>
      </c>
      <c r="C14" s="96">
        <v>2019</v>
      </c>
      <c r="D14" s="86">
        <f>2055.24*D37/100</f>
        <v>36.994319999999995</v>
      </c>
      <c r="E14" s="86">
        <f>2534.4*D37/100</f>
        <v>45.6192</v>
      </c>
      <c r="F14" s="87">
        <f>2055.24*F37/100</f>
        <v>1.02762</v>
      </c>
      <c r="G14" s="86">
        <f>2055.24*E37/100</f>
        <v>3.0828599999999993</v>
      </c>
      <c r="H14" s="86">
        <f>2534.4*E37/100</f>
        <v>3.8016</v>
      </c>
      <c r="I14" s="81">
        <f t="shared" si="0"/>
        <v>6.884459999999999</v>
      </c>
      <c r="J14" s="86">
        <f>2055.24*F37/100</f>
        <v>1.02762</v>
      </c>
      <c r="K14" s="86">
        <f>2534.4*F37/100</f>
        <v>1.2672</v>
      </c>
      <c r="L14" s="87">
        <f t="shared" si="1"/>
        <v>2.29482</v>
      </c>
      <c r="M14" s="86">
        <f>2055.24*G37/100</f>
        <v>0.20552399999999998</v>
      </c>
      <c r="N14" s="86">
        <f>2534.4*G37/100</f>
        <v>0.25344</v>
      </c>
      <c r="O14" s="87">
        <f t="shared" si="2"/>
        <v>0.458964</v>
      </c>
      <c r="P14" s="88"/>
    </row>
    <row r="15" spans="1:16" s="75" customFormat="1" ht="31.5" customHeight="1">
      <c r="A15" s="94" t="s">
        <v>38</v>
      </c>
      <c r="B15" s="95" t="s">
        <v>40</v>
      </c>
      <c r="C15" s="96">
        <v>2021</v>
      </c>
      <c r="D15" s="86">
        <f>2617.56*D39/100</f>
        <v>57.58632000000001</v>
      </c>
      <c r="E15" s="86">
        <f>3228.72*D39/100</f>
        <v>71.03184</v>
      </c>
      <c r="F15" s="87">
        <f>D15+E15</f>
        <v>128.61816000000002</v>
      </c>
      <c r="G15" s="86">
        <f>2617.56*E39/100</f>
        <v>5.23512</v>
      </c>
      <c r="H15" s="86">
        <f>3228.72*E39/100</f>
        <v>6.45744</v>
      </c>
      <c r="I15" s="81">
        <f t="shared" si="0"/>
        <v>11.69256</v>
      </c>
      <c r="J15" s="86">
        <f>2617.56*F39/100</f>
        <v>1.30878</v>
      </c>
      <c r="K15" s="86">
        <f>3228.72*F39/100</f>
        <v>1.61436</v>
      </c>
      <c r="L15" s="87">
        <f t="shared" si="1"/>
        <v>2.92314</v>
      </c>
      <c r="M15" s="86">
        <f>2617.56*G39/100</f>
        <v>5.23512</v>
      </c>
      <c r="N15" s="86">
        <f>3228.72*G39/100</f>
        <v>6.45744</v>
      </c>
      <c r="O15" s="87">
        <f t="shared" si="2"/>
        <v>11.69256</v>
      </c>
      <c r="P15" s="88"/>
    </row>
    <row r="16" spans="1:16" s="75" customFormat="1" ht="39.75" customHeight="1">
      <c r="A16" s="59" t="s">
        <v>56</v>
      </c>
      <c r="B16" s="60" t="s">
        <v>57</v>
      </c>
      <c r="C16" s="96">
        <v>2019</v>
      </c>
      <c r="D16" s="86">
        <f>4020.62*D40/100</f>
        <v>88.45364</v>
      </c>
      <c r="E16" s="86">
        <f>4958.76*D40/100</f>
        <v>109.09272000000001</v>
      </c>
      <c r="F16" s="81">
        <f>D16+E16</f>
        <v>197.54636</v>
      </c>
      <c r="G16" s="86">
        <f>4020*E40/100</f>
        <v>8.04</v>
      </c>
      <c r="H16" s="86">
        <f>4958.76*E40/100</f>
        <v>9.917520000000001</v>
      </c>
      <c r="I16" s="81">
        <f t="shared" si="0"/>
        <v>17.957520000000002</v>
      </c>
      <c r="J16" s="86">
        <f>4020*F40/100</f>
        <v>2.01</v>
      </c>
      <c r="K16" s="86">
        <f>4958.76*F40/100</f>
        <v>2.4793800000000004</v>
      </c>
      <c r="L16" s="87">
        <f t="shared" si="1"/>
        <v>4.489380000000001</v>
      </c>
      <c r="M16" s="86">
        <f>4020*G40/100</f>
        <v>8.04</v>
      </c>
      <c r="N16" s="86">
        <f>4958.76*G40/100</f>
        <v>9.917520000000001</v>
      </c>
      <c r="O16" s="87">
        <f t="shared" si="2"/>
        <v>17.957520000000002</v>
      </c>
      <c r="P16" s="88"/>
    </row>
    <row r="17" spans="1:16" s="75" customFormat="1" ht="54" customHeight="1">
      <c r="A17" s="66" t="s">
        <v>59</v>
      </c>
      <c r="B17" s="24" t="s">
        <v>60</v>
      </c>
      <c r="C17" s="96">
        <v>2021</v>
      </c>
      <c r="D17" s="86">
        <f>3109.92*D41/100</f>
        <v>52.86864</v>
      </c>
      <c r="E17" s="86">
        <f>3841.2*E41/100</f>
        <v>5.761799999999999</v>
      </c>
      <c r="F17" s="81">
        <f aca="true" t="shared" si="3" ref="F17:F25">D17+E17</f>
        <v>58.63044</v>
      </c>
      <c r="G17" s="86">
        <f>3109.92*E41/100</f>
        <v>4.66488</v>
      </c>
      <c r="H17" s="86">
        <f>3841.2*E41/100</f>
        <v>5.761799999999999</v>
      </c>
      <c r="I17" s="81">
        <f t="shared" si="0"/>
        <v>10.42668</v>
      </c>
      <c r="J17" s="86">
        <f>3109.92*F41/100</f>
        <v>1.5549600000000001</v>
      </c>
      <c r="K17" s="86">
        <f>3841.2*F41/100</f>
        <v>1.9206</v>
      </c>
      <c r="L17" s="87">
        <f t="shared" si="1"/>
        <v>3.47556</v>
      </c>
      <c r="M17" s="86">
        <f>3109.92*G41/100</f>
        <v>3.1099200000000002</v>
      </c>
      <c r="N17" s="86">
        <f>3841.2*G41/100</f>
        <v>3.8412</v>
      </c>
      <c r="O17" s="87">
        <f t="shared" si="2"/>
        <v>6.95112</v>
      </c>
      <c r="P17" s="88"/>
    </row>
    <row r="18" spans="1:16" s="75" customFormat="1" ht="39.75" customHeight="1">
      <c r="A18" s="66" t="s">
        <v>62</v>
      </c>
      <c r="B18" s="24" t="s">
        <v>63</v>
      </c>
      <c r="C18" s="26">
        <v>2012</v>
      </c>
      <c r="D18" s="86">
        <f>4020*2.2/100</f>
        <v>88.44</v>
      </c>
      <c r="E18" s="86">
        <f>4958.76*D43/100</f>
        <v>109.09272000000001</v>
      </c>
      <c r="F18" s="81">
        <f t="shared" si="3"/>
        <v>197.53272</v>
      </c>
      <c r="G18" s="86">
        <f>4020.62*E42/100</f>
        <v>8.04124</v>
      </c>
      <c r="H18" s="86">
        <f>4958.76*E43/100</f>
        <v>9.917520000000001</v>
      </c>
      <c r="I18" s="81">
        <f t="shared" si="0"/>
        <v>17.95876</v>
      </c>
      <c r="J18" s="86">
        <f>4020.62*F43/100</f>
        <v>2.01031</v>
      </c>
      <c r="K18" s="86">
        <f>4958.76*F43/100</f>
        <v>2.4793800000000004</v>
      </c>
      <c r="L18" s="87">
        <f t="shared" si="1"/>
        <v>4.48969</v>
      </c>
      <c r="M18" s="86">
        <f>4020.62*G43/100</f>
        <v>8.04124</v>
      </c>
      <c r="N18" s="86">
        <f>4958.78*G43/100</f>
        <v>9.91756</v>
      </c>
      <c r="O18" s="87">
        <f t="shared" si="2"/>
        <v>17.9588</v>
      </c>
      <c r="P18" s="88"/>
    </row>
    <row r="19" spans="1:16" s="75" customFormat="1" ht="39.75" customHeight="1">
      <c r="A19" s="66" t="s">
        <v>67</v>
      </c>
      <c r="B19" s="24" t="s">
        <v>68</v>
      </c>
      <c r="C19" s="26">
        <v>2011</v>
      </c>
      <c r="D19" s="86">
        <f>4020*D43/100</f>
        <v>88.44</v>
      </c>
      <c r="E19" s="86">
        <f>4958.76*D43/100</f>
        <v>109.09272000000001</v>
      </c>
      <c r="F19" s="81">
        <f t="shared" si="3"/>
        <v>197.53272</v>
      </c>
      <c r="G19" s="86">
        <f>4020.62*E43/100</f>
        <v>8.04124</v>
      </c>
      <c r="H19" s="86">
        <f>4958.76*E43/100</f>
        <v>9.917520000000001</v>
      </c>
      <c r="I19" s="81">
        <f t="shared" si="0"/>
        <v>17.95876</v>
      </c>
      <c r="J19" s="86">
        <f>4020.62*F43/100</f>
        <v>2.01031</v>
      </c>
      <c r="K19" s="86">
        <f>4958.76*F43/100</f>
        <v>2.4793800000000004</v>
      </c>
      <c r="L19" s="87">
        <f t="shared" si="1"/>
        <v>4.48969</v>
      </c>
      <c r="M19" s="86">
        <f>4020.62*G43/100</f>
        <v>8.04124</v>
      </c>
      <c r="N19" s="86">
        <f>4958.76*G43/100</f>
        <v>9.917520000000001</v>
      </c>
      <c r="O19" s="87">
        <f t="shared" si="2"/>
        <v>17.95876</v>
      </c>
      <c r="P19" s="88"/>
    </row>
    <row r="20" spans="1:16" s="75" customFormat="1" ht="39.75" customHeight="1">
      <c r="A20" s="67" t="s">
        <v>75</v>
      </c>
      <c r="B20" s="68" t="s">
        <v>76</v>
      </c>
      <c r="C20" s="96">
        <v>2011</v>
      </c>
      <c r="D20" s="86">
        <f>4020.62*D44/100</f>
        <v>88.45364</v>
      </c>
      <c r="E20" s="86">
        <f>4958.76*D44/100</f>
        <v>109.09272000000001</v>
      </c>
      <c r="F20" s="81">
        <f t="shared" si="3"/>
        <v>197.54636</v>
      </c>
      <c r="G20" s="86">
        <f>4020.62*E44/100</f>
        <v>8.04124</v>
      </c>
      <c r="H20" s="86">
        <f>4958.76*E44/100</f>
        <v>9.917520000000001</v>
      </c>
      <c r="I20" s="81">
        <f t="shared" si="0"/>
        <v>17.95876</v>
      </c>
      <c r="J20" s="86">
        <f>4020.62*F44/100</f>
        <v>2.01031</v>
      </c>
      <c r="K20" s="86">
        <f>4958.76*E44/100</f>
        <v>9.917520000000001</v>
      </c>
      <c r="L20" s="87">
        <f t="shared" si="1"/>
        <v>11.927830000000002</v>
      </c>
      <c r="M20" s="86">
        <f>4020.62*G44/100</f>
        <v>8.04124</v>
      </c>
      <c r="N20" s="86">
        <f>4958.76*G44/100</f>
        <v>9.917520000000001</v>
      </c>
      <c r="O20" s="87">
        <f t="shared" si="2"/>
        <v>17.95876</v>
      </c>
      <c r="P20" s="88"/>
    </row>
    <row r="21" spans="1:16" s="75" customFormat="1" ht="39.75" customHeight="1">
      <c r="A21" s="66" t="s">
        <v>70</v>
      </c>
      <c r="B21" s="24" t="s">
        <v>71</v>
      </c>
      <c r="C21" s="26">
        <v>2011</v>
      </c>
      <c r="D21" s="86">
        <f>4020.62*D46/100</f>
        <v>88.45364</v>
      </c>
      <c r="E21" s="86">
        <f>4958.76*E45/100</f>
        <v>9.917520000000001</v>
      </c>
      <c r="F21" s="81">
        <f t="shared" si="3"/>
        <v>98.37115999999999</v>
      </c>
      <c r="G21" s="86">
        <f>4020.62*E45/100</f>
        <v>8.04124</v>
      </c>
      <c r="H21" s="86">
        <f>4958.76*E45/100</f>
        <v>9.917520000000001</v>
      </c>
      <c r="I21" s="81">
        <f t="shared" si="0"/>
        <v>17.95876</v>
      </c>
      <c r="J21" s="86">
        <f>4020.62*E45/100</f>
        <v>8.04124</v>
      </c>
      <c r="K21" s="86">
        <f>4958.76*F45/100</f>
        <v>2.4793800000000004</v>
      </c>
      <c r="L21" s="87">
        <f t="shared" si="1"/>
        <v>10.520620000000001</v>
      </c>
      <c r="M21" s="86">
        <f>4020.62*G45/100</f>
        <v>8.04124</v>
      </c>
      <c r="N21" s="86">
        <f>4958.36*G45/100</f>
        <v>9.91672</v>
      </c>
      <c r="O21" s="87">
        <f t="shared" si="2"/>
        <v>17.95796</v>
      </c>
      <c r="P21" s="88"/>
    </row>
    <row r="22" spans="1:16" s="75" customFormat="1" ht="38.25" customHeight="1">
      <c r="A22" s="66" t="s">
        <v>72</v>
      </c>
      <c r="B22" s="24" t="s">
        <v>73</v>
      </c>
      <c r="C22" s="26">
        <v>2008</v>
      </c>
      <c r="D22" s="86">
        <f>4020.62*D46/100</f>
        <v>88.45364</v>
      </c>
      <c r="E22" s="86">
        <f>4958.76*D46/100</f>
        <v>109.09272000000001</v>
      </c>
      <c r="F22" s="81">
        <f t="shared" si="3"/>
        <v>197.54636</v>
      </c>
      <c r="G22" s="86">
        <f>4020.62*D46/100</f>
        <v>88.45364</v>
      </c>
      <c r="H22" s="86">
        <f>4958.76*E46/100</f>
        <v>9.917520000000001</v>
      </c>
      <c r="I22" s="81">
        <f t="shared" si="0"/>
        <v>98.37115999999999</v>
      </c>
      <c r="J22" s="86">
        <f>4020.62*E46/100</f>
        <v>8.04124</v>
      </c>
      <c r="K22" s="86">
        <f>4958.76*F46/100</f>
        <v>2.5785552000000003</v>
      </c>
      <c r="L22" s="87">
        <f t="shared" si="1"/>
        <v>10.6197952</v>
      </c>
      <c r="M22" s="86">
        <f>4020.62*G46/100</f>
        <v>8.04124</v>
      </c>
      <c r="N22" s="86">
        <f>4958.76*G46/100</f>
        <v>9.917520000000001</v>
      </c>
      <c r="O22" s="87">
        <f t="shared" si="2"/>
        <v>17.95876</v>
      </c>
      <c r="P22" s="88"/>
    </row>
    <row r="23" spans="1:16" s="75" customFormat="1" ht="38.25" customHeight="1">
      <c r="A23" s="66" t="s">
        <v>96</v>
      </c>
      <c r="B23" s="65" t="s">
        <v>66</v>
      </c>
      <c r="C23" s="26">
        <v>2010</v>
      </c>
      <c r="D23" s="97">
        <f>524.16*D47/100</f>
        <v>14.67648</v>
      </c>
      <c r="E23" s="97">
        <f>614.016*D47/100</f>
        <v>17.192448</v>
      </c>
      <c r="F23" s="98">
        <f t="shared" si="3"/>
        <v>31.868927999999997</v>
      </c>
      <c r="G23" s="97">
        <f>524.16*E47/100</f>
        <v>2.09664</v>
      </c>
      <c r="H23" s="97">
        <f>614.016*E47/100</f>
        <v>2.456064</v>
      </c>
      <c r="I23" s="98">
        <f t="shared" si="0"/>
        <v>4.552704</v>
      </c>
      <c r="J23" s="97">
        <f>524.16*F47/100</f>
        <v>0</v>
      </c>
      <c r="K23" s="97">
        <f>614.16*F47/100</f>
        <v>0</v>
      </c>
      <c r="L23" s="99">
        <f t="shared" si="1"/>
        <v>0</v>
      </c>
      <c r="M23" s="97">
        <f>524.16*G47/100</f>
        <v>1.83456</v>
      </c>
      <c r="N23" s="97">
        <f>614.016*G47/100</f>
        <v>2.149056</v>
      </c>
      <c r="O23" s="99">
        <f t="shared" si="2"/>
        <v>3.9836159999999996</v>
      </c>
      <c r="P23" s="88"/>
    </row>
    <row r="24" spans="1:16" s="75" customFormat="1" ht="38.25" customHeight="1">
      <c r="A24" s="66" t="s">
        <v>163</v>
      </c>
      <c r="B24" s="65" t="s">
        <v>164</v>
      </c>
      <c r="C24" s="26">
        <v>2023</v>
      </c>
      <c r="D24" s="97">
        <f>2617.56*D48/100</f>
        <v>57.58632000000001</v>
      </c>
      <c r="E24" s="97">
        <f>3228.72*D48/100</f>
        <v>71.03184</v>
      </c>
      <c r="F24" s="98">
        <f t="shared" si="3"/>
        <v>128.61816000000002</v>
      </c>
      <c r="G24" s="97">
        <f>2617.56*E49/100</f>
        <v>5.23512</v>
      </c>
      <c r="H24" s="97">
        <f>3228.72*E49/100</f>
        <v>6.45744</v>
      </c>
      <c r="I24" s="98">
        <f t="shared" si="0"/>
        <v>11.69256</v>
      </c>
      <c r="J24" s="97">
        <f>2617.56*F48/100</f>
        <v>1.30878</v>
      </c>
      <c r="K24" s="97">
        <f>3228.72*F48/100</f>
        <v>1.61436</v>
      </c>
      <c r="L24" s="99">
        <f t="shared" si="1"/>
        <v>2.92314</v>
      </c>
      <c r="M24" s="97">
        <f>2617.56*G48/100</f>
        <v>5.23512</v>
      </c>
      <c r="N24" s="97">
        <f>3228.72*G48/100</f>
        <v>6.45744</v>
      </c>
      <c r="O24" s="99">
        <f t="shared" si="2"/>
        <v>11.69256</v>
      </c>
      <c r="P24" s="88"/>
    </row>
    <row r="25" spans="1:16" s="75" customFormat="1" ht="38.25" customHeight="1">
      <c r="A25" s="66" t="s">
        <v>163</v>
      </c>
      <c r="B25" s="65" t="s">
        <v>54</v>
      </c>
      <c r="C25" s="26">
        <v>2014</v>
      </c>
      <c r="D25" s="97">
        <f>2617.56*D49/100</f>
        <v>57.58632000000001</v>
      </c>
      <c r="E25" s="97">
        <f>3228.72*D49/100</f>
        <v>71.03184</v>
      </c>
      <c r="F25" s="98">
        <f t="shared" si="3"/>
        <v>128.61816000000002</v>
      </c>
      <c r="G25" s="97">
        <f>2617.56*E49/100</f>
        <v>5.23512</v>
      </c>
      <c r="H25" s="97">
        <f>3228.72*E49/100</f>
        <v>6.45744</v>
      </c>
      <c r="I25" s="98">
        <f t="shared" si="0"/>
        <v>11.69256</v>
      </c>
      <c r="J25" s="97">
        <f>2617.56*F48/100</f>
        <v>1.30878</v>
      </c>
      <c r="K25" s="97">
        <f>3228.72*F48/100</f>
        <v>1.61436</v>
      </c>
      <c r="L25" s="99">
        <f t="shared" si="1"/>
        <v>2.92314</v>
      </c>
      <c r="M25" s="97">
        <f>2617.56*G48/100</f>
        <v>5.23512</v>
      </c>
      <c r="N25" s="97">
        <f>3228.72*G48/100</f>
        <v>6.45744</v>
      </c>
      <c r="O25" s="99">
        <f t="shared" si="2"/>
        <v>11.69256</v>
      </c>
      <c r="P25" s="88"/>
    </row>
    <row r="26" spans="1:15" ht="18" customHeight="1">
      <c r="A26" s="80" t="s">
        <v>97</v>
      </c>
      <c r="B26" s="100"/>
      <c r="C26" s="100"/>
      <c r="D26" s="87">
        <f aca="true" t="shared" si="4" ref="D26:K26">D10+D11+D12+D16+D17+D18+D19+D20+D21+D22+D13+D14+D15</f>
        <v>1058.3174800000002</v>
      </c>
      <c r="E26" s="87">
        <f t="shared" si="4"/>
        <v>1113.12348</v>
      </c>
      <c r="F26" s="87">
        <f t="shared" si="4"/>
        <v>2089.8550600000003</v>
      </c>
      <c r="G26" s="87">
        <f t="shared" si="4"/>
        <v>182.47150000000002</v>
      </c>
      <c r="H26" s="87">
        <f t="shared" si="4"/>
        <v>121.07387999999999</v>
      </c>
      <c r="I26" s="87">
        <f t="shared" si="4"/>
        <v>303.54538</v>
      </c>
      <c r="J26" s="87">
        <f t="shared" si="4"/>
        <v>40.95468</v>
      </c>
      <c r="K26" s="87">
        <f t="shared" si="4"/>
        <v>41.571935200000006</v>
      </c>
      <c r="L26" s="87">
        <f>L10+L11+L12+L16+L17+L18+L19+L20+L21+L22+L13+L14+L15</f>
        <v>82.52661520000001</v>
      </c>
      <c r="M26" s="87">
        <f>M10+M11+M12+M16+M17+M18+M19+M20+M21+M22+M13+M14+M15</f>
        <v>100.642004</v>
      </c>
      <c r="N26" s="87">
        <f>N10+N11+N12+N16+N17+N18+N19+N20+N21+N22+N13+N14+N15</f>
        <v>119.32596</v>
      </c>
      <c r="O26" s="87">
        <f>O10+O11+O12+O16+O17+O18+O19+O20+O21+O22+O13+O14+O15</f>
        <v>219.96796400000005</v>
      </c>
    </row>
    <row r="28" spans="1:15" ht="29.25" customHeight="1">
      <c r="A28" s="354" t="s">
        <v>98</v>
      </c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</row>
    <row r="29" spans="1:15" ht="12.7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ht="15">
      <c r="A30" s="102" t="s">
        <v>99</v>
      </c>
    </row>
    <row r="32" spans="1:7" ht="12.75">
      <c r="A32" s="355" t="s">
        <v>82</v>
      </c>
      <c r="B32" s="357" t="s">
        <v>83</v>
      </c>
      <c r="C32" s="358" t="s">
        <v>84</v>
      </c>
      <c r="D32" s="359" t="s">
        <v>100</v>
      </c>
      <c r="E32" s="359"/>
      <c r="F32" s="359"/>
      <c r="G32" s="359"/>
    </row>
    <row r="33" spans="1:7" ht="51">
      <c r="A33" s="356"/>
      <c r="B33" s="315"/>
      <c r="C33" s="341"/>
      <c r="D33" s="37" t="s">
        <v>101</v>
      </c>
      <c r="E33" s="37" t="s">
        <v>102</v>
      </c>
      <c r="F33" s="37" t="s">
        <v>103</v>
      </c>
      <c r="G33" s="103" t="s">
        <v>104</v>
      </c>
    </row>
    <row r="34" spans="1:7" ht="12.75">
      <c r="A34" s="104" t="s">
        <v>92</v>
      </c>
      <c r="B34" s="105" t="s">
        <v>93</v>
      </c>
      <c r="C34" s="100">
        <v>2015</v>
      </c>
      <c r="D34" s="106">
        <v>2.2</v>
      </c>
      <c r="E34" s="107">
        <v>0.2</v>
      </c>
      <c r="F34" s="107">
        <v>0.05</v>
      </c>
      <c r="G34" s="108">
        <v>0.2</v>
      </c>
    </row>
    <row r="35" spans="1:7" ht="19.5" customHeight="1">
      <c r="A35" s="104" t="s">
        <v>34</v>
      </c>
      <c r="B35" s="105" t="s">
        <v>94</v>
      </c>
      <c r="C35" s="109">
        <v>2010</v>
      </c>
      <c r="D35" s="108">
        <v>2.1</v>
      </c>
      <c r="E35" s="108">
        <v>0.3</v>
      </c>
      <c r="F35" s="108">
        <v>0.1</v>
      </c>
      <c r="G35" s="108">
        <v>0.25</v>
      </c>
    </row>
    <row r="36" spans="1:7" ht="12.75" hidden="1">
      <c r="A36" s="110"/>
      <c r="B36" s="79"/>
      <c r="C36" s="100"/>
      <c r="D36" s="111"/>
      <c r="E36" s="107"/>
      <c r="F36" s="107"/>
      <c r="G36" s="107"/>
    </row>
    <row r="37" spans="1:7" ht="57" customHeight="1">
      <c r="A37" s="112" t="s">
        <v>36</v>
      </c>
      <c r="B37" s="113" t="s">
        <v>37</v>
      </c>
      <c r="C37" s="114">
        <v>2019</v>
      </c>
      <c r="D37" s="111">
        <v>1.8</v>
      </c>
      <c r="E37" s="107">
        <v>0.15</v>
      </c>
      <c r="F37" s="107">
        <v>0.05</v>
      </c>
      <c r="G37" s="107">
        <v>0.01</v>
      </c>
    </row>
    <row r="38" spans="1:7" ht="35.25" customHeight="1">
      <c r="A38" s="112" t="s">
        <v>41</v>
      </c>
      <c r="B38" s="113" t="s">
        <v>42</v>
      </c>
      <c r="C38" s="114">
        <v>2012</v>
      </c>
      <c r="D38" s="111">
        <v>2</v>
      </c>
      <c r="E38" s="107">
        <v>0</v>
      </c>
      <c r="F38" s="107">
        <v>0</v>
      </c>
      <c r="G38" s="107">
        <v>0</v>
      </c>
    </row>
    <row r="39" spans="1:7" ht="32.25" customHeight="1">
      <c r="A39" s="112" t="s">
        <v>38</v>
      </c>
      <c r="B39" s="113" t="s">
        <v>40</v>
      </c>
      <c r="C39" s="114">
        <v>2021</v>
      </c>
      <c r="D39" s="111">
        <v>2.2</v>
      </c>
      <c r="E39" s="107">
        <v>0.2</v>
      </c>
      <c r="F39" s="107">
        <v>0.05</v>
      </c>
      <c r="G39" s="107">
        <v>0.2</v>
      </c>
    </row>
    <row r="40" spans="1:7" ht="32.25" customHeight="1">
      <c r="A40" s="59" t="s">
        <v>56</v>
      </c>
      <c r="B40" s="60" t="s">
        <v>57</v>
      </c>
      <c r="C40" s="114">
        <v>2019</v>
      </c>
      <c r="D40" s="111">
        <v>2.2</v>
      </c>
      <c r="E40" s="107">
        <v>0.2</v>
      </c>
      <c r="F40" s="107">
        <v>0.05</v>
      </c>
      <c r="G40" s="107">
        <v>0.2</v>
      </c>
    </row>
    <row r="41" spans="1:7" ht="45.75" customHeight="1">
      <c r="A41" s="66" t="s">
        <v>59</v>
      </c>
      <c r="B41" s="24" t="s">
        <v>60</v>
      </c>
      <c r="C41" s="96">
        <v>2021</v>
      </c>
      <c r="D41" s="115">
        <v>1.7</v>
      </c>
      <c r="E41" s="97">
        <v>0.15</v>
      </c>
      <c r="F41" s="97">
        <v>0.05</v>
      </c>
      <c r="G41" s="97">
        <v>0.1</v>
      </c>
    </row>
    <row r="42" spans="1:7" ht="39" customHeight="1">
      <c r="A42" s="34" t="s">
        <v>62</v>
      </c>
      <c r="B42" s="24" t="s">
        <v>63</v>
      </c>
      <c r="C42" s="26">
        <v>2012</v>
      </c>
      <c r="D42" s="111">
        <v>2.2</v>
      </c>
      <c r="E42" s="107">
        <v>0.2</v>
      </c>
      <c r="F42" s="107">
        <v>0.05</v>
      </c>
      <c r="G42" s="107">
        <v>0.2</v>
      </c>
    </row>
    <row r="43" spans="1:7" ht="39" customHeight="1">
      <c r="A43" s="34" t="s">
        <v>67</v>
      </c>
      <c r="B43" s="24" t="s">
        <v>68</v>
      </c>
      <c r="C43" s="26">
        <v>2011</v>
      </c>
      <c r="D43" s="111">
        <v>2.2</v>
      </c>
      <c r="E43" s="107">
        <v>0.2</v>
      </c>
      <c r="F43" s="107">
        <v>0.05</v>
      </c>
      <c r="G43" s="107">
        <v>0.2</v>
      </c>
    </row>
    <row r="44" spans="1:7" ht="48.75" customHeight="1">
      <c r="A44" s="104" t="s">
        <v>75</v>
      </c>
      <c r="B44" s="116" t="s">
        <v>76</v>
      </c>
      <c r="C44" s="114">
        <v>2011</v>
      </c>
      <c r="D44" s="111">
        <v>2.2</v>
      </c>
      <c r="E44" s="107">
        <v>0.2</v>
      </c>
      <c r="F44" s="107">
        <v>0.05</v>
      </c>
      <c r="G44" s="107">
        <v>0.2</v>
      </c>
    </row>
    <row r="45" spans="1:7" ht="32.25" customHeight="1">
      <c r="A45" s="66" t="s">
        <v>70</v>
      </c>
      <c r="B45" s="24" t="s">
        <v>71</v>
      </c>
      <c r="C45" s="26">
        <v>2011</v>
      </c>
      <c r="D45" s="111">
        <v>2.2</v>
      </c>
      <c r="E45" s="107">
        <v>0.2</v>
      </c>
      <c r="F45" s="107">
        <v>0.05</v>
      </c>
      <c r="G45" s="107">
        <v>0.2</v>
      </c>
    </row>
    <row r="46" spans="1:7" ht="32.25" customHeight="1">
      <c r="A46" s="34" t="s">
        <v>72</v>
      </c>
      <c r="B46" s="24" t="s">
        <v>73</v>
      </c>
      <c r="C46" s="26">
        <v>2008</v>
      </c>
      <c r="D46" s="111">
        <v>2.2</v>
      </c>
      <c r="E46" s="107">
        <v>0.2</v>
      </c>
      <c r="F46" s="107">
        <v>0.052</v>
      </c>
      <c r="G46" s="107">
        <v>0.2</v>
      </c>
    </row>
    <row r="47" spans="1:7" ht="30.75" customHeight="1">
      <c r="A47" s="66" t="s">
        <v>96</v>
      </c>
      <c r="B47" s="65" t="s">
        <v>66</v>
      </c>
      <c r="C47" s="109">
        <v>2010</v>
      </c>
      <c r="D47" s="108">
        <v>2.8</v>
      </c>
      <c r="E47" s="108">
        <v>0.4</v>
      </c>
      <c r="F47" s="108">
        <v>0</v>
      </c>
      <c r="G47" s="108">
        <v>0.35</v>
      </c>
    </row>
    <row r="48" spans="1:7" ht="30.75" customHeight="1">
      <c r="A48" s="66" t="s">
        <v>163</v>
      </c>
      <c r="B48" s="65" t="s">
        <v>164</v>
      </c>
      <c r="C48" s="111">
        <v>2023</v>
      </c>
      <c r="D48" s="111">
        <v>2.2</v>
      </c>
      <c r="E48" s="107">
        <v>0.2</v>
      </c>
      <c r="F48" s="107">
        <v>0.05</v>
      </c>
      <c r="G48" s="107">
        <v>0.2</v>
      </c>
    </row>
    <row r="49" spans="1:7" ht="30.75" customHeight="1">
      <c r="A49" s="66" t="s">
        <v>163</v>
      </c>
      <c r="B49" s="65" t="s">
        <v>54</v>
      </c>
      <c r="C49" s="109">
        <v>2014</v>
      </c>
      <c r="D49" s="111">
        <v>2.2</v>
      </c>
      <c r="E49" s="107">
        <v>0.2</v>
      </c>
      <c r="F49" s="107">
        <v>0.05</v>
      </c>
      <c r="G49" s="107">
        <v>0.2</v>
      </c>
    </row>
    <row r="50" spans="1:7" ht="18" customHeight="1">
      <c r="A50" s="117"/>
      <c r="B50" s="118"/>
      <c r="C50" s="119"/>
      <c r="D50" s="120"/>
      <c r="E50" s="120"/>
      <c r="F50" s="120"/>
      <c r="G50" s="120"/>
    </row>
    <row r="51" spans="1:15" s="75" customFormat="1" ht="31.5" customHeight="1">
      <c r="A51" s="350" t="s">
        <v>105</v>
      </c>
      <c r="B51" s="350"/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</row>
  </sheetData>
  <sheetProtection/>
  <mergeCells count="19">
    <mergeCell ref="D8:F8"/>
    <mergeCell ref="G8:I8"/>
    <mergeCell ref="J8:L8"/>
    <mergeCell ref="K1:O1"/>
    <mergeCell ref="K2:O2"/>
    <mergeCell ref="K3:O3"/>
    <mergeCell ref="K4:O4"/>
    <mergeCell ref="K5:O5"/>
    <mergeCell ref="A7:O7"/>
    <mergeCell ref="A51:O51"/>
    <mergeCell ref="M8:O8"/>
    <mergeCell ref="A28:O28"/>
    <mergeCell ref="A32:A33"/>
    <mergeCell ref="B32:B33"/>
    <mergeCell ref="C32:C33"/>
    <mergeCell ref="D32:G32"/>
    <mergeCell ref="A8:A9"/>
    <mergeCell ref="B8:B9"/>
    <mergeCell ref="C8:C9"/>
  </mergeCells>
  <printOptions/>
  <pageMargins left="0.7" right="0.7" top="0.75" bottom="0.75" header="0.3" footer="0.3"/>
  <pageSetup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Елена Алексеевна</cp:lastModifiedBy>
  <cp:lastPrinted>2024-03-13T06:24:17Z</cp:lastPrinted>
  <dcterms:created xsi:type="dcterms:W3CDTF">2003-08-06T04:08:16Z</dcterms:created>
  <dcterms:modified xsi:type="dcterms:W3CDTF">2024-03-13T07:24:58Z</dcterms:modified>
  <cp:category/>
  <cp:version/>
  <cp:contentType/>
  <cp:contentStatus/>
</cp:coreProperties>
</file>