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7440" tabRatio="923" activeTab="2"/>
  </bookViews>
  <sheets>
    <sheet name="ГСМ РКО" sheetId="14" r:id="rId1"/>
    <sheet name="гсм администрации" sheetId="15" r:id="rId2"/>
    <sheet name="масла гсм" sheetId="16" r:id="rId3"/>
  </sheets>
  <definedNames>
    <definedName name="_xlnm.Print_Area" localSheetId="1">'гсм администрации'!$A$1:$Y$49</definedName>
    <definedName name="_xlnm.Print_Area" localSheetId="0">'ГСМ РКО'!$A$1:$AB$27</definedName>
  </definedNames>
  <calcPr calcId="145621"/>
</workbook>
</file>

<file path=xl/calcChain.xml><?xml version="1.0" encoding="utf-8"?>
<calcChain xmlns="http://schemas.openxmlformats.org/spreadsheetml/2006/main">
  <c r="H48" i="15" l="1"/>
  <c r="H45" i="15"/>
  <c r="H39" i="15"/>
  <c r="H35" i="15"/>
  <c r="G48" i="15"/>
  <c r="G45" i="15"/>
  <c r="G39" i="15"/>
  <c r="G35" i="15"/>
  <c r="F39" i="15"/>
  <c r="F48" i="15"/>
  <c r="F45" i="15"/>
  <c r="F35" i="15"/>
  <c r="I35" i="15"/>
  <c r="J34" i="15"/>
  <c r="P34" i="15"/>
  <c r="T34" i="15" s="1"/>
  <c r="J47" i="15"/>
  <c r="I47" i="15"/>
  <c r="H47" i="15"/>
  <c r="G47" i="15"/>
  <c r="F47" i="15"/>
  <c r="P47" i="15" s="1"/>
  <c r="I45" i="15"/>
  <c r="I39" i="15"/>
  <c r="J44" i="15"/>
  <c r="I44" i="15"/>
  <c r="H44" i="15"/>
  <c r="G44" i="15"/>
  <c r="F44" i="15"/>
  <c r="D25" i="16"/>
  <c r="J43" i="15"/>
  <c r="I43" i="15"/>
  <c r="H43" i="15"/>
  <c r="G43" i="15"/>
  <c r="F43" i="15"/>
  <c r="H40" i="15"/>
  <c r="G40" i="15"/>
  <c r="F40" i="15"/>
  <c r="P40" i="15"/>
  <c r="J37" i="15"/>
  <c r="I37" i="15"/>
  <c r="H37" i="15"/>
  <c r="G37" i="15"/>
  <c r="F37" i="15"/>
  <c r="P37" i="15"/>
  <c r="L32" i="15"/>
  <c r="H32" i="15"/>
  <c r="G32" i="15"/>
  <c r="F32" i="15"/>
  <c r="H30" i="15"/>
  <c r="G30" i="15"/>
  <c r="F30" i="15"/>
  <c r="L28" i="15"/>
  <c r="J28" i="15"/>
  <c r="I28" i="15"/>
  <c r="H28" i="15"/>
  <c r="G28" i="15"/>
  <c r="F28" i="15"/>
  <c r="L25" i="15"/>
  <c r="L24" i="15"/>
  <c r="L22" i="15"/>
  <c r="L20" i="15"/>
  <c r="L26" i="15"/>
  <c r="J20" i="15"/>
  <c r="J23" i="15"/>
  <c r="I20" i="15"/>
  <c r="H26" i="15"/>
  <c r="H25" i="15"/>
  <c r="H24" i="15"/>
  <c r="H23" i="15"/>
  <c r="H22" i="15"/>
  <c r="H20" i="15"/>
  <c r="H17" i="15"/>
  <c r="G26" i="15"/>
  <c r="G25" i="15"/>
  <c r="G24" i="15"/>
  <c r="G23" i="15"/>
  <c r="G22" i="15"/>
  <c r="G20" i="15"/>
  <c r="F26" i="15"/>
  <c r="F25" i="15"/>
  <c r="P25" i="15" s="1"/>
  <c r="O25" i="15" s="1"/>
  <c r="S25" i="15" s="1"/>
  <c r="F24" i="15"/>
  <c r="F23" i="15"/>
  <c r="P23" i="15" s="1"/>
  <c r="F22" i="15"/>
  <c r="F20" i="15"/>
  <c r="L17" i="15"/>
  <c r="G17" i="15"/>
  <c r="F17" i="15"/>
  <c r="P17" i="15" s="1"/>
  <c r="X25" i="15"/>
  <c r="Y25" i="15"/>
  <c r="W25" i="15"/>
  <c r="N25" i="16"/>
  <c r="O25" i="16" s="1"/>
  <c r="M25" i="16"/>
  <c r="K25" i="16"/>
  <c r="J25" i="16"/>
  <c r="L25" i="16"/>
  <c r="H25" i="16"/>
  <c r="G25" i="16"/>
  <c r="I25" i="16" s="1"/>
  <c r="E25" i="16"/>
  <c r="F25" i="16" s="1"/>
  <c r="N24" i="16"/>
  <c r="M24" i="16"/>
  <c r="K24" i="16"/>
  <c r="J24" i="16"/>
  <c r="L24" i="16"/>
  <c r="H24" i="16"/>
  <c r="G24" i="16"/>
  <c r="E24" i="16"/>
  <c r="D24" i="16"/>
  <c r="F24" i="16"/>
  <c r="R26" i="14"/>
  <c r="S26" i="14"/>
  <c r="W26" i="14" s="1"/>
  <c r="Y26" i="14" s="1"/>
  <c r="AA26" i="14" s="1"/>
  <c r="O23" i="14"/>
  <c r="N23" i="14"/>
  <c r="R23" i="14"/>
  <c r="L23" i="14"/>
  <c r="O22" i="14"/>
  <c r="N22" i="14"/>
  <c r="R22" i="14"/>
  <c r="L22" i="14"/>
  <c r="O21" i="14"/>
  <c r="N21" i="14"/>
  <c r="R21" i="14"/>
  <c r="L21" i="14"/>
  <c r="O20" i="14"/>
  <c r="N20" i="14"/>
  <c r="L20" i="14"/>
  <c r="I20" i="14"/>
  <c r="H20" i="14"/>
  <c r="S20" i="14" s="1"/>
  <c r="W20" i="14" s="1"/>
  <c r="Y20" i="14" s="1"/>
  <c r="AA20" i="14" s="1"/>
  <c r="O19" i="14"/>
  <c r="N19" i="14"/>
  <c r="L19" i="14"/>
  <c r="I19" i="14"/>
  <c r="H19" i="14"/>
  <c r="R19" i="14"/>
  <c r="V19" i="14" s="1"/>
  <c r="X19" i="14" s="1"/>
  <c r="Z19" i="14" s="1"/>
  <c r="O18" i="14"/>
  <c r="N18" i="14"/>
  <c r="L18" i="14"/>
  <c r="K18" i="14"/>
  <c r="I18" i="14"/>
  <c r="H18" i="14"/>
  <c r="R18" i="14"/>
  <c r="V18" i="14" s="1"/>
  <c r="X18" i="14" s="1"/>
  <c r="Z18" i="14" s="1"/>
  <c r="O16" i="14"/>
  <c r="N16" i="14"/>
  <c r="L16" i="14"/>
  <c r="J16" i="14"/>
  <c r="R16" i="14"/>
  <c r="V16" i="14" s="1"/>
  <c r="X16" i="14" s="1"/>
  <c r="Z16" i="14" s="1"/>
  <c r="I16" i="14"/>
  <c r="H16" i="14"/>
  <c r="S16" i="14" s="1"/>
  <c r="W16" i="14" s="1"/>
  <c r="Y16" i="14" s="1"/>
  <c r="AA16" i="14" s="1"/>
  <c r="AB16" i="14" s="1"/>
  <c r="R15" i="14"/>
  <c r="S15" i="14" s="1"/>
  <c r="W15" i="14" s="1"/>
  <c r="Y15" i="14" s="1"/>
  <c r="AA15" i="14" s="1"/>
  <c r="O14" i="14"/>
  <c r="N14" i="14"/>
  <c r="R14" i="14" s="1"/>
  <c r="V14" i="14" s="1"/>
  <c r="X14" i="14" s="1"/>
  <c r="Z14" i="14" s="1"/>
  <c r="L14" i="14"/>
  <c r="K14" i="14"/>
  <c r="J14" i="14"/>
  <c r="I14" i="14"/>
  <c r="H14" i="14"/>
  <c r="S14" i="14"/>
  <c r="W14" i="14" s="1"/>
  <c r="Y14" i="14" s="1"/>
  <c r="AA14" i="14" s="1"/>
  <c r="O12" i="14"/>
  <c r="N12" i="14"/>
  <c r="L12" i="14"/>
  <c r="J12" i="14"/>
  <c r="R12" i="14"/>
  <c r="V12" i="14" s="1"/>
  <c r="I12" i="14"/>
  <c r="H12" i="14"/>
  <c r="S12" i="14"/>
  <c r="W12" i="14" s="1"/>
  <c r="Q10" i="14"/>
  <c r="P10" i="14"/>
  <c r="O10" i="14"/>
  <c r="N10" i="14"/>
  <c r="R10" i="14" s="1"/>
  <c r="L10" i="14"/>
  <c r="I10" i="14"/>
  <c r="H10" i="14"/>
  <c r="N23" i="16"/>
  <c r="M23" i="16"/>
  <c r="O23" i="16"/>
  <c r="K23" i="16"/>
  <c r="J23" i="16"/>
  <c r="L23" i="16" s="1"/>
  <c r="H23" i="16"/>
  <c r="G23" i="16"/>
  <c r="I23" i="16"/>
  <c r="E23" i="16"/>
  <c r="D23" i="16"/>
  <c r="F23" i="16" s="1"/>
  <c r="N22" i="16"/>
  <c r="M22" i="16"/>
  <c r="O22" i="16"/>
  <c r="K22" i="16"/>
  <c r="J22" i="16"/>
  <c r="L22" i="16" s="1"/>
  <c r="H22" i="16"/>
  <c r="G22" i="16"/>
  <c r="I22" i="16"/>
  <c r="E22" i="16"/>
  <c r="D22" i="16"/>
  <c r="F22" i="16" s="1"/>
  <c r="N21" i="16"/>
  <c r="M21" i="16"/>
  <c r="O21" i="16"/>
  <c r="K21" i="16"/>
  <c r="J21" i="16"/>
  <c r="L21" i="16" s="1"/>
  <c r="H21" i="16"/>
  <c r="G21" i="16"/>
  <c r="I21" i="16"/>
  <c r="E21" i="16"/>
  <c r="F21" i="16"/>
  <c r="D21" i="16"/>
  <c r="N20" i="16"/>
  <c r="M20" i="16"/>
  <c r="O20" i="16"/>
  <c r="K20" i="16"/>
  <c r="J20" i="16"/>
  <c r="L20" i="16" s="1"/>
  <c r="H20" i="16"/>
  <c r="G20" i="16"/>
  <c r="I20" i="16"/>
  <c r="E20" i="16"/>
  <c r="D20" i="16"/>
  <c r="F20" i="16" s="1"/>
  <c r="N19" i="16"/>
  <c r="M19" i="16"/>
  <c r="O19" i="16"/>
  <c r="K19" i="16"/>
  <c r="J19" i="16"/>
  <c r="L19" i="16" s="1"/>
  <c r="H19" i="16"/>
  <c r="G19" i="16"/>
  <c r="I19" i="16"/>
  <c r="E19" i="16"/>
  <c r="F19" i="16"/>
  <c r="D19" i="16"/>
  <c r="N18" i="16"/>
  <c r="M18" i="16"/>
  <c r="O18" i="16"/>
  <c r="K18" i="16"/>
  <c r="J18" i="16"/>
  <c r="L18" i="16" s="1"/>
  <c r="H18" i="16"/>
  <c r="G18" i="16"/>
  <c r="I18" i="16"/>
  <c r="E18" i="16"/>
  <c r="D18" i="16"/>
  <c r="F18" i="16" s="1"/>
  <c r="N17" i="16"/>
  <c r="M17" i="16"/>
  <c r="O17" i="16"/>
  <c r="K17" i="16"/>
  <c r="J17" i="16"/>
  <c r="L17" i="16" s="1"/>
  <c r="H17" i="16"/>
  <c r="G17" i="16"/>
  <c r="I17" i="16"/>
  <c r="E17" i="16"/>
  <c r="F17" i="16"/>
  <c r="D17" i="16"/>
  <c r="N16" i="16"/>
  <c r="M16" i="16"/>
  <c r="O16" i="16"/>
  <c r="K16" i="16"/>
  <c r="J16" i="16"/>
  <c r="L16" i="16" s="1"/>
  <c r="H16" i="16"/>
  <c r="G16" i="16"/>
  <c r="I16" i="16"/>
  <c r="E16" i="16"/>
  <c r="D16" i="16"/>
  <c r="F16" i="16" s="1"/>
  <c r="N15" i="16"/>
  <c r="M15" i="16"/>
  <c r="O15" i="16"/>
  <c r="K15" i="16"/>
  <c r="J15" i="16"/>
  <c r="L15" i="16" s="1"/>
  <c r="H15" i="16"/>
  <c r="G15" i="16"/>
  <c r="I15" i="16"/>
  <c r="E15" i="16"/>
  <c r="F15" i="16"/>
  <c r="D15" i="16"/>
  <c r="N14" i="16"/>
  <c r="M14" i="16"/>
  <c r="O14" i="16"/>
  <c r="K14" i="16"/>
  <c r="J14" i="16"/>
  <c r="L14" i="16" s="1"/>
  <c r="H14" i="16"/>
  <c r="G14" i="16"/>
  <c r="I14" i="16" s="1"/>
  <c r="F14" i="16"/>
  <c r="E14" i="16"/>
  <c r="D14" i="16"/>
  <c r="N13" i="16"/>
  <c r="M13" i="16"/>
  <c r="O13" i="16"/>
  <c r="K13" i="16"/>
  <c r="J13" i="16"/>
  <c r="L13" i="16" s="1"/>
  <c r="H13" i="16"/>
  <c r="G13" i="16"/>
  <c r="E13" i="16"/>
  <c r="F13" i="16"/>
  <c r="D13" i="16"/>
  <c r="K12" i="16"/>
  <c r="J12" i="16"/>
  <c r="L12" i="16"/>
  <c r="H12" i="16"/>
  <c r="G12" i="16"/>
  <c r="I12" i="16" s="1"/>
  <c r="E12" i="16"/>
  <c r="D12" i="16"/>
  <c r="F12" i="16"/>
  <c r="N11" i="16"/>
  <c r="M11" i="16"/>
  <c r="K11" i="16"/>
  <c r="J11" i="16"/>
  <c r="L11" i="16"/>
  <c r="H11" i="16"/>
  <c r="G11" i="16"/>
  <c r="G27" i="16" s="1"/>
  <c r="E11" i="16"/>
  <c r="D11" i="16"/>
  <c r="F11" i="16"/>
  <c r="N10" i="16"/>
  <c r="N27" i="16"/>
  <c r="M10" i="16"/>
  <c r="M27" i="16" s="1"/>
  <c r="O10" i="16"/>
  <c r="K10" i="16"/>
  <c r="K27" i="16"/>
  <c r="J10" i="16"/>
  <c r="J27" i="16"/>
  <c r="H10" i="16"/>
  <c r="H27" i="16"/>
  <c r="G10" i="16"/>
  <c r="I10" i="16"/>
  <c r="E10" i="16"/>
  <c r="E27" i="16"/>
  <c r="D10" i="16"/>
  <c r="F10" i="16"/>
  <c r="F27" i="16" s="1"/>
  <c r="X24" i="15"/>
  <c r="W24" i="15"/>
  <c r="Y24" i="15" s="1"/>
  <c r="X22" i="15"/>
  <c r="Y22" i="15" s="1"/>
  <c r="W22" i="15"/>
  <c r="X20" i="15"/>
  <c r="W20" i="15"/>
  <c r="Y20" i="15" s="1"/>
  <c r="O24" i="16"/>
  <c r="I24" i="16"/>
  <c r="R20" i="14"/>
  <c r="V20" i="14" s="1"/>
  <c r="X20" i="14" s="1"/>
  <c r="Z20" i="14" s="1"/>
  <c r="AB20" i="14" s="1"/>
  <c r="V21" i="14"/>
  <c r="X21" i="14"/>
  <c r="Z21" i="14" s="1"/>
  <c r="S21" i="14"/>
  <c r="W21" i="14"/>
  <c r="Y21" i="14" s="1"/>
  <c r="AA21" i="14" s="1"/>
  <c r="V23" i="14"/>
  <c r="X23" i="14" s="1"/>
  <c r="Z23" i="14" s="1"/>
  <c r="S23" i="14"/>
  <c r="W23" i="14" s="1"/>
  <c r="Y23" i="14" s="1"/>
  <c r="AA23" i="14" s="1"/>
  <c r="AB14" i="14"/>
  <c r="V22" i="14"/>
  <c r="X22" i="14"/>
  <c r="Z22" i="14" s="1"/>
  <c r="AB22" i="14" s="1"/>
  <c r="S22" i="14"/>
  <c r="W22" i="14" s="1"/>
  <c r="Y22" i="14"/>
  <c r="AA22" i="14" s="1"/>
  <c r="D27" i="16"/>
  <c r="S19" i="14"/>
  <c r="W19" i="14"/>
  <c r="Y19" i="14" s="1"/>
  <c r="AA19" i="14"/>
  <c r="V15" i="14"/>
  <c r="X15" i="14"/>
  <c r="Z15" i="14" s="1"/>
  <c r="AB15" i="14" s="1"/>
  <c r="S18" i="14"/>
  <c r="W18" i="14"/>
  <c r="Y18" i="14" s="1"/>
  <c r="AA18" i="14"/>
  <c r="AB18" i="14" s="1"/>
  <c r="V26" i="14"/>
  <c r="X26" i="14" s="1"/>
  <c r="Z26" i="14"/>
  <c r="AB26" i="14" s="1"/>
  <c r="O27" i="16"/>
  <c r="O11" i="16"/>
  <c r="L10" i="16"/>
  <c r="L27" i="16" s="1"/>
  <c r="I13" i="16"/>
  <c r="P43" i="15"/>
  <c r="O43" i="15"/>
  <c r="S43" i="15" s="1"/>
  <c r="U43" i="15"/>
  <c r="W43" i="15" s="1"/>
  <c r="P32" i="15"/>
  <c r="O32" i="15" s="1"/>
  <c r="S32" i="15"/>
  <c r="U32" i="15" s="1"/>
  <c r="W32" i="15" s="1"/>
  <c r="P30" i="15"/>
  <c r="T30" i="15"/>
  <c r="V30" i="15" s="1"/>
  <c r="X30" i="15"/>
  <c r="P28" i="15"/>
  <c r="T28" i="15"/>
  <c r="V28" i="15" s="1"/>
  <c r="X28" i="15" s="1"/>
  <c r="P26" i="15"/>
  <c r="T26" i="15" s="1"/>
  <c r="P24" i="15"/>
  <c r="O24" i="15" s="1"/>
  <c r="S24" i="15" s="1"/>
  <c r="P22" i="15"/>
  <c r="O22" i="15"/>
  <c r="S22" i="15" s="1"/>
  <c r="P20" i="15"/>
  <c r="O20" i="15"/>
  <c r="S20" i="15"/>
  <c r="O30" i="15"/>
  <c r="S30" i="15"/>
  <c r="U30" i="15" s="1"/>
  <c r="W30" i="15" s="1"/>
  <c r="Y30" i="15" s="1"/>
  <c r="P35" i="15"/>
  <c r="O35" i="15"/>
  <c r="S35" i="15" s="1"/>
  <c r="U35" i="15" s="1"/>
  <c r="W35" i="15" s="1"/>
  <c r="P48" i="15"/>
  <c r="O48" i="15" s="1"/>
  <c r="S48" i="15" s="1"/>
  <c r="U48" i="15" s="1"/>
  <c r="W48" i="15" s="1"/>
  <c r="T47" i="15"/>
  <c r="V47" i="15"/>
  <c r="X47" i="15" s="1"/>
  <c r="O47" i="15"/>
  <c r="S47" i="15" s="1"/>
  <c r="U47" i="15" s="1"/>
  <c r="W47" i="15" s="1"/>
  <c r="O40" i="15"/>
  <c r="S40" i="15"/>
  <c r="U40" i="15" s="1"/>
  <c r="W40" i="15" s="1"/>
  <c r="T40" i="15"/>
  <c r="V40" i="15" s="1"/>
  <c r="X40" i="15" s="1"/>
  <c r="O17" i="15"/>
  <c r="S17" i="15" s="1"/>
  <c r="U17" i="15" s="1"/>
  <c r="W17" i="15" s="1"/>
  <c r="T17" i="15"/>
  <c r="V17" i="15" s="1"/>
  <c r="X17" i="15" s="1"/>
  <c r="Y17" i="15" s="1"/>
  <c r="O23" i="15"/>
  <c r="S23" i="15"/>
  <c r="U23" i="15" s="1"/>
  <c r="T23" i="15"/>
  <c r="V23" i="15"/>
  <c r="X23" i="15" s="1"/>
  <c r="O37" i="15"/>
  <c r="S37" i="15" s="1"/>
  <c r="U37" i="15" s="1"/>
  <c r="W37" i="15" s="1"/>
  <c r="T37" i="15"/>
  <c r="V37" i="15" s="1"/>
  <c r="X37" i="15" s="1"/>
  <c r="O28" i="15"/>
  <c r="S28" i="15"/>
  <c r="U28" i="15" s="1"/>
  <c r="W28" i="15" s="1"/>
  <c r="Y28" i="15" s="1"/>
  <c r="T32" i="15"/>
  <c r="V32" i="15" s="1"/>
  <c r="X32" i="15" s="1"/>
  <c r="T43" i="15"/>
  <c r="V43" i="15" s="1"/>
  <c r="X43" i="15" s="1"/>
  <c r="Y43" i="15" s="1"/>
  <c r="P45" i="15"/>
  <c r="O45" i="15" s="1"/>
  <c r="S45" i="15" s="1"/>
  <c r="U45" i="15" s="1"/>
  <c r="W45" i="15" s="1"/>
  <c r="P44" i="15"/>
  <c r="P39" i="15"/>
  <c r="O39" i="15" s="1"/>
  <c r="S39" i="15" s="1"/>
  <c r="U39" i="15" s="1"/>
  <c r="W39" i="15" s="1"/>
  <c r="T44" i="15"/>
  <c r="V44" i="15"/>
  <c r="X44" i="15" s="1"/>
  <c r="O44" i="15"/>
  <c r="S44" i="15" s="1"/>
  <c r="U44" i="15" s="1"/>
  <c r="W44" i="15" s="1"/>
  <c r="Y44" i="15" s="1"/>
  <c r="T35" i="15"/>
  <c r="V35" i="15" s="1"/>
  <c r="X35" i="15" s="1"/>
  <c r="T48" i="15"/>
  <c r="V48" i="15" s="1"/>
  <c r="X48" i="15" s="1"/>
  <c r="T45" i="15"/>
  <c r="V45" i="15" s="1"/>
  <c r="X45" i="15" s="1"/>
  <c r="V34" i="15"/>
  <c r="O34" i="15"/>
  <c r="S34" i="15"/>
  <c r="X34" i="15"/>
  <c r="U34" i="15"/>
  <c r="W34" i="15"/>
  <c r="Y34" i="15"/>
  <c r="W23" i="15" l="1"/>
  <c r="U49" i="15"/>
  <c r="Y48" i="15"/>
  <c r="S49" i="15"/>
  <c r="Y45" i="15"/>
  <c r="Y37" i="15"/>
  <c r="Y40" i="15"/>
  <c r="Y47" i="15"/>
  <c r="Y35" i="15"/>
  <c r="V26" i="15"/>
  <c r="X26" i="15" s="1"/>
  <c r="Y32" i="15"/>
  <c r="AB23" i="14"/>
  <c r="T39" i="15"/>
  <c r="V39" i="15" s="1"/>
  <c r="X39" i="15" s="1"/>
  <c r="X49" i="15" s="1"/>
  <c r="O26" i="15"/>
  <c r="S26" i="15" s="1"/>
  <c r="U26" i="15" s="1"/>
  <c r="W26" i="15" s="1"/>
  <c r="Y26" i="15" s="1"/>
  <c r="Y12" i="14"/>
  <c r="AA12" i="14" s="1"/>
  <c r="X12" i="14"/>
  <c r="Z12" i="14" s="1"/>
  <c r="AB19" i="14"/>
  <c r="AB21" i="14"/>
  <c r="V10" i="14"/>
  <c r="S10" i="14"/>
  <c r="W10" i="14" s="1"/>
  <c r="I11" i="16"/>
  <c r="I27" i="16" s="1"/>
  <c r="Y10" i="14" l="1"/>
  <c r="AA10" i="14" s="1"/>
  <c r="X10" i="14"/>
  <c r="Z10" i="14" s="1"/>
  <c r="T49" i="15"/>
  <c r="AB12" i="14"/>
  <c r="AB27" i="14" s="1"/>
  <c r="V49" i="15"/>
  <c r="Y39" i="15"/>
  <c r="Y23" i="15"/>
  <c r="Y49" i="15" s="1"/>
  <c r="W49" i="15"/>
  <c r="AB10" i="14" l="1"/>
</calcChain>
</file>

<file path=xl/sharedStrings.xml><?xml version="1.0" encoding="utf-8"?>
<sst xmlns="http://schemas.openxmlformats.org/spreadsheetml/2006/main" count="292" uniqueCount="176">
  <si>
    <t xml:space="preserve"> лето</t>
  </si>
  <si>
    <t>зима</t>
  </si>
  <si>
    <t>лето</t>
  </si>
  <si>
    <t>100 км</t>
  </si>
  <si>
    <t>Базовая норма</t>
  </si>
  <si>
    <t>работа в высокогорье (свыше 2000 м)</t>
  </si>
  <si>
    <t>ИТОГО:</t>
  </si>
  <si>
    <t xml:space="preserve">                                                                                Утверждено постановлением</t>
  </si>
  <si>
    <t xml:space="preserve">   </t>
  </si>
  <si>
    <t>Маршрут</t>
  </si>
  <si>
    <t>Гос.№</t>
  </si>
  <si>
    <t xml:space="preserve">Год выпуска </t>
  </si>
  <si>
    <t>Коэффициенты</t>
  </si>
  <si>
    <t>работа в зимний период</t>
  </si>
  <si>
    <t>Эксплуатация автомобиля свыше 150 тыс. км</t>
  </si>
  <si>
    <t>Эксплуатация автомобиля свыше 8 лет</t>
  </si>
  <si>
    <t>Технические остановки</t>
  </si>
  <si>
    <t>Летняя норма</t>
  </si>
  <si>
    <t>Зимняя норма</t>
  </si>
  <si>
    <t>План</t>
  </si>
  <si>
    <t>количество рабочих дней</t>
  </si>
  <si>
    <t>Суточный расход ГСМ</t>
  </si>
  <si>
    <t>Месячный расход ГСМ</t>
  </si>
  <si>
    <t>Расход ГСМ за летний период</t>
  </si>
  <si>
    <t>Расход ГСМ за зимний период</t>
  </si>
  <si>
    <t>Расход ГСМ за год</t>
  </si>
  <si>
    <t>марка автомобиля</t>
  </si>
  <si>
    <t>работа в нас. пункте с населением до 100 т.чел.</t>
  </si>
  <si>
    <t>км/сутки</t>
  </si>
  <si>
    <t>в месяц</t>
  </si>
  <si>
    <t>УАЗ-315195</t>
  </si>
  <si>
    <t>К 173 НС</t>
  </si>
  <si>
    <t>Лэнд Крузер</t>
  </si>
  <si>
    <t>Р 075 РР</t>
  </si>
  <si>
    <t>21230 Chevrolet Niva (ВАЗ-2123)</t>
  </si>
  <si>
    <t>М 881 ТУ</t>
  </si>
  <si>
    <t>UAZ Patriot</t>
  </si>
  <si>
    <t>Работа кондиционера</t>
  </si>
  <si>
    <t>Н 889 ВТ</t>
  </si>
  <si>
    <t xml:space="preserve"> ГАЗ - 322121</t>
  </si>
  <si>
    <t>К 061 ТТ</t>
  </si>
  <si>
    <t xml:space="preserve">                                                                              Приложение № 2</t>
  </si>
  <si>
    <t xml:space="preserve">                                                                                  администрации Могочинского Муниципального округа</t>
  </si>
  <si>
    <t>экмплутация автомобиля в зимнее и холодное время из расчета один час стоянки с работающим двигателем</t>
  </si>
  <si>
    <t>работа автотранспорта на дорогах общего пользования IV и V категории</t>
  </si>
  <si>
    <t xml:space="preserve"> от 5% до 10%</t>
  </si>
  <si>
    <t>Администрация Могочинского Муниципального округа</t>
  </si>
  <si>
    <t>ГАЗ 322121</t>
  </si>
  <si>
    <t>К061ТТ</t>
  </si>
  <si>
    <t>Р 140 РР</t>
  </si>
  <si>
    <t>Н 181 РУ</t>
  </si>
  <si>
    <t xml:space="preserve"> Администрация городского поселения "Могочинское"</t>
  </si>
  <si>
    <t>М 566 КО</t>
  </si>
  <si>
    <t>УАЗ-220695-04</t>
  </si>
  <si>
    <t>М897ТК</t>
  </si>
  <si>
    <t>Администрация сельского поселенияя "Ксеньевское"</t>
  </si>
  <si>
    <t>ГАЗ 221717 "Соболь"</t>
  </si>
  <si>
    <t>Н272ЕК</t>
  </si>
  <si>
    <t>Администрация сельского поселения "Ключевское"</t>
  </si>
  <si>
    <t>УАЗ - 220695-04</t>
  </si>
  <si>
    <t>К359СМ</t>
  </si>
  <si>
    <t>Администрация сельского посления "Сбегинское"</t>
  </si>
  <si>
    <t>УРАЛ 4320-0111-41</t>
  </si>
  <si>
    <t>К061НС75</t>
  </si>
  <si>
    <t>УАЗ 220695-03</t>
  </si>
  <si>
    <t>К186НС</t>
  </si>
  <si>
    <t>Админстрация сельского поселения "Давендинское"</t>
  </si>
  <si>
    <t>УАЗ 220695-04</t>
  </si>
  <si>
    <t>К063НС75</t>
  </si>
  <si>
    <t>УАЗ 315195</t>
  </si>
  <si>
    <t>Е026СМ75</t>
  </si>
  <si>
    <t>Администрация сельского поселения "Семиозерный"</t>
  </si>
  <si>
    <t>УАЗ- 31514</t>
  </si>
  <si>
    <t>75 КС №609526</t>
  </si>
  <si>
    <t>Приложение №3</t>
  </si>
  <si>
    <t>Утверждено постановлением</t>
  </si>
  <si>
    <t>Марка автомобиля</t>
  </si>
  <si>
    <t>Гос. №</t>
  </si>
  <si>
    <t>Год выпуска</t>
  </si>
  <si>
    <t>Моторные масла (л)</t>
  </si>
  <si>
    <t>Трансмиссионные масла (л)</t>
  </si>
  <si>
    <t>Специальные масла (л)</t>
  </si>
  <si>
    <t>Пластичные смазки (кг)</t>
  </si>
  <si>
    <t>летний период</t>
  </si>
  <si>
    <t>зимний период</t>
  </si>
  <si>
    <t>всего за год</t>
  </si>
  <si>
    <t>УАЗ 220695</t>
  </si>
  <si>
    <t>910</t>
  </si>
  <si>
    <t>075</t>
  </si>
  <si>
    <t>0</t>
  </si>
  <si>
    <t>УРАЛ</t>
  </si>
  <si>
    <t>Итого:</t>
  </si>
  <si>
    <t>!!! Нормы расхода масел увеличиваются до 20% для автомобилей после капитального ремонта и находящихся в эксплуатации более пяти лет.</t>
  </si>
  <si>
    <t>Нормы расхода масел (л/100 л топлива) и смазки (кг/100 л топлива)</t>
  </si>
  <si>
    <t>Норма расхода</t>
  </si>
  <si>
    <t>Моторное масло (л/100л)</t>
  </si>
  <si>
    <t>Трансмиссионное масло (л/100л)</t>
  </si>
  <si>
    <t>Специальное масло (л/100л)</t>
  </si>
  <si>
    <t>Пластичные смазки (кг/100 л)</t>
  </si>
  <si>
    <t>Расчет выполнен на основании Распоряжения Минтранса РФ от 14.03.2008 N АМ-23-р (изм. От 14.05.2014 г.) "О ВВЕДЕНИИ В ДЕЙСТВИЕ МЕТОДИЧЕСКИХ РЕКОМЕНДАЦИЙ "НОРМЫ РАСХОДА ТОПЛИВ И СМАЗОЧНЫХ МАТЕРИАЛОВ НА АВТОМОБИЛЬНОМ ТРАНСПОРТЕ"</t>
  </si>
  <si>
    <t>Приложение № 1</t>
  </si>
  <si>
    <t>Утверждено:</t>
  </si>
  <si>
    <t>№ п/п</t>
  </si>
  <si>
    <t>тип машины</t>
  </si>
  <si>
    <t>марка, модель ТС</t>
  </si>
  <si>
    <t>Тип ДВС</t>
  </si>
  <si>
    <t>Государственный номер</t>
  </si>
  <si>
    <t>Год  выпуска</t>
  </si>
  <si>
    <t>надбавка за технологическую остановку</t>
  </si>
  <si>
    <t>надбавка при работе в климатических условиях( снежные заносы, гололедица, наводнения)</t>
  </si>
  <si>
    <t>увеличение нормы для а/м свыше 5 лет</t>
  </si>
  <si>
    <t>увеличение нормы для а/м свыше 8 лет</t>
  </si>
  <si>
    <t>Обкатка нового двигателя</t>
  </si>
  <si>
    <t>работа в населенном пункте с населением до 100 тыс. чел.</t>
  </si>
  <si>
    <t>надбавка за работу кондиционеров и др оборудования</t>
  </si>
  <si>
    <t>надбавка требующая частых остановок связанных с погрузкой и выгрузкой пассажиров</t>
  </si>
  <si>
    <t>работа автотранспорта на дорогах со сложным планом</t>
  </si>
  <si>
    <t>Итого норма в летний период</t>
  </si>
  <si>
    <t>Итого норма в зимний период</t>
  </si>
  <si>
    <t>План  км/сутки</t>
  </si>
  <si>
    <t>кол-во дней в месяц</t>
  </si>
  <si>
    <t>сут. ГСМ</t>
  </si>
  <si>
    <t>Мес.       ГСМ</t>
  </si>
  <si>
    <t>Мес.        ГСМ</t>
  </si>
  <si>
    <t>ГСМ</t>
  </si>
  <si>
    <t>Всего ГСМ в год</t>
  </si>
  <si>
    <t>летний пер.</t>
  </si>
  <si>
    <t>зим.пер</t>
  </si>
  <si>
    <t>3мес</t>
  </si>
  <si>
    <t>6мес</t>
  </si>
  <si>
    <t>газель</t>
  </si>
  <si>
    <t>Семиозерный ГАЗ-322171</t>
  </si>
  <si>
    <t>бензин</t>
  </si>
  <si>
    <t>Н 082 ТН</t>
  </si>
  <si>
    <t>Семиозерный ГАЗ-322121-1288</t>
  </si>
  <si>
    <t>К 059 ТТ</t>
  </si>
  <si>
    <t>Чалдонка ГАЗ-322171</t>
  </si>
  <si>
    <t>автобус</t>
  </si>
  <si>
    <t>Чалдонка ПАЗ-32053</t>
  </si>
  <si>
    <t>М 152 ВК</t>
  </si>
  <si>
    <t xml:space="preserve">МОУ СОШ № 92 г. Могоча  ПАЗ 32053 </t>
  </si>
  <si>
    <t>К 108 НС</t>
  </si>
  <si>
    <t>КАВЗ 4238-45 Сбега</t>
  </si>
  <si>
    <t>М 931 СВ</t>
  </si>
  <si>
    <t>VolgaBus 5285 Do-0000010 Амазар</t>
  </si>
  <si>
    <t>М 465 ОВ</t>
  </si>
  <si>
    <t>МОУ СОШ № 1 г. Могоча ГАЗ -А67R43</t>
  </si>
  <si>
    <t>М 048 ТА</t>
  </si>
  <si>
    <t>МОУ СОШ № 30 п. Итака ГАЗ 66 R33</t>
  </si>
  <si>
    <t>М 222 ТС</t>
  </si>
  <si>
    <t>МОУ СОШ № 33 п. Давенда ГАЗ 66 R33</t>
  </si>
  <si>
    <t>М 876 ТУ</t>
  </si>
  <si>
    <t>МОУ СОШ № 92 г. Могоча Next A67R43</t>
  </si>
  <si>
    <t>МОУ СОШ № 1 г. Могоча Next A67R43</t>
  </si>
  <si>
    <t>УАЗ Patriot</t>
  </si>
  <si>
    <t>Н181 РУ</t>
  </si>
  <si>
    <t>УАЗ 31514</t>
  </si>
  <si>
    <t>А036ЕС</t>
  </si>
  <si>
    <t>УАЗ- 220695</t>
  </si>
  <si>
    <t>К140НС</t>
  </si>
  <si>
    <t>ПАЗ XIM3204NDRS000095 Vector Next</t>
  </si>
  <si>
    <t>UAZ Pickup</t>
  </si>
  <si>
    <t xml:space="preserve">на каждую тонну увеличение собственной массы автомобиля  </t>
  </si>
  <si>
    <t>1,3 л</t>
  </si>
  <si>
    <t>Н 356 СУ</t>
  </si>
  <si>
    <t>Н 268 СУ</t>
  </si>
  <si>
    <t>Городская администрация "Амазарская"</t>
  </si>
  <si>
    <t xml:space="preserve">                                                        Приложение № 2</t>
  </si>
  <si>
    <t xml:space="preserve">                   Утверждено:</t>
  </si>
  <si>
    <t xml:space="preserve">                                                   Лимиты потребления ГСМ легковыми автомобилями администрации Могочинского муниципального округа" на 2025 год</t>
  </si>
  <si>
    <t xml:space="preserve">постановлением Могочинского муниципального округа от "___ " _______________ 2025 года № </t>
  </si>
  <si>
    <t xml:space="preserve">постановлением Могочинского муниципального округа от "___ " __________ 2025 года № </t>
  </si>
  <si>
    <t xml:space="preserve">от "____"  ___________ 2025 №___ </t>
  </si>
  <si>
    <t>Лимиты потребления ГСМ автотранспортом учреждений образования Могочинского муниципального округа на 2025 год.</t>
  </si>
  <si>
    <t>Норма расхода смазочных материалов на автомобили администрации Могочинского муницпального округа на 2025 год</t>
  </si>
  <si>
    <t>Могочинского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</si>
</sst>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72" formatCode="0.0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Arial"/>
      <family val="2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8"/>
      <name val="Arial"/>
      <family val="2"/>
    </font>
    <font>
      <b/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charset val="204"/>
    </font>
    <font>
      <i/>
      <sz val="11"/>
      <name val="Arial"/>
      <family val="2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0" fontId="2" fillId="0" borderId="0"/>
  </cellStyleXfs>
  <cellXfs count="403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2" fillId="0" borderId="0" xfId="2" applyFill="1" applyBorder="1"/>
    <xf numFmtId="0" fontId="5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1" fillId="0" borderId="0" xfId="2" applyFont="1" applyFill="1" applyBorder="1"/>
    <xf numFmtId="0" fontId="6" fillId="0" borderId="0" xfId="2" applyFont="1" applyFill="1" applyBorder="1"/>
    <xf numFmtId="0" fontId="2" fillId="0" borderId="0" xfId="2" applyBorder="1"/>
    <xf numFmtId="0" fontId="13" fillId="0" borderId="0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9" fontId="9" fillId="0" borderId="2" xfId="2" applyNumberFormat="1" applyFont="1" applyFill="1" applyBorder="1" applyAlignment="1">
      <alignment horizontal="center" vertical="center" wrapText="1"/>
    </xf>
    <xf numFmtId="9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6" fillId="0" borderId="0" xfId="2" applyFont="1" applyFill="1" applyBorder="1" applyAlignment="1">
      <alignment horizontal="center"/>
    </xf>
    <xf numFmtId="0" fontId="2" fillId="0" borderId="0" xfId="2"/>
    <xf numFmtId="0" fontId="8" fillId="0" borderId="1" xfId="2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72" fontId="8" fillId="2" borderId="1" xfId="2" applyNumberFormat="1" applyFont="1" applyFill="1" applyBorder="1" applyAlignment="1">
      <alignment horizontal="center" vertical="center"/>
    </xf>
    <xf numFmtId="0" fontId="11" fillId="0" borderId="0" xfId="2" applyFont="1" applyBorder="1"/>
    <xf numFmtId="0" fontId="6" fillId="0" borderId="0" xfId="2" applyFont="1" applyBorder="1"/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3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9" fontId="9" fillId="0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/>
    </xf>
    <xf numFmtId="2" fontId="8" fillId="3" borderId="1" xfId="2" applyNumberFormat="1" applyFont="1" applyFill="1" applyBorder="1" applyAlignment="1">
      <alignment horizontal="center" vertical="center"/>
    </xf>
    <xf numFmtId="2" fontId="33" fillId="4" borderId="1" xfId="2" applyNumberFormat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4" fontId="12" fillId="4" borderId="1" xfId="2" applyNumberFormat="1" applyFont="1" applyFill="1" applyBorder="1" applyAlignment="1">
      <alignment horizontal="center" vertical="center"/>
    </xf>
    <xf numFmtId="0" fontId="33" fillId="4" borderId="1" xfId="2" applyFont="1" applyFill="1" applyBorder="1" applyAlignment="1">
      <alignment horizontal="center" vertical="center" wrapText="1"/>
    </xf>
    <xf numFmtId="49" fontId="33" fillId="4" borderId="1" xfId="2" applyNumberFormat="1" applyFont="1" applyFill="1" applyBorder="1" applyAlignment="1">
      <alignment horizontal="center" vertical="center" wrapText="1"/>
    </xf>
    <xf numFmtId="0" fontId="33" fillId="4" borderId="1" xfId="2" applyFont="1" applyFill="1" applyBorder="1" applyAlignment="1">
      <alignment horizontal="center" vertical="center"/>
    </xf>
    <xf numFmtId="0" fontId="33" fillId="4" borderId="2" xfId="2" applyFont="1" applyFill="1" applyBorder="1" applyAlignment="1">
      <alignment horizontal="center" vertical="center"/>
    </xf>
    <xf numFmtId="0" fontId="33" fillId="4" borderId="2" xfId="2" applyFont="1" applyFill="1" applyBorder="1" applyAlignment="1">
      <alignment horizontal="center" vertical="center" wrapText="1"/>
    </xf>
    <xf numFmtId="4" fontId="34" fillId="4" borderId="1" xfId="2" applyNumberFormat="1" applyFont="1" applyFill="1" applyBorder="1" applyAlignment="1">
      <alignment horizontal="center" vertical="center"/>
    </xf>
    <xf numFmtId="172" fontId="8" fillId="0" borderId="1" xfId="2" applyNumberFormat="1" applyFont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4" borderId="1" xfId="2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72" fontId="8" fillId="3" borderId="1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8" fillId="4" borderId="1" xfId="2" applyFont="1" applyFill="1" applyBorder="1"/>
    <xf numFmtId="0" fontId="12" fillId="4" borderId="1" xfId="2" applyFont="1" applyFill="1" applyBorder="1"/>
    <xf numFmtId="0" fontId="8" fillId="4" borderId="1" xfId="2" applyFont="1" applyFill="1" applyBorder="1" applyAlignment="1">
      <alignment horizontal="center"/>
    </xf>
    <xf numFmtId="4" fontId="12" fillId="4" borderId="1" xfId="2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0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Fill="1" applyBorder="1" applyAlignment="1">
      <alignment horizontal="center"/>
    </xf>
    <xf numFmtId="17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center" wrapText="1"/>
    </xf>
    <xf numFmtId="0" fontId="35" fillId="0" borderId="1" xfId="0" applyFont="1" applyBorder="1" applyAlignment="1">
      <alignment horizontal="left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2" fillId="0" borderId="0" xfId="0" applyFont="1"/>
    <xf numFmtId="2" fontId="21" fillId="0" borderId="0" xfId="0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0" xfId="0" applyFont="1" applyBorder="1"/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25" fillId="0" borderId="0" xfId="0" applyFont="1" applyBorder="1"/>
    <xf numFmtId="0" fontId="21" fillId="0" borderId="1" xfId="0" applyFont="1" applyFill="1" applyBorder="1" applyAlignment="1"/>
    <xf numFmtId="0" fontId="26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textRotation="90"/>
    </xf>
    <xf numFmtId="2" fontId="19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textRotation="90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2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textRotation="90" wrapText="1"/>
    </xf>
    <xf numFmtId="1" fontId="9" fillId="2" borderId="1" xfId="1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textRotation="90"/>
    </xf>
    <xf numFmtId="0" fontId="19" fillId="2" borderId="1" xfId="0" applyFont="1" applyFill="1" applyBorder="1" applyAlignment="1">
      <alignment horizontal="center" vertical="center" textRotation="90" wrapText="1"/>
    </xf>
    <xf numFmtId="2" fontId="19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/>
    <xf numFmtId="0" fontId="19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5" borderId="0" xfId="0" applyFill="1"/>
    <xf numFmtId="0" fontId="8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textRotation="90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textRotation="90" wrapText="1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2" fontId="19" fillId="0" borderId="5" xfId="0" applyNumberFormat="1" applyFont="1" applyFill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2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textRotation="90" wrapText="1"/>
    </xf>
    <xf numFmtId="1" fontId="4" fillId="0" borderId="0" xfId="1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1" fillId="0" borderId="0" xfId="0" applyFont="1" applyBorder="1"/>
    <xf numFmtId="0" fontId="26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22" fillId="0" borderId="0" xfId="0" applyFont="1" applyBorder="1"/>
    <xf numFmtId="2" fontId="8" fillId="0" borderId="1" xfId="2" applyNumberFormat="1" applyFont="1" applyFill="1" applyBorder="1" applyAlignment="1">
      <alignment horizontal="center" vertical="center"/>
    </xf>
    <xf numFmtId="2" fontId="36" fillId="4" borderId="1" xfId="2" applyNumberFormat="1" applyFont="1" applyFill="1" applyBorder="1" applyAlignment="1">
      <alignment horizontal="center" vertical="center"/>
    </xf>
    <xf numFmtId="0" fontId="36" fillId="4" borderId="1" xfId="2" applyFont="1" applyFill="1" applyBorder="1" applyAlignment="1">
      <alignment horizontal="center" vertical="center"/>
    </xf>
    <xf numFmtId="4" fontId="37" fillId="4" borderId="1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wrapText="1"/>
    </xf>
    <xf numFmtId="0" fontId="36" fillId="4" borderId="1" xfId="2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33" fillId="2" borderId="1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wrapText="1"/>
    </xf>
    <xf numFmtId="0" fontId="33" fillId="7" borderId="1" xfId="0" applyFont="1" applyFill="1" applyBorder="1" applyAlignment="1">
      <alignment horizontal="center" wrapText="1"/>
    </xf>
    <xf numFmtId="2" fontId="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left"/>
    </xf>
    <xf numFmtId="9" fontId="9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33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72" fontId="8" fillId="4" borderId="1" xfId="2" applyNumberFormat="1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1" xfId="2" applyFont="1" applyFill="1" applyBorder="1" applyAlignment="1">
      <alignment horizontal="center" vertical="center" wrapText="1"/>
    </xf>
    <xf numFmtId="2" fontId="8" fillId="7" borderId="1" xfId="2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wrapText="1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textRotation="90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textRotation="90"/>
    </xf>
    <xf numFmtId="0" fontId="19" fillId="0" borderId="2" xfId="0" applyFont="1" applyFill="1" applyBorder="1" applyAlignment="1">
      <alignment horizontal="center" vertical="center" textRotation="90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2" borderId="2" xfId="0" applyFont="1" applyFill="1" applyBorder="1" applyAlignment="1">
      <alignment horizontal="center" vertical="center" textRotation="90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textRotation="90"/>
    </xf>
    <xf numFmtId="0" fontId="19" fillId="0" borderId="2" xfId="0" applyFont="1" applyBorder="1" applyAlignment="1">
      <alignment horizontal="center" vertical="center" textRotation="90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 textRotation="90"/>
    </xf>
    <xf numFmtId="0" fontId="27" fillId="0" borderId="2" xfId="0" applyFont="1" applyBorder="1" applyAlignment="1">
      <alignment horizontal="center" textRotation="90"/>
    </xf>
    <xf numFmtId="0" fontId="19" fillId="0" borderId="3" xfId="0" applyFont="1" applyFill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3" xfId="0" applyFont="1" applyFill="1" applyBorder="1" applyAlignment="1">
      <alignment horizontal="center" textRotation="90"/>
    </xf>
    <xf numFmtId="0" fontId="19" fillId="0" borderId="2" xfId="0" applyFont="1" applyBorder="1" applyAlignment="1">
      <alignment horizontal="center" textRotation="90"/>
    </xf>
    <xf numFmtId="0" fontId="28" fillId="0" borderId="3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2" fontId="29" fillId="0" borderId="3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2" fontId="29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2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2" fontId="8" fillId="3" borderId="3" xfId="2" applyNumberFormat="1" applyFont="1" applyFill="1" applyBorder="1" applyAlignment="1">
      <alignment horizontal="center" vertical="center"/>
    </xf>
    <xf numFmtId="2" fontId="8" fillId="3" borderId="2" xfId="2" applyNumberFormat="1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4" fontId="12" fillId="4" borderId="3" xfId="2" applyNumberFormat="1" applyFont="1" applyFill="1" applyBorder="1" applyAlignment="1">
      <alignment horizontal="center" vertical="center"/>
    </xf>
    <xf numFmtId="4" fontId="12" fillId="4" borderId="2" xfId="2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33" fillId="0" borderId="3" xfId="2" applyFont="1" applyFill="1" applyBorder="1" applyAlignment="1">
      <alignment horizontal="center" vertical="center"/>
    </xf>
    <xf numFmtId="0" fontId="33" fillId="0" borderId="2" xfId="2" applyFont="1" applyFill="1" applyBorder="1" applyAlignment="1">
      <alignment horizontal="center" vertical="center"/>
    </xf>
    <xf numFmtId="2" fontId="33" fillId="4" borderId="3" xfId="2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2" fontId="8" fillId="0" borderId="3" xfId="2" applyNumberFormat="1" applyFont="1" applyBorder="1" applyAlignment="1">
      <alignment horizontal="center" vertical="center"/>
    </xf>
    <xf numFmtId="172" fontId="8" fillId="0" borderId="2" xfId="2" applyNumberFormat="1" applyFont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3" fillId="0" borderId="3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33" fillId="0" borderId="3" xfId="2" applyFont="1" applyFill="1" applyBorder="1" applyAlignment="1">
      <alignment horizontal="center" vertical="center" wrapText="1"/>
    </xf>
    <xf numFmtId="0" fontId="33" fillId="0" borderId="2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0" fontId="12" fillId="0" borderId="8" xfId="2" applyFont="1" applyFill="1" applyBorder="1" applyAlignment="1">
      <alignment horizontal="left"/>
    </xf>
    <xf numFmtId="0" fontId="0" fillId="0" borderId="0" xfId="0"/>
    <xf numFmtId="0" fontId="9" fillId="3" borderId="3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2" fontId="9" fillId="0" borderId="3" xfId="2" applyNumberFormat="1" applyFont="1" applyFill="1" applyBorder="1" applyAlignment="1">
      <alignment horizontal="center" vertical="center" wrapText="1"/>
    </xf>
    <xf numFmtId="2" fontId="9" fillId="0" borderId="5" xfId="2" applyNumberFormat="1" applyFont="1" applyFill="1" applyBorder="1" applyAlignment="1">
      <alignment horizontal="center" vertical="center" wrapText="1"/>
    </xf>
    <xf numFmtId="2" fontId="9" fillId="0" borderId="2" xfId="2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8" fillId="0" borderId="7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B42"/>
  <sheetViews>
    <sheetView view="pageBreakPreview" zoomScale="60" zoomScaleNormal="80" workbookViewId="0">
      <selection activeCell="P16" sqref="P16"/>
    </sheetView>
  </sheetViews>
  <sheetFormatPr defaultRowHeight="12.75" x14ac:dyDescent="0.2"/>
  <cols>
    <col min="1" max="1" width="4.85546875" customWidth="1"/>
    <col min="2" max="2" width="6.140625" customWidth="1"/>
    <col min="3" max="3" width="15" customWidth="1"/>
    <col min="4" max="4" width="7.5703125" customWidth="1"/>
    <col min="5" max="5" width="10.7109375" customWidth="1"/>
    <col min="6" max="6" width="8.42578125" customWidth="1"/>
    <col min="7" max="7" width="7" customWidth="1"/>
    <col min="8" max="8" width="8.140625" customWidth="1"/>
    <col min="9" max="9" width="8.7109375" customWidth="1"/>
    <col min="10" max="10" width="7.5703125" customWidth="1"/>
    <col min="11" max="13" width="7.140625" customWidth="1"/>
    <col min="14" max="14" width="8.7109375" customWidth="1"/>
    <col min="15" max="15" width="9.85546875" customWidth="1"/>
    <col min="16" max="16" width="11.140625" customWidth="1"/>
    <col min="17" max="17" width="8.7109375" customWidth="1"/>
    <col min="18" max="18" width="8.42578125" customWidth="1"/>
    <col min="19" max="19" width="9.28515625" customWidth="1"/>
    <col min="20" max="20" width="9.140625" customWidth="1"/>
    <col min="21" max="21" width="9" customWidth="1"/>
    <col min="22" max="22" width="9.5703125" customWidth="1"/>
    <col min="23" max="23" width="9.140625" customWidth="1"/>
    <col min="24" max="24" width="8.85546875" customWidth="1"/>
    <col min="25" max="25" width="9.140625" customWidth="1"/>
    <col min="26" max="27" width="9.28515625" bestFit="1" customWidth="1"/>
    <col min="28" max="28" width="10.42578125" bestFit="1" customWidth="1"/>
  </cols>
  <sheetData>
    <row r="1" spans="1:38" ht="16.5" customHeight="1" x14ac:dyDescent="0.25">
      <c r="C1" s="117"/>
      <c r="D1" s="117"/>
      <c r="E1" s="118"/>
      <c r="F1" s="119"/>
      <c r="G1" s="119"/>
      <c r="H1" s="120"/>
      <c r="I1" s="120"/>
      <c r="J1" s="120"/>
      <c r="K1" s="119"/>
      <c r="L1" s="119"/>
      <c r="M1" s="119"/>
      <c r="N1" s="119"/>
      <c r="O1" s="119"/>
      <c r="P1" s="119"/>
      <c r="Q1" s="119"/>
      <c r="R1" s="119"/>
      <c r="S1" s="121"/>
      <c r="T1" s="122"/>
      <c r="U1" s="122"/>
      <c r="V1" s="279" t="s">
        <v>100</v>
      </c>
      <c r="W1" s="279"/>
      <c r="X1" s="279"/>
      <c r="Y1" s="279"/>
      <c r="Z1" s="280"/>
      <c r="AA1" s="280"/>
      <c r="AB1" s="280"/>
      <c r="AC1" s="123"/>
      <c r="AD1" s="123"/>
      <c r="AE1" s="123"/>
      <c r="AF1" s="123"/>
      <c r="AG1" s="123"/>
      <c r="AH1" s="123"/>
      <c r="AI1" s="123"/>
      <c r="AJ1" s="123"/>
      <c r="AK1" s="123"/>
      <c r="AL1" s="123"/>
    </row>
    <row r="2" spans="1:38" ht="20.25" customHeight="1" x14ac:dyDescent="0.25">
      <c r="A2" s="124"/>
      <c r="C2" s="117"/>
      <c r="D2" s="117"/>
      <c r="E2" s="118"/>
      <c r="F2" s="119"/>
      <c r="G2" s="119"/>
      <c r="H2" s="120"/>
      <c r="I2" s="120"/>
      <c r="J2" s="120"/>
      <c r="K2" s="119"/>
      <c r="L2" s="119"/>
      <c r="M2" s="119"/>
      <c r="N2" s="119"/>
      <c r="O2" s="119"/>
      <c r="P2" s="119"/>
      <c r="Q2" s="119"/>
      <c r="R2" s="119"/>
      <c r="S2" s="125"/>
      <c r="T2" s="126"/>
      <c r="U2" s="127"/>
      <c r="V2" s="279" t="s">
        <v>101</v>
      </c>
      <c r="W2" s="279"/>
      <c r="X2" s="279"/>
      <c r="Y2" s="279"/>
      <c r="Z2" s="281"/>
      <c r="AA2" s="281"/>
      <c r="AB2" s="281"/>
      <c r="AC2" s="123"/>
      <c r="AD2" s="123"/>
      <c r="AE2" s="123"/>
      <c r="AF2" s="123"/>
      <c r="AG2" s="123"/>
      <c r="AH2" s="123"/>
      <c r="AI2" s="123"/>
      <c r="AJ2" s="123"/>
      <c r="AK2" s="123"/>
      <c r="AL2" s="123"/>
    </row>
    <row r="3" spans="1:38" ht="13.5" customHeight="1" x14ac:dyDescent="0.25">
      <c r="A3" s="124"/>
      <c r="C3" s="117"/>
      <c r="D3" s="117"/>
      <c r="E3" s="118"/>
      <c r="F3" s="119"/>
      <c r="G3" s="119"/>
      <c r="H3" s="120"/>
      <c r="I3" s="120"/>
      <c r="J3" s="120"/>
      <c r="K3" s="119"/>
      <c r="L3" s="119"/>
      <c r="M3" s="119"/>
      <c r="N3" s="119"/>
      <c r="O3" s="119"/>
      <c r="P3" s="119"/>
      <c r="Q3" s="119"/>
      <c r="R3" s="119"/>
      <c r="S3" s="126"/>
      <c r="T3" s="126"/>
      <c r="U3" s="279" t="s">
        <v>171</v>
      </c>
      <c r="V3" s="279"/>
      <c r="W3" s="279"/>
      <c r="X3" s="279"/>
      <c r="Y3" s="279"/>
      <c r="Z3" s="279"/>
      <c r="AA3" s="281"/>
      <c r="AB3" s="281"/>
      <c r="AC3" s="123"/>
      <c r="AD3" s="123"/>
      <c r="AE3" s="123"/>
      <c r="AF3" s="123"/>
      <c r="AG3" s="123"/>
      <c r="AH3" s="123"/>
      <c r="AI3" s="123"/>
      <c r="AJ3" s="123"/>
      <c r="AK3" s="123"/>
      <c r="AL3" s="123"/>
    </row>
    <row r="4" spans="1:38" ht="18" x14ac:dyDescent="0.25">
      <c r="A4" s="124"/>
      <c r="C4" s="117"/>
      <c r="D4" s="117"/>
      <c r="E4" s="118"/>
      <c r="F4" s="119"/>
      <c r="G4" s="119"/>
      <c r="H4" s="120"/>
      <c r="I4" s="120"/>
      <c r="J4" s="120"/>
      <c r="K4" s="119"/>
      <c r="L4" s="119"/>
      <c r="M4" s="119"/>
      <c r="N4" s="119"/>
      <c r="O4" s="119"/>
      <c r="P4" s="119"/>
      <c r="Q4" s="119"/>
      <c r="R4" s="119"/>
      <c r="S4" s="125"/>
      <c r="T4" s="126"/>
      <c r="U4" s="279"/>
      <c r="V4" s="279"/>
      <c r="W4" s="279"/>
      <c r="X4" s="279"/>
      <c r="Y4" s="279"/>
      <c r="Z4" s="279"/>
      <c r="AA4" s="281"/>
      <c r="AB4" s="281"/>
      <c r="AC4" s="123"/>
      <c r="AD4" s="123"/>
      <c r="AE4" s="123"/>
      <c r="AF4" s="123"/>
      <c r="AG4" s="123"/>
      <c r="AH4" s="123"/>
      <c r="AI4" s="123"/>
      <c r="AJ4" s="123"/>
      <c r="AK4" s="123"/>
      <c r="AL4" s="123"/>
    </row>
    <row r="5" spans="1:38" ht="14.25" customHeight="1" x14ac:dyDescent="0.25">
      <c r="A5" s="124"/>
      <c r="C5" s="117"/>
      <c r="D5" s="117"/>
      <c r="E5" s="118"/>
      <c r="F5" s="119"/>
      <c r="G5" s="119"/>
      <c r="H5" s="120"/>
      <c r="I5" s="120"/>
      <c r="J5" s="120"/>
      <c r="K5" s="119"/>
      <c r="L5" s="119"/>
      <c r="M5" s="119"/>
      <c r="N5" s="119"/>
      <c r="O5" s="120"/>
      <c r="P5" s="120"/>
      <c r="Q5" s="120"/>
      <c r="R5" s="119"/>
      <c r="S5" s="125"/>
      <c r="T5" s="126"/>
      <c r="U5" s="279"/>
      <c r="V5" s="279"/>
      <c r="W5" s="279"/>
      <c r="X5" s="279"/>
      <c r="Y5" s="279"/>
      <c r="Z5" s="279"/>
      <c r="AA5" s="281"/>
      <c r="AB5" s="281"/>
      <c r="AC5" s="123"/>
      <c r="AD5" s="123"/>
      <c r="AE5" s="123"/>
      <c r="AF5" s="123"/>
      <c r="AG5" s="123"/>
      <c r="AH5" s="123"/>
      <c r="AI5" s="123"/>
      <c r="AJ5" s="123"/>
      <c r="AK5" s="123"/>
      <c r="AL5" s="123"/>
    </row>
    <row r="6" spans="1:38" ht="20.25" customHeight="1" x14ac:dyDescent="0.3">
      <c r="A6" s="282" t="s">
        <v>173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128"/>
      <c r="AD6" s="128"/>
      <c r="AE6" s="128"/>
      <c r="AF6" s="128"/>
      <c r="AG6" s="128"/>
      <c r="AH6" s="128"/>
      <c r="AI6" s="128"/>
      <c r="AJ6" s="128"/>
      <c r="AK6" s="128"/>
      <c r="AL6" s="128"/>
    </row>
    <row r="7" spans="1:38" ht="42.75" customHeight="1" x14ac:dyDescent="0.2">
      <c r="A7" s="284" t="s">
        <v>102</v>
      </c>
      <c r="B7" s="286" t="s">
        <v>103</v>
      </c>
      <c r="C7" s="288" t="s">
        <v>104</v>
      </c>
      <c r="D7" s="288" t="s">
        <v>105</v>
      </c>
      <c r="E7" s="257" t="s">
        <v>106</v>
      </c>
      <c r="F7" s="257" t="s">
        <v>107</v>
      </c>
      <c r="G7" s="257" t="s">
        <v>4</v>
      </c>
      <c r="H7" s="257" t="s">
        <v>108</v>
      </c>
      <c r="I7" s="257" t="s">
        <v>109</v>
      </c>
      <c r="J7" s="257" t="s">
        <v>110</v>
      </c>
      <c r="K7" s="257" t="s">
        <v>111</v>
      </c>
      <c r="L7" s="257" t="s">
        <v>5</v>
      </c>
      <c r="M7" s="257" t="s">
        <v>112</v>
      </c>
      <c r="N7" s="257" t="s">
        <v>113</v>
      </c>
      <c r="O7" s="257" t="s">
        <v>114</v>
      </c>
      <c r="P7" s="257" t="s">
        <v>115</v>
      </c>
      <c r="Q7" s="257" t="s">
        <v>116</v>
      </c>
      <c r="R7" s="291" t="s">
        <v>117</v>
      </c>
      <c r="S7" s="291" t="s">
        <v>118</v>
      </c>
      <c r="T7" s="288" t="s">
        <v>119</v>
      </c>
      <c r="U7" s="288" t="s">
        <v>120</v>
      </c>
      <c r="V7" s="129" t="s">
        <v>121</v>
      </c>
      <c r="W7" s="129" t="s">
        <v>121</v>
      </c>
      <c r="X7" s="129" t="s">
        <v>122</v>
      </c>
      <c r="Y7" s="129" t="s">
        <v>123</v>
      </c>
      <c r="Z7" s="130" t="s">
        <v>124</v>
      </c>
      <c r="AA7" s="130" t="s">
        <v>124</v>
      </c>
      <c r="AB7" s="293" t="s">
        <v>125</v>
      </c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ht="80.25" customHeight="1" x14ac:dyDescent="0.2">
      <c r="A8" s="285"/>
      <c r="B8" s="287"/>
      <c r="C8" s="289"/>
      <c r="D8" s="289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90"/>
      <c r="Q8" s="290"/>
      <c r="R8" s="292"/>
      <c r="S8" s="292"/>
      <c r="T8" s="289"/>
      <c r="U8" s="289"/>
      <c r="V8" s="129" t="s">
        <v>0</v>
      </c>
      <c r="W8" s="129" t="s">
        <v>1</v>
      </c>
      <c r="X8" s="129" t="s">
        <v>2</v>
      </c>
      <c r="Y8" s="129" t="s">
        <v>1</v>
      </c>
      <c r="Z8" s="130" t="s">
        <v>126</v>
      </c>
      <c r="AA8" s="134" t="s">
        <v>127</v>
      </c>
      <c r="AB8" s="294"/>
      <c r="AC8" s="135"/>
      <c r="AD8" s="135"/>
      <c r="AE8" s="135"/>
      <c r="AF8" s="135"/>
      <c r="AG8" s="135"/>
      <c r="AH8" s="135"/>
      <c r="AI8" s="135"/>
      <c r="AJ8" s="135"/>
      <c r="AK8" s="135"/>
      <c r="AL8" s="135"/>
    </row>
    <row r="9" spans="1:38" ht="18" x14ac:dyDescent="0.25">
      <c r="A9" s="100"/>
      <c r="B9" s="100"/>
      <c r="C9" s="136"/>
      <c r="D9" s="136"/>
      <c r="E9" s="136"/>
      <c r="F9" s="137"/>
      <c r="G9" s="138" t="s">
        <v>3</v>
      </c>
      <c r="H9" s="139">
        <v>0.1</v>
      </c>
      <c r="I9" s="139">
        <v>0.18</v>
      </c>
      <c r="J9" s="139">
        <v>0.05</v>
      </c>
      <c r="K9" s="139">
        <v>0.1</v>
      </c>
      <c r="L9" s="139">
        <v>0.15</v>
      </c>
      <c r="M9" s="139">
        <v>0.1</v>
      </c>
      <c r="N9" s="139">
        <v>0.05</v>
      </c>
      <c r="O9" s="139">
        <v>7.0000000000000007E-2</v>
      </c>
      <c r="P9" s="139">
        <v>0.1</v>
      </c>
      <c r="Q9" s="139">
        <v>0.3</v>
      </c>
      <c r="R9" s="138" t="s">
        <v>3</v>
      </c>
      <c r="S9" s="138" t="s">
        <v>3</v>
      </c>
      <c r="T9" s="140"/>
      <c r="U9" s="140"/>
      <c r="V9" s="140"/>
      <c r="W9" s="140"/>
      <c r="X9" s="140"/>
      <c r="Y9" s="140"/>
      <c r="Z9" s="138" t="s">
        <v>128</v>
      </c>
      <c r="AA9" s="141" t="s">
        <v>129</v>
      </c>
      <c r="AB9" s="141"/>
      <c r="AC9" s="142"/>
      <c r="AD9" s="142"/>
      <c r="AE9" s="143"/>
      <c r="AF9" s="143"/>
      <c r="AG9" s="143"/>
      <c r="AH9" s="143"/>
      <c r="AI9" s="143"/>
      <c r="AJ9" s="143"/>
      <c r="AK9" s="143"/>
      <c r="AL9" s="143"/>
    </row>
    <row r="10" spans="1:38" ht="12.75" customHeight="1" x14ac:dyDescent="0.2">
      <c r="A10" s="295">
        <v>1</v>
      </c>
      <c r="B10" s="297" t="s">
        <v>130</v>
      </c>
      <c r="C10" s="299" t="s">
        <v>131</v>
      </c>
      <c r="D10" s="301" t="s">
        <v>132</v>
      </c>
      <c r="E10" s="303" t="s">
        <v>133</v>
      </c>
      <c r="F10" s="303">
        <v>2023</v>
      </c>
      <c r="G10" s="306">
        <v>16.899999999999999</v>
      </c>
      <c r="H10" s="306">
        <f>G10*H9</f>
        <v>1.69</v>
      </c>
      <c r="I10" s="306">
        <f>G10*I9</f>
        <v>3.0419999999999998</v>
      </c>
      <c r="J10" s="306"/>
      <c r="K10" s="306"/>
      <c r="L10" s="306">
        <f>G10*L9</f>
        <v>2.5349999999999997</v>
      </c>
      <c r="M10" s="306">
        <v>1.5</v>
      </c>
      <c r="N10" s="306">
        <f>G10*N9</f>
        <v>0.84499999999999997</v>
      </c>
      <c r="O10" s="306">
        <f>G10*O9</f>
        <v>1.1830000000000001</v>
      </c>
      <c r="P10" s="306">
        <f>G10*P9</f>
        <v>1.69</v>
      </c>
      <c r="Q10" s="306">
        <f>G10*Q9</f>
        <v>5.0699999999999994</v>
      </c>
      <c r="R10" s="266">
        <f>G10+H10+J10+K10+L10+M10+N10+O10+P10+Q10</f>
        <v>31.413</v>
      </c>
      <c r="S10" s="266">
        <f>R10+I10</f>
        <v>34.454999999999998</v>
      </c>
      <c r="T10" s="311">
        <v>109</v>
      </c>
      <c r="U10" s="266">
        <v>26</v>
      </c>
      <c r="V10" s="255">
        <f>R10*T10/100</f>
        <v>34.240169999999999</v>
      </c>
      <c r="W10" s="255">
        <f>T10*S10/100</f>
        <v>37.555949999999996</v>
      </c>
      <c r="X10" s="311">
        <f>V10*U10</f>
        <v>890.24441999999999</v>
      </c>
      <c r="Y10" s="255">
        <f>V10*U10</f>
        <v>890.24441999999999</v>
      </c>
      <c r="Z10" s="255">
        <f>X10*3</f>
        <v>2670.73326</v>
      </c>
      <c r="AA10" s="255">
        <f>Y10*6</f>
        <v>5341.4665199999999</v>
      </c>
      <c r="AB10" s="255">
        <f>Z10+AA10</f>
        <v>8012.1997799999999</v>
      </c>
      <c r="AC10" s="142"/>
      <c r="AD10" s="142"/>
      <c r="AE10" s="143"/>
      <c r="AF10" s="143"/>
      <c r="AG10" s="143"/>
      <c r="AH10" s="143"/>
      <c r="AI10" s="143"/>
      <c r="AJ10" s="143"/>
      <c r="AK10" s="143"/>
      <c r="AL10" s="143"/>
    </row>
    <row r="11" spans="1:38" ht="33.75" customHeight="1" x14ac:dyDescent="0.2">
      <c r="A11" s="296"/>
      <c r="B11" s="298"/>
      <c r="C11" s="300"/>
      <c r="D11" s="302"/>
      <c r="E11" s="304"/>
      <c r="F11" s="305"/>
      <c r="G11" s="307"/>
      <c r="H11" s="308"/>
      <c r="I11" s="308"/>
      <c r="J11" s="308"/>
      <c r="K11" s="308"/>
      <c r="L11" s="308"/>
      <c r="M11" s="308"/>
      <c r="N11" s="308"/>
      <c r="O11" s="308"/>
      <c r="P11" s="309"/>
      <c r="Q11" s="309"/>
      <c r="R11" s="310"/>
      <c r="S11" s="310"/>
      <c r="T11" s="312"/>
      <c r="U11" s="313"/>
      <c r="V11" s="256"/>
      <c r="W11" s="256"/>
      <c r="X11" s="312"/>
      <c r="Y11" s="256"/>
      <c r="Z11" s="256"/>
      <c r="AA11" s="256"/>
      <c r="AB11" s="256"/>
      <c r="AC11" s="142"/>
      <c r="AD11" s="142"/>
      <c r="AE11" s="143"/>
      <c r="AF11" s="143"/>
      <c r="AG11" s="143"/>
      <c r="AH11" s="143"/>
      <c r="AI11" s="143"/>
      <c r="AJ11" s="143"/>
      <c r="AK11" s="143"/>
      <c r="AL11" s="143"/>
    </row>
    <row r="12" spans="1:38" ht="18" customHeight="1" x14ac:dyDescent="0.2">
      <c r="A12" s="269">
        <v>2</v>
      </c>
      <c r="B12" s="271" t="s">
        <v>130</v>
      </c>
      <c r="C12" s="273" t="s">
        <v>134</v>
      </c>
      <c r="D12" s="275" t="s">
        <v>132</v>
      </c>
      <c r="E12" s="277" t="s">
        <v>135</v>
      </c>
      <c r="F12" s="267">
        <v>2013</v>
      </c>
      <c r="G12" s="259">
        <v>16.899999999999999</v>
      </c>
      <c r="H12" s="261">
        <f>G12*H9</f>
        <v>1.69</v>
      </c>
      <c r="I12" s="261">
        <f>G12*I9</f>
        <v>3.0419999999999998</v>
      </c>
      <c r="J12" s="261">
        <f>G12*J9</f>
        <v>0.84499999999999997</v>
      </c>
      <c r="K12" s="259">
        <v>0</v>
      </c>
      <c r="L12" s="259">
        <f>G12*L9</f>
        <v>2.5349999999999997</v>
      </c>
      <c r="M12" s="259"/>
      <c r="N12" s="259">
        <f>G12*N9</f>
        <v>0.84499999999999997</v>
      </c>
      <c r="O12" s="261">
        <f>G12*O9</f>
        <v>1.1830000000000001</v>
      </c>
      <c r="P12" s="146"/>
      <c r="Q12" s="146"/>
      <c r="R12" s="266">
        <f>O12+J12+G12+H12+L12+N12</f>
        <v>23.997999999999998</v>
      </c>
      <c r="S12" s="266">
        <f>G12+H12+I12+J12+K12+O12+N12+L12</f>
        <v>27.039999999999996</v>
      </c>
      <c r="T12" s="263">
        <v>109</v>
      </c>
      <c r="U12" s="263">
        <v>26</v>
      </c>
      <c r="V12" s="255">
        <f>R12*T12/100</f>
        <v>26.157819999999997</v>
      </c>
      <c r="W12" s="255">
        <f>T12*S12/100</f>
        <v>29.473599999999998</v>
      </c>
      <c r="X12" s="314">
        <f>V12*U12</f>
        <v>680.10331999999994</v>
      </c>
      <c r="Y12" s="255">
        <f>V12*U12</f>
        <v>680.10331999999994</v>
      </c>
      <c r="Z12" s="267">
        <f>X12*3</f>
        <v>2040.3099599999998</v>
      </c>
      <c r="AA12" s="267">
        <f>Y12*6</f>
        <v>4080.6199199999996</v>
      </c>
      <c r="AB12" s="255">
        <f>Z12+AA12</f>
        <v>6120.9298799999997</v>
      </c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</row>
    <row r="13" spans="1:38" ht="31.5" customHeight="1" x14ac:dyDescent="0.2">
      <c r="A13" s="270"/>
      <c r="B13" s="272"/>
      <c r="C13" s="274"/>
      <c r="D13" s="276"/>
      <c r="E13" s="278"/>
      <c r="F13" s="268"/>
      <c r="G13" s="260"/>
      <c r="H13" s="262"/>
      <c r="I13" s="262"/>
      <c r="J13" s="262"/>
      <c r="K13" s="260"/>
      <c r="L13" s="260"/>
      <c r="M13" s="260"/>
      <c r="N13" s="260"/>
      <c r="O13" s="262"/>
      <c r="P13" s="150"/>
      <c r="Q13" s="150"/>
      <c r="R13" s="264"/>
      <c r="S13" s="264"/>
      <c r="T13" s="264"/>
      <c r="U13" s="265"/>
      <c r="V13" s="256"/>
      <c r="W13" s="256"/>
      <c r="X13" s="315"/>
      <c r="Y13" s="256"/>
      <c r="Z13" s="268"/>
      <c r="AA13" s="268"/>
      <c r="AB13" s="256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</row>
    <row r="14" spans="1:38" ht="36.75" customHeight="1" x14ac:dyDescent="0.2">
      <c r="A14" s="1">
        <v>3</v>
      </c>
      <c r="B14" s="152" t="s">
        <v>130</v>
      </c>
      <c r="C14" s="153" t="s">
        <v>30</v>
      </c>
      <c r="D14" s="154" t="s">
        <v>132</v>
      </c>
      <c r="E14" s="155" t="s">
        <v>31</v>
      </c>
      <c r="F14" s="155">
        <v>2008</v>
      </c>
      <c r="G14" s="156">
        <v>13.5</v>
      </c>
      <c r="H14" s="146">
        <f>G14*H9</f>
        <v>1.35</v>
      </c>
      <c r="I14" s="157">
        <f>G14*I9</f>
        <v>2.4299999999999997</v>
      </c>
      <c r="J14" s="157">
        <f>G14*J9</f>
        <v>0.67500000000000004</v>
      </c>
      <c r="K14" s="156">
        <f>G14*K9</f>
        <v>1.35</v>
      </c>
      <c r="L14" s="157">
        <f>G14*L9</f>
        <v>2.0249999999999999</v>
      </c>
      <c r="M14" s="156"/>
      <c r="N14" s="157">
        <f>G14*N9</f>
        <v>0.67500000000000004</v>
      </c>
      <c r="O14" s="146">
        <f>G14*O9</f>
        <v>0.94500000000000006</v>
      </c>
      <c r="P14" s="146"/>
      <c r="Q14" s="146"/>
      <c r="R14" s="144">
        <f>O14+J14+G14+H14+L14+N14</f>
        <v>19.170000000000002</v>
      </c>
      <c r="S14" s="144">
        <f>G14+H14+I14+J14+O14+L14+N14</f>
        <v>21.6</v>
      </c>
      <c r="T14" s="158">
        <v>100</v>
      </c>
      <c r="U14" s="151">
        <v>10</v>
      </c>
      <c r="V14" s="159">
        <f>T14*R14/100</f>
        <v>19.170000000000002</v>
      </c>
      <c r="W14" s="159">
        <f>T14*S14/100</f>
        <v>21.6</v>
      </c>
      <c r="X14" s="159">
        <f>V14*U14</f>
        <v>191.70000000000002</v>
      </c>
      <c r="Y14" s="159">
        <f t="shared" ref="Y14:Y23" si="0">W14*U14</f>
        <v>216</v>
      </c>
      <c r="Z14" s="160">
        <f t="shared" ref="Z14:Z23" si="1">X14*3</f>
        <v>575.1</v>
      </c>
      <c r="AA14" s="161">
        <f t="shared" ref="AA14:AA23" si="2">Y14*6</f>
        <v>1296</v>
      </c>
      <c r="AB14" s="159">
        <f>AA14+Z14</f>
        <v>1871.1</v>
      </c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</row>
    <row r="15" spans="1:38" ht="36.75" customHeight="1" x14ac:dyDescent="0.2">
      <c r="A15" s="145">
        <v>4</v>
      </c>
      <c r="B15" s="152" t="s">
        <v>130</v>
      </c>
      <c r="C15" s="153" t="s">
        <v>136</v>
      </c>
      <c r="D15" s="154" t="s">
        <v>132</v>
      </c>
      <c r="E15" s="155"/>
      <c r="F15" s="155">
        <v>2023</v>
      </c>
      <c r="G15" s="156">
        <v>16.899999999999999</v>
      </c>
      <c r="H15" s="146">
        <v>1.69</v>
      </c>
      <c r="I15" s="157">
        <v>3.04</v>
      </c>
      <c r="J15" s="157"/>
      <c r="K15" s="156"/>
      <c r="L15" s="157">
        <v>2.54</v>
      </c>
      <c r="M15" s="163">
        <v>1.5</v>
      </c>
      <c r="N15" s="157">
        <v>0.85</v>
      </c>
      <c r="O15" s="146">
        <v>1.18</v>
      </c>
      <c r="P15" s="146">
        <v>1.69</v>
      </c>
      <c r="Q15" s="146">
        <v>5.07</v>
      </c>
      <c r="R15" s="144">
        <f>G15+H15+J15+K15+L15+M15+N15+O15+P15+Q15</f>
        <v>31.42</v>
      </c>
      <c r="S15" s="144">
        <f>R15+I15</f>
        <v>34.46</v>
      </c>
      <c r="T15" s="158">
        <v>109</v>
      </c>
      <c r="U15" s="151">
        <v>26</v>
      </c>
      <c r="V15" s="159">
        <f>T15*R15/100</f>
        <v>34.247800000000005</v>
      </c>
      <c r="W15" s="159">
        <f>T15*S15/100</f>
        <v>37.561399999999999</v>
      </c>
      <c r="X15" s="159">
        <f>V15*U15</f>
        <v>890.44280000000015</v>
      </c>
      <c r="Y15" s="159">
        <f t="shared" si="0"/>
        <v>976.59640000000002</v>
      </c>
      <c r="Z15" s="160">
        <f t="shared" si="1"/>
        <v>2671.3284000000003</v>
      </c>
      <c r="AA15" s="161">
        <f t="shared" si="2"/>
        <v>5859.5784000000003</v>
      </c>
      <c r="AB15" s="159">
        <f>AA15+Z15</f>
        <v>8530.9068000000007</v>
      </c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</row>
    <row r="16" spans="1:38" ht="45.75" customHeight="1" x14ac:dyDescent="0.2">
      <c r="A16" s="145">
        <v>5</v>
      </c>
      <c r="B16" s="152" t="s">
        <v>137</v>
      </c>
      <c r="C16" s="153" t="s">
        <v>138</v>
      </c>
      <c r="D16" s="164" t="s">
        <v>132</v>
      </c>
      <c r="E16" s="165" t="s">
        <v>139</v>
      </c>
      <c r="F16" s="155">
        <v>2013</v>
      </c>
      <c r="G16" s="156">
        <v>32.5</v>
      </c>
      <c r="H16" s="156">
        <f>G16*H9</f>
        <v>3.25</v>
      </c>
      <c r="I16" s="157">
        <f>G16*I9</f>
        <v>5.85</v>
      </c>
      <c r="J16" s="157">
        <f>G16*J9</f>
        <v>1.625</v>
      </c>
      <c r="K16" s="156">
        <v>0</v>
      </c>
      <c r="L16" s="157">
        <f>G16*L9</f>
        <v>4.875</v>
      </c>
      <c r="M16" s="166"/>
      <c r="N16" s="157">
        <f>G16*N9</f>
        <v>1.625</v>
      </c>
      <c r="O16" s="146">
        <f>G16*O9</f>
        <v>2.2750000000000004</v>
      </c>
      <c r="P16" s="146"/>
      <c r="Q16" s="146"/>
      <c r="R16" s="167">
        <f>O16+J16+G16+H16+L16+N16</f>
        <v>46.15</v>
      </c>
      <c r="S16" s="167">
        <f>G16+H16+I16+J16+O16+L16+N16</f>
        <v>52</v>
      </c>
      <c r="T16" s="158">
        <v>96</v>
      </c>
      <c r="U16" s="151">
        <v>26</v>
      </c>
      <c r="V16" s="155">
        <f>T16*R16/100</f>
        <v>44.303999999999995</v>
      </c>
      <c r="W16" s="168">
        <f>T16*S16/100</f>
        <v>49.92</v>
      </c>
      <c r="X16" s="168">
        <f t="shared" ref="X16:X23" si="3">V16*U16</f>
        <v>1151.9039999999998</v>
      </c>
      <c r="Y16" s="168">
        <f t="shared" si="0"/>
        <v>1297.92</v>
      </c>
      <c r="Z16" s="155">
        <f t="shared" si="1"/>
        <v>3455.7119999999995</v>
      </c>
      <c r="AA16" s="155">
        <f t="shared" si="2"/>
        <v>7787.52</v>
      </c>
      <c r="AB16" s="168">
        <f>AA16+Z16</f>
        <v>11243.232</v>
      </c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</row>
    <row r="17" spans="1:132" ht="42.75" hidden="1" customHeight="1" x14ac:dyDescent="0.2">
      <c r="A17" s="145">
        <v>5</v>
      </c>
      <c r="B17" s="152" t="s">
        <v>130</v>
      </c>
      <c r="C17" s="153" t="s">
        <v>138</v>
      </c>
      <c r="D17" s="164" t="s">
        <v>132</v>
      </c>
      <c r="E17" s="165"/>
      <c r="F17" s="155"/>
      <c r="G17" s="156"/>
      <c r="H17" s="156"/>
      <c r="I17" s="157"/>
      <c r="J17" s="157"/>
      <c r="K17" s="156"/>
      <c r="L17" s="157"/>
      <c r="M17" s="166"/>
      <c r="N17" s="157"/>
      <c r="O17" s="146"/>
      <c r="P17" s="146"/>
      <c r="Q17" s="146"/>
      <c r="R17" s="167"/>
      <c r="S17" s="167"/>
      <c r="T17" s="158"/>
      <c r="U17" s="151"/>
      <c r="V17" s="155"/>
      <c r="W17" s="168"/>
      <c r="X17" s="168"/>
      <c r="Y17" s="168"/>
      <c r="Z17" s="155"/>
      <c r="AA17" s="155"/>
      <c r="AB17" s="168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</row>
    <row r="18" spans="1:132" s="174" customFormat="1" ht="46.5" customHeight="1" x14ac:dyDescent="0.2">
      <c r="A18" s="1">
        <v>6</v>
      </c>
      <c r="B18" s="169" t="s">
        <v>137</v>
      </c>
      <c r="C18" s="129" t="s">
        <v>140</v>
      </c>
      <c r="D18" s="170" t="s">
        <v>132</v>
      </c>
      <c r="E18" s="155" t="s">
        <v>141</v>
      </c>
      <c r="F18" s="155">
        <v>2011</v>
      </c>
      <c r="G18" s="156">
        <v>31.6</v>
      </c>
      <c r="H18" s="156">
        <f>G18*H9</f>
        <v>3.16</v>
      </c>
      <c r="I18" s="156">
        <f>G18*I9</f>
        <v>5.6879999999999997</v>
      </c>
      <c r="J18" s="156">
        <v>0</v>
      </c>
      <c r="K18" s="156">
        <f>G18*K9</f>
        <v>3.16</v>
      </c>
      <c r="L18" s="156">
        <f>G18*L9</f>
        <v>4.74</v>
      </c>
      <c r="M18" s="166"/>
      <c r="N18" s="156">
        <f>G18*N9</f>
        <v>1.58</v>
      </c>
      <c r="O18" s="171">
        <f>O9*G18</f>
        <v>2.2120000000000002</v>
      </c>
      <c r="P18" s="171"/>
      <c r="Q18" s="171"/>
      <c r="R18" s="167">
        <f>O18+G18+H18+L18+N18+K18</f>
        <v>46.452000000000012</v>
      </c>
      <c r="S18" s="167">
        <f>G18+H18+I18+L18+N18+O18+K18</f>
        <v>52.140000000000015</v>
      </c>
      <c r="T18" s="158">
        <v>72</v>
      </c>
      <c r="U18" s="151">
        <v>24</v>
      </c>
      <c r="V18" s="168">
        <f>T18*R18/100</f>
        <v>33.445440000000005</v>
      </c>
      <c r="W18" s="168">
        <f>T18*S18/100</f>
        <v>37.540800000000011</v>
      </c>
      <c r="X18" s="168">
        <f t="shared" si="3"/>
        <v>802.69056000000012</v>
      </c>
      <c r="Y18" s="168">
        <f t="shared" si="0"/>
        <v>900.97920000000022</v>
      </c>
      <c r="Z18" s="155">
        <f t="shared" si="1"/>
        <v>2408.0716800000005</v>
      </c>
      <c r="AA18" s="155">
        <f t="shared" si="2"/>
        <v>5405.8752000000013</v>
      </c>
      <c r="AB18" s="168">
        <f>AA18+Z18</f>
        <v>7813.9468800000013</v>
      </c>
      <c r="AC18" s="172"/>
      <c r="AD18" s="172"/>
      <c r="AE18" s="172"/>
      <c r="AF18" s="173"/>
      <c r="AG18" s="173"/>
      <c r="AH18" s="173"/>
      <c r="AI18" s="173"/>
      <c r="AJ18" s="173"/>
      <c r="AK18" s="173"/>
      <c r="AL18" s="173"/>
    </row>
    <row r="19" spans="1:132" s="174" customFormat="1" ht="48.75" customHeight="1" x14ac:dyDescent="0.2">
      <c r="A19" s="1">
        <v>7</v>
      </c>
      <c r="B19" s="152" t="s">
        <v>137</v>
      </c>
      <c r="C19" s="153" t="s">
        <v>142</v>
      </c>
      <c r="D19" s="164" t="s">
        <v>132</v>
      </c>
      <c r="E19" s="155" t="s">
        <v>143</v>
      </c>
      <c r="F19" s="155">
        <v>2016</v>
      </c>
      <c r="G19" s="156">
        <v>26.7</v>
      </c>
      <c r="H19" s="156">
        <f>G19*H9</f>
        <v>2.67</v>
      </c>
      <c r="I19" s="157">
        <f>G19*I9</f>
        <v>4.806</v>
      </c>
      <c r="J19" s="157">
        <v>0</v>
      </c>
      <c r="K19" s="156">
        <v>0</v>
      </c>
      <c r="L19" s="157">
        <f>G19*L9</f>
        <v>4.0049999999999999</v>
      </c>
      <c r="M19" s="166"/>
      <c r="N19" s="157">
        <f>G19*N9</f>
        <v>1.335</v>
      </c>
      <c r="O19" s="146">
        <f>G19*O9</f>
        <v>1.8690000000000002</v>
      </c>
      <c r="P19" s="146"/>
      <c r="Q19" s="146"/>
      <c r="R19" s="167">
        <f>G19+H19+J19++L19+N19</f>
        <v>34.71</v>
      </c>
      <c r="S19" s="167">
        <f>G19+H19+I19+J19+L19+K19+M19+N19+O20</f>
        <v>42.021999999999998</v>
      </c>
      <c r="T19" s="158">
        <v>102</v>
      </c>
      <c r="U19" s="151">
        <v>22</v>
      </c>
      <c r="V19" s="168">
        <f>R19*T19/100</f>
        <v>35.404200000000003</v>
      </c>
      <c r="W19" s="168">
        <f>S19*T19/100</f>
        <v>42.862439999999999</v>
      </c>
      <c r="X19" s="168">
        <f t="shared" si="3"/>
        <v>778.89240000000007</v>
      </c>
      <c r="Y19" s="168">
        <f t="shared" si="0"/>
        <v>942.97367999999994</v>
      </c>
      <c r="Z19" s="155">
        <f t="shared" si="1"/>
        <v>2336.6772000000001</v>
      </c>
      <c r="AA19" s="155">
        <f t="shared" si="2"/>
        <v>5657.8420799999994</v>
      </c>
      <c r="AB19" s="168">
        <f>Z19+AA19</f>
        <v>7994.5192799999995</v>
      </c>
      <c r="AC19" s="172"/>
      <c r="AD19" s="172"/>
      <c r="AE19" s="172"/>
      <c r="AF19" s="173"/>
      <c r="AG19" s="173"/>
      <c r="AH19" s="173"/>
      <c r="AI19" s="173"/>
      <c r="AJ19" s="173"/>
      <c r="AK19" s="173"/>
      <c r="AL19" s="173"/>
    </row>
    <row r="20" spans="1:132" s="174" customFormat="1" ht="49.5" customHeight="1" x14ac:dyDescent="0.2">
      <c r="A20" s="145">
        <v>8</v>
      </c>
      <c r="B20" s="169" t="s">
        <v>137</v>
      </c>
      <c r="C20" s="175" t="s">
        <v>144</v>
      </c>
      <c r="D20" s="170" t="s">
        <v>132</v>
      </c>
      <c r="E20" s="160" t="s">
        <v>145</v>
      </c>
      <c r="F20" s="160">
        <v>2016</v>
      </c>
      <c r="G20" s="157">
        <v>35.799999999999997</v>
      </c>
      <c r="H20" s="156">
        <f>G20*H9</f>
        <v>3.58</v>
      </c>
      <c r="I20" s="156">
        <f>G20*I9</f>
        <v>6.4439999999999991</v>
      </c>
      <c r="J20" s="156">
        <v>0</v>
      </c>
      <c r="K20" s="176">
        <v>0</v>
      </c>
      <c r="L20" s="171">
        <f>G20*L9</f>
        <v>5.3699999999999992</v>
      </c>
      <c r="M20" s="176"/>
      <c r="N20" s="171">
        <f>G20*N9</f>
        <v>1.79</v>
      </c>
      <c r="O20" s="171">
        <f>G20*O9</f>
        <v>2.5060000000000002</v>
      </c>
      <c r="P20" s="171"/>
      <c r="Q20" s="171"/>
      <c r="R20" s="167">
        <f>G20+H20+J20+K20+L20+N20</f>
        <v>46.539999999999992</v>
      </c>
      <c r="S20" s="167">
        <f>G20+H20+I20+J20+K20+L20+M20+N20+O20</f>
        <v>55.489999999999995</v>
      </c>
      <c r="T20" s="158">
        <v>70</v>
      </c>
      <c r="U20" s="151">
        <v>22</v>
      </c>
      <c r="V20" s="168">
        <f>R20*T20/100</f>
        <v>32.577999999999996</v>
      </c>
      <c r="W20" s="168">
        <f>S20*T20/100</f>
        <v>38.842999999999996</v>
      </c>
      <c r="X20" s="168">
        <f t="shared" si="3"/>
        <v>716.71599999999989</v>
      </c>
      <c r="Y20" s="168">
        <f t="shared" si="0"/>
        <v>854.54599999999994</v>
      </c>
      <c r="Z20" s="155">
        <f t="shared" si="1"/>
        <v>2150.1479999999997</v>
      </c>
      <c r="AA20" s="155">
        <f t="shared" si="2"/>
        <v>5127.2759999999998</v>
      </c>
      <c r="AB20" s="155">
        <f>Z20+AA20</f>
        <v>7277.4239999999991</v>
      </c>
      <c r="AC20" s="172"/>
      <c r="AD20" s="172"/>
      <c r="AE20" s="172"/>
      <c r="AF20" s="173"/>
      <c r="AG20" s="173"/>
      <c r="AH20" s="173"/>
      <c r="AI20" s="173"/>
      <c r="AJ20" s="173"/>
      <c r="AK20" s="173"/>
      <c r="AL20" s="173"/>
    </row>
    <row r="21" spans="1:132" s="174" customFormat="1" ht="52.5" customHeight="1" x14ac:dyDescent="0.2">
      <c r="A21" s="177">
        <v>9</v>
      </c>
      <c r="B21" s="169" t="s">
        <v>130</v>
      </c>
      <c r="C21" s="178" t="s">
        <v>146</v>
      </c>
      <c r="D21" s="179" t="s">
        <v>132</v>
      </c>
      <c r="E21" s="155" t="s">
        <v>147</v>
      </c>
      <c r="F21" s="155">
        <v>2018</v>
      </c>
      <c r="G21" s="156">
        <v>17</v>
      </c>
      <c r="H21" s="163">
        <v>1.7</v>
      </c>
      <c r="I21" s="163">
        <v>3.06</v>
      </c>
      <c r="J21" s="163">
        <v>0</v>
      </c>
      <c r="K21" s="166">
        <v>0</v>
      </c>
      <c r="L21" s="150">
        <f>G21*L9</f>
        <v>2.5499999999999998</v>
      </c>
      <c r="M21" s="166"/>
      <c r="N21" s="150">
        <f>G21*N9</f>
        <v>0.85000000000000009</v>
      </c>
      <c r="O21" s="150">
        <f>G21*O9</f>
        <v>1.1900000000000002</v>
      </c>
      <c r="P21" s="150"/>
      <c r="Q21" s="150"/>
      <c r="R21" s="168">
        <f>G21+H21+K21+L21+N21</f>
        <v>22.1</v>
      </c>
      <c r="S21" s="168">
        <f>R21+I21</f>
        <v>25.16</v>
      </c>
      <c r="T21" s="180">
        <v>78</v>
      </c>
      <c r="U21" s="180">
        <v>26</v>
      </c>
      <c r="V21" s="168">
        <f>R21*T21/100</f>
        <v>17.238000000000003</v>
      </c>
      <c r="W21" s="168">
        <f>S21*T21/100</f>
        <v>19.6248</v>
      </c>
      <c r="X21" s="168">
        <f t="shared" si="3"/>
        <v>448.1880000000001</v>
      </c>
      <c r="Y21" s="168">
        <f t="shared" si="0"/>
        <v>510.2448</v>
      </c>
      <c r="Z21" s="155">
        <f t="shared" si="1"/>
        <v>1344.5640000000003</v>
      </c>
      <c r="AA21" s="155">
        <f t="shared" si="2"/>
        <v>3061.4688000000001</v>
      </c>
      <c r="AB21" s="155">
        <f>Z21+AA21</f>
        <v>4406.0328000000009</v>
      </c>
      <c r="AC21" s="172"/>
      <c r="AD21" s="172"/>
      <c r="AE21" s="172"/>
      <c r="AF21" s="173"/>
      <c r="AG21" s="173"/>
      <c r="AH21" s="173"/>
      <c r="AI21" s="173"/>
      <c r="AJ21" s="173"/>
      <c r="AK21" s="173"/>
      <c r="AL21" s="173"/>
    </row>
    <row r="22" spans="1:132" s="188" customFormat="1" ht="45" customHeight="1" x14ac:dyDescent="0.2">
      <c r="A22" s="1">
        <v>10</v>
      </c>
      <c r="B22" s="181" t="s">
        <v>130</v>
      </c>
      <c r="C22" s="132" t="s">
        <v>148</v>
      </c>
      <c r="D22" s="133" t="s">
        <v>132</v>
      </c>
      <c r="E22" s="158" t="s">
        <v>149</v>
      </c>
      <c r="F22" s="158">
        <v>2019</v>
      </c>
      <c r="G22" s="182">
        <v>16.899999999999999</v>
      </c>
      <c r="H22" s="183">
        <v>1.69</v>
      </c>
      <c r="I22" s="183">
        <v>3.04</v>
      </c>
      <c r="J22" s="183">
        <v>0</v>
      </c>
      <c r="K22" s="183">
        <v>0</v>
      </c>
      <c r="L22" s="184">
        <f>G22*L9</f>
        <v>2.5349999999999997</v>
      </c>
      <c r="M22" s="185"/>
      <c r="N22" s="184">
        <f>G22*N9</f>
        <v>0.84499999999999997</v>
      </c>
      <c r="O22" s="184">
        <f>G22*O9</f>
        <v>1.1830000000000001</v>
      </c>
      <c r="P22" s="184"/>
      <c r="Q22" s="184"/>
      <c r="R22" s="167">
        <f>G22+H22+K22+L22+N22</f>
        <v>21.97</v>
      </c>
      <c r="S22" s="167">
        <f>R22+I22</f>
        <v>25.009999999999998</v>
      </c>
      <c r="T22" s="151">
        <v>100</v>
      </c>
      <c r="U22" s="151">
        <v>10</v>
      </c>
      <c r="V22" s="168">
        <f>R22*T22/100</f>
        <v>21.97</v>
      </c>
      <c r="W22" s="168">
        <f>S22*T22/100</f>
        <v>25.01</v>
      </c>
      <c r="X22" s="168">
        <f t="shared" si="3"/>
        <v>219.7</v>
      </c>
      <c r="Y22" s="168">
        <f t="shared" si="0"/>
        <v>250.10000000000002</v>
      </c>
      <c r="Z22" s="155">
        <f t="shared" si="1"/>
        <v>659.09999999999991</v>
      </c>
      <c r="AA22" s="155">
        <f t="shared" si="2"/>
        <v>1500.6000000000001</v>
      </c>
      <c r="AB22" s="155">
        <f>Z22+AA22</f>
        <v>2159.6999999999998</v>
      </c>
      <c r="AC22" s="186"/>
      <c r="AD22" s="186"/>
      <c r="AE22" s="186"/>
      <c r="AF22" s="162"/>
      <c r="AG22" s="162"/>
      <c r="AH22" s="162"/>
      <c r="AI22" s="162"/>
      <c r="AJ22" s="162"/>
      <c r="AK22" s="162"/>
      <c r="AL22" s="162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</row>
    <row r="23" spans="1:132" s="188" customFormat="1" ht="49.5" customHeight="1" x14ac:dyDescent="0.2">
      <c r="A23" s="148">
        <v>11</v>
      </c>
      <c r="B23" s="149" t="s">
        <v>130</v>
      </c>
      <c r="C23" s="132" t="s">
        <v>150</v>
      </c>
      <c r="D23" s="133" t="s">
        <v>132</v>
      </c>
      <c r="E23" s="158" t="s">
        <v>151</v>
      </c>
      <c r="F23" s="158">
        <v>2019</v>
      </c>
      <c r="G23" s="182">
        <v>16.899999999999999</v>
      </c>
      <c r="H23" s="183">
        <v>1.69</v>
      </c>
      <c r="I23" s="183">
        <v>3.04</v>
      </c>
      <c r="J23" s="183">
        <v>0</v>
      </c>
      <c r="K23" s="183">
        <v>0</v>
      </c>
      <c r="L23" s="184">
        <f>G23*L9</f>
        <v>2.5349999999999997</v>
      </c>
      <c r="M23" s="185"/>
      <c r="N23" s="184">
        <f>G23*N9</f>
        <v>0.84499999999999997</v>
      </c>
      <c r="O23" s="184">
        <f>G23*O9</f>
        <v>1.1830000000000001</v>
      </c>
      <c r="P23" s="184"/>
      <c r="Q23" s="184"/>
      <c r="R23" s="167">
        <f>G23+H23+K23+L23+N23</f>
        <v>21.97</v>
      </c>
      <c r="S23" s="167">
        <f>R23+I23</f>
        <v>25.009999999999998</v>
      </c>
      <c r="T23" s="151">
        <v>68</v>
      </c>
      <c r="U23" s="151">
        <v>26</v>
      </c>
      <c r="V23" s="168">
        <f>R23*T23/100</f>
        <v>14.9396</v>
      </c>
      <c r="W23" s="168">
        <f>S23*T23/100</f>
        <v>17.006799999999998</v>
      </c>
      <c r="X23" s="168">
        <f t="shared" si="3"/>
        <v>388.42959999999999</v>
      </c>
      <c r="Y23" s="168">
        <f t="shared" si="0"/>
        <v>442.17679999999996</v>
      </c>
      <c r="Z23" s="155">
        <f t="shared" si="1"/>
        <v>1165.2888</v>
      </c>
      <c r="AA23" s="155">
        <f t="shared" si="2"/>
        <v>2653.0607999999997</v>
      </c>
      <c r="AB23" s="155">
        <f>Z23+AA23</f>
        <v>3818.3495999999996</v>
      </c>
      <c r="AC23" s="186"/>
      <c r="AD23" s="186"/>
      <c r="AE23" s="186"/>
      <c r="AF23" s="162"/>
      <c r="AG23" s="162"/>
      <c r="AH23" s="162"/>
      <c r="AI23" s="162"/>
      <c r="AJ23" s="162"/>
      <c r="AK23" s="162"/>
      <c r="AL23" s="162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</row>
    <row r="24" spans="1:132" s="174" customFormat="1" ht="57" customHeight="1" x14ac:dyDescent="0.2">
      <c r="A24" s="189">
        <v>12</v>
      </c>
      <c r="B24" s="169" t="s">
        <v>130</v>
      </c>
      <c r="C24" s="175" t="s">
        <v>152</v>
      </c>
      <c r="D24" s="170" t="s">
        <v>132</v>
      </c>
      <c r="E24" s="155"/>
      <c r="F24" s="155">
        <v>2021</v>
      </c>
      <c r="G24" s="156">
        <v>17</v>
      </c>
      <c r="H24" s="156">
        <v>1.7</v>
      </c>
      <c r="I24" s="156">
        <v>3.06</v>
      </c>
      <c r="J24" s="156">
        <v>0</v>
      </c>
      <c r="K24" s="156">
        <v>0</v>
      </c>
      <c r="L24" s="171">
        <v>2.5499999999999998</v>
      </c>
      <c r="M24" s="176"/>
      <c r="N24" s="171">
        <v>0.85</v>
      </c>
      <c r="O24" s="171">
        <v>1.19</v>
      </c>
      <c r="P24" s="171"/>
      <c r="Q24" s="171"/>
      <c r="R24" s="168">
        <v>22.1</v>
      </c>
      <c r="S24" s="168">
        <v>25.16</v>
      </c>
      <c r="T24" s="155">
        <v>78</v>
      </c>
      <c r="U24" s="155">
        <v>26</v>
      </c>
      <c r="V24" s="168">
        <v>17.238000000000003</v>
      </c>
      <c r="W24" s="168">
        <v>19.6248</v>
      </c>
      <c r="X24" s="168">
        <v>448.1880000000001</v>
      </c>
      <c r="Y24" s="168">
        <v>510.2448</v>
      </c>
      <c r="Z24" s="155">
        <v>1344.5640000000003</v>
      </c>
      <c r="AA24" s="155">
        <v>3061.4688000000001</v>
      </c>
      <c r="AB24" s="168">
        <v>4406.0328000000009</v>
      </c>
      <c r="AC24" s="172"/>
      <c r="AD24" s="172"/>
      <c r="AE24" s="172"/>
      <c r="AF24" s="173"/>
      <c r="AG24" s="173"/>
      <c r="AH24" s="173"/>
      <c r="AI24" s="173"/>
      <c r="AJ24" s="173"/>
      <c r="AK24" s="173"/>
      <c r="AL24" s="173"/>
    </row>
    <row r="25" spans="1:132" s="193" customFormat="1" ht="48.75" customHeight="1" x14ac:dyDescent="0.2">
      <c r="A25" s="177">
        <v>13</v>
      </c>
      <c r="B25" s="190" t="s">
        <v>130</v>
      </c>
      <c r="C25" s="178" t="s">
        <v>153</v>
      </c>
      <c r="D25" s="179" t="s">
        <v>132</v>
      </c>
      <c r="E25" s="155"/>
      <c r="F25" s="155">
        <v>2021</v>
      </c>
      <c r="G25" s="156">
        <v>17</v>
      </c>
      <c r="H25" s="163">
        <v>1.7</v>
      </c>
      <c r="I25" s="163">
        <v>3.06</v>
      </c>
      <c r="J25" s="163">
        <v>0</v>
      </c>
      <c r="K25" s="163">
        <v>0</v>
      </c>
      <c r="L25" s="150">
        <v>2.5499999999999998</v>
      </c>
      <c r="M25" s="166"/>
      <c r="N25" s="150">
        <v>0.85</v>
      </c>
      <c r="O25" s="150">
        <v>1.19</v>
      </c>
      <c r="P25" s="150"/>
      <c r="Q25" s="150"/>
      <c r="R25" s="168">
        <v>22.1</v>
      </c>
      <c r="S25" s="168">
        <v>25.16</v>
      </c>
      <c r="T25" s="180">
        <v>78</v>
      </c>
      <c r="U25" s="180">
        <v>26</v>
      </c>
      <c r="V25" s="168">
        <v>17.238000000000003</v>
      </c>
      <c r="W25" s="168">
        <v>19.6248</v>
      </c>
      <c r="X25" s="168">
        <v>448.1880000000001</v>
      </c>
      <c r="Y25" s="168">
        <v>510.2448</v>
      </c>
      <c r="Z25" s="155">
        <v>1344.5640000000003</v>
      </c>
      <c r="AA25" s="155">
        <v>3061.4688000000001</v>
      </c>
      <c r="AB25" s="155">
        <v>4406.0328000000009</v>
      </c>
      <c r="AC25" s="191"/>
      <c r="AD25" s="191"/>
      <c r="AE25" s="192"/>
      <c r="AF25" s="192"/>
      <c r="AG25" s="192"/>
      <c r="AH25" s="192"/>
      <c r="AI25" s="192"/>
      <c r="AJ25" s="192"/>
      <c r="AK25" s="192"/>
      <c r="AL25" s="192"/>
    </row>
    <row r="26" spans="1:132" s="113" customFormat="1" ht="18" hidden="1" customHeight="1" x14ac:dyDescent="0.2">
      <c r="A26" s="194"/>
      <c r="B26" s="195" t="s">
        <v>130</v>
      </c>
      <c r="C26" s="196" t="s">
        <v>152</v>
      </c>
      <c r="D26" s="197" t="s">
        <v>132</v>
      </c>
      <c r="E26" s="147"/>
      <c r="F26" s="147">
        <v>2021</v>
      </c>
      <c r="G26" s="198">
        <v>17</v>
      </c>
      <c r="H26" s="199">
        <v>1.7</v>
      </c>
      <c r="I26" s="199">
        <v>3.06</v>
      </c>
      <c r="J26" s="199">
        <v>0</v>
      </c>
      <c r="K26" s="199">
        <v>0</v>
      </c>
      <c r="L26" s="200">
        <v>2.5499999999999998</v>
      </c>
      <c r="M26" s="201"/>
      <c r="N26" s="200">
        <v>0.85</v>
      </c>
      <c r="O26" s="200">
        <v>1.19</v>
      </c>
      <c r="P26" s="200"/>
      <c r="Q26" s="200"/>
      <c r="R26" s="144">
        <f>G26+H26+K26+L26+N26</f>
        <v>22.1</v>
      </c>
      <c r="S26" s="144">
        <f>R26+I26</f>
        <v>25.16</v>
      </c>
      <c r="T26" s="202">
        <v>78</v>
      </c>
      <c r="U26" s="203">
        <v>26</v>
      </c>
      <c r="V26" s="159">
        <f>R26*T26/100</f>
        <v>17.238000000000003</v>
      </c>
      <c r="W26" s="159">
        <f>S26*T26/100</f>
        <v>19.6248</v>
      </c>
      <c r="X26" s="159">
        <f>V26*U26</f>
        <v>448.1880000000001</v>
      </c>
      <c r="Y26" s="159">
        <f>W26*U26</f>
        <v>510.2448</v>
      </c>
      <c r="Z26" s="160">
        <f>X26*3</f>
        <v>1344.5640000000003</v>
      </c>
      <c r="AA26" s="160">
        <f>Y26*6</f>
        <v>3061.4688000000001</v>
      </c>
      <c r="AB26" s="160">
        <f>Z26+AA26</f>
        <v>4406.0328000000009</v>
      </c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</row>
    <row r="27" spans="1:132" s="113" customFormat="1" ht="42" customHeight="1" x14ac:dyDescent="0.2">
      <c r="A27" s="316" t="s">
        <v>91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204">
        <f>SUM(AB12:AB26)</f>
        <v>74454.23964</v>
      </c>
      <c r="AC27" s="186"/>
      <c r="AD27" s="186"/>
      <c r="AE27" s="186"/>
      <c r="AF27" s="162"/>
      <c r="AG27" s="162"/>
      <c r="AH27" s="162"/>
      <c r="AI27" s="162"/>
      <c r="AJ27" s="162"/>
      <c r="AK27" s="162"/>
      <c r="AL27" s="162"/>
    </row>
    <row r="28" spans="1:132" s="113" customFormat="1" ht="43.5" customHeight="1" x14ac:dyDescent="0.2">
      <c r="A28" s="194"/>
      <c r="B28" s="205"/>
      <c r="C28" s="206"/>
      <c r="D28" s="207"/>
      <c r="E28" s="208"/>
      <c r="F28" s="209"/>
      <c r="G28" s="209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1"/>
      <c r="T28" s="209"/>
      <c r="U28" s="209"/>
      <c r="V28" s="211"/>
      <c r="W28" s="211"/>
      <c r="X28" s="211"/>
      <c r="Y28" s="211"/>
      <c r="Z28" s="210"/>
      <c r="AA28" s="209"/>
      <c r="AB28" s="212"/>
      <c r="AC28" s="186"/>
      <c r="AD28" s="186"/>
      <c r="AE28" s="186"/>
      <c r="AF28" s="162"/>
      <c r="AG28" s="162"/>
      <c r="AH28" s="162"/>
      <c r="AI28" s="162"/>
      <c r="AJ28" s="162"/>
      <c r="AK28" s="162"/>
      <c r="AL28" s="162"/>
    </row>
    <row r="29" spans="1:132" s="113" customFormat="1" ht="44.25" customHeight="1" x14ac:dyDescent="0.2">
      <c r="A29" s="194"/>
      <c r="B29" s="205"/>
      <c r="C29" s="206"/>
      <c r="D29" s="207"/>
      <c r="E29" s="213"/>
      <c r="F29" s="209"/>
      <c r="G29" s="209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1"/>
      <c r="T29" s="209"/>
      <c r="U29" s="209"/>
      <c r="V29" s="211"/>
      <c r="W29" s="211"/>
      <c r="X29" s="211"/>
      <c r="Y29" s="211"/>
      <c r="Z29" s="210"/>
      <c r="AA29" s="209"/>
      <c r="AB29" s="212"/>
      <c r="AC29" s="186"/>
      <c r="AD29" s="186"/>
      <c r="AE29" s="186"/>
      <c r="AF29" s="162"/>
      <c r="AG29" s="162"/>
      <c r="AH29" s="162"/>
      <c r="AI29" s="162"/>
      <c r="AJ29" s="162"/>
      <c r="AK29" s="162"/>
      <c r="AL29" s="162"/>
    </row>
    <row r="30" spans="1:132" s="113" customFormat="1" ht="18" customHeight="1" x14ac:dyDescent="0.2">
      <c r="A30" s="317"/>
      <c r="B30" s="318"/>
      <c r="C30" s="319"/>
      <c r="D30" s="320"/>
      <c r="E30" s="321"/>
      <c r="F30" s="322"/>
      <c r="G30" s="322"/>
      <c r="H30" s="323"/>
      <c r="I30" s="323"/>
      <c r="J30" s="323"/>
      <c r="K30" s="324"/>
      <c r="L30" s="211"/>
      <c r="M30" s="211"/>
      <c r="N30" s="211"/>
      <c r="O30" s="211"/>
      <c r="P30" s="211"/>
      <c r="Q30" s="211"/>
      <c r="R30" s="324"/>
      <c r="S30" s="324"/>
      <c r="T30" s="322"/>
      <c r="U30" s="322"/>
      <c r="V30" s="324"/>
      <c r="W30" s="324"/>
      <c r="X30" s="324"/>
      <c r="Y30" s="324"/>
      <c r="Z30" s="323"/>
      <c r="AA30" s="322"/>
      <c r="AB30" s="325"/>
      <c r="AC30" s="214"/>
      <c r="AD30" s="214"/>
      <c r="AE30" s="214"/>
      <c r="AF30" s="119"/>
      <c r="AG30" s="119"/>
      <c r="AH30" s="119"/>
      <c r="AI30" s="119"/>
      <c r="AJ30" s="119"/>
      <c r="AK30" s="119"/>
      <c r="AL30" s="119"/>
    </row>
    <row r="31" spans="1:132" s="113" customFormat="1" ht="14.25" customHeight="1" x14ac:dyDescent="0.2">
      <c r="A31" s="317"/>
      <c r="B31" s="318"/>
      <c r="C31" s="319"/>
      <c r="D31" s="320"/>
      <c r="E31" s="321"/>
      <c r="F31" s="322"/>
      <c r="G31" s="322"/>
      <c r="H31" s="323"/>
      <c r="I31" s="323"/>
      <c r="J31" s="323"/>
      <c r="K31" s="324"/>
      <c r="L31" s="211"/>
      <c r="M31" s="211"/>
      <c r="N31" s="211"/>
      <c r="O31" s="211"/>
      <c r="P31" s="211"/>
      <c r="Q31" s="211"/>
      <c r="R31" s="324"/>
      <c r="S31" s="324"/>
      <c r="T31" s="322"/>
      <c r="U31" s="322"/>
      <c r="V31" s="324"/>
      <c r="W31" s="324"/>
      <c r="X31" s="324"/>
      <c r="Y31" s="324"/>
      <c r="Z31" s="323"/>
      <c r="AA31" s="322"/>
      <c r="AB31" s="325"/>
      <c r="AC31" s="186"/>
      <c r="AD31" s="186"/>
      <c r="AE31" s="186"/>
      <c r="AF31" s="162"/>
      <c r="AG31" s="162"/>
      <c r="AH31" s="162"/>
      <c r="AI31" s="162"/>
      <c r="AJ31" s="162"/>
      <c r="AK31" s="162"/>
      <c r="AL31" s="162"/>
    </row>
    <row r="32" spans="1:132" s="113" customFormat="1" ht="18" x14ac:dyDescent="0.25">
      <c r="C32" s="215"/>
      <c r="D32" s="216"/>
      <c r="E32" s="217"/>
      <c r="F32" s="217"/>
      <c r="G32" s="217"/>
      <c r="H32" s="218"/>
      <c r="I32" s="218"/>
      <c r="J32" s="218"/>
      <c r="K32" s="219"/>
      <c r="L32" s="219"/>
      <c r="M32" s="219"/>
      <c r="N32" s="219"/>
      <c r="O32" s="219"/>
      <c r="P32" s="219"/>
      <c r="Q32" s="219"/>
      <c r="R32" s="219"/>
      <c r="S32" s="219"/>
      <c r="T32" s="220"/>
      <c r="U32" s="220"/>
      <c r="V32" s="219"/>
      <c r="W32" s="219"/>
      <c r="X32" s="219"/>
      <c r="Y32" s="220"/>
      <c r="Z32" s="219"/>
      <c r="AA32" s="221"/>
      <c r="AB32" s="212"/>
      <c r="AC32" s="222"/>
      <c r="AD32" s="222"/>
      <c r="AE32" s="222"/>
      <c r="AF32" s="223"/>
      <c r="AG32" s="223"/>
      <c r="AH32" s="223"/>
      <c r="AI32" s="223"/>
      <c r="AJ32" s="223"/>
      <c r="AK32" s="223"/>
      <c r="AL32" s="223"/>
    </row>
    <row r="33" spans="1:5" s="113" customFormat="1" ht="18" x14ac:dyDescent="0.25">
      <c r="A33" s="224"/>
      <c r="B33" s="224"/>
      <c r="C33" s="224"/>
      <c r="D33" s="224"/>
      <c r="E33" s="224"/>
    </row>
    <row r="34" spans="1:5" ht="18" x14ac:dyDescent="0.25">
      <c r="A34" s="124"/>
      <c r="B34" s="124"/>
      <c r="C34" s="124"/>
      <c r="D34" s="124"/>
      <c r="E34" s="124"/>
    </row>
    <row r="35" spans="1:5" ht="18" x14ac:dyDescent="0.25">
      <c r="A35" s="124"/>
      <c r="B35" s="124"/>
      <c r="C35" s="124"/>
      <c r="D35" s="124"/>
      <c r="E35" s="124"/>
    </row>
    <row r="36" spans="1:5" ht="18" x14ac:dyDescent="0.25">
      <c r="A36" s="124"/>
      <c r="B36" s="124"/>
      <c r="C36" s="124"/>
      <c r="D36" s="124"/>
      <c r="E36" s="124"/>
    </row>
    <row r="37" spans="1:5" ht="18" x14ac:dyDescent="0.25">
      <c r="A37" s="124"/>
      <c r="B37" s="124"/>
      <c r="C37" s="124"/>
      <c r="D37" s="124"/>
      <c r="E37" s="124"/>
    </row>
    <row r="38" spans="1:5" ht="18" x14ac:dyDescent="0.25">
      <c r="A38" s="124"/>
      <c r="B38" s="124"/>
      <c r="C38" s="124"/>
      <c r="D38" s="124"/>
      <c r="E38" s="124"/>
    </row>
    <row r="39" spans="1:5" ht="18" x14ac:dyDescent="0.25">
      <c r="A39" s="124"/>
      <c r="B39" s="124"/>
      <c r="C39" s="124"/>
      <c r="D39" s="124"/>
      <c r="E39" s="124"/>
    </row>
    <row r="40" spans="1:5" ht="18" x14ac:dyDescent="0.25">
      <c r="A40" s="124"/>
      <c r="B40" s="124"/>
      <c r="C40" s="124"/>
      <c r="D40" s="124"/>
      <c r="E40" s="124"/>
    </row>
    <row r="41" spans="1:5" ht="18" x14ac:dyDescent="0.25">
      <c r="A41" s="124"/>
      <c r="B41" s="124"/>
      <c r="C41" s="124"/>
      <c r="D41" s="124"/>
      <c r="E41" s="124"/>
    </row>
    <row r="42" spans="1:5" ht="18" x14ac:dyDescent="0.25">
      <c r="A42" s="124"/>
      <c r="B42" s="124"/>
      <c r="C42" s="124"/>
      <c r="D42" s="124"/>
      <c r="E42" s="124"/>
    </row>
  </sheetData>
  <mergeCells count="103">
    <mergeCell ref="AB30:AB31"/>
    <mergeCell ref="V30:V31"/>
    <mergeCell ref="W30:W31"/>
    <mergeCell ref="X30:X31"/>
    <mergeCell ref="Y30:Y31"/>
    <mergeCell ref="Z30:Z31"/>
    <mergeCell ref="AA30:AA31"/>
    <mergeCell ref="J30:J31"/>
    <mergeCell ref="K30:K31"/>
    <mergeCell ref="R30:R31"/>
    <mergeCell ref="S30:S31"/>
    <mergeCell ref="T30:T31"/>
    <mergeCell ref="U30:U31"/>
    <mergeCell ref="A27:AA27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B10:AB11"/>
    <mergeCell ref="W12:W13"/>
    <mergeCell ref="X12:X13"/>
    <mergeCell ref="Y12:Y13"/>
    <mergeCell ref="Z12:Z13"/>
    <mergeCell ref="AA12:AA13"/>
    <mergeCell ref="AB12:AB13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J10:J11"/>
    <mergeCell ref="K10:K11"/>
    <mergeCell ref="L10:L11"/>
    <mergeCell ref="M10:M11"/>
    <mergeCell ref="N10:N11"/>
    <mergeCell ref="O10:O11"/>
    <mergeCell ref="AB7:AB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P7:P8"/>
    <mergeCell ref="Q7:Q8"/>
    <mergeCell ref="R7:R8"/>
    <mergeCell ref="S7:S8"/>
    <mergeCell ref="T7:T8"/>
    <mergeCell ref="U7:U8"/>
    <mergeCell ref="I7:I8"/>
    <mergeCell ref="J7:J8"/>
    <mergeCell ref="K7:K8"/>
    <mergeCell ref="L7:L8"/>
    <mergeCell ref="M7:M8"/>
    <mergeCell ref="N7:N8"/>
    <mergeCell ref="V1:AB1"/>
    <mergeCell ref="V2:AB2"/>
    <mergeCell ref="U3:AB5"/>
    <mergeCell ref="A6:AB6"/>
    <mergeCell ref="A7:A8"/>
    <mergeCell ref="B7:B8"/>
    <mergeCell ref="C7:C8"/>
    <mergeCell ref="D7:D8"/>
    <mergeCell ref="E7:E8"/>
    <mergeCell ref="F7:F8"/>
    <mergeCell ref="F12:F13"/>
    <mergeCell ref="A12:A13"/>
    <mergeCell ref="B12:B13"/>
    <mergeCell ref="C12:C13"/>
    <mergeCell ref="D12:D13"/>
    <mergeCell ref="E12:E13"/>
    <mergeCell ref="T12:T13"/>
    <mergeCell ref="U12:U13"/>
    <mergeCell ref="S12:S13"/>
    <mergeCell ref="M12:M13"/>
    <mergeCell ref="N12:N13"/>
    <mergeCell ref="O12:O13"/>
    <mergeCell ref="R12:R13"/>
    <mergeCell ref="V12:V13"/>
    <mergeCell ref="O7:O8"/>
    <mergeCell ref="G7:G8"/>
    <mergeCell ref="H7:H8"/>
    <mergeCell ref="G12:G13"/>
    <mergeCell ref="H12:H13"/>
    <mergeCell ref="I12:I13"/>
    <mergeCell ref="J12:J13"/>
    <mergeCell ref="K12:K13"/>
    <mergeCell ref="L12:L13"/>
  </mergeCells>
  <pageMargins left="0.70866141732283472" right="0.70866141732283472" top="0.28999999999999998" bottom="0.22" header="0.31496062992125984" footer="0.31496062992125984"/>
  <pageSetup paperSize="9" scale="54" orientation="landscape" r:id="rId1"/>
  <rowBreaks count="1" manualBreakCount="1">
    <brk id="27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1"/>
  <sheetViews>
    <sheetView view="pageBreakPreview" topLeftCell="A42" zoomScale="90" zoomScaleNormal="100" zoomScaleSheetLayoutView="90" workbookViewId="0">
      <selection activeCell="I12" sqref="I12:I14"/>
    </sheetView>
  </sheetViews>
  <sheetFormatPr defaultRowHeight="12.75" x14ac:dyDescent="0.2"/>
  <cols>
    <col min="1" max="1" width="16.85546875" customWidth="1"/>
    <col min="2" max="2" width="14.140625" customWidth="1"/>
    <col min="8" max="8" width="9.140625" style="174"/>
    <col min="13" max="13" width="9.7109375" customWidth="1"/>
    <col min="14" max="14" width="9.5703125" customWidth="1"/>
    <col min="15" max="15" width="8.5703125" customWidth="1"/>
    <col min="16" max="16" width="8" customWidth="1"/>
    <col min="17" max="17" width="10" customWidth="1"/>
    <col min="18" max="18" width="9.42578125" customWidth="1"/>
    <col min="19" max="19" width="9.7109375" customWidth="1"/>
    <col min="20" max="20" width="9" customWidth="1"/>
    <col min="21" max="21" width="10.5703125" customWidth="1"/>
    <col min="22" max="22" width="10" customWidth="1"/>
    <col min="23" max="23" width="11.42578125" customWidth="1"/>
    <col min="24" max="24" width="11.5703125" customWidth="1"/>
    <col min="25" max="25" width="13.7109375" customWidth="1"/>
  </cols>
  <sheetData>
    <row r="1" spans="1:59" x14ac:dyDescent="0.2">
      <c r="A1" s="2"/>
      <c r="B1" s="3"/>
      <c r="C1" s="4"/>
      <c r="D1" s="4"/>
      <c r="E1" s="4"/>
      <c r="F1" s="4"/>
      <c r="G1" s="4"/>
      <c r="H1" s="239"/>
      <c r="I1" s="4"/>
      <c r="J1" s="4"/>
      <c r="K1" s="4"/>
      <c r="L1" s="4"/>
      <c r="M1" s="4"/>
      <c r="N1" s="4"/>
      <c r="O1" s="4"/>
      <c r="P1" s="374" t="s">
        <v>41</v>
      </c>
      <c r="Q1" s="374"/>
      <c r="R1" s="374"/>
      <c r="S1" s="374"/>
      <c r="T1" s="374"/>
      <c r="U1" s="374"/>
      <c r="V1" s="374"/>
      <c r="W1" s="375"/>
      <c r="X1" s="375"/>
      <c r="Y1" s="37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6"/>
      <c r="AL1" s="6"/>
      <c r="AM1" s="6"/>
      <c r="AN1" s="6"/>
      <c r="AO1" s="7"/>
      <c r="AP1" s="7"/>
      <c r="AQ1" s="7"/>
      <c r="AR1" s="7"/>
      <c r="AS1" s="7"/>
      <c r="AT1" s="6"/>
      <c r="AU1" s="6"/>
      <c r="AV1" s="6"/>
      <c r="AW1" s="6"/>
      <c r="AX1" s="6"/>
      <c r="AY1" s="6"/>
      <c r="AZ1" s="7"/>
      <c r="BA1" s="7"/>
      <c r="BB1" s="7"/>
      <c r="BC1" s="7"/>
      <c r="BD1" s="2"/>
      <c r="BE1" s="7"/>
      <c r="BF1" s="8"/>
      <c r="BG1" s="8"/>
    </row>
    <row r="2" spans="1:59" x14ac:dyDescent="0.2">
      <c r="A2" s="2"/>
      <c r="B2" s="3"/>
      <c r="C2" s="4"/>
      <c r="D2" s="4"/>
      <c r="E2" s="4"/>
      <c r="F2" s="4"/>
      <c r="G2" s="4"/>
      <c r="H2" s="239"/>
      <c r="I2" s="4"/>
      <c r="J2" s="4"/>
      <c r="K2" s="4"/>
      <c r="L2" s="4"/>
      <c r="M2" s="4"/>
      <c r="N2" s="4"/>
      <c r="O2" s="4"/>
      <c r="P2" s="374" t="s">
        <v>7</v>
      </c>
      <c r="Q2" s="374"/>
      <c r="R2" s="374"/>
      <c r="S2" s="374"/>
      <c r="T2" s="374"/>
      <c r="U2" s="374"/>
      <c r="V2" s="374"/>
      <c r="W2" s="375"/>
      <c r="X2" s="375"/>
      <c r="Y2" s="37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6"/>
      <c r="AL2" s="6"/>
      <c r="AM2" s="6"/>
      <c r="AN2" s="6"/>
      <c r="AO2" s="7"/>
      <c r="AP2" s="7"/>
      <c r="AQ2" s="7"/>
      <c r="AR2" s="7"/>
      <c r="AS2" s="7"/>
      <c r="AT2" s="6"/>
      <c r="AU2" s="6"/>
      <c r="AV2" s="6"/>
      <c r="AW2" s="6"/>
      <c r="AX2" s="6"/>
      <c r="AY2" s="6"/>
      <c r="AZ2" s="7"/>
      <c r="BA2" s="7"/>
      <c r="BB2" s="7"/>
      <c r="BC2" s="7"/>
      <c r="BD2" s="2"/>
      <c r="BE2" s="7"/>
      <c r="BF2" s="8"/>
      <c r="BG2" s="8"/>
    </row>
    <row r="3" spans="1:59" x14ac:dyDescent="0.2">
      <c r="A3" s="2"/>
      <c r="B3" s="3"/>
      <c r="C3" s="4"/>
      <c r="D3" s="4"/>
      <c r="E3" s="4"/>
      <c r="F3" s="4"/>
      <c r="G3" s="4"/>
      <c r="H3" s="239"/>
      <c r="I3" s="4"/>
      <c r="J3" s="4"/>
      <c r="K3" s="4" t="s">
        <v>8</v>
      </c>
      <c r="L3" s="4"/>
      <c r="M3" s="4"/>
      <c r="N3" s="4"/>
      <c r="O3" s="4"/>
      <c r="P3" s="374" t="s">
        <v>42</v>
      </c>
      <c r="Q3" s="374"/>
      <c r="R3" s="374"/>
      <c r="S3" s="374"/>
      <c r="T3" s="374"/>
      <c r="U3" s="374"/>
      <c r="V3" s="374"/>
      <c r="W3" s="375"/>
      <c r="X3" s="375"/>
      <c r="Y3" s="37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6"/>
      <c r="AL3" s="6"/>
      <c r="AM3" s="6"/>
      <c r="AN3" s="6"/>
      <c r="AO3" s="7"/>
      <c r="AP3" s="7"/>
      <c r="AQ3" s="7"/>
      <c r="AR3" s="7"/>
      <c r="AS3" s="7"/>
      <c r="AT3" s="6"/>
      <c r="AU3" s="6"/>
      <c r="AV3" s="6"/>
      <c r="AW3" s="6"/>
      <c r="AX3" s="6"/>
      <c r="AY3" s="6"/>
      <c r="AZ3" s="7"/>
      <c r="BA3" s="7"/>
      <c r="BB3" s="7"/>
      <c r="BC3" s="7"/>
      <c r="BD3" s="2"/>
      <c r="BE3" s="7"/>
      <c r="BF3" s="8"/>
      <c r="BG3" s="8"/>
    </row>
    <row r="4" spans="1:59" x14ac:dyDescent="0.2">
      <c r="A4" s="2"/>
      <c r="B4" s="3"/>
      <c r="C4" s="4"/>
      <c r="D4" s="4"/>
      <c r="E4" s="4"/>
      <c r="F4" s="4"/>
      <c r="G4" s="4"/>
      <c r="H4" s="239"/>
      <c r="I4" s="4"/>
      <c r="J4" s="4"/>
      <c r="K4" s="4"/>
      <c r="L4" s="4"/>
      <c r="M4" s="4"/>
      <c r="N4" s="4"/>
      <c r="O4" s="4"/>
      <c r="P4" s="374"/>
      <c r="Q4" s="374"/>
      <c r="R4" s="374"/>
      <c r="S4" s="374"/>
      <c r="T4" s="374"/>
      <c r="U4" s="374"/>
      <c r="V4" s="374"/>
      <c r="W4" s="375"/>
      <c r="X4" s="375"/>
      <c r="Y4" s="375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  <c r="AK4" s="6"/>
      <c r="AL4" s="6"/>
      <c r="AM4" s="6"/>
      <c r="AN4" s="6"/>
      <c r="AO4" s="7"/>
      <c r="AP4" s="7"/>
      <c r="AQ4" s="7"/>
      <c r="AR4" s="7"/>
      <c r="AS4" s="7"/>
      <c r="AT4" s="6"/>
      <c r="AU4" s="6"/>
      <c r="AV4" s="6"/>
      <c r="AW4" s="6"/>
      <c r="AX4" s="6"/>
      <c r="AY4" s="6"/>
      <c r="AZ4" s="7"/>
      <c r="BA4" s="7"/>
      <c r="BB4" s="7"/>
      <c r="BC4" s="7"/>
      <c r="BD4" s="2"/>
      <c r="BE4" s="7"/>
      <c r="BF4" s="8"/>
      <c r="BG4" s="8"/>
    </row>
    <row r="5" spans="1:59" ht="18" customHeight="1" x14ac:dyDescent="0.25">
      <c r="A5" s="2"/>
      <c r="B5" s="3"/>
      <c r="C5" s="4"/>
      <c r="D5" s="4"/>
      <c r="E5" s="4"/>
      <c r="F5" s="4"/>
      <c r="G5" s="4"/>
      <c r="H5" s="239"/>
      <c r="I5" s="4"/>
      <c r="J5" s="4"/>
      <c r="K5" s="4"/>
      <c r="L5" s="4"/>
      <c r="M5" s="4"/>
      <c r="N5" s="4"/>
      <c r="O5" s="4"/>
      <c r="P5" s="249"/>
      <c r="Q5" s="122"/>
      <c r="R5" s="326" t="s">
        <v>167</v>
      </c>
      <c r="S5" s="326"/>
      <c r="T5" s="326"/>
      <c r="U5" s="326"/>
      <c r="V5" s="281"/>
      <c r="W5" s="281"/>
      <c r="X5" s="281"/>
      <c r="Y5" s="250"/>
      <c r="Z5" s="5"/>
      <c r="AA5" s="5"/>
      <c r="AB5" s="5"/>
      <c r="AC5" s="5"/>
      <c r="AD5" s="5"/>
      <c r="AE5" s="5"/>
      <c r="AF5" s="5"/>
      <c r="AG5" s="5"/>
      <c r="AH5" s="5"/>
      <c r="AI5" s="5"/>
      <c r="AJ5" s="6"/>
      <c r="AK5" s="6"/>
      <c r="AL5" s="6"/>
      <c r="AM5" s="6"/>
      <c r="AN5" s="6"/>
      <c r="AO5" s="7"/>
      <c r="AP5" s="7"/>
      <c r="AQ5" s="7"/>
      <c r="AR5" s="7"/>
      <c r="AS5" s="7"/>
      <c r="AT5" s="6"/>
      <c r="AU5" s="6"/>
      <c r="AV5" s="6"/>
      <c r="AW5" s="6"/>
      <c r="AX5" s="6"/>
      <c r="AY5" s="6"/>
      <c r="AZ5" s="7"/>
      <c r="BA5" s="7"/>
      <c r="BB5" s="7"/>
      <c r="BC5" s="7"/>
      <c r="BD5" s="2"/>
      <c r="BE5" s="7"/>
      <c r="BF5" s="8"/>
      <c r="BG5" s="8"/>
    </row>
    <row r="6" spans="1:59" ht="15.75" customHeight="1" x14ac:dyDescent="0.25">
      <c r="A6" s="2"/>
      <c r="B6" s="3"/>
      <c r="C6" s="4"/>
      <c r="D6" s="4"/>
      <c r="E6" s="4"/>
      <c r="F6" s="4"/>
      <c r="G6" s="4"/>
      <c r="H6" s="239"/>
      <c r="I6" s="4"/>
      <c r="J6" s="4"/>
      <c r="K6" s="4"/>
      <c r="L6" s="4"/>
      <c r="M6" s="4"/>
      <c r="N6" s="4"/>
      <c r="O6" s="4"/>
      <c r="P6" s="249"/>
      <c r="Q6" s="127"/>
      <c r="R6" s="279" t="s">
        <v>168</v>
      </c>
      <c r="S6" s="279"/>
      <c r="T6" s="279"/>
      <c r="U6" s="279"/>
      <c r="V6" s="281"/>
      <c r="W6" s="281"/>
      <c r="X6" s="281"/>
      <c r="Y6" s="250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  <c r="AK6" s="6"/>
      <c r="AL6" s="6"/>
      <c r="AM6" s="6"/>
      <c r="AN6" s="6"/>
      <c r="AO6" s="7"/>
      <c r="AP6" s="7"/>
      <c r="AQ6" s="7"/>
      <c r="AR6" s="7"/>
      <c r="AS6" s="7"/>
      <c r="AT6" s="6"/>
      <c r="AU6" s="6"/>
      <c r="AV6" s="6"/>
      <c r="AW6" s="6"/>
      <c r="AX6" s="6"/>
      <c r="AY6" s="6"/>
      <c r="AZ6" s="7"/>
      <c r="BA6" s="7"/>
      <c r="BB6" s="7"/>
      <c r="BC6" s="7"/>
      <c r="BD6" s="2"/>
      <c r="BE6" s="7"/>
      <c r="BF6" s="8"/>
      <c r="BG6" s="8"/>
    </row>
    <row r="7" spans="1:59" ht="12.75" customHeight="1" x14ac:dyDescent="0.2">
      <c r="A7" s="2"/>
      <c r="B7" s="3"/>
      <c r="C7" s="4"/>
      <c r="D7" s="4"/>
      <c r="E7" s="4"/>
      <c r="F7" s="4"/>
      <c r="G7" s="4"/>
      <c r="H7" s="239"/>
      <c r="I7" s="4"/>
      <c r="J7" s="4"/>
      <c r="K7" s="4"/>
      <c r="L7" s="4"/>
      <c r="M7" s="4"/>
      <c r="N7" s="4"/>
      <c r="O7" s="4"/>
      <c r="P7" s="249"/>
      <c r="Q7" s="279" t="s">
        <v>170</v>
      </c>
      <c r="R7" s="279"/>
      <c r="S7" s="279"/>
      <c r="T7" s="279"/>
      <c r="U7" s="279"/>
      <c r="V7" s="279"/>
      <c r="W7" s="281"/>
      <c r="X7" s="281"/>
      <c r="Y7" s="250"/>
      <c r="Z7" s="5"/>
      <c r="AA7" s="5"/>
      <c r="AB7" s="5"/>
      <c r="AC7" s="5"/>
      <c r="AD7" s="5"/>
      <c r="AE7" s="5"/>
      <c r="AF7" s="5"/>
      <c r="AG7" s="5"/>
      <c r="AH7" s="5"/>
      <c r="AI7" s="5"/>
      <c r="AJ7" s="6"/>
      <c r="AK7" s="6"/>
      <c r="AL7" s="6"/>
      <c r="AM7" s="6"/>
      <c r="AN7" s="6"/>
      <c r="AO7" s="7"/>
      <c r="AP7" s="7"/>
      <c r="AQ7" s="7"/>
      <c r="AR7" s="7"/>
      <c r="AS7" s="7"/>
      <c r="AT7" s="6"/>
      <c r="AU7" s="6"/>
      <c r="AV7" s="6"/>
      <c r="AW7" s="6"/>
      <c r="AX7" s="6"/>
      <c r="AY7" s="6"/>
      <c r="AZ7" s="7"/>
      <c r="BA7" s="7"/>
      <c r="BB7" s="7"/>
      <c r="BC7" s="7"/>
      <c r="BD7" s="2"/>
      <c r="BE7" s="7"/>
      <c r="BF7" s="8"/>
      <c r="BG7" s="8"/>
    </row>
    <row r="8" spans="1:59" ht="12.75" customHeight="1" x14ac:dyDescent="0.2">
      <c r="A8" s="2"/>
      <c r="B8" s="3"/>
      <c r="C8" s="4"/>
      <c r="D8" s="4"/>
      <c r="E8" s="4"/>
      <c r="F8" s="4"/>
      <c r="G8" s="4"/>
      <c r="H8" s="239"/>
      <c r="I8" s="4"/>
      <c r="J8" s="4"/>
      <c r="K8" s="4"/>
      <c r="L8" s="4"/>
      <c r="M8" s="4"/>
      <c r="N8" s="4"/>
      <c r="O8" s="4"/>
      <c r="P8" s="249"/>
      <c r="Q8" s="279"/>
      <c r="R8" s="279"/>
      <c r="S8" s="279"/>
      <c r="T8" s="279"/>
      <c r="U8" s="279"/>
      <c r="V8" s="279"/>
      <c r="W8" s="281"/>
      <c r="X8" s="281"/>
      <c r="Y8" s="250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  <c r="AK8" s="6"/>
      <c r="AL8" s="6"/>
      <c r="AM8" s="6"/>
      <c r="AN8" s="6"/>
      <c r="AO8" s="7"/>
      <c r="AP8" s="7"/>
      <c r="AQ8" s="7"/>
      <c r="AR8" s="7"/>
      <c r="AS8" s="7"/>
      <c r="AT8" s="6"/>
      <c r="AU8" s="6"/>
      <c r="AV8" s="6"/>
      <c r="AW8" s="6"/>
      <c r="AX8" s="6"/>
      <c r="AY8" s="6"/>
      <c r="AZ8" s="7"/>
      <c r="BA8" s="7"/>
      <c r="BB8" s="7"/>
      <c r="BC8" s="7"/>
      <c r="BD8" s="2"/>
      <c r="BE8" s="7"/>
      <c r="BF8" s="8"/>
      <c r="BG8" s="8"/>
    </row>
    <row r="9" spans="1:59" ht="12.75" customHeight="1" x14ac:dyDescent="0.2">
      <c r="A9" s="2"/>
      <c r="B9" s="3"/>
      <c r="C9" s="4"/>
      <c r="D9" s="4"/>
      <c r="E9" s="4"/>
      <c r="F9" s="4"/>
      <c r="G9" s="4"/>
      <c r="H9" s="239"/>
      <c r="I9" s="4"/>
      <c r="J9" s="4"/>
      <c r="K9" s="4"/>
      <c r="L9" s="4"/>
      <c r="M9" s="4"/>
      <c r="N9" s="4"/>
      <c r="O9" s="4"/>
      <c r="P9" s="249"/>
      <c r="Q9" s="279"/>
      <c r="R9" s="279"/>
      <c r="S9" s="279"/>
      <c r="T9" s="279"/>
      <c r="U9" s="279"/>
      <c r="V9" s="279"/>
      <c r="W9" s="281"/>
      <c r="X9" s="281"/>
      <c r="Y9" s="250"/>
      <c r="Z9" s="5"/>
      <c r="AA9" s="5"/>
      <c r="AB9" s="5"/>
      <c r="AC9" s="5"/>
      <c r="AD9" s="5"/>
      <c r="AE9" s="5"/>
      <c r="AF9" s="5"/>
      <c r="AG9" s="5"/>
      <c r="AH9" s="5"/>
      <c r="AI9" s="5"/>
      <c r="AJ9" s="6"/>
      <c r="AK9" s="6"/>
      <c r="AL9" s="6"/>
      <c r="AM9" s="6"/>
      <c r="AN9" s="6"/>
      <c r="AO9" s="7"/>
      <c r="AP9" s="7"/>
      <c r="AQ9" s="7"/>
      <c r="AR9" s="7"/>
      <c r="AS9" s="7"/>
      <c r="AT9" s="6"/>
      <c r="AU9" s="6"/>
      <c r="AV9" s="6"/>
      <c r="AW9" s="6"/>
      <c r="AX9" s="6"/>
      <c r="AY9" s="6"/>
      <c r="AZ9" s="7"/>
      <c r="BA9" s="7"/>
      <c r="BB9" s="7"/>
      <c r="BC9" s="7"/>
      <c r="BD9" s="2"/>
      <c r="BE9" s="7"/>
      <c r="BF9" s="8"/>
      <c r="BG9" s="8"/>
    </row>
    <row r="10" spans="1:59" ht="15.75" x14ac:dyDescent="0.25">
      <c r="A10" s="376" t="s">
        <v>169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6"/>
      <c r="AK10" s="6"/>
      <c r="AL10" s="6"/>
      <c r="AM10" s="6"/>
      <c r="AN10" s="6"/>
      <c r="AO10" s="7"/>
      <c r="AP10" s="7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7"/>
      <c r="BB10" s="7"/>
      <c r="BC10" s="7"/>
      <c r="BD10" s="2"/>
      <c r="BE10" s="7"/>
      <c r="BF10" s="8"/>
      <c r="BG10" s="8"/>
    </row>
    <row r="11" spans="1:59" ht="15.75" x14ac:dyDescent="0.25">
      <c r="A11" s="9"/>
      <c r="B11" s="9"/>
      <c r="C11" s="9"/>
      <c r="D11" s="9"/>
      <c r="E11" s="9"/>
      <c r="F11" s="9"/>
      <c r="G11" s="9"/>
      <c r="H11" s="24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6"/>
      <c r="AK11" s="6"/>
      <c r="AL11" s="6"/>
      <c r="AM11" s="6"/>
      <c r="AN11" s="6"/>
      <c r="AO11" s="7"/>
      <c r="AP11" s="7"/>
      <c r="AQ11" s="6"/>
      <c r="AR11" s="6"/>
      <c r="AS11" s="6"/>
      <c r="AT11" s="6"/>
      <c r="AU11" s="6"/>
      <c r="AV11" s="6"/>
      <c r="AW11" s="6"/>
      <c r="AX11" s="6"/>
      <c r="AY11" s="6"/>
      <c r="AZ11" s="7"/>
      <c r="BA11" s="7"/>
      <c r="BB11" s="7"/>
      <c r="BC11" s="7"/>
      <c r="BD11" s="2"/>
      <c r="BE11" s="7"/>
      <c r="BF11" s="8"/>
      <c r="BG11" s="8"/>
    </row>
    <row r="12" spans="1:59" ht="28.5" customHeight="1" x14ac:dyDescent="0.2">
      <c r="A12" s="10" t="s">
        <v>9</v>
      </c>
      <c r="B12" s="356" t="s">
        <v>10</v>
      </c>
      <c r="C12" s="356" t="s">
        <v>11</v>
      </c>
      <c r="D12" s="356" t="s">
        <v>4</v>
      </c>
      <c r="E12" s="356" t="s">
        <v>162</v>
      </c>
      <c r="F12" s="363" t="s">
        <v>12</v>
      </c>
      <c r="G12" s="364"/>
      <c r="H12" s="365" t="s">
        <v>13</v>
      </c>
      <c r="I12" s="356" t="s">
        <v>14</v>
      </c>
      <c r="J12" s="356" t="s">
        <v>15</v>
      </c>
      <c r="K12" s="356" t="s">
        <v>16</v>
      </c>
      <c r="L12" s="356" t="s">
        <v>37</v>
      </c>
      <c r="M12" s="356" t="s">
        <v>43</v>
      </c>
      <c r="N12" s="381" t="s">
        <v>44</v>
      </c>
      <c r="O12" s="378" t="s">
        <v>17</v>
      </c>
      <c r="P12" s="356" t="s">
        <v>18</v>
      </c>
      <c r="Q12" s="356" t="s">
        <v>19</v>
      </c>
      <c r="R12" s="356" t="s">
        <v>20</v>
      </c>
      <c r="S12" s="353" t="s">
        <v>21</v>
      </c>
      <c r="T12" s="356" t="s">
        <v>21</v>
      </c>
      <c r="U12" s="356" t="s">
        <v>22</v>
      </c>
      <c r="V12" s="353" t="s">
        <v>22</v>
      </c>
      <c r="W12" s="356" t="s">
        <v>23</v>
      </c>
      <c r="X12" s="356" t="s">
        <v>24</v>
      </c>
      <c r="Y12" s="353" t="s">
        <v>25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3"/>
      <c r="BE12" s="12"/>
      <c r="BF12" s="14"/>
      <c r="BG12" s="14"/>
    </row>
    <row r="13" spans="1:59" ht="28.5" customHeight="1" x14ac:dyDescent="0.2">
      <c r="A13" s="356" t="s">
        <v>26</v>
      </c>
      <c r="B13" s="357"/>
      <c r="C13" s="357"/>
      <c r="D13" s="357"/>
      <c r="E13" s="357"/>
      <c r="F13" s="356" t="s">
        <v>5</v>
      </c>
      <c r="G13" s="356" t="s">
        <v>27</v>
      </c>
      <c r="H13" s="366"/>
      <c r="I13" s="357"/>
      <c r="J13" s="357"/>
      <c r="K13" s="357"/>
      <c r="L13" s="361"/>
      <c r="M13" s="357"/>
      <c r="N13" s="382"/>
      <c r="O13" s="379"/>
      <c r="P13" s="357"/>
      <c r="Q13" s="357"/>
      <c r="R13" s="357"/>
      <c r="S13" s="354"/>
      <c r="T13" s="357"/>
      <c r="U13" s="357"/>
      <c r="V13" s="354"/>
      <c r="W13" s="357"/>
      <c r="X13" s="357"/>
      <c r="Y13" s="354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3"/>
      <c r="BE13" s="12"/>
      <c r="BF13" s="14"/>
      <c r="BG13" s="14"/>
    </row>
    <row r="14" spans="1:59" ht="173.25" customHeight="1" x14ac:dyDescent="0.2">
      <c r="A14" s="357"/>
      <c r="B14" s="357"/>
      <c r="C14" s="357"/>
      <c r="D14" s="357"/>
      <c r="E14" s="357"/>
      <c r="F14" s="358"/>
      <c r="G14" s="358"/>
      <c r="H14" s="367"/>
      <c r="I14" s="358"/>
      <c r="J14" s="358"/>
      <c r="K14" s="358"/>
      <c r="L14" s="362"/>
      <c r="M14" s="358"/>
      <c r="N14" s="383"/>
      <c r="O14" s="380"/>
      <c r="P14" s="358"/>
      <c r="Q14" s="358"/>
      <c r="R14" s="358"/>
      <c r="S14" s="355"/>
      <c r="T14" s="358"/>
      <c r="U14" s="358"/>
      <c r="V14" s="355"/>
      <c r="W14" s="358"/>
      <c r="X14" s="358"/>
      <c r="Y14" s="355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3"/>
      <c r="BE14" s="12"/>
      <c r="BF14" s="14"/>
      <c r="BG14" s="14"/>
    </row>
    <row r="15" spans="1:59" ht="27.75" customHeight="1" x14ac:dyDescent="0.2">
      <c r="A15" s="358"/>
      <c r="B15" s="358"/>
      <c r="C15" s="358"/>
      <c r="D15" s="358"/>
      <c r="E15" s="10" t="s">
        <v>163</v>
      </c>
      <c r="F15" s="16">
        <v>0.05</v>
      </c>
      <c r="G15" s="16">
        <v>0.05</v>
      </c>
      <c r="H15" s="241">
        <v>0.18</v>
      </c>
      <c r="I15" s="17">
        <v>0.1</v>
      </c>
      <c r="J15" s="35" t="s">
        <v>45</v>
      </c>
      <c r="K15" s="17">
        <v>0.1</v>
      </c>
      <c r="L15" s="17">
        <v>7.0000000000000007E-2</v>
      </c>
      <c r="M15" s="17">
        <v>0.1</v>
      </c>
      <c r="N15" s="17">
        <v>0.3</v>
      </c>
      <c r="O15" s="36" t="s">
        <v>3</v>
      </c>
      <c r="P15" s="18" t="s">
        <v>3</v>
      </c>
      <c r="Q15" s="10" t="s">
        <v>28</v>
      </c>
      <c r="R15" s="10" t="s">
        <v>29</v>
      </c>
      <c r="S15" s="37" t="s">
        <v>0</v>
      </c>
      <c r="T15" s="10" t="s">
        <v>1</v>
      </c>
      <c r="U15" s="10" t="s">
        <v>2</v>
      </c>
      <c r="V15" s="37" t="s">
        <v>1</v>
      </c>
      <c r="W15" s="19" t="s">
        <v>2</v>
      </c>
      <c r="X15" s="20" t="s">
        <v>1</v>
      </c>
      <c r="Y15" s="3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3"/>
      <c r="BE15" s="12"/>
      <c r="BF15" s="14"/>
      <c r="BG15" s="14"/>
    </row>
    <row r="16" spans="1:59" ht="27.75" customHeight="1" x14ac:dyDescent="0.2">
      <c r="A16" s="363" t="s">
        <v>46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9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3"/>
      <c r="BE16" s="12"/>
      <c r="BF16" s="14"/>
      <c r="BG16" s="14"/>
    </row>
    <row r="17" spans="1:59" ht="33" customHeight="1" x14ac:dyDescent="0.2">
      <c r="A17" s="246" t="s">
        <v>161</v>
      </c>
      <c r="B17" s="96" t="s">
        <v>164</v>
      </c>
      <c r="C17" s="96">
        <v>2024</v>
      </c>
      <c r="D17" s="96">
        <v>13.5</v>
      </c>
      <c r="E17" s="96"/>
      <c r="F17" s="96">
        <f>D17*F15</f>
        <v>0.67500000000000004</v>
      </c>
      <c r="G17" s="96">
        <f>D17*G15</f>
        <v>0.67500000000000004</v>
      </c>
      <c r="H17" s="96">
        <f>D17*H15</f>
        <v>2.4299999999999997</v>
      </c>
      <c r="I17" s="96"/>
      <c r="J17" s="96"/>
      <c r="K17" s="96"/>
      <c r="L17" s="96">
        <f>D17*L15</f>
        <v>0.94500000000000006</v>
      </c>
      <c r="M17" s="96"/>
      <c r="N17" s="96"/>
      <c r="O17" s="247">
        <f>P17-H17</f>
        <v>15.795000000000002</v>
      </c>
      <c r="P17" s="247">
        <f>D17+F17+G17+H17+I17+J17+K17+L17+M17+N17</f>
        <v>18.225000000000001</v>
      </c>
      <c r="Q17" s="96">
        <v>165.9</v>
      </c>
      <c r="R17" s="96">
        <v>26</v>
      </c>
      <c r="S17" s="248">
        <f>O17*Q17/100</f>
        <v>26.203905000000006</v>
      </c>
      <c r="T17" s="103">
        <f>P17*Q17/100</f>
        <v>30.235275000000001</v>
      </c>
      <c r="U17" s="103">
        <f>S17*R17</f>
        <v>681.30153000000018</v>
      </c>
      <c r="V17" s="103">
        <f>T17*R17</f>
        <v>786.11715000000004</v>
      </c>
      <c r="W17" s="103">
        <f>U17*6</f>
        <v>4087.8091800000011</v>
      </c>
      <c r="X17" s="103">
        <f>V17*6</f>
        <v>4716.7029000000002</v>
      </c>
      <c r="Y17" s="103">
        <f>X17+W17</f>
        <v>8804.5120800000004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3"/>
      <c r="BE17" s="12"/>
      <c r="BF17" s="14"/>
      <c r="BG17" s="14"/>
    </row>
    <row r="18" spans="1:59" ht="16.5" hidden="1" customHeight="1" x14ac:dyDescent="0.25">
      <c r="A18" s="370"/>
      <c r="B18" s="372"/>
      <c r="C18" s="340"/>
      <c r="D18" s="340"/>
      <c r="E18" s="340"/>
      <c r="F18" s="348"/>
      <c r="G18" s="348"/>
      <c r="H18" s="359"/>
      <c r="I18" s="344"/>
      <c r="J18" s="344"/>
      <c r="K18" s="348"/>
      <c r="L18" s="344"/>
      <c r="M18" s="344"/>
      <c r="N18" s="344"/>
      <c r="O18" s="327"/>
      <c r="P18" s="351"/>
      <c r="Q18" s="348"/>
      <c r="R18" s="348"/>
      <c r="S18" s="342"/>
      <c r="T18" s="344"/>
      <c r="U18" s="344"/>
      <c r="V18" s="346"/>
      <c r="W18" s="344"/>
      <c r="X18" s="348"/>
      <c r="Y18" s="335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6"/>
      <c r="AK18" s="6"/>
      <c r="AL18" s="6"/>
      <c r="AM18" s="6"/>
      <c r="AN18" s="6"/>
      <c r="AO18" s="7"/>
      <c r="AP18" s="7"/>
      <c r="AQ18" s="6"/>
      <c r="AR18" s="6"/>
      <c r="AS18" s="6"/>
      <c r="AT18" s="6"/>
      <c r="AU18" s="6"/>
      <c r="AV18" s="6"/>
      <c r="AW18" s="6"/>
      <c r="AX18" s="6"/>
      <c r="AY18" s="6"/>
      <c r="AZ18" s="7"/>
      <c r="BA18" s="7"/>
      <c r="BB18" s="7"/>
      <c r="BC18" s="7"/>
      <c r="BD18" s="2"/>
      <c r="BE18" s="7"/>
      <c r="BF18" s="8"/>
      <c r="BG18" s="22"/>
    </row>
    <row r="19" spans="1:59" ht="18" hidden="1" customHeight="1" x14ac:dyDescent="0.25">
      <c r="A19" s="371"/>
      <c r="B19" s="373"/>
      <c r="C19" s="341"/>
      <c r="D19" s="341"/>
      <c r="E19" s="341"/>
      <c r="F19" s="349"/>
      <c r="G19" s="349"/>
      <c r="H19" s="360"/>
      <c r="I19" s="345"/>
      <c r="J19" s="345"/>
      <c r="K19" s="349"/>
      <c r="L19" s="350"/>
      <c r="M19" s="345"/>
      <c r="N19" s="345"/>
      <c r="O19" s="328"/>
      <c r="P19" s="352"/>
      <c r="Q19" s="349"/>
      <c r="R19" s="349"/>
      <c r="S19" s="343"/>
      <c r="T19" s="345"/>
      <c r="U19" s="345"/>
      <c r="V19" s="347"/>
      <c r="W19" s="345"/>
      <c r="X19" s="349"/>
      <c r="Y19" s="336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6"/>
      <c r="AK19" s="6"/>
      <c r="AL19" s="6"/>
      <c r="AM19" s="6"/>
      <c r="AN19" s="6"/>
      <c r="AO19" s="7"/>
      <c r="AP19" s="7"/>
      <c r="AQ19" s="6"/>
      <c r="AR19" s="6"/>
      <c r="AS19" s="6"/>
      <c r="AT19" s="6"/>
      <c r="AU19" s="6"/>
      <c r="AV19" s="6"/>
      <c r="AW19" s="6"/>
      <c r="AX19" s="6"/>
      <c r="AY19" s="6"/>
      <c r="AZ19" s="7"/>
      <c r="BA19" s="7"/>
      <c r="BB19" s="7"/>
      <c r="BC19" s="7"/>
      <c r="BD19" s="2"/>
      <c r="BE19" s="7"/>
      <c r="BF19" s="8"/>
      <c r="BG19" s="22"/>
    </row>
    <row r="20" spans="1:59" ht="40.5" customHeight="1" x14ac:dyDescent="0.25">
      <c r="A20" s="23" t="s">
        <v>32</v>
      </c>
      <c r="B20" s="24" t="s">
        <v>33</v>
      </c>
      <c r="C20" s="25">
        <v>2010</v>
      </c>
      <c r="D20" s="25">
        <v>13.8</v>
      </c>
      <c r="E20" s="25"/>
      <c r="F20" s="26">
        <f>D20*F15</f>
        <v>0.69000000000000006</v>
      </c>
      <c r="G20" s="26">
        <f>D20*G15</f>
        <v>0.69000000000000006</v>
      </c>
      <c r="H20" s="242">
        <f>D20*H15</f>
        <v>2.484</v>
      </c>
      <c r="I20" s="25">
        <f>D20*I15</f>
        <v>1.3800000000000001</v>
      </c>
      <c r="J20" s="25">
        <f>D20*5%</f>
        <v>0.69000000000000006</v>
      </c>
      <c r="K20" s="26">
        <v>1.38</v>
      </c>
      <c r="L20" s="26">
        <f>D20*L15</f>
        <v>0.96600000000000019</v>
      </c>
      <c r="M20" s="26"/>
      <c r="N20" s="26"/>
      <c r="O20" s="327">
        <f>D20+F20+G20+I20+J20+K20+L20+N20</f>
        <v>19.596</v>
      </c>
      <c r="P20" s="351">
        <f>D20+F20+G20+H20+I20+J20+K20+L20+M20+N20</f>
        <v>22.080000000000002</v>
      </c>
      <c r="Q20" s="23">
        <v>400</v>
      </c>
      <c r="R20" s="23">
        <v>26</v>
      </c>
      <c r="S20" s="40">
        <f>O20*Q20/100</f>
        <v>78.384</v>
      </c>
      <c r="T20" s="25">
        <v>89.98</v>
      </c>
      <c r="U20" s="25">
        <v>1822</v>
      </c>
      <c r="V20" s="41">
        <v>1979</v>
      </c>
      <c r="W20" s="25">
        <f>U20*6</f>
        <v>10932</v>
      </c>
      <c r="X20" s="26">
        <f>V20*6</f>
        <v>11874</v>
      </c>
      <c r="Y20" s="42">
        <f>X20+W20</f>
        <v>22806</v>
      </c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6"/>
      <c r="AK20" s="6"/>
      <c r="AL20" s="6"/>
      <c r="AM20" s="6"/>
      <c r="AN20" s="6"/>
      <c r="AO20" s="7"/>
      <c r="AP20" s="7"/>
      <c r="AQ20" s="6"/>
      <c r="AR20" s="6"/>
      <c r="AS20" s="6"/>
      <c r="AT20" s="6"/>
      <c r="AU20" s="6"/>
      <c r="AV20" s="6"/>
      <c r="AW20" s="6"/>
      <c r="AX20" s="6"/>
      <c r="AY20" s="6"/>
      <c r="AZ20" s="7"/>
      <c r="BA20" s="7"/>
      <c r="BB20" s="7"/>
      <c r="BC20" s="7"/>
      <c r="BD20" s="2"/>
      <c r="BE20" s="7"/>
      <c r="BF20" s="8"/>
    </row>
    <row r="21" spans="1:59" ht="51" hidden="1" customHeight="1" x14ac:dyDescent="0.25">
      <c r="A21" s="43"/>
      <c r="B21" s="44"/>
      <c r="C21" s="45"/>
      <c r="D21" s="45"/>
      <c r="E21" s="45"/>
      <c r="F21" s="45"/>
      <c r="G21" s="45"/>
      <c r="H21" s="243"/>
      <c r="I21" s="45"/>
      <c r="J21" s="46"/>
      <c r="K21" s="46"/>
      <c r="L21" s="46"/>
      <c r="M21" s="46"/>
      <c r="N21" s="46"/>
      <c r="O21" s="328"/>
      <c r="P21" s="352"/>
      <c r="Q21" s="47"/>
      <c r="R21" s="47"/>
      <c r="S21" s="40"/>
      <c r="T21" s="45"/>
      <c r="U21" s="45"/>
      <c r="V21" s="45"/>
      <c r="W21" s="45"/>
      <c r="X21" s="45"/>
      <c r="Y21" s="48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8"/>
      <c r="AK21" s="28"/>
      <c r="AL21" s="28"/>
      <c r="AM21" s="28"/>
      <c r="AN21" s="28"/>
      <c r="AO21" s="29"/>
      <c r="AP21" s="29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A21" s="29"/>
      <c r="BB21" s="29"/>
      <c r="BC21" s="29"/>
      <c r="BD21" s="8"/>
      <c r="BE21" s="7"/>
      <c r="BF21" s="8"/>
    </row>
    <row r="22" spans="1:59" ht="51.75" customHeight="1" x14ac:dyDescent="0.25">
      <c r="A22" s="237" t="s">
        <v>34</v>
      </c>
      <c r="B22" s="23" t="s">
        <v>35</v>
      </c>
      <c r="C22" s="25">
        <v>2019</v>
      </c>
      <c r="D22" s="25">
        <v>10.3</v>
      </c>
      <c r="E22" s="25"/>
      <c r="F22" s="26">
        <f>D22*F15</f>
        <v>0.51500000000000001</v>
      </c>
      <c r="G22" s="25">
        <f>D22*G15</f>
        <v>0.51500000000000001</v>
      </c>
      <c r="H22" s="242">
        <f>D22*H15</f>
        <v>1.8540000000000001</v>
      </c>
      <c r="I22" s="25"/>
      <c r="J22" s="25"/>
      <c r="K22" s="25"/>
      <c r="L22" s="25">
        <f>D22*L15</f>
        <v>0.72100000000000009</v>
      </c>
      <c r="M22" s="25"/>
      <c r="N22" s="25"/>
      <c r="O22" s="39">
        <f>P22-H22</f>
        <v>12.051000000000002</v>
      </c>
      <c r="P22" s="27">
        <f>D22+F22+G22+H22+I22+J22+K22+L22+M22+N22</f>
        <v>13.905000000000001</v>
      </c>
      <c r="Q22" s="25">
        <v>122.4</v>
      </c>
      <c r="R22" s="25">
        <v>26</v>
      </c>
      <c r="S22" s="40">
        <f>O22*Q22/100</f>
        <v>14.750424000000002</v>
      </c>
      <c r="T22" s="25">
        <v>19.2</v>
      </c>
      <c r="U22" s="25">
        <v>342.54</v>
      </c>
      <c r="V22" s="41">
        <v>422.4</v>
      </c>
      <c r="W22" s="30">
        <f t="shared" ref="W22:X26" si="0">U22*6</f>
        <v>2055.2400000000002</v>
      </c>
      <c r="X22" s="31">
        <f t="shared" si="0"/>
        <v>2534.3999999999996</v>
      </c>
      <c r="Y22" s="50">
        <f>X22+W22</f>
        <v>4589.6399999999994</v>
      </c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8"/>
      <c r="AK22" s="8"/>
      <c r="AL22" s="8"/>
      <c r="AM22" s="8"/>
      <c r="AN22" s="29"/>
      <c r="AO22" s="8"/>
      <c r="AP22" s="7"/>
      <c r="AQ22" s="8"/>
      <c r="AR22" s="8"/>
      <c r="AS22" s="8"/>
      <c r="AT22" s="8"/>
      <c r="AU22" s="29"/>
      <c r="AV22" s="8"/>
      <c r="AW22" s="29"/>
      <c r="AX22" s="8"/>
      <c r="AY22" s="29"/>
      <c r="AZ22" s="8"/>
      <c r="BA22" s="29"/>
      <c r="BB22" s="8"/>
      <c r="BC22" s="29"/>
      <c r="BD22" s="8"/>
      <c r="BE22" s="8"/>
      <c r="BF22" s="8"/>
    </row>
    <row r="23" spans="1:59" ht="45.75" customHeight="1" x14ac:dyDescent="0.25">
      <c r="A23" s="33" t="s">
        <v>47</v>
      </c>
      <c r="B23" s="23" t="s">
        <v>48</v>
      </c>
      <c r="C23" s="25">
        <v>2012</v>
      </c>
      <c r="D23" s="25">
        <v>16.5</v>
      </c>
      <c r="E23" s="25"/>
      <c r="F23" s="26">
        <f>D23*F15</f>
        <v>0.82500000000000007</v>
      </c>
      <c r="G23" s="25">
        <f>D23*G15</f>
        <v>0.82500000000000007</v>
      </c>
      <c r="H23" s="242">
        <f>D23*H15</f>
        <v>2.9699999999999998</v>
      </c>
      <c r="I23" s="25"/>
      <c r="J23" s="25">
        <f>D23*5%</f>
        <v>0.82500000000000007</v>
      </c>
      <c r="K23" s="25">
        <v>1.65</v>
      </c>
      <c r="L23" s="25"/>
      <c r="M23" s="25"/>
      <c r="N23" s="25"/>
      <c r="O23" s="39">
        <f>P23-H23</f>
        <v>20.624999999999996</v>
      </c>
      <c r="P23" s="27">
        <f>D23+F23+G23+H23+I23+J23+K23+L23+M23+N23</f>
        <v>23.594999999999995</v>
      </c>
      <c r="Q23" s="25">
        <v>119</v>
      </c>
      <c r="R23" s="25">
        <v>22</v>
      </c>
      <c r="S23" s="40">
        <f>O23*Q23/100</f>
        <v>24.543749999999996</v>
      </c>
      <c r="T23" s="51">
        <f>P23*Q23/100</f>
        <v>28.078049999999994</v>
      </c>
      <c r="U23" s="51">
        <f>S23*R23</f>
        <v>539.96249999999986</v>
      </c>
      <c r="V23" s="52">
        <f>T23*R23</f>
        <v>617.71709999999985</v>
      </c>
      <c r="W23" s="53">
        <f t="shared" si="0"/>
        <v>3239.7749999999992</v>
      </c>
      <c r="X23" s="31">
        <f t="shared" si="0"/>
        <v>3706.3025999999991</v>
      </c>
      <c r="Y23" s="50">
        <f>W23+X23</f>
        <v>6946.0775999999987</v>
      </c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8"/>
      <c r="AK23" s="8"/>
      <c r="AL23" s="8"/>
      <c r="AM23" s="8"/>
      <c r="AN23" s="29"/>
      <c r="AO23" s="8"/>
      <c r="AP23" s="7"/>
      <c r="AQ23" s="8"/>
      <c r="AR23" s="8"/>
      <c r="AS23" s="8"/>
      <c r="AT23" s="8"/>
      <c r="AU23" s="29"/>
      <c r="AV23" s="8"/>
      <c r="AW23" s="29"/>
      <c r="AX23" s="8"/>
      <c r="AY23" s="29"/>
      <c r="AZ23" s="8"/>
      <c r="BA23" s="29"/>
      <c r="BB23" s="8"/>
      <c r="BC23" s="29"/>
      <c r="BD23" s="8"/>
      <c r="BE23" s="8"/>
      <c r="BF23" s="8"/>
    </row>
    <row r="24" spans="1:59" ht="45.75" customHeight="1" x14ac:dyDescent="0.25">
      <c r="A24" s="237" t="s">
        <v>36</v>
      </c>
      <c r="B24" s="23" t="s">
        <v>49</v>
      </c>
      <c r="C24" s="25">
        <v>2021</v>
      </c>
      <c r="D24" s="25">
        <v>13.5</v>
      </c>
      <c r="E24" s="25"/>
      <c r="F24" s="26">
        <f>D24*F15</f>
        <v>0.67500000000000004</v>
      </c>
      <c r="G24" s="25">
        <f>D24*G15</f>
        <v>0.67500000000000004</v>
      </c>
      <c r="H24" s="242">
        <f>D24*H15</f>
        <v>2.4299999999999997</v>
      </c>
      <c r="I24" s="25"/>
      <c r="J24" s="25"/>
      <c r="K24" s="25"/>
      <c r="L24" s="25">
        <f>D24*L15</f>
        <v>0.94500000000000006</v>
      </c>
      <c r="M24" s="25"/>
      <c r="N24" s="25"/>
      <c r="O24" s="39">
        <f>P24-H24</f>
        <v>15.795000000000002</v>
      </c>
      <c r="P24" s="27">
        <f>D24+F24+G24+H24+I24+J24+K24+L24+M24+N24</f>
        <v>18.225000000000001</v>
      </c>
      <c r="Q24" s="25">
        <v>122.4</v>
      </c>
      <c r="R24" s="25">
        <v>26</v>
      </c>
      <c r="S24" s="40">
        <f>O24*Q24/100</f>
        <v>19.333080000000002</v>
      </c>
      <c r="T24" s="25">
        <v>25.61</v>
      </c>
      <c r="U24" s="25">
        <v>461.56</v>
      </c>
      <c r="V24" s="41">
        <v>563.41999999999996</v>
      </c>
      <c r="W24" s="30">
        <f t="shared" si="0"/>
        <v>2769.36</v>
      </c>
      <c r="X24" s="1">
        <f t="shared" si="0"/>
        <v>3380.5199999999995</v>
      </c>
      <c r="Y24" s="50">
        <f>W24+X24</f>
        <v>6149.8799999999992</v>
      </c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8"/>
      <c r="AK24" s="8"/>
      <c r="AL24" s="8"/>
      <c r="AM24" s="8"/>
      <c r="AN24" s="29"/>
      <c r="AO24" s="8"/>
      <c r="AP24" s="7"/>
      <c r="AQ24" s="8"/>
      <c r="AR24" s="8"/>
      <c r="AS24" s="8"/>
      <c r="AT24" s="8"/>
      <c r="AU24" s="29"/>
      <c r="AV24" s="8"/>
      <c r="AW24" s="29"/>
      <c r="AX24" s="8"/>
      <c r="AY24" s="29"/>
      <c r="AZ24" s="8"/>
      <c r="BA24" s="29"/>
      <c r="BB24" s="8"/>
      <c r="BC24" s="29"/>
      <c r="BD24" s="8"/>
      <c r="BE24" s="8"/>
      <c r="BF24" s="8"/>
    </row>
    <row r="25" spans="1:59" ht="63.75" customHeight="1" x14ac:dyDescent="0.25">
      <c r="A25" s="229" t="s">
        <v>160</v>
      </c>
      <c r="B25" s="230" t="s">
        <v>165</v>
      </c>
      <c r="C25" s="227">
        <v>2024</v>
      </c>
      <c r="D25" s="227">
        <v>16.5</v>
      </c>
      <c r="E25" s="227"/>
      <c r="F25" s="227">
        <f>D25*F15</f>
        <v>0.82500000000000007</v>
      </c>
      <c r="G25" s="227">
        <f>D25*G15</f>
        <v>0.82500000000000007</v>
      </c>
      <c r="H25" s="227">
        <f>D25*H15</f>
        <v>2.9699999999999998</v>
      </c>
      <c r="I25" s="227"/>
      <c r="J25" s="227"/>
      <c r="K25" s="227">
        <v>1.65</v>
      </c>
      <c r="L25" s="227">
        <f>D25*L15</f>
        <v>1.155</v>
      </c>
      <c r="M25" s="227"/>
      <c r="N25" s="227"/>
      <c r="O25" s="226">
        <f>P25-H25</f>
        <v>20.954999999999998</v>
      </c>
      <c r="P25" s="245">
        <f>D25+F25+G25+H25+I25+J25+K25+L25+M25+N25</f>
        <v>23.924999999999997</v>
      </c>
      <c r="Q25" s="227">
        <v>122.4</v>
      </c>
      <c r="R25" s="227">
        <v>26</v>
      </c>
      <c r="S25" s="226">
        <f>O25*Q25/100</f>
        <v>25.648919999999997</v>
      </c>
      <c r="T25" s="227">
        <v>25.61</v>
      </c>
      <c r="U25" s="227">
        <v>461.56</v>
      </c>
      <c r="V25" s="227">
        <v>563.41999999999996</v>
      </c>
      <c r="W25" s="231">
        <f t="shared" si="0"/>
        <v>2769.36</v>
      </c>
      <c r="X25" s="231">
        <f t="shared" si="0"/>
        <v>3380.5199999999995</v>
      </c>
      <c r="Y25" s="228">
        <f>W25+X25</f>
        <v>6149.8799999999992</v>
      </c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8"/>
      <c r="AK25" s="8"/>
      <c r="AL25" s="8"/>
      <c r="AM25" s="8"/>
      <c r="AN25" s="29"/>
      <c r="AO25" s="8"/>
      <c r="AP25" s="7"/>
      <c r="AQ25" s="8"/>
      <c r="AR25" s="8"/>
      <c r="AS25" s="8"/>
      <c r="AT25" s="8"/>
      <c r="AU25" s="29"/>
      <c r="AV25" s="8"/>
      <c r="AW25" s="29"/>
      <c r="AX25" s="8"/>
      <c r="AY25" s="29"/>
      <c r="AZ25" s="8"/>
      <c r="BA25" s="29"/>
      <c r="BB25" s="8"/>
      <c r="BC25" s="29"/>
      <c r="BD25" s="8"/>
      <c r="BE25" s="8"/>
      <c r="BF25" s="8"/>
    </row>
    <row r="26" spans="1:59" ht="45.75" customHeight="1" x14ac:dyDescent="0.25">
      <c r="A26" s="237" t="s">
        <v>36</v>
      </c>
      <c r="B26" s="23" t="s">
        <v>50</v>
      </c>
      <c r="C26" s="25">
        <v>2023</v>
      </c>
      <c r="D26" s="25">
        <v>13.5</v>
      </c>
      <c r="E26" s="25"/>
      <c r="F26" s="26">
        <f>D26*F15</f>
        <v>0.67500000000000004</v>
      </c>
      <c r="G26" s="25">
        <f>D26*G15</f>
        <v>0.67500000000000004</v>
      </c>
      <c r="H26" s="242">
        <f>D26*H15</f>
        <v>2.4299999999999997</v>
      </c>
      <c r="I26" s="25"/>
      <c r="J26" s="25"/>
      <c r="K26" s="25"/>
      <c r="L26" s="25">
        <f>D26*L15</f>
        <v>0.94500000000000006</v>
      </c>
      <c r="M26" s="25"/>
      <c r="N26" s="25"/>
      <c r="O26" s="39">
        <f>P26-H26</f>
        <v>15.795000000000002</v>
      </c>
      <c r="P26" s="27">
        <f>D26+F26+G26+H26+I26+J26+K26+L26+M26+N26</f>
        <v>18.225000000000001</v>
      </c>
      <c r="Q26" s="25">
        <v>122.4</v>
      </c>
      <c r="R26" s="25">
        <v>26</v>
      </c>
      <c r="S26" s="40">
        <f>O26*Q26/100</f>
        <v>19.333080000000002</v>
      </c>
      <c r="T26" s="51">
        <f>P26*Q26/100</f>
        <v>22.307400000000001</v>
      </c>
      <c r="U26" s="51">
        <f>S26*R26</f>
        <v>502.66008000000005</v>
      </c>
      <c r="V26" s="52">
        <f>T26*R26</f>
        <v>579.99240000000009</v>
      </c>
      <c r="W26" s="53">
        <f t="shared" si="0"/>
        <v>3015.9604800000002</v>
      </c>
      <c r="X26" s="31">
        <f t="shared" si="0"/>
        <v>3479.9544000000005</v>
      </c>
      <c r="Y26" s="50">
        <f>W26+X26</f>
        <v>6495.9148800000003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8"/>
      <c r="AK26" s="8"/>
      <c r="AL26" s="8"/>
      <c r="AM26" s="8"/>
      <c r="AN26" s="29"/>
      <c r="AO26" s="8"/>
      <c r="AP26" s="7"/>
      <c r="AQ26" s="8"/>
      <c r="AR26" s="8"/>
      <c r="AS26" s="8"/>
      <c r="AT26" s="8"/>
      <c r="AU26" s="29"/>
      <c r="AV26" s="8"/>
      <c r="AW26" s="29"/>
      <c r="AX26" s="8"/>
      <c r="AY26" s="29"/>
      <c r="AZ26" s="8"/>
      <c r="BA26" s="29"/>
      <c r="BB26" s="8"/>
      <c r="BC26" s="29"/>
      <c r="BD26" s="8"/>
      <c r="BE26" s="8"/>
      <c r="BF26" s="8"/>
    </row>
    <row r="27" spans="1:59" ht="45.75" customHeight="1" x14ac:dyDescent="0.25">
      <c r="A27" s="329" t="s">
        <v>51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1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8"/>
      <c r="AK27" s="8"/>
      <c r="AL27" s="8"/>
      <c r="AM27" s="8"/>
      <c r="AN27" s="29"/>
      <c r="AO27" s="8"/>
      <c r="AP27" s="7"/>
      <c r="AQ27" s="8"/>
      <c r="AR27" s="8"/>
      <c r="AS27" s="8"/>
      <c r="AT27" s="8"/>
      <c r="AU27" s="29"/>
      <c r="AV27" s="8"/>
      <c r="AW27" s="29"/>
      <c r="AX27" s="8"/>
      <c r="AY27" s="29"/>
      <c r="AZ27" s="8"/>
      <c r="BA27" s="29"/>
      <c r="BB27" s="8"/>
      <c r="BC27" s="29"/>
      <c r="BD27" s="8"/>
      <c r="BE27" s="8"/>
      <c r="BF27" s="8"/>
    </row>
    <row r="28" spans="1:59" ht="45.75" customHeight="1" x14ac:dyDescent="0.25">
      <c r="A28" s="238" t="s">
        <v>36</v>
      </c>
      <c r="B28" s="23" t="s">
        <v>52</v>
      </c>
      <c r="C28" s="25">
        <v>2014</v>
      </c>
      <c r="D28" s="25">
        <v>13.8</v>
      </c>
      <c r="E28" s="25"/>
      <c r="F28" s="26">
        <f>D28*F15</f>
        <v>0.69000000000000006</v>
      </c>
      <c r="G28" s="25">
        <f>D28*G15</f>
        <v>0.69000000000000006</v>
      </c>
      <c r="H28" s="242">
        <f>D28*H15</f>
        <v>2.484</v>
      </c>
      <c r="I28" s="25">
        <f>D28*I15</f>
        <v>1.3800000000000001</v>
      </c>
      <c r="J28" s="25">
        <f>D28*5/100</f>
        <v>0.69</v>
      </c>
      <c r="K28" s="25"/>
      <c r="L28" s="25">
        <f>D28*L15</f>
        <v>0.96600000000000019</v>
      </c>
      <c r="M28" s="25"/>
      <c r="N28" s="25"/>
      <c r="O28" s="54">
        <f>P28-H28</f>
        <v>18.216000000000001</v>
      </c>
      <c r="P28" s="49">
        <f>D28+F28+G28+H28+I28+J28+K28+L28+M28+N28</f>
        <v>20.700000000000003</v>
      </c>
      <c r="Q28" s="25">
        <v>122.4</v>
      </c>
      <c r="R28" s="25">
        <v>26</v>
      </c>
      <c r="S28" s="52">
        <f>O28*Q28/100</f>
        <v>22.296384000000003</v>
      </c>
      <c r="T28" s="51">
        <f>P28*Q28/100</f>
        <v>25.336800000000004</v>
      </c>
      <c r="U28" s="51">
        <f>S28*R28</f>
        <v>579.70598400000006</v>
      </c>
      <c r="V28" s="52">
        <f>T28*R28</f>
        <v>658.75680000000011</v>
      </c>
      <c r="W28" s="53">
        <f>U28*6</f>
        <v>3478.2359040000001</v>
      </c>
      <c r="X28" s="31">
        <f>V28*6</f>
        <v>3952.5408000000007</v>
      </c>
      <c r="Y28" s="50">
        <f>W28+X28</f>
        <v>7430.7767040000008</v>
      </c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8"/>
      <c r="AK28" s="8"/>
      <c r="AL28" s="8"/>
      <c r="AM28" s="8"/>
      <c r="AN28" s="29"/>
      <c r="AO28" s="8"/>
      <c r="AP28" s="7"/>
      <c r="AQ28" s="8"/>
      <c r="AR28" s="8"/>
      <c r="AS28" s="8"/>
      <c r="AT28" s="8"/>
      <c r="AU28" s="29"/>
      <c r="AV28" s="8"/>
      <c r="AW28" s="29"/>
      <c r="AX28" s="8"/>
      <c r="AY28" s="29"/>
      <c r="AZ28" s="8"/>
      <c r="BA28" s="29"/>
      <c r="BB28" s="8"/>
      <c r="BC28" s="29"/>
      <c r="BD28" s="8"/>
      <c r="BE28" s="8"/>
      <c r="BF28" s="8"/>
    </row>
    <row r="29" spans="1:59" ht="30.75" customHeight="1" x14ac:dyDescent="0.25">
      <c r="A29" s="329" t="s">
        <v>166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1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8"/>
      <c r="AK29" s="8"/>
      <c r="AL29" s="8"/>
      <c r="AM29" s="8"/>
      <c r="AN29" s="29"/>
      <c r="AO29" s="8"/>
      <c r="AP29" s="7"/>
      <c r="AQ29" s="8"/>
      <c r="AR29" s="8"/>
      <c r="AS29" s="8"/>
      <c r="AT29" s="8"/>
      <c r="AU29" s="29"/>
      <c r="AV29" s="8"/>
      <c r="AW29" s="29"/>
      <c r="AX29" s="8"/>
      <c r="AY29" s="29"/>
      <c r="AZ29" s="8"/>
      <c r="BA29" s="29"/>
      <c r="BB29" s="8"/>
      <c r="BC29" s="29"/>
      <c r="BD29" s="8"/>
      <c r="BE29" s="8"/>
      <c r="BF29" s="8"/>
    </row>
    <row r="30" spans="1:59" ht="45.75" customHeight="1" x14ac:dyDescent="0.25">
      <c r="A30" s="233" t="s">
        <v>53</v>
      </c>
      <c r="B30" s="234" t="s">
        <v>54</v>
      </c>
      <c r="C30" s="25">
        <v>2019</v>
      </c>
      <c r="D30" s="25">
        <v>14.7</v>
      </c>
      <c r="E30" s="25"/>
      <c r="F30" s="26">
        <f>D30*F15</f>
        <v>0.73499999999999999</v>
      </c>
      <c r="G30" s="25">
        <f>D30*G15</f>
        <v>0.73499999999999999</v>
      </c>
      <c r="H30" s="242">
        <f>D30*H15</f>
        <v>2.6459999999999999</v>
      </c>
      <c r="I30" s="25"/>
      <c r="J30" s="25"/>
      <c r="K30" s="25"/>
      <c r="L30" s="25"/>
      <c r="M30" s="25"/>
      <c r="N30" s="25"/>
      <c r="O30" s="54">
        <f>P30-H30</f>
        <v>16.169999999999998</v>
      </c>
      <c r="P30" s="49">
        <f>D30+F30+G30+H30+I30+J30+K30+L30+M30+N30</f>
        <v>18.815999999999999</v>
      </c>
      <c r="Q30" s="25">
        <v>165.9</v>
      </c>
      <c r="R30" s="25">
        <v>26</v>
      </c>
      <c r="S30" s="52">
        <f>O30*Q30/100</f>
        <v>26.826029999999996</v>
      </c>
      <c r="T30" s="51">
        <f>P30*Q30/100</f>
        <v>31.215744000000001</v>
      </c>
      <c r="U30" s="51">
        <f>S30*R30</f>
        <v>697.47677999999985</v>
      </c>
      <c r="V30" s="52">
        <f>T30*R30</f>
        <v>811.60934399999996</v>
      </c>
      <c r="W30" s="53">
        <f>U30*6</f>
        <v>4184.8606799999989</v>
      </c>
      <c r="X30" s="31">
        <f>V30*6</f>
        <v>4869.6560639999998</v>
      </c>
      <c r="Y30" s="50">
        <f>W30+X30</f>
        <v>9054.5167439999987</v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8"/>
      <c r="AK30" s="8"/>
      <c r="AL30" s="8"/>
      <c r="AM30" s="8"/>
      <c r="AN30" s="29"/>
      <c r="AO30" s="8"/>
      <c r="AP30" s="7"/>
      <c r="AQ30" s="8"/>
      <c r="AR30" s="8"/>
      <c r="AS30" s="8"/>
      <c r="AT30" s="8"/>
      <c r="AU30" s="29"/>
      <c r="AV30" s="8"/>
      <c r="AW30" s="29"/>
      <c r="AX30" s="8"/>
      <c r="AY30" s="29"/>
      <c r="AZ30" s="8"/>
      <c r="BA30" s="29"/>
      <c r="BB30" s="8"/>
      <c r="BC30" s="29"/>
      <c r="BD30" s="8"/>
      <c r="BE30" s="8"/>
      <c r="BF30" s="8"/>
    </row>
    <row r="31" spans="1:59" ht="30" customHeight="1" x14ac:dyDescent="0.25">
      <c r="A31" s="337" t="s">
        <v>55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8"/>
      <c r="AK31" s="8"/>
      <c r="AL31" s="8"/>
      <c r="AM31" s="8"/>
      <c r="AN31" s="29"/>
      <c r="AO31" s="8"/>
      <c r="AP31" s="7"/>
      <c r="AQ31" s="8"/>
      <c r="AR31" s="8"/>
      <c r="AS31" s="8"/>
      <c r="AT31" s="8"/>
      <c r="AU31" s="29"/>
      <c r="AV31" s="8"/>
      <c r="AW31" s="29"/>
      <c r="AX31" s="8"/>
      <c r="AY31" s="29"/>
      <c r="AZ31" s="8"/>
      <c r="BA31" s="29"/>
      <c r="BB31" s="8"/>
      <c r="BC31" s="29"/>
      <c r="BD31" s="8"/>
      <c r="BE31" s="8"/>
      <c r="BF31" s="8"/>
    </row>
    <row r="32" spans="1:59" ht="45.75" customHeight="1" x14ac:dyDescent="0.25">
      <c r="A32" s="238" t="s">
        <v>56</v>
      </c>
      <c r="B32" s="23" t="s">
        <v>57</v>
      </c>
      <c r="C32" s="25">
        <v>2021</v>
      </c>
      <c r="D32" s="25">
        <v>14.4</v>
      </c>
      <c r="E32" s="25"/>
      <c r="F32" s="26">
        <f>D32*F15</f>
        <v>0.72000000000000008</v>
      </c>
      <c r="G32" s="25">
        <f>D32*G15</f>
        <v>0.72000000000000008</v>
      </c>
      <c r="H32" s="242">
        <f>D32*H15</f>
        <v>2.5920000000000001</v>
      </c>
      <c r="I32" s="25"/>
      <c r="J32" s="25"/>
      <c r="K32" s="25"/>
      <c r="L32" s="25">
        <f>D32*L15</f>
        <v>1.0080000000000002</v>
      </c>
      <c r="M32" s="25"/>
      <c r="N32" s="25"/>
      <c r="O32" s="54">
        <f>P32-H32</f>
        <v>17.856000000000002</v>
      </c>
      <c r="P32" s="49">
        <f>D32+F32+G32+H32+I32+J32+K32+L32+L32+M32+N32</f>
        <v>20.448</v>
      </c>
      <c r="Q32" s="25">
        <v>109</v>
      </c>
      <c r="R32" s="25">
        <v>26</v>
      </c>
      <c r="S32" s="52">
        <f>O32*Q32/100</f>
        <v>19.463039999999999</v>
      </c>
      <c r="T32" s="51">
        <f>P32*Q32/100</f>
        <v>22.288319999999999</v>
      </c>
      <c r="U32" s="51">
        <f>S32*R32</f>
        <v>506.03904</v>
      </c>
      <c r="V32" s="52">
        <f>T32*R32</f>
        <v>579.49631999999997</v>
      </c>
      <c r="W32" s="53">
        <f>U32*6</f>
        <v>3036.2342399999998</v>
      </c>
      <c r="X32" s="31">
        <f>V32*6</f>
        <v>3476.9779199999998</v>
      </c>
      <c r="Y32" s="50">
        <f>W32+X32</f>
        <v>6513.2121599999991</v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8"/>
      <c r="AK32" s="8"/>
      <c r="AL32" s="8"/>
      <c r="AM32" s="8"/>
      <c r="AN32" s="29"/>
      <c r="AO32" s="8"/>
      <c r="AP32" s="7"/>
      <c r="AQ32" s="8"/>
      <c r="AR32" s="8"/>
      <c r="AS32" s="8"/>
      <c r="AT32" s="8"/>
      <c r="AU32" s="29"/>
      <c r="AV32" s="8"/>
      <c r="AW32" s="29"/>
      <c r="AX32" s="8"/>
      <c r="AY32" s="29"/>
      <c r="AZ32" s="8"/>
      <c r="BA32" s="29"/>
      <c r="BB32" s="8"/>
      <c r="BC32" s="29"/>
      <c r="BD32" s="8"/>
      <c r="BE32" s="8"/>
      <c r="BF32" s="8"/>
    </row>
    <row r="33" spans="1:58" ht="26.25" customHeight="1" x14ac:dyDescent="0.25">
      <c r="A33" s="329" t="s">
        <v>58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1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8"/>
      <c r="AK33" s="8"/>
      <c r="AL33" s="8"/>
      <c r="AM33" s="8"/>
      <c r="AN33" s="29"/>
      <c r="AO33" s="8"/>
      <c r="AP33" s="7"/>
      <c r="AQ33" s="8"/>
      <c r="AR33" s="8"/>
      <c r="AS33" s="8"/>
      <c r="AT33" s="8"/>
      <c r="AU33" s="29"/>
      <c r="AV33" s="8"/>
      <c r="AW33" s="29"/>
      <c r="AX33" s="8"/>
      <c r="AY33" s="29"/>
      <c r="AZ33" s="8"/>
      <c r="BA33" s="29"/>
      <c r="BB33" s="8"/>
      <c r="BC33" s="29"/>
      <c r="BD33" s="8"/>
      <c r="BE33" s="8"/>
      <c r="BF33" s="8"/>
    </row>
    <row r="34" spans="1:58" ht="45.75" customHeight="1" x14ac:dyDescent="0.25">
      <c r="A34" s="232" t="s">
        <v>59</v>
      </c>
      <c r="B34" s="235" t="s">
        <v>60</v>
      </c>
      <c r="C34" s="236">
        <v>2012</v>
      </c>
      <c r="D34" s="236">
        <v>14.7</v>
      </c>
      <c r="E34" s="236"/>
      <c r="F34" s="26">
        <v>0.73499999999999999</v>
      </c>
      <c r="G34" s="25">
        <v>0.73499999999999999</v>
      </c>
      <c r="H34" s="242">
        <v>2.6459999999999999</v>
      </c>
      <c r="I34" s="25"/>
      <c r="J34" s="25">
        <f>D34*5/100</f>
        <v>0.73499999999999999</v>
      </c>
      <c r="K34" s="25"/>
      <c r="L34" s="25"/>
      <c r="M34" s="25"/>
      <c r="N34" s="25"/>
      <c r="O34" s="54">
        <f>P34-H34</f>
        <v>16.904999999999998</v>
      </c>
      <c r="P34" s="49">
        <f>D34+F34+G34+H34+I34+J34+K34+L34+M34+M34+N34</f>
        <v>19.550999999999998</v>
      </c>
      <c r="Q34" s="25">
        <v>20</v>
      </c>
      <c r="R34" s="25">
        <v>26</v>
      </c>
      <c r="S34" s="52">
        <f>O34*Q34/100</f>
        <v>3.3809999999999998</v>
      </c>
      <c r="T34" s="51">
        <f>P34*Q34/100</f>
        <v>3.9101999999999997</v>
      </c>
      <c r="U34" s="51">
        <f>S34*R34</f>
        <v>87.905999999999992</v>
      </c>
      <c r="V34" s="52">
        <f>T34*R34</f>
        <v>101.6652</v>
      </c>
      <c r="W34" s="53">
        <f>U34*6</f>
        <v>527.43599999999992</v>
      </c>
      <c r="X34" s="31">
        <f>V34*6</f>
        <v>609.99119999999994</v>
      </c>
      <c r="Y34" s="50">
        <f>W34+X34</f>
        <v>1137.4271999999999</v>
      </c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8"/>
      <c r="AK34" s="8"/>
      <c r="AL34" s="8"/>
      <c r="AM34" s="8"/>
      <c r="AN34" s="29"/>
      <c r="AO34" s="8"/>
      <c r="AP34" s="7"/>
      <c r="AQ34" s="8"/>
      <c r="AR34" s="8"/>
      <c r="AS34" s="8"/>
      <c r="AT34" s="8"/>
      <c r="AU34" s="29"/>
      <c r="AV34" s="8"/>
      <c r="AW34" s="29"/>
      <c r="AX34" s="8"/>
      <c r="AY34" s="29"/>
      <c r="AZ34" s="8"/>
      <c r="BA34" s="29"/>
      <c r="BB34" s="8"/>
      <c r="BC34" s="29"/>
      <c r="BD34" s="8"/>
      <c r="BE34" s="8"/>
      <c r="BF34" s="8"/>
    </row>
    <row r="35" spans="1:58" ht="45.75" customHeight="1" x14ac:dyDescent="0.25">
      <c r="A35" s="254" t="s">
        <v>67</v>
      </c>
      <c r="B35" s="23"/>
      <c r="C35" s="25">
        <v>2024</v>
      </c>
      <c r="D35" s="25">
        <v>14.7</v>
      </c>
      <c r="E35" s="25"/>
      <c r="F35" s="252">
        <f>D35*F15</f>
        <v>0.73499999999999999</v>
      </c>
      <c r="G35" s="253">
        <f>D35*G15</f>
        <v>0.73499999999999999</v>
      </c>
      <c r="H35" s="253">
        <f>D35*H15</f>
        <v>2.6459999999999999</v>
      </c>
      <c r="I35" s="25">
        <f>D35*I7</f>
        <v>0</v>
      </c>
      <c r="J35" s="25">
        <v>0</v>
      </c>
      <c r="K35" s="25"/>
      <c r="L35" s="25"/>
      <c r="M35" s="25"/>
      <c r="N35" s="25"/>
      <c r="O35" s="39">
        <f>P35-H35</f>
        <v>16.169999999999998</v>
      </c>
      <c r="P35" s="49">
        <f>D35+F35+G35+H35+I35+J35+K35+L35+M35+N35</f>
        <v>18.815999999999999</v>
      </c>
      <c r="Q35" s="25">
        <v>65</v>
      </c>
      <c r="R35" s="25">
        <v>26</v>
      </c>
      <c r="S35" s="52">
        <f>O35*Q35/100</f>
        <v>10.5105</v>
      </c>
      <c r="T35" s="51">
        <f>P35*Q35/100</f>
        <v>12.230399999999999</v>
      </c>
      <c r="U35" s="51">
        <f>S35*R35</f>
        <v>273.27300000000002</v>
      </c>
      <c r="V35" s="52">
        <f>T35*R35</f>
        <v>317.99039999999997</v>
      </c>
      <c r="W35" s="53">
        <f>U35*6</f>
        <v>1639.6380000000001</v>
      </c>
      <c r="X35" s="31">
        <f>V35*6</f>
        <v>1907.9423999999999</v>
      </c>
      <c r="Y35" s="50">
        <f>W35+X35</f>
        <v>3547.5803999999998</v>
      </c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8"/>
      <c r="AK35" s="8"/>
      <c r="AL35" s="8"/>
      <c r="AM35" s="8"/>
      <c r="AN35" s="29"/>
      <c r="AO35" s="8"/>
      <c r="AP35" s="7"/>
      <c r="AQ35" s="8"/>
      <c r="AR35" s="8"/>
      <c r="AS35" s="8"/>
      <c r="AT35" s="8"/>
      <c r="AU35" s="29"/>
      <c r="AV35" s="8"/>
      <c r="AW35" s="29"/>
      <c r="AX35" s="8"/>
      <c r="AY35" s="29"/>
      <c r="AZ35" s="8"/>
      <c r="BA35" s="29"/>
      <c r="BB35" s="8"/>
      <c r="BC35" s="29"/>
      <c r="BD35" s="8"/>
      <c r="BE35" s="8"/>
      <c r="BF35" s="8"/>
    </row>
    <row r="36" spans="1:58" ht="28.5" customHeight="1" x14ac:dyDescent="0.25">
      <c r="A36" s="329" t="s">
        <v>61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1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8"/>
      <c r="AK36" s="8"/>
      <c r="AL36" s="8"/>
      <c r="AM36" s="8"/>
      <c r="AN36" s="29"/>
      <c r="AO36" s="8"/>
      <c r="AP36" s="7"/>
      <c r="AQ36" s="8"/>
      <c r="AR36" s="8"/>
      <c r="AS36" s="8"/>
      <c r="AT36" s="8"/>
      <c r="AU36" s="29"/>
      <c r="AV36" s="8"/>
      <c r="AW36" s="29"/>
      <c r="AX36" s="8"/>
      <c r="AY36" s="29"/>
      <c r="AZ36" s="8"/>
      <c r="BA36" s="29"/>
      <c r="BB36" s="8"/>
      <c r="BC36" s="29"/>
      <c r="BD36" s="8"/>
      <c r="BE36" s="8"/>
      <c r="BF36" s="8"/>
    </row>
    <row r="37" spans="1:58" ht="45.75" customHeight="1" x14ac:dyDescent="0.25">
      <c r="A37" s="33" t="s">
        <v>156</v>
      </c>
      <c r="B37" s="23" t="s">
        <v>157</v>
      </c>
      <c r="C37" s="25">
        <v>2001</v>
      </c>
      <c r="D37" s="25">
        <v>15.2</v>
      </c>
      <c r="E37" s="25"/>
      <c r="F37" s="26">
        <f>D37*F15</f>
        <v>0.76</v>
      </c>
      <c r="G37" s="25">
        <f>D37*G15</f>
        <v>0.76</v>
      </c>
      <c r="H37" s="242">
        <f>D37*H15</f>
        <v>2.7359999999999998</v>
      </c>
      <c r="I37" s="25">
        <f>D37*I15</f>
        <v>1.52</v>
      </c>
      <c r="J37" s="25">
        <f>D37*5/100</f>
        <v>0.76</v>
      </c>
      <c r="K37" s="25"/>
      <c r="L37" s="25"/>
      <c r="M37" s="25"/>
      <c r="N37" s="25"/>
      <c r="O37" s="39">
        <f>P37-H37</f>
        <v>19</v>
      </c>
      <c r="P37" s="49">
        <f>D37+F37+G37+H37+I37+J37+K37+L37+M37+N37</f>
        <v>21.736000000000001</v>
      </c>
      <c r="Q37" s="25">
        <v>10</v>
      </c>
      <c r="R37" s="25">
        <v>10</v>
      </c>
      <c r="S37" s="40">
        <f>O37*Q37/100</f>
        <v>1.9</v>
      </c>
      <c r="T37" s="51">
        <f>P37*Q37/100</f>
        <v>2.1736</v>
      </c>
      <c r="U37" s="51">
        <f>S37*R37</f>
        <v>19</v>
      </c>
      <c r="V37" s="52">
        <f>T37*R37</f>
        <v>21.736000000000001</v>
      </c>
      <c r="W37" s="53">
        <f>U37*6</f>
        <v>114</v>
      </c>
      <c r="X37" s="31">
        <f>V37*6</f>
        <v>130.416</v>
      </c>
      <c r="Y37" s="50">
        <f>W37+X37</f>
        <v>244.416</v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8"/>
      <c r="AK37" s="8"/>
      <c r="AL37" s="8"/>
      <c r="AM37" s="8"/>
      <c r="AN37" s="29"/>
      <c r="AO37" s="8"/>
      <c r="AP37" s="7"/>
      <c r="AQ37" s="8"/>
      <c r="AR37" s="8"/>
      <c r="AS37" s="8"/>
      <c r="AT37" s="8"/>
      <c r="AU37" s="29"/>
      <c r="AV37" s="8"/>
      <c r="AW37" s="29"/>
      <c r="AX37" s="8"/>
      <c r="AY37" s="29"/>
      <c r="AZ37" s="8"/>
      <c r="BA37" s="29"/>
      <c r="BB37" s="8"/>
      <c r="BC37" s="29"/>
      <c r="BD37" s="8"/>
      <c r="BE37" s="8"/>
      <c r="BF37" s="8"/>
    </row>
    <row r="38" spans="1:58" ht="31.5" hidden="1" customHeight="1" x14ac:dyDescent="0.25">
      <c r="A38" s="232"/>
      <c r="B38" s="235"/>
      <c r="C38" s="236"/>
      <c r="D38" s="236"/>
      <c r="E38" s="236"/>
      <c r="F38" s="26"/>
      <c r="G38" s="25"/>
      <c r="H38" s="242"/>
      <c r="I38" s="25"/>
      <c r="J38" s="25"/>
      <c r="K38" s="25"/>
      <c r="L38" s="25"/>
      <c r="M38" s="25"/>
      <c r="N38" s="25"/>
      <c r="O38" s="39"/>
      <c r="P38" s="49"/>
      <c r="Q38" s="25"/>
      <c r="R38" s="25"/>
      <c r="S38" s="40"/>
      <c r="T38" s="51"/>
      <c r="U38" s="51"/>
      <c r="V38" s="52"/>
      <c r="W38" s="53"/>
      <c r="X38" s="31"/>
      <c r="Y38" s="50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8"/>
      <c r="AK38" s="8"/>
      <c r="AL38" s="8"/>
      <c r="AM38" s="8"/>
      <c r="AN38" s="29"/>
      <c r="AO38" s="8"/>
      <c r="AP38" s="7"/>
      <c r="AQ38" s="8"/>
      <c r="AR38" s="8"/>
      <c r="AS38" s="8"/>
      <c r="AT38" s="8"/>
      <c r="AU38" s="29"/>
      <c r="AV38" s="8"/>
      <c r="AW38" s="29"/>
      <c r="AX38" s="8"/>
      <c r="AY38" s="29"/>
      <c r="AZ38" s="8"/>
      <c r="BA38" s="29"/>
      <c r="BB38" s="8"/>
      <c r="BC38" s="29"/>
      <c r="BD38" s="8"/>
      <c r="BE38" s="8"/>
      <c r="BF38" s="8"/>
    </row>
    <row r="39" spans="1:58" ht="45.75" customHeight="1" x14ac:dyDescent="0.25">
      <c r="A39" s="254" t="s">
        <v>67</v>
      </c>
      <c r="B39" s="23"/>
      <c r="C39" s="25">
        <v>2024</v>
      </c>
      <c r="D39" s="25">
        <v>14.7</v>
      </c>
      <c r="E39" s="25"/>
      <c r="F39" s="252">
        <f>D39*F15</f>
        <v>0.73499999999999999</v>
      </c>
      <c r="G39" s="253">
        <f>D39*G15</f>
        <v>0.73499999999999999</v>
      </c>
      <c r="H39" s="253">
        <f>D39*H15</f>
        <v>2.6459999999999999</v>
      </c>
      <c r="I39" s="25">
        <f>D39*I11</f>
        <v>0</v>
      </c>
      <c r="J39" s="25">
        <v>0</v>
      </c>
      <c r="K39" s="25"/>
      <c r="L39" s="25"/>
      <c r="M39" s="25"/>
      <c r="N39" s="25"/>
      <c r="O39" s="39">
        <f>P39-H39</f>
        <v>16.169999999999998</v>
      </c>
      <c r="P39" s="49">
        <f>D39+F39+G39+H39+I39+J39+K39+L39+M39+N39</f>
        <v>18.815999999999999</v>
      </c>
      <c r="Q39" s="25">
        <v>65</v>
      </c>
      <c r="R39" s="25">
        <v>26</v>
      </c>
      <c r="S39" s="52">
        <f>O39*Q39/100</f>
        <v>10.5105</v>
      </c>
      <c r="T39" s="51">
        <f>P39*Q39/100</f>
        <v>12.230399999999999</v>
      </c>
      <c r="U39" s="51">
        <f>S39*R39</f>
        <v>273.27300000000002</v>
      </c>
      <c r="V39" s="52">
        <f>T39*R39</f>
        <v>317.99039999999997</v>
      </c>
      <c r="W39" s="53">
        <f>U39*6</f>
        <v>1639.6380000000001</v>
      </c>
      <c r="X39" s="31">
        <f>V39*6</f>
        <v>1907.9423999999999</v>
      </c>
      <c r="Y39" s="50">
        <f>W39+X39</f>
        <v>3547.5803999999998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8"/>
      <c r="AK39" s="8"/>
      <c r="AL39" s="8"/>
      <c r="AM39" s="8"/>
      <c r="AN39" s="29"/>
      <c r="AO39" s="8"/>
      <c r="AP39" s="7"/>
      <c r="AQ39" s="8"/>
      <c r="AR39" s="8"/>
      <c r="AS39" s="8"/>
      <c r="AT39" s="8"/>
      <c r="AU39" s="29"/>
      <c r="AV39" s="8"/>
      <c r="AW39" s="29"/>
      <c r="AX39" s="8"/>
      <c r="AY39" s="29"/>
      <c r="AZ39" s="8"/>
      <c r="BA39" s="29"/>
      <c r="BB39" s="8"/>
      <c r="BC39" s="29"/>
      <c r="BD39" s="8"/>
      <c r="BE39" s="8"/>
      <c r="BF39" s="8"/>
    </row>
    <row r="40" spans="1:58" ht="45.75" customHeight="1" x14ac:dyDescent="0.25">
      <c r="A40" s="57" t="s">
        <v>62</v>
      </c>
      <c r="B40" s="58" t="s">
        <v>63</v>
      </c>
      <c r="C40" s="58">
        <v>2010</v>
      </c>
      <c r="D40" s="58">
        <v>25.5</v>
      </c>
      <c r="E40" s="58">
        <v>9.1</v>
      </c>
      <c r="F40" s="59">
        <f>D40*F15</f>
        <v>1.2750000000000001</v>
      </c>
      <c r="G40" s="58">
        <f>D40*G15</f>
        <v>1.2750000000000001</v>
      </c>
      <c r="H40" s="244">
        <f>D40*H15</f>
        <v>4.59</v>
      </c>
      <c r="I40" s="59"/>
      <c r="J40" s="58">
        <v>1.2749999999999999</v>
      </c>
      <c r="K40" s="59">
        <v>2.5499999999999998</v>
      </c>
      <c r="L40" s="59"/>
      <c r="M40" s="59"/>
      <c r="N40" s="60"/>
      <c r="O40" s="39">
        <f>P40-H40</f>
        <v>40.974999999999994</v>
      </c>
      <c r="P40" s="49">
        <f>D40+F40+G40+H40+I40+J40+K40+L40+M40+N40+E40</f>
        <v>45.564999999999998</v>
      </c>
      <c r="Q40" s="61">
        <v>10</v>
      </c>
      <c r="R40" s="61">
        <v>26</v>
      </c>
      <c r="S40" s="41">
        <f>O40*Q40/100</f>
        <v>4.0974999999999993</v>
      </c>
      <c r="T40" s="51">
        <f>P40*Q40/100</f>
        <v>4.5564999999999998</v>
      </c>
      <c r="U40" s="51">
        <f>S40*R40</f>
        <v>106.53499999999998</v>
      </c>
      <c r="V40" s="52">
        <f>T40*R40</f>
        <v>118.46899999999999</v>
      </c>
      <c r="W40" s="53">
        <f>U40*6</f>
        <v>639.20999999999992</v>
      </c>
      <c r="X40" s="31">
        <f>V40*6</f>
        <v>710.81399999999996</v>
      </c>
      <c r="Y40" s="50">
        <f>W40+X40</f>
        <v>1350.0239999999999</v>
      </c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8"/>
      <c r="AK40" s="8"/>
      <c r="AL40" s="8"/>
      <c r="AM40" s="8"/>
      <c r="AN40" s="29"/>
      <c r="AO40" s="8"/>
      <c r="AP40" s="7"/>
      <c r="AQ40" s="8"/>
      <c r="AR40" s="8"/>
      <c r="AS40" s="8"/>
      <c r="AT40" s="8"/>
      <c r="AU40" s="29"/>
      <c r="AV40" s="8"/>
      <c r="AW40" s="29"/>
      <c r="AX40" s="8"/>
      <c r="AY40" s="29"/>
      <c r="AZ40" s="8"/>
      <c r="BA40" s="29"/>
      <c r="BB40" s="8"/>
      <c r="BC40" s="29"/>
      <c r="BD40" s="8"/>
      <c r="BE40" s="8"/>
      <c r="BF40" s="8"/>
    </row>
    <row r="41" spans="1:58" ht="45.75" hidden="1" customHeight="1" x14ac:dyDescent="0.25">
      <c r="A41" s="33"/>
      <c r="B41" s="23"/>
      <c r="C41" s="25"/>
      <c r="D41" s="25"/>
      <c r="E41" s="25"/>
      <c r="F41" s="26"/>
      <c r="G41" s="25"/>
      <c r="H41" s="242"/>
      <c r="I41" s="25"/>
      <c r="J41" s="25"/>
      <c r="K41" s="25"/>
      <c r="L41" s="25"/>
      <c r="M41" s="25"/>
      <c r="N41" s="25"/>
      <c r="O41" s="39"/>
      <c r="P41" s="49"/>
      <c r="Q41" s="25"/>
      <c r="R41" s="25"/>
      <c r="S41" s="52"/>
      <c r="T41" s="51"/>
      <c r="U41" s="51"/>
      <c r="V41" s="52"/>
      <c r="W41" s="53"/>
      <c r="X41" s="31"/>
      <c r="Y41" s="50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8"/>
      <c r="AK41" s="8"/>
      <c r="AL41" s="8"/>
      <c r="AM41" s="8"/>
      <c r="AN41" s="29"/>
      <c r="AO41" s="8"/>
      <c r="AP41" s="7"/>
      <c r="AQ41" s="8"/>
      <c r="AR41" s="8"/>
      <c r="AS41" s="8"/>
      <c r="AT41" s="8"/>
      <c r="AU41" s="29"/>
      <c r="AV41" s="8"/>
      <c r="AW41" s="29"/>
      <c r="AX41" s="8"/>
      <c r="AY41" s="29"/>
      <c r="AZ41" s="8"/>
      <c r="BA41" s="29"/>
      <c r="BB41" s="8"/>
      <c r="BC41" s="29"/>
      <c r="BD41" s="8"/>
      <c r="BE41" s="8"/>
      <c r="BF41" s="8"/>
    </row>
    <row r="42" spans="1:58" ht="30.75" customHeight="1" x14ac:dyDescent="0.25">
      <c r="A42" s="329" t="s">
        <v>66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1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8"/>
      <c r="AK42" s="8"/>
      <c r="AL42" s="8"/>
      <c r="AM42" s="8"/>
      <c r="AN42" s="29"/>
      <c r="AO42" s="8"/>
      <c r="AP42" s="7"/>
      <c r="AQ42" s="8"/>
      <c r="AR42" s="8"/>
      <c r="AS42" s="8"/>
      <c r="AT42" s="8"/>
      <c r="AU42" s="29"/>
      <c r="AV42" s="8"/>
      <c r="AW42" s="29"/>
      <c r="AX42" s="8"/>
      <c r="AY42" s="29"/>
      <c r="AZ42" s="8"/>
      <c r="BA42" s="29"/>
      <c r="BB42" s="8"/>
      <c r="BC42" s="29"/>
      <c r="BD42" s="8"/>
      <c r="BE42" s="8"/>
      <c r="BF42" s="8"/>
    </row>
    <row r="43" spans="1:58" ht="45.75" customHeight="1" x14ac:dyDescent="0.25">
      <c r="A43" s="62" t="s">
        <v>67</v>
      </c>
      <c r="B43" s="23" t="s">
        <v>68</v>
      </c>
      <c r="C43" s="25">
        <v>2011</v>
      </c>
      <c r="D43" s="25">
        <v>14.7</v>
      </c>
      <c r="E43" s="25"/>
      <c r="F43" s="225">
        <f>D43*F15</f>
        <v>0.73499999999999999</v>
      </c>
      <c r="G43" s="25">
        <f>D43*G15</f>
        <v>0.73499999999999999</v>
      </c>
      <c r="H43" s="242">
        <f>D43*H15</f>
        <v>2.6459999999999999</v>
      </c>
      <c r="I43" s="25">
        <f>D43*I15</f>
        <v>1.47</v>
      </c>
      <c r="J43" s="25">
        <f>D43*5/100</f>
        <v>0.73499999999999999</v>
      </c>
      <c r="K43" s="25"/>
      <c r="L43" s="25"/>
      <c r="M43" s="25"/>
      <c r="N43" s="25"/>
      <c r="O43" s="39">
        <f>P43-H43</f>
        <v>18.374999999999996</v>
      </c>
      <c r="P43" s="49">
        <f>D43+F43+G43+H43+I43+J43+K43+L43+M43+N43</f>
        <v>21.020999999999997</v>
      </c>
      <c r="Q43" s="25">
        <v>65</v>
      </c>
      <c r="R43" s="25">
        <v>26</v>
      </c>
      <c r="S43" s="52">
        <f>O43*Q43/100</f>
        <v>11.943749999999998</v>
      </c>
      <c r="T43" s="51">
        <f>P43*Q43/100</f>
        <v>13.663649999999997</v>
      </c>
      <c r="U43" s="51">
        <f>S43*R43</f>
        <v>310.53749999999997</v>
      </c>
      <c r="V43" s="52">
        <f>T43*R43</f>
        <v>355.25489999999991</v>
      </c>
      <c r="W43" s="53">
        <f t="shared" ref="W43:X45" si="1">U43*6</f>
        <v>1863.2249999999999</v>
      </c>
      <c r="X43" s="31">
        <f t="shared" si="1"/>
        <v>2131.5293999999994</v>
      </c>
      <c r="Y43" s="50">
        <f>W43+X43</f>
        <v>3994.7543999999994</v>
      </c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8"/>
      <c r="AK43" s="8"/>
      <c r="AL43" s="8"/>
      <c r="AM43" s="8"/>
      <c r="AN43" s="29"/>
      <c r="AO43" s="8"/>
      <c r="AP43" s="7"/>
      <c r="AQ43" s="8"/>
      <c r="AR43" s="8"/>
      <c r="AS43" s="8"/>
      <c r="AT43" s="8"/>
      <c r="AU43" s="29"/>
      <c r="AV43" s="8"/>
      <c r="AW43" s="29"/>
      <c r="AX43" s="8"/>
      <c r="AY43" s="29"/>
      <c r="AZ43" s="8"/>
      <c r="BA43" s="29"/>
      <c r="BB43" s="8"/>
      <c r="BC43" s="29"/>
      <c r="BD43" s="8"/>
      <c r="BE43" s="8"/>
      <c r="BF43" s="8"/>
    </row>
    <row r="44" spans="1:58" ht="48" customHeight="1" x14ac:dyDescent="0.25">
      <c r="A44" s="62" t="s">
        <v>69</v>
      </c>
      <c r="B44" s="23" t="s">
        <v>70</v>
      </c>
      <c r="C44" s="25">
        <v>2008</v>
      </c>
      <c r="D44" s="25">
        <v>13.8</v>
      </c>
      <c r="E44" s="25"/>
      <c r="F44" s="225">
        <f>D44*F14</f>
        <v>0</v>
      </c>
      <c r="G44" s="25">
        <f>D44*G14</f>
        <v>0</v>
      </c>
      <c r="H44" s="242">
        <f>D44*H14</f>
        <v>0</v>
      </c>
      <c r="I44" s="25">
        <f>D44*I14</f>
        <v>0</v>
      </c>
      <c r="J44" s="25">
        <f>D44*5/100</f>
        <v>0.69</v>
      </c>
      <c r="K44" s="25"/>
      <c r="L44" s="25"/>
      <c r="M44" s="25"/>
      <c r="N44" s="25"/>
      <c r="O44" s="39">
        <f>P44-H44</f>
        <v>14.49</v>
      </c>
      <c r="P44" s="49">
        <f>D44+F44+G44+H44+I44+J44+K44+L44+M44+N44</f>
        <v>14.49</v>
      </c>
      <c r="Q44" s="25">
        <v>10</v>
      </c>
      <c r="R44" s="25">
        <v>26</v>
      </c>
      <c r="S44" s="52">
        <f>O44*Q44/100</f>
        <v>1.4490000000000001</v>
      </c>
      <c r="T44" s="51">
        <f>P44*Q44/100</f>
        <v>1.4490000000000001</v>
      </c>
      <c r="U44" s="51">
        <f>S44*R44</f>
        <v>37.673999999999999</v>
      </c>
      <c r="V44" s="52">
        <f>T44*R44</f>
        <v>37.673999999999999</v>
      </c>
      <c r="W44" s="53">
        <f t="shared" si="1"/>
        <v>226.04399999999998</v>
      </c>
      <c r="X44" s="31">
        <f t="shared" si="1"/>
        <v>226.04399999999998</v>
      </c>
      <c r="Y44" s="50">
        <f>W44+X44</f>
        <v>452.08799999999997</v>
      </c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8"/>
      <c r="AK44" s="8"/>
      <c r="AL44" s="8"/>
      <c r="AM44" s="8"/>
      <c r="AN44" s="29"/>
      <c r="AO44" s="8"/>
      <c r="AP44" s="7"/>
      <c r="AQ44" s="8"/>
      <c r="AR44" s="8"/>
      <c r="AS44" s="8"/>
      <c r="AT44" s="8"/>
      <c r="AU44" s="29"/>
      <c r="AV44" s="8"/>
      <c r="AW44" s="29"/>
      <c r="AX44" s="8"/>
      <c r="AY44" s="29"/>
      <c r="AZ44" s="8"/>
      <c r="BA44" s="29"/>
      <c r="BB44" s="8"/>
      <c r="BC44" s="29"/>
      <c r="BD44" s="8"/>
      <c r="BE44" s="8"/>
      <c r="BF44" s="8"/>
    </row>
    <row r="45" spans="1:58" ht="45.75" customHeight="1" x14ac:dyDescent="0.25">
      <c r="A45" s="254" t="s">
        <v>67</v>
      </c>
      <c r="B45" s="23"/>
      <c r="C45" s="25">
        <v>2024</v>
      </c>
      <c r="D45" s="25">
        <v>14.7</v>
      </c>
      <c r="E45" s="25"/>
      <c r="F45" s="252">
        <f>D45*F15</f>
        <v>0.73499999999999999</v>
      </c>
      <c r="G45" s="253">
        <f>D45*G15</f>
        <v>0.73499999999999999</v>
      </c>
      <c r="H45" s="253">
        <f>D45*H15</f>
        <v>2.6459999999999999</v>
      </c>
      <c r="I45" s="25">
        <f>D45*I17</f>
        <v>0</v>
      </c>
      <c r="J45" s="25">
        <v>0</v>
      </c>
      <c r="K45" s="25"/>
      <c r="L45" s="25"/>
      <c r="M45" s="25"/>
      <c r="N45" s="25"/>
      <c r="O45" s="39">
        <f>P45-H45</f>
        <v>16.169999999999998</v>
      </c>
      <c r="P45" s="49">
        <f>D45+F45+G45+H45+I45+J45+K45+L45+M45+N45</f>
        <v>18.815999999999999</v>
      </c>
      <c r="Q45" s="25">
        <v>65</v>
      </c>
      <c r="R45" s="25">
        <v>26</v>
      </c>
      <c r="S45" s="52">
        <f>O45*Q45/100</f>
        <v>10.5105</v>
      </c>
      <c r="T45" s="51">
        <f>P45*Q45/100</f>
        <v>12.230399999999999</v>
      </c>
      <c r="U45" s="51">
        <f>S45*R45</f>
        <v>273.27300000000002</v>
      </c>
      <c r="V45" s="52">
        <f>T45*R45</f>
        <v>317.99039999999997</v>
      </c>
      <c r="W45" s="53">
        <f t="shared" si="1"/>
        <v>1639.6380000000001</v>
      </c>
      <c r="X45" s="31">
        <f t="shared" si="1"/>
        <v>1907.9423999999999</v>
      </c>
      <c r="Y45" s="50">
        <f>W45+X45</f>
        <v>3547.5803999999998</v>
      </c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8"/>
      <c r="AK45" s="8"/>
      <c r="AL45" s="8"/>
      <c r="AM45" s="8"/>
      <c r="AN45" s="29"/>
      <c r="AO45" s="8"/>
      <c r="AP45" s="7"/>
      <c r="AQ45" s="8"/>
      <c r="AR45" s="8"/>
      <c r="AS45" s="8"/>
      <c r="AT45" s="8"/>
      <c r="AU45" s="29"/>
      <c r="AV45" s="8"/>
      <c r="AW45" s="29"/>
      <c r="AX45" s="8"/>
      <c r="AY45" s="29"/>
      <c r="AZ45" s="8"/>
      <c r="BA45" s="29"/>
      <c r="BB45" s="8"/>
      <c r="BC45" s="29"/>
      <c r="BD45" s="8"/>
      <c r="BE45" s="8"/>
      <c r="BF45" s="8"/>
    </row>
    <row r="46" spans="1:58" ht="26.25" customHeight="1" x14ac:dyDescent="0.25">
      <c r="A46" s="332" t="s">
        <v>71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4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8"/>
      <c r="AK46" s="8"/>
      <c r="AL46" s="8"/>
      <c r="AM46" s="8"/>
      <c r="AN46" s="29"/>
      <c r="AO46" s="8"/>
      <c r="AP46" s="7"/>
      <c r="AQ46" s="8"/>
      <c r="AR46" s="8"/>
      <c r="AS46" s="8"/>
      <c r="AT46" s="8"/>
      <c r="AU46" s="29"/>
      <c r="AV46" s="8"/>
      <c r="AW46" s="29"/>
      <c r="AX46" s="8"/>
      <c r="AY46" s="29"/>
      <c r="AZ46" s="8"/>
      <c r="BA46" s="29"/>
      <c r="BB46" s="8"/>
      <c r="BC46" s="29"/>
      <c r="BD46" s="8"/>
      <c r="BE46" s="8"/>
      <c r="BF46" s="8"/>
    </row>
    <row r="47" spans="1:58" ht="45.75" customHeight="1" x14ac:dyDescent="0.25">
      <c r="A47" s="63" t="s">
        <v>158</v>
      </c>
      <c r="B47" s="64" t="s">
        <v>159</v>
      </c>
      <c r="C47" s="61">
        <v>2011</v>
      </c>
      <c r="D47" s="25">
        <v>14.7</v>
      </c>
      <c r="E47" s="25"/>
      <c r="F47" s="225">
        <f>D47*F14</f>
        <v>0</v>
      </c>
      <c r="G47" s="25">
        <f>D47*G14</f>
        <v>0</v>
      </c>
      <c r="H47" s="242">
        <f>D47*H14</f>
        <v>0</v>
      </c>
      <c r="I47" s="25">
        <f>D47*I14</f>
        <v>0</v>
      </c>
      <c r="J47" s="25">
        <f>D47*5/100</f>
        <v>0.73499999999999999</v>
      </c>
      <c r="K47" s="25"/>
      <c r="L47" s="25"/>
      <c r="M47" s="25"/>
      <c r="N47" s="25"/>
      <c r="O47" s="39">
        <f>P47-H47</f>
        <v>15.434999999999999</v>
      </c>
      <c r="P47" s="49">
        <f>D47+F47+G47+H47+I47+J47+K47+L47+M47+N47</f>
        <v>15.434999999999999</v>
      </c>
      <c r="Q47" s="25">
        <v>150</v>
      </c>
      <c r="R47" s="25">
        <v>26</v>
      </c>
      <c r="S47" s="52">
        <f>O47*Q47/100</f>
        <v>23.1525</v>
      </c>
      <c r="T47" s="51">
        <f>P47*Q47/100</f>
        <v>23.1525</v>
      </c>
      <c r="U47" s="51">
        <f>S47*R47</f>
        <v>601.96500000000003</v>
      </c>
      <c r="V47" s="52">
        <f>T47*R47</f>
        <v>601.96500000000003</v>
      </c>
      <c r="W47" s="53">
        <f>U47*6</f>
        <v>3611.79</v>
      </c>
      <c r="X47" s="31">
        <f>V47*6</f>
        <v>3611.79</v>
      </c>
      <c r="Y47" s="50">
        <f>W47+X47</f>
        <v>7223.58</v>
      </c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8"/>
      <c r="AK47" s="8"/>
      <c r="AL47" s="8"/>
      <c r="AM47" s="8"/>
      <c r="AN47" s="29"/>
      <c r="AO47" s="8"/>
      <c r="AP47" s="7"/>
      <c r="AQ47" s="8"/>
      <c r="AR47" s="8"/>
      <c r="AS47" s="8"/>
      <c r="AT47" s="8"/>
      <c r="AU47" s="29"/>
      <c r="AV47" s="8"/>
      <c r="AW47" s="29"/>
      <c r="AX47" s="8"/>
      <c r="AY47" s="29"/>
      <c r="AZ47" s="8"/>
      <c r="BA47" s="29"/>
      <c r="BB47" s="8"/>
      <c r="BC47" s="29"/>
      <c r="BD47" s="8"/>
      <c r="BE47" s="8"/>
      <c r="BF47" s="8"/>
    </row>
    <row r="48" spans="1:58" ht="45.75" customHeight="1" x14ac:dyDescent="0.25">
      <c r="A48" s="254" t="s">
        <v>67</v>
      </c>
      <c r="B48" s="23"/>
      <c r="C48" s="25">
        <v>2024</v>
      </c>
      <c r="D48" s="25">
        <v>14.7</v>
      </c>
      <c r="E48" s="25"/>
      <c r="F48" s="252">
        <f>D48*F15</f>
        <v>0.73499999999999999</v>
      </c>
      <c r="G48" s="253">
        <f>D48*G15</f>
        <v>0.73499999999999999</v>
      </c>
      <c r="H48" s="253">
        <f>D48*H15</f>
        <v>2.6459999999999999</v>
      </c>
      <c r="I48" s="25">
        <v>0</v>
      </c>
      <c r="J48" s="25">
        <v>0</v>
      </c>
      <c r="K48" s="25"/>
      <c r="L48" s="25"/>
      <c r="M48" s="25"/>
      <c r="N48" s="25"/>
      <c r="O48" s="39">
        <f>P48-H48</f>
        <v>16.169999999999998</v>
      </c>
      <c r="P48" s="49">
        <f>D48+F48+G48+H48+I48+J48+K48+L48+M48+N48</f>
        <v>18.815999999999999</v>
      </c>
      <c r="Q48" s="25">
        <v>65</v>
      </c>
      <c r="R48" s="25">
        <v>26</v>
      </c>
      <c r="S48" s="52">
        <f>O48*Q48/100</f>
        <v>10.5105</v>
      </c>
      <c r="T48" s="51">
        <f>P48*Q48/100</f>
        <v>12.230399999999999</v>
      </c>
      <c r="U48" s="51">
        <f>S48*R48</f>
        <v>273.27300000000002</v>
      </c>
      <c r="V48" s="52">
        <f>T48*R48</f>
        <v>317.99039999999997</v>
      </c>
      <c r="W48" s="53">
        <f>U48*6</f>
        <v>1639.6380000000001</v>
      </c>
      <c r="X48" s="31">
        <f>V48*6</f>
        <v>1907.9423999999999</v>
      </c>
      <c r="Y48" s="50">
        <f>W48+X48</f>
        <v>3547.5803999999998</v>
      </c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8"/>
      <c r="AK48" s="8"/>
      <c r="AL48" s="8"/>
      <c r="AM48" s="8"/>
      <c r="AN48" s="29"/>
      <c r="AO48" s="8"/>
      <c r="AP48" s="7"/>
      <c r="AQ48" s="8"/>
      <c r="AR48" s="8"/>
      <c r="AS48" s="8"/>
      <c r="AT48" s="8"/>
      <c r="AU48" s="29"/>
      <c r="AV48" s="8"/>
      <c r="AW48" s="29"/>
      <c r="AX48" s="8"/>
      <c r="AY48" s="29"/>
      <c r="AZ48" s="8"/>
      <c r="BA48" s="29"/>
      <c r="BB48" s="8"/>
      <c r="BC48" s="29"/>
      <c r="BD48" s="8"/>
      <c r="BE48" s="8"/>
      <c r="BF48" s="8"/>
    </row>
    <row r="49" spans="1:58" ht="19.5" customHeight="1" x14ac:dyDescent="0.25">
      <c r="A49" s="65" t="s">
        <v>6</v>
      </c>
      <c r="B49" s="66"/>
      <c r="C49" s="66"/>
      <c r="D49" s="66"/>
      <c r="E49" s="66"/>
      <c r="F49" s="66"/>
      <c r="G49" s="66"/>
      <c r="H49" s="67"/>
      <c r="I49" s="67"/>
      <c r="J49" s="67"/>
      <c r="K49" s="66"/>
      <c r="L49" s="66"/>
      <c r="M49" s="66"/>
      <c r="N49" s="66"/>
      <c r="O49" s="67"/>
      <c r="P49" s="67"/>
      <c r="Q49" s="66"/>
      <c r="R49" s="66"/>
      <c r="S49" s="68">
        <f t="shared" ref="S49:Y49" si="2">SUM(S18:S48)</f>
        <v>338.54445799999991</v>
      </c>
      <c r="T49" s="68">
        <f t="shared" si="2"/>
        <v>387.45336399999991</v>
      </c>
      <c r="U49" s="68">
        <f t="shared" si="2"/>
        <v>8170.2138839999998</v>
      </c>
      <c r="V49" s="68">
        <f t="shared" si="2"/>
        <v>9284.5376640000013</v>
      </c>
      <c r="W49" s="68">
        <f t="shared" si="2"/>
        <v>49021.283303999997</v>
      </c>
      <c r="X49" s="68">
        <f t="shared" si="2"/>
        <v>55707.225983999997</v>
      </c>
      <c r="Y49" s="68">
        <f t="shared" si="2"/>
        <v>104728.50928800003</v>
      </c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 spans="1:58" ht="47.25" customHeight="1" x14ac:dyDescent="0.2"/>
    <row r="51" spans="1:58" ht="47.25" customHeight="1" x14ac:dyDescent="0.2"/>
  </sheetData>
  <mergeCells count="69">
    <mergeCell ref="P1:Y1"/>
    <mergeCell ref="P2:Y2"/>
    <mergeCell ref="P3:Y3"/>
    <mergeCell ref="P4:Y4"/>
    <mergeCell ref="A10:AI10"/>
    <mergeCell ref="R12:R14"/>
    <mergeCell ref="J12:J14"/>
    <mergeCell ref="O12:O14"/>
    <mergeCell ref="N12:N14"/>
    <mergeCell ref="A13:A15"/>
    <mergeCell ref="P20:P21"/>
    <mergeCell ref="H12:H14"/>
    <mergeCell ref="I12:I14"/>
    <mergeCell ref="P12:P14"/>
    <mergeCell ref="A16:Y16"/>
    <mergeCell ref="A18:A19"/>
    <mergeCell ref="B18:B19"/>
    <mergeCell ref="C18:C19"/>
    <mergeCell ref="Q12:Q14"/>
    <mergeCell ref="B12:B15"/>
    <mergeCell ref="C12:C15"/>
    <mergeCell ref="D12:D15"/>
    <mergeCell ref="F12:G12"/>
    <mergeCell ref="E12:E14"/>
    <mergeCell ref="K12:K14"/>
    <mergeCell ref="G13:G14"/>
    <mergeCell ref="L12:L14"/>
    <mergeCell ref="M12:M14"/>
    <mergeCell ref="F13:F14"/>
    <mergeCell ref="V12:V14"/>
    <mergeCell ref="W12:W14"/>
    <mergeCell ref="X12:X14"/>
    <mergeCell ref="Y12:Y14"/>
    <mergeCell ref="S12:S14"/>
    <mergeCell ref="T12:T14"/>
    <mergeCell ref="U12:U14"/>
    <mergeCell ref="D18:D19"/>
    <mergeCell ref="F18:F19"/>
    <mergeCell ref="G18:G19"/>
    <mergeCell ref="H18:H19"/>
    <mergeCell ref="I18:I19"/>
    <mergeCell ref="J18:J19"/>
    <mergeCell ref="L18:L19"/>
    <mergeCell ref="O18:O19"/>
    <mergeCell ref="P18:P19"/>
    <mergeCell ref="Q18:Q19"/>
    <mergeCell ref="R18:R19"/>
    <mergeCell ref="N18:N19"/>
    <mergeCell ref="M18:M19"/>
    <mergeCell ref="A33:Y33"/>
    <mergeCell ref="A36:Y36"/>
    <mergeCell ref="E18:E19"/>
    <mergeCell ref="S18:S19"/>
    <mergeCell ref="T18:T19"/>
    <mergeCell ref="U18:U19"/>
    <mergeCell ref="V18:V19"/>
    <mergeCell ref="W18:W19"/>
    <mergeCell ref="X18:X19"/>
    <mergeCell ref="K18:K19"/>
    <mergeCell ref="R5:X5"/>
    <mergeCell ref="R6:X6"/>
    <mergeCell ref="Q7:X9"/>
    <mergeCell ref="O20:O21"/>
    <mergeCell ref="A42:Y42"/>
    <mergeCell ref="A46:Y46"/>
    <mergeCell ref="Y18:Y19"/>
    <mergeCell ref="A27:Y27"/>
    <mergeCell ref="A29:Y29"/>
    <mergeCell ref="A31:Y31"/>
  </mergeCells>
  <pageMargins left="0.7" right="0.7" top="0.75" bottom="0.75" header="0.3" footer="0.3"/>
  <pageSetup paperSize="9" scale="52" orientation="landscape" horizontalDpi="0" verticalDpi="0" r:id="rId1"/>
  <rowBreaks count="1" manualBreakCount="1">
    <brk id="35" max="23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zoomScale="80" zoomScaleNormal="100" zoomScaleSheetLayoutView="80" workbookViewId="0">
      <selection activeCell="M11" sqref="M11"/>
    </sheetView>
  </sheetViews>
  <sheetFormatPr defaultRowHeight="12.75" x14ac:dyDescent="0.2"/>
  <cols>
    <col min="1" max="1" width="14.42578125" customWidth="1"/>
    <col min="2" max="2" width="13.85546875" customWidth="1"/>
    <col min="3" max="3" width="8.7109375" customWidth="1"/>
  </cols>
  <sheetData>
    <row r="1" spans="1:16" x14ac:dyDescent="0.2">
      <c r="K1" s="400" t="s">
        <v>74</v>
      </c>
      <c r="L1" s="400"/>
      <c r="M1" s="400"/>
      <c r="N1" s="400"/>
      <c r="O1" s="400"/>
    </row>
    <row r="2" spans="1:16" x14ac:dyDescent="0.2">
      <c r="K2" s="401" t="s">
        <v>75</v>
      </c>
      <c r="L2" s="401"/>
      <c r="M2" s="401"/>
      <c r="N2" s="401"/>
      <c r="O2" s="401"/>
    </row>
    <row r="3" spans="1:16" x14ac:dyDescent="0.2">
      <c r="K3" s="401" t="s">
        <v>175</v>
      </c>
      <c r="L3" s="401"/>
      <c r="M3" s="401"/>
      <c r="N3" s="401"/>
      <c r="O3" s="401"/>
    </row>
    <row r="4" spans="1:16" x14ac:dyDescent="0.2">
      <c r="K4" s="401"/>
      <c r="L4" s="401"/>
      <c r="M4" s="401"/>
      <c r="N4" s="401"/>
      <c r="O4" s="401"/>
    </row>
    <row r="5" spans="1:16" x14ac:dyDescent="0.2">
      <c r="K5" s="401" t="s">
        <v>172</v>
      </c>
      <c r="L5" s="401"/>
      <c r="M5" s="401"/>
      <c r="N5" s="401"/>
      <c r="O5" s="401"/>
    </row>
    <row r="6" spans="1:16" ht="11.25" customHeight="1" x14ac:dyDescent="0.25">
      <c r="K6" s="69"/>
      <c r="L6" s="69"/>
      <c r="M6" s="69"/>
      <c r="N6" s="69"/>
      <c r="O6" s="69"/>
    </row>
    <row r="7" spans="1:16" ht="18.75" customHeight="1" x14ac:dyDescent="0.2">
      <c r="A7" s="402" t="s">
        <v>174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</row>
    <row r="8" spans="1:16" s="71" customFormat="1" ht="12.75" customHeight="1" x14ac:dyDescent="0.2">
      <c r="A8" s="394" t="s">
        <v>76</v>
      </c>
      <c r="B8" s="396" t="s">
        <v>77</v>
      </c>
      <c r="C8" s="398" t="s">
        <v>78</v>
      </c>
      <c r="D8" s="385" t="s">
        <v>79</v>
      </c>
      <c r="E8" s="386"/>
      <c r="F8" s="387"/>
      <c r="G8" s="385" t="s">
        <v>80</v>
      </c>
      <c r="H8" s="386"/>
      <c r="I8" s="387"/>
      <c r="J8" s="385" t="s">
        <v>81</v>
      </c>
      <c r="K8" s="386"/>
      <c r="L8" s="387"/>
      <c r="M8" s="385" t="s">
        <v>82</v>
      </c>
      <c r="N8" s="386"/>
      <c r="O8" s="387"/>
      <c r="P8" s="70"/>
    </row>
    <row r="9" spans="1:16" s="71" customFormat="1" ht="25.5" x14ac:dyDescent="0.2">
      <c r="A9" s="395"/>
      <c r="B9" s="397"/>
      <c r="C9" s="399"/>
      <c r="D9" s="72" t="s">
        <v>83</v>
      </c>
      <c r="E9" s="72" t="s">
        <v>84</v>
      </c>
      <c r="F9" s="73" t="s">
        <v>85</v>
      </c>
      <c r="G9" s="72" t="s">
        <v>83</v>
      </c>
      <c r="H9" s="72" t="s">
        <v>84</v>
      </c>
      <c r="I9" s="73" t="s">
        <v>85</v>
      </c>
      <c r="J9" s="72" t="s">
        <v>83</v>
      </c>
      <c r="K9" s="72" t="s">
        <v>84</v>
      </c>
      <c r="L9" s="73" t="s">
        <v>85</v>
      </c>
      <c r="M9" s="72" t="s">
        <v>83</v>
      </c>
      <c r="N9" s="72" t="s">
        <v>84</v>
      </c>
      <c r="O9" s="73" t="s">
        <v>85</v>
      </c>
      <c r="P9" s="70"/>
    </row>
    <row r="10" spans="1:16" s="79" customFormat="1" ht="22.5" customHeight="1" x14ac:dyDescent="0.2">
      <c r="A10" s="74" t="s">
        <v>86</v>
      </c>
      <c r="B10" s="75" t="s">
        <v>87</v>
      </c>
      <c r="C10" s="76">
        <v>2015</v>
      </c>
      <c r="D10" s="76">
        <f>4020.62*D35/100</f>
        <v>88.453639999999993</v>
      </c>
      <c r="E10" s="76">
        <f>4958.76*D35/100</f>
        <v>109.09272000000001</v>
      </c>
      <c r="F10" s="77">
        <f>D10+E10</f>
        <v>197.54635999999999</v>
      </c>
      <c r="G10" s="76">
        <f>4020.62*E35/100</f>
        <v>8.0412400000000002</v>
      </c>
      <c r="H10" s="76">
        <f>4958.76*E35/100</f>
        <v>9.9175200000000014</v>
      </c>
      <c r="I10" s="77">
        <f t="shared" ref="I10:I25" si="0">G10+H10</f>
        <v>17.958760000000002</v>
      </c>
      <c r="J10" s="76">
        <f>4020.62*F35/100</f>
        <v>2.01031</v>
      </c>
      <c r="K10" s="76">
        <f>4958.76*F35/100</f>
        <v>2.4793800000000004</v>
      </c>
      <c r="L10" s="77">
        <f t="shared" ref="L10:L25" si="1">J10+K10</f>
        <v>4.4896900000000004</v>
      </c>
      <c r="M10" s="76">
        <f>4020.62*G35/100+1.6</f>
        <v>9.6412399999999998</v>
      </c>
      <c r="N10" s="76">
        <f>4958.76*G35/100+2</f>
        <v>11.917520000000001</v>
      </c>
      <c r="O10" s="77">
        <f t="shared" ref="O10:O25" si="2">M10+N10</f>
        <v>21.558759999999999</v>
      </c>
      <c r="P10" s="78"/>
    </row>
    <row r="11" spans="1:16" s="71" customFormat="1" ht="21.75" customHeight="1" x14ac:dyDescent="0.2">
      <c r="A11" s="80" t="s">
        <v>32</v>
      </c>
      <c r="B11" s="81" t="s">
        <v>88</v>
      </c>
      <c r="C11" s="82">
        <v>2010</v>
      </c>
      <c r="D11" s="82">
        <f>10929.6*D36/100</f>
        <v>229.52160000000003</v>
      </c>
      <c r="E11" s="82">
        <f>11876.8*D36/100</f>
        <v>249.41279999999998</v>
      </c>
      <c r="F11" s="83">
        <f>D11+E11</f>
        <v>478.93439999999998</v>
      </c>
      <c r="G11" s="82">
        <f>10929.6*E36/100</f>
        <v>32.788800000000002</v>
      </c>
      <c r="H11" s="82">
        <f>11876.8*E36/100</f>
        <v>35.630399999999995</v>
      </c>
      <c r="I11" s="83">
        <f t="shared" si="0"/>
        <v>68.419199999999989</v>
      </c>
      <c r="J11" s="82">
        <f>10929.6*F36/100</f>
        <v>10.929600000000001</v>
      </c>
      <c r="K11" s="82">
        <f>11876.8*F36/100</f>
        <v>11.876800000000001</v>
      </c>
      <c r="L11" s="83">
        <f t="shared" si="1"/>
        <v>22.806400000000004</v>
      </c>
      <c r="M11" s="82">
        <f>10929.6*G36/100+5.46</f>
        <v>32.783999999999999</v>
      </c>
      <c r="N11" s="82">
        <f>11876.8*G36/100+5.94</f>
        <v>35.631999999999998</v>
      </c>
      <c r="O11" s="83">
        <f t="shared" si="2"/>
        <v>68.415999999999997</v>
      </c>
      <c r="P11" s="84"/>
    </row>
    <row r="12" spans="1:16" s="71" customFormat="1" ht="25.5" hidden="1" customHeight="1" x14ac:dyDescent="0.2">
      <c r="A12" s="85">
        <v>0</v>
      </c>
      <c r="B12" s="86" t="s">
        <v>89</v>
      </c>
      <c r="C12" s="72">
        <v>0</v>
      </c>
      <c r="D12" s="82">
        <f>2508*D37/100</f>
        <v>0</v>
      </c>
      <c r="E12" s="82">
        <f>3029*D37/100</f>
        <v>0</v>
      </c>
      <c r="F12" s="83">
        <f>D12+E12</f>
        <v>0</v>
      </c>
      <c r="G12" s="82">
        <f>2508*E37/100</f>
        <v>0</v>
      </c>
      <c r="H12" s="82">
        <f>3029*E37/100</f>
        <v>0</v>
      </c>
      <c r="I12" s="77">
        <f t="shared" si="0"/>
        <v>0</v>
      </c>
      <c r="J12" s="82">
        <f>2508*F37/100</f>
        <v>0</v>
      </c>
      <c r="K12" s="82">
        <f>3029*F37/100</f>
        <v>0</v>
      </c>
      <c r="L12" s="83">
        <f t="shared" si="1"/>
        <v>0</v>
      </c>
      <c r="M12" s="82">
        <v>0</v>
      </c>
      <c r="N12" s="82">
        <v>0</v>
      </c>
      <c r="O12" s="83">
        <v>0</v>
      </c>
      <c r="P12" s="84"/>
    </row>
    <row r="13" spans="1:16" s="71" customFormat="1" ht="30" customHeight="1" x14ac:dyDescent="0.2">
      <c r="A13" s="87" t="s">
        <v>39</v>
      </c>
      <c r="B13" s="88" t="s">
        <v>40</v>
      </c>
      <c r="C13" s="89">
        <v>2012</v>
      </c>
      <c r="D13" s="82">
        <f>3109.92*D39/100</f>
        <v>62.198399999999999</v>
      </c>
      <c r="E13" s="82">
        <f>3841.2*D39/100</f>
        <v>76.823999999999998</v>
      </c>
      <c r="F13" s="83">
        <f>D13+E13</f>
        <v>139.0224</v>
      </c>
      <c r="G13" s="82">
        <f>3109.92*E39/100</f>
        <v>0</v>
      </c>
      <c r="H13" s="82">
        <f>3841.2*E39/100</f>
        <v>0</v>
      </c>
      <c r="I13" s="77">
        <f t="shared" si="0"/>
        <v>0</v>
      </c>
      <c r="J13" s="82">
        <f>3109.92*F39/100</f>
        <v>0</v>
      </c>
      <c r="K13" s="82">
        <f>3841.2*F39/100</f>
        <v>0</v>
      </c>
      <c r="L13" s="83">
        <f t="shared" si="1"/>
        <v>0</v>
      </c>
      <c r="M13" s="82">
        <f>3109.92*G39/100+1.42</f>
        <v>1.42</v>
      </c>
      <c r="N13" s="82">
        <f>3841.2*G39/100+1.72</f>
        <v>1.72</v>
      </c>
      <c r="O13" s="83">
        <f t="shared" si="2"/>
        <v>3.1399999999999997</v>
      </c>
      <c r="P13" s="84"/>
    </row>
    <row r="14" spans="1:16" s="71" customFormat="1" ht="39.75" customHeight="1" x14ac:dyDescent="0.2">
      <c r="A14" s="90" t="s">
        <v>34</v>
      </c>
      <c r="B14" s="91" t="s">
        <v>35</v>
      </c>
      <c r="C14" s="92">
        <v>2019</v>
      </c>
      <c r="D14" s="82">
        <f>2055.24*D38/100</f>
        <v>36.994319999999995</v>
      </c>
      <c r="E14" s="82">
        <f>2534.4*D38/100</f>
        <v>45.619199999999999</v>
      </c>
      <c r="F14" s="83">
        <f>2055.24*F38/100</f>
        <v>1.02762</v>
      </c>
      <c r="G14" s="82">
        <f>2055.24*E38/100</f>
        <v>3.0828599999999993</v>
      </c>
      <c r="H14" s="82">
        <f>2534.4*E38/100</f>
        <v>3.8016000000000001</v>
      </c>
      <c r="I14" s="77">
        <f t="shared" si="0"/>
        <v>6.8844599999999989</v>
      </c>
      <c r="J14" s="82">
        <f>2055.24*F38/100</f>
        <v>1.02762</v>
      </c>
      <c r="K14" s="82">
        <f>2534.4*F38/100</f>
        <v>1.2672000000000001</v>
      </c>
      <c r="L14" s="83">
        <f t="shared" si="1"/>
        <v>2.2948200000000001</v>
      </c>
      <c r="M14" s="82">
        <f>2055.24*G38/100</f>
        <v>0.20552399999999998</v>
      </c>
      <c r="N14" s="82">
        <f>2534.4*G38/100</f>
        <v>0.25344</v>
      </c>
      <c r="O14" s="83">
        <f t="shared" si="2"/>
        <v>0.45896399999999998</v>
      </c>
      <c r="P14" s="84"/>
    </row>
    <row r="15" spans="1:16" s="71" customFormat="1" ht="31.5" customHeight="1" x14ac:dyDescent="0.2">
      <c r="A15" s="90" t="s">
        <v>36</v>
      </c>
      <c r="B15" s="91" t="s">
        <v>38</v>
      </c>
      <c r="C15" s="92">
        <v>2021</v>
      </c>
      <c r="D15" s="82">
        <f>2617.56*D40/100</f>
        <v>57.586320000000008</v>
      </c>
      <c r="E15" s="82">
        <f>3228.72*D40/100</f>
        <v>71.031840000000003</v>
      </c>
      <c r="F15" s="83">
        <f>D15+E15</f>
        <v>128.61816000000002</v>
      </c>
      <c r="G15" s="82">
        <f>2617.56*E40/100</f>
        <v>5.2351200000000002</v>
      </c>
      <c r="H15" s="82">
        <f>3228.72*E40/100</f>
        <v>6.4574400000000001</v>
      </c>
      <c r="I15" s="77">
        <f t="shared" si="0"/>
        <v>11.69256</v>
      </c>
      <c r="J15" s="82">
        <f>2617.56*F40/100</f>
        <v>1.3087800000000001</v>
      </c>
      <c r="K15" s="82">
        <f>3228.72*F40/100</f>
        <v>1.61436</v>
      </c>
      <c r="L15" s="83">
        <f t="shared" si="1"/>
        <v>2.9231400000000001</v>
      </c>
      <c r="M15" s="82">
        <f>2617.56*G40/100</f>
        <v>5.2351200000000002</v>
      </c>
      <c r="N15" s="82">
        <f>3228.72*G40/100</f>
        <v>6.4574400000000001</v>
      </c>
      <c r="O15" s="83">
        <f t="shared" si="2"/>
        <v>11.69256</v>
      </c>
      <c r="P15" s="84"/>
    </row>
    <row r="16" spans="1:16" s="71" customFormat="1" ht="39.75" customHeight="1" x14ac:dyDescent="0.25">
      <c r="A16" s="55" t="s">
        <v>53</v>
      </c>
      <c r="B16" s="56" t="s">
        <v>54</v>
      </c>
      <c r="C16" s="92">
        <v>2019</v>
      </c>
      <c r="D16" s="82">
        <f>4020.62*D41/100</f>
        <v>88.453639999999993</v>
      </c>
      <c r="E16" s="82">
        <f>4958.76*D41/100</f>
        <v>109.09272000000001</v>
      </c>
      <c r="F16" s="77">
        <f>D16+E16</f>
        <v>197.54635999999999</v>
      </c>
      <c r="G16" s="82">
        <f>4020*E41/100</f>
        <v>8.0399999999999991</v>
      </c>
      <c r="H16" s="82">
        <f>4958.76*E41/100</f>
        <v>9.9175200000000014</v>
      </c>
      <c r="I16" s="77">
        <f t="shared" si="0"/>
        <v>17.957520000000002</v>
      </c>
      <c r="J16" s="82">
        <f>4020*F41/100</f>
        <v>2.0099999999999998</v>
      </c>
      <c r="K16" s="82">
        <f>4958.76*F41/100</f>
        <v>2.4793800000000004</v>
      </c>
      <c r="L16" s="83">
        <f t="shared" si="1"/>
        <v>4.4893800000000006</v>
      </c>
      <c r="M16" s="82">
        <f>4020*G41/100</f>
        <v>8.0399999999999991</v>
      </c>
      <c r="N16" s="82">
        <f>4958.76*G41/100</f>
        <v>9.9175200000000014</v>
      </c>
      <c r="O16" s="83">
        <f t="shared" si="2"/>
        <v>17.957520000000002</v>
      </c>
      <c r="P16" s="84"/>
    </row>
    <row r="17" spans="1:16" s="71" customFormat="1" ht="54" customHeight="1" x14ac:dyDescent="0.25">
      <c r="A17" s="62" t="s">
        <v>56</v>
      </c>
      <c r="B17" s="23" t="s">
        <v>57</v>
      </c>
      <c r="C17" s="92">
        <v>2021</v>
      </c>
      <c r="D17" s="82">
        <f>3109.92*D42/100</f>
        <v>52.868639999999999</v>
      </c>
      <c r="E17" s="82">
        <f>3841.2*E42/100</f>
        <v>5.7617999999999991</v>
      </c>
      <c r="F17" s="77">
        <f t="shared" ref="F17:F25" si="3">D17+E17</f>
        <v>58.63044</v>
      </c>
      <c r="G17" s="82">
        <f>3109.92*E42/100</f>
        <v>4.6648800000000001</v>
      </c>
      <c r="H17" s="82">
        <f>3841.2*E42/100</f>
        <v>5.7617999999999991</v>
      </c>
      <c r="I17" s="77">
        <f t="shared" si="0"/>
        <v>10.426679999999999</v>
      </c>
      <c r="J17" s="82">
        <f>3109.92*F42/100</f>
        <v>1.5549600000000001</v>
      </c>
      <c r="K17" s="82">
        <f>3841.2*F42/100</f>
        <v>1.9206000000000001</v>
      </c>
      <c r="L17" s="83">
        <f t="shared" si="1"/>
        <v>3.4755600000000002</v>
      </c>
      <c r="M17" s="82">
        <f>3109.92*G42/100</f>
        <v>3.1099200000000002</v>
      </c>
      <c r="N17" s="82">
        <f>3841.2*G42/100</f>
        <v>3.8412000000000002</v>
      </c>
      <c r="O17" s="83">
        <f t="shared" si="2"/>
        <v>6.9511200000000004</v>
      </c>
      <c r="P17" s="84"/>
    </row>
    <row r="18" spans="1:16" s="71" customFormat="1" ht="39.75" customHeight="1" x14ac:dyDescent="0.25">
      <c r="A18" s="62" t="s">
        <v>59</v>
      </c>
      <c r="B18" s="23" t="s">
        <v>60</v>
      </c>
      <c r="C18" s="25">
        <v>2012</v>
      </c>
      <c r="D18" s="82">
        <f>4020*2.2/100</f>
        <v>88.44</v>
      </c>
      <c r="E18" s="82">
        <f>4958.76*D44/100</f>
        <v>109.09272000000001</v>
      </c>
      <c r="F18" s="77">
        <f t="shared" si="3"/>
        <v>197.53272000000001</v>
      </c>
      <c r="G18" s="82">
        <f>4020.62*E43/100</f>
        <v>8.0412400000000002</v>
      </c>
      <c r="H18" s="82">
        <f>4958.76*E44/100</f>
        <v>9.9175200000000014</v>
      </c>
      <c r="I18" s="77">
        <f t="shared" si="0"/>
        <v>17.958760000000002</v>
      </c>
      <c r="J18" s="82">
        <f>4020.62*F44/100</f>
        <v>2.01031</v>
      </c>
      <c r="K18" s="82">
        <f>4958.76*F44/100</f>
        <v>2.4793800000000004</v>
      </c>
      <c r="L18" s="83">
        <f t="shared" si="1"/>
        <v>4.4896900000000004</v>
      </c>
      <c r="M18" s="82">
        <f>4020.62*G44/100</f>
        <v>8.0412400000000002</v>
      </c>
      <c r="N18" s="82">
        <f>4958.78*G44/100</f>
        <v>9.9175599999999999</v>
      </c>
      <c r="O18" s="83">
        <f t="shared" si="2"/>
        <v>17.9588</v>
      </c>
      <c r="P18" s="84"/>
    </row>
    <row r="19" spans="1:16" s="71" customFormat="1" ht="39.75" customHeight="1" x14ac:dyDescent="0.25">
      <c r="A19" s="62" t="s">
        <v>64</v>
      </c>
      <c r="B19" s="23" t="s">
        <v>65</v>
      </c>
      <c r="C19" s="25">
        <v>2011</v>
      </c>
      <c r="D19" s="82">
        <f>4020*D44/100</f>
        <v>88.44</v>
      </c>
      <c r="E19" s="82">
        <f>4958.76*D44/100</f>
        <v>109.09272000000001</v>
      </c>
      <c r="F19" s="77">
        <f t="shared" si="3"/>
        <v>197.53272000000001</v>
      </c>
      <c r="G19" s="82">
        <f>4020.62*E44/100</f>
        <v>8.0412400000000002</v>
      </c>
      <c r="H19" s="82">
        <f>4958.76*E44/100</f>
        <v>9.9175200000000014</v>
      </c>
      <c r="I19" s="77">
        <f t="shared" si="0"/>
        <v>17.958760000000002</v>
      </c>
      <c r="J19" s="82">
        <f>4020.62*F44/100</f>
        <v>2.01031</v>
      </c>
      <c r="K19" s="82">
        <f>4958.76*F44/100</f>
        <v>2.4793800000000004</v>
      </c>
      <c r="L19" s="83">
        <f t="shared" si="1"/>
        <v>4.4896900000000004</v>
      </c>
      <c r="M19" s="82">
        <f>4020.62*G44/100</f>
        <v>8.0412400000000002</v>
      </c>
      <c r="N19" s="82">
        <f>4958.76*G44/100</f>
        <v>9.9175200000000014</v>
      </c>
      <c r="O19" s="83">
        <f t="shared" si="2"/>
        <v>17.958760000000002</v>
      </c>
      <c r="P19" s="84"/>
    </row>
    <row r="20" spans="1:16" s="71" customFormat="1" ht="39.75" customHeight="1" x14ac:dyDescent="0.2">
      <c r="A20" s="63" t="s">
        <v>72</v>
      </c>
      <c r="B20" s="64" t="s">
        <v>73</v>
      </c>
      <c r="C20" s="92">
        <v>2011</v>
      </c>
      <c r="D20" s="82">
        <f>4020.62*D45/100</f>
        <v>88.453639999999993</v>
      </c>
      <c r="E20" s="82">
        <f>4958.76*D45/100</f>
        <v>109.09272000000001</v>
      </c>
      <c r="F20" s="77">
        <f t="shared" si="3"/>
        <v>197.54635999999999</v>
      </c>
      <c r="G20" s="82">
        <f>4020.62*E45/100</f>
        <v>8.0412400000000002</v>
      </c>
      <c r="H20" s="82">
        <f>4958.76*E45/100</f>
        <v>9.9175200000000014</v>
      </c>
      <c r="I20" s="77">
        <f t="shared" si="0"/>
        <v>17.958760000000002</v>
      </c>
      <c r="J20" s="82">
        <f>4020.62*F45/100</f>
        <v>2.01031</v>
      </c>
      <c r="K20" s="82">
        <f>4958.76*E45/100</f>
        <v>9.9175200000000014</v>
      </c>
      <c r="L20" s="83">
        <f t="shared" si="1"/>
        <v>11.927830000000002</v>
      </c>
      <c r="M20" s="82">
        <f>4020.62*G45/100</f>
        <v>8.0412400000000002</v>
      </c>
      <c r="N20" s="82">
        <f>4958.76*G45/100</f>
        <v>9.9175200000000014</v>
      </c>
      <c r="O20" s="83">
        <f t="shared" si="2"/>
        <v>17.958760000000002</v>
      </c>
      <c r="P20" s="84"/>
    </row>
    <row r="21" spans="1:16" s="71" customFormat="1" ht="39.75" customHeight="1" x14ac:dyDescent="0.25">
      <c r="A21" s="62" t="s">
        <v>67</v>
      </c>
      <c r="B21" s="23" t="s">
        <v>68</v>
      </c>
      <c r="C21" s="25">
        <v>2011</v>
      </c>
      <c r="D21" s="82">
        <f>4020.62*D47/100</f>
        <v>88.453639999999993</v>
      </c>
      <c r="E21" s="82">
        <f>4958.76*E46/100</f>
        <v>9.9175200000000014</v>
      </c>
      <c r="F21" s="77">
        <f t="shared" si="3"/>
        <v>98.371159999999989</v>
      </c>
      <c r="G21" s="82">
        <f>4020.62*E46/100</f>
        <v>8.0412400000000002</v>
      </c>
      <c r="H21" s="82">
        <f>4958.76*E46/100</f>
        <v>9.9175200000000014</v>
      </c>
      <c r="I21" s="77">
        <f t="shared" si="0"/>
        <v>17.958760000000002</v>
      </c>
      <c r="J21" s="82">
        <f>4020.62*E46/100</f>
        <v>8.0412400000000002</v>
      </c>
      <c r="K21" s="82">
        <f>4958.76*F46/100</f>
        <v>2.4793800000000004</v>
      </c>
      <c r="L21" s="83">
        <f t="shared" si="1"/>
        <v>10.520620000000001</v>
      </c>
      <c r="M21" s="82">
        <f>4020.62*G46/100</f>
        <v>8.0412400000000002</v>
      </c>
      <c r="N21" s="82">
        <f>4958.36*G46/100</f>
        <v>9.9167199999999998</v>
      </c>
      <c r="O21" s="83">
        <f t="shared" si="2"/>
        <v>17.95796</v>
      </c>
      <c r="P21" s="84"/>
    </row>
    <row r="22" spans="1:16" s="71" customFormat="1" ht="38.25" customHeight="1" x14ac:dyDescent="0.25">
      <c r="A22" s="62" t="s">
        <v>69</v>
      </c>
      <c r="B22" s="23" t="s">
        <v>70</v>
      </c>
      <c r="C22" s="25">
        <v>2008</v>
      </c>
      <c r="D22" s="82">
        <f>4020.62*D47/100</f>
        <v>88.453639999999993</v>
      </c>
      <c r="E22" s="82">
        <f>4958.76*D47/100</f>
        <v>109.09272000000001</v>
      </c>
      <c r="F22" s="77">
        <f t="shared" si="3"/>
        <v>197.54635999999999</v>
      </c>
      <c r="G22" s="82">
        <f>4020.62*D47/100</f>
        <v>88.453639999999993</v>
      </c>
      <c r="H22" s="82">
        <f>4958.76*E47/100</f>
        <v>9.9175200000000014</v>
      </c>
      <c r="I22" s="77">
        <f t="shared" si="0"/>
        <v>98.371159999999989</v>
      </c>
      <c r="J22" s="82">
        <f>4020.62*E47/100</f>
        <v>8.0412400000000002</v>
      </c>
      <c r="K22" s="82">
        <f>4958.76*F47/100</f>
        <v>2.5785552000000003</v>
      </c>
      <c r="L22" s="83">
        <f t="shared" si="1"/>
        <v>10.6197952</v>
      </c>
      <c r="M22" s="82">
        <f>4020.62*G47/100</f>
        <v>8.0412400000000002</v>
      </c>
      <c r="N22" s="82">
        <f>4958.76*G47/100</f>
        <v>9.9175200000000014</v>
      </c>
      <c r="O22" s="83">
        <f t="shared" si="2"/>
        <v>17.958760000000002</v>
      </c>
      <c r="P22" s="84"/>
    </row>
    <row r="23" spans="1:16" s="71" customFormat="1" ht="38.25" customHeight="1" x14ac:dyDescent="0.25">
      <c r="A23" s="62" t="s">
        <v>90</v>
      </c>
      <c r="B23" s="61" t="s">
        <v>63</v>
      </c>
      <c r="C23" s="25">
        <v>2010</v>
      </c>
      <c r="D23" s="93">
        <f>524.16*D48/100</f>
        <v>14.67648</v>
      </c>
      <c r="E23" s="93">
        <f>614.016*D48/100</f>
        <v>17.192447999999999</v>
      </c>
      <c r="F23" s="94">
        <f t="shared" si="3"/>
        <v>31.868927999999997</v>
      </c>
      <c r="G23" s="93">
        <f>524.16*E48/100</f>
        <v>2.0966399999999998</v>
      </c>
      <c r="H23" s="93">
        <f>614.016*E48/100</f>
        <v>2.456064</v>
      </c>
      <c r="I23" s="94">
        <f t="shared" si="0"/>
        <v>4.5527040000000003</v>
      </c>
      <c r="J23" s="93">
        <f>524.16*F48/100</f>
        <v>0</v>
      </c>
      <c r="K23" s="93">
        <f>614.16*F48/100</f>
        <v>0</v>
      </c>
      <c r="L23" s="95">
        <f t="shared" si="1"/>
        <v>0</v>
      </c>
      <c r="M23" s="93">
        <f>524.16*G48/100</f>
        <v>1.83456</v>
      </c>
      <c r="N23" s="93">
        <f>614.016*G48/100</f>
        <v>2.1490559999999999</v>
      </c>
      <c r="O23" s="95">
        <f t="shared" si="2"/>
        <v>3.9836159999999996</v>
      </c>
      <c r="P23" s="84"/>
    </row>
    <row r="24" spans="1:16" s="71" customFormat="1" ht="38.25" customHeight="1" x14ac:dyDescent="0.25">
      <c r="A24" s="62" t="s">
        <v>154</v>
      </c>
      <c r="B24" s="61" t="s">
        <v>155</v>
      </c>
      <c r="C24" s="25">
        <v>2023</v>
      </c>
      <c r="D24" s="93">
        <f>2617.56*D49/100</f>
        <v>57.586320000000008</v>
      </c>
      <c r="E24" s="93">
        <f>3228.72*D49/100</f>
        <v>71.031840000000003</v>
      </c>
      <c r="F24" s="94">
        <f t="shared" si="3"/>
        <v>128.61816000000002</v>
      </c>
      <c r="G24" s="93">
        <f>2617.56*E50/100</f>
        <v>5.2351200000000002</v>
      </c>
      <c r="H24" s="93">
        <f>3228.72*E50/100</f>
        <v>6.4574400000000001</v>
      </c>
      <c r="I24" s="94">
        <f t="shared" si="0"/>
        <v>11.69256</v>
      </c>
      <c r="J24" s="93">
        <f>2617.56*F49/100</f>
        <v>1.3087800000000001</v>
      </c>
      <c r="K24" s="93">
        <f>3228.72*F49/100</f>
        <v>1.61436</v>
      </c>
      <c r="L24" s="95">
        <f t="shared" si="1"/>
        <v>2.9231400000000001</v>
      </c>
      <c r="M24" s="93">
        <f>2617.56*G49/100</f>
        <v>5.2351200000000002</v>
      </c>
      <c r="N24" s="93">
        <f>3228.72*G49/100</f>
        <v>6.4574400000000001</v>
      </c>
      <c r="O24" s="95">
        <f t="shared" si="2"/>
        <v>11.69256</v>
      </c>
      <c r="P24" s="84"/>
    </row>
    <row r="25" spans="1:16" s="71" customFormat="1" ht="38.25" customHeight="1" x14ac:dyDescent="0.25">
      <c r="A25" s="62" t="s">
        <v>154</v>
      </c>
      <c r="B25" s="61" t="s">
        <v>52</v>
      </c>
      <c r="C25" s="25">
        <v>2014</v>
      </c>
      <c r="D25" s="93">
        <f>2617.56*D50/100</f>
        <v>57.586320000000008</v>
      </c>
      <c r="E25" s="93">
        <f>3228.72*D50/100</f>
        <v>71.031840000000003</v>
      </c>
      <c r="F25" s="94">
        <f t="shared" si="3"/>
        <v>128.61816000000002</v>
      </c>
      <c r="G25" s="93">
        <f>2617.56*E50/100</f>
        <v>5.2351200000000002</v>
      </c>
      <c r="H25" s="93">
        <f>3228.72*E50/100</f>
        <v>6.4574400000000001</v>
      </c>
      <c r="I25" s="94">
        <f t="shared" si="0"/>
        <v>11.69256</v>
      </c>
      <c r="J25" s="93">
        <f>2617.56*F49/100</f>
        <v>1.3087800000000001</v>
      </c>
      <c r="K25" s="93">
        <f>3228.72*F49/100</f>
        <v>1.61436</v>
      </c>
      <c r="L25" s="95">
        <f t="shared" si="1"/>
        <v>2.9231400000000001</v>
      </c>
      <c r="M25" s="93">
        <f>2617.56*G49/100</f>
        <v>5.2351200000000002</v>
      </c>
      <c r="N25" s="93">
        <f>3228.72*G49/100</f>
        <v>6.4574400000000001</v>
      </c>
      <c r="O25" s="95">
        <f t="shared" si="2"/>
        <v>11.69256</v>
      </c>
      <c r="P25" s="84"/>
    </row>
    <row r="26" spans="1:16" s="71" customFormat="1" ht="38.25" customHeight="1" x14ac:dyDescent="0.2">
      <c r="A26" s="246" t="s">
        <v>161</v>
      </c>
      <c r="B26" s="96" t="s">
        <v>164</v>
      </c>
      <c r="C26" s="25">
        <v>2024</v>
      </c>
      <c r="D26" s="93"/>
      <c r="E26" s="93"/>
      <c r="F26" s="94"/>
      <c r="G26" s="93"/>
      <c r="H26" s="93"/>
      <c r="I26" s="94"/>
      <c r="J26" s="93"/>
      <c r="K26" s="93"/>
      <c r="L26" s="95"/>
      <c r="M26" s="93"/>
      <c r="N26" s="93"/>
      <c r="O26" s="95"/>
      <c r="P26" s="84"/>
    </row>
    <row r="27" spans="1:16" ht="18" customHeight="1" x14ac:dyDescent="0.2">
      <c r="A27" s="76" t="s">
        <v>91</v>
      </c>
      <c r="B27" s="96"/>
      <c r="C27" s="96"/>
      <c r="D27" s="83">
        <f t="shared" ref="D27:K27" si="4">D10+D11+D12+D16+D17+D18+D19+D20+D21+D22+D13+D14+D15</f>
        <v>1058.3174800000002</v>
      </c>
      <c r="E27" s="83">
        <f t="shared" si="4"/>
        <v>1113.12348</v>
      </c>
      <c r="F27" s="83">
        <f t="shared" si="4"/>
        <v>2089.8550600000003</v>
      </c>
      <c r="G27" s="83">
        <f t="shared" si="4"/>
        <v>182.47150000000002</v>
      </c>
      <c r="H27" s="83">
        <f t="shared" si="4"/>
        <v>121.07387999999999</v>
      </c>
      <c r="I27" s="83">
        <f t="shared" si="4"/>
        <v>303.54538000000002</v>
      </c>
      <c r="J27" s="83">
        <f t="shared" si="4"/>
        <v>40.954680000000003</v>
      </c>
      <c r="K27" s="83">
        <f t="shared" si="4"/>
        <v>41.571935200000006</v>
      </c>
      <c r="L27" s="83">
        <f>L10+L11+L12+L16+L17+L18+L19+L20+L21+L22+L13+L14+L15</f>
        <v>82.526615200000009</v>
      </c>
      <c r="M27" s="83">
        <f>M10+M11+M12+M16+M17+M18+M19+M20+M21+M22+M13+M14+M15</f>
        <v>100.642004</v>
      </c>
      <c r="N27" s="83">
        <f>N10+N11+N12+N16+N17+N18+N19+N20+N21+N22+N13+N14+N15</f>
        <v>119.32595999999999</v>
      </c>
      <c r="O27" s="83">
        <f>O10+O11+O12+O16+O17+O18+O19+O20+O21+O22+O13+O14+O15</f>
        <v>219.96796400000005</v>
      </c>
    </row>
    <row r="29" spans="1:16" ht="29.25" customHeight="1" x14ac:dyDescent="0.2">
      <c r="A29" s="388" t="s">
        <v>92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</row>
    <row r="30" spans="1:16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</row>
    <row r="31" spans="1:16" ht="15" x14ac:dyDescent="0.2">
      <c r="A31" s="98" t="s">
        <v>93</v>
      </c>
    </row>
    <row r="33" spans="1:7" x14ac:dyDescent="0.2">
      <c r="A33" s="389" t="s">
        <v>76</v>
      </c>
      <c r="B33" s="391" t="s">
        <v>77</v>
      </c>
      <c r="C33" s="392" t="s">
        <v>78</v>
      </c>
      <c r="D33" s="393" t="s">
        <v>94</v>
      </c>
      <c r="E33" s="393"/>
      <c r="F33" s="393"/>
      <c r="G33" s="393"/>
    </row>
    <row r="34" spans="1:7" ht="51" x14ac:dyDescent="0.2">
      <c r="A34" s="390"/>
      <c r="B34" s="350"/>
      <c r="C34" s="362"/>
      <c r="D34" s="34" t="s">
        <v>95</v>
      </c>
      <c r="E34" s="34" t="s">
        <v>96</v>
      </c>
      <c r="F34" s="34" t="s">
        <v>97</v>
      </c>
      <c r="G34" s="99" t="s">
        <v>98</v>
      </c>
    </row>
    <row r="35" spans="1:7" x14ac:dyDescent="0.2">
      <c r="A35" s="100" t="s">
        <v>86</v>
      </c>
      <c r="B35" s="101" t="s">
        <v>87</v>
      </c>
      <c r="C35" s="96">
        <v>2015</v>
      </c>
      <c r="D35" s="102">
        <v>2.2000000000000002</v>
      </c>
      <c r="E35" s="103">
        <v>0.2</v>
      </c>
      <c r="F35" s="103">
        <v>0.05</v>
      </c>
      <c r="G35" s="104">
        <v>0.2</v>
      </c>
    </row>
    <row r="36" spans="1:7" ht="19.5" customHeight="1" x14ac:dyDescent="0.2">
      <c r="A36" s="100" t="s">
        <v>32</v>
      </c>
      <c r="B36" s="101" t="s">
        <v>88</v>
      </c>
      <c r="C36" s="105">
        <v>2010</v>
      </c>
      <c r="D36" s="104">
        <v>2.1</v>
      </c>
      <c r="E36" s="104">
        <v>0.3</v>
      </c>
      <c r="F36" s="104">
        <v>0.1</v>
      </c>
      <c r="G36" s="104">
        <v>0.25</v>
      </c>
    </row>
    <row r="37" spans="1:7" hidden="1" x14ac:dyDescent="0.2">
      <c r="A37" s="106"/>
      <c r="B37" s="75"/>
      <c r="C37" s="96"/>
      <c r="D37" s="107"/>
      <c r="E37" s="103"/>
      <c r="F37" s="103"/>
      <c r="G37" s="103"/>
    </row>
    <row r="38" spans="1:7" ht="57" customHeight="1" x14ac:dyDescent="0.2">
      <c r="A38" s="108" t="s">
        <v>34</v>
      </c>
      <c r="B38" s="109" t="s">
        <v>35</v>
      </c>
      <c r="C38" s="110">
        <v>2019</v>
      </c>
      <c r="D38" s="107">
        <v>1.8</v>
      </c>
      <c r="E38" s="103">
        <v>0.15</v>
      </c>
      <c r="F38" s="103">
        <v>0.05</v>
      </c>
      <c r="G38" s="103">
        <v>0.01</v>
      </c>
    </row>
    <row r="39" spans="1:7" ht="35.25" customHeight="1" x14ac:dyDescent="0.2">
      <c r="A39" s="108" t="s">
        <v>39</v>
      </c>
      <c r="B39" s="109" t="s">
        <v>40</v>
      </c>
      <c r="C39" s="110">
        <v>2012</v>
      </c>
      <c r="D39" s="107">
        <v>2</v>
      </c>
      <c r="E39" s="103">
        <v>0</v>
      </c>
      <c r="F39" s="103">
        <v>0</v>
      </c>
      <c r="G39" s="103">
        <v>0</v>
      </c>
    </row>
    <row r="40" spans="1:7" ht="32.25" customHeight="1" x14ac:dyDescent="0.2">
      <c r="A40" s="108" t="s">
        <v>36</v>
      </c>
      <c r="B40" s="109" t="s">
        <v>38</v>
      </c>
      <c r="C40" s="110">
        <v>2021</v>
      </c>
      <c r="D40" s="107">
        <v>2.2000000000000002</v>
      </c>
      <c r="E40" s="103">
        <v>0.2</v>
      </c>
      <c r="F40" s="103">
        <v>0.05</v>
      </c>
      <c r="G40" s="103">
        <v>0.2</v>
      </c>
    </row>
    <row r="41" spans="1:7" ht="32.25" customHeight="1" x14ac:dyDescent="0.25">
      <c r="A41" s="55" t="s">
        <v>53</v>
      </c>
      <c r="B41" s="56" t="s">
        <v>54</v>
      </c>
      <c r="C41" s="110">
        <v>2019</v>
      </c>
      <c r="D41" s="107">
        <v>2.2000000000000002</v>
      </c>
      <c r="E41" s="103">
        <v>0.2</v>
      </c>
      <c r="F41" s="103">
        <v>0.05</v>
      </c>
      <c r="G41" s="103">
        <v>0.2</v>
      </c>
    </row>
    <row r="42" spans="1:7" ht="45.75" customHeight="1" x14ac:dyDescent="0.25">
      <c r="A42" s="62" t="s">
        <v>56</v>
      </c>
      <c r="B42" s="23" t="s">
        <v>57</v>
      </c>
      <c r="C42" s="92">
        <v>2021</v>
      </c>
      <c r="D42" s="111">
        <v>1.7</v>
      </c>
      <c r="E42" s="93">
        <v>0.15</v>
      </c>
      <c r="F42" s="93">
        <v>0.05</v>
      </c>
      <c r="G42" s="93">
        <v>0.1</v>
      </c>
    </row>
    <row r="43" spans="1:7" ht="39" customHeight="1" x14ac:dyDescent="0.25">
      <c r="A43" s="33" t="s">
        <v>59</v>
      </c>
      <c r="B43" s="23" t="s">
        <v>60</v>
      </c>
      <c r="C43" s="25">
        <v>2012</v>
      </c>
      <c r="D43" s="107">
        <v>2.2000000000000002</v>
      </c>
      <c r="E43" s="103">
        <v>0.2</v>
      </c>
      <c r="F43" s="103">
        <v>0.05</v>
      </c>
      <c r="G43" s="103">
        <v>0.2</v>
      </c>
    </row>
    <row r="44" spans="1:7" ht="39" customHeight="1" x14ac:dyDescent="0.25">
      <c r="A44" s="33" t="s">
        <v>64</v>
      </c>
      <c r="B44" s="23" t="s">
        <v>65</v>
      </c>
      <c r="C44" s="25">
        <v>2011</v>
      </c>
      <c r="D44" s="107">
        <v>2.2000000000000002</v>
      </c>
      <c r="E44" s="103">
        <v>0.2</v>
      </c>
      <c r="F44" s="103">
        <v>0.05</v>
      </c>
      <c r="G44" s="103">
        <v>0.2</v>
      </c>
    </row>
    <row r="45" spans="1:7" ht="48.75" customHeight="1" x14ac:dyDescent="0.2">
      <c r="A45" s="100" t="s">
        <v>72</v>
      </c>
      <c r="B45" s="112" t="s">
        <v>73</v>
      </c>
      <c r="C45" s="110">
        <v>2011</v>
      </c>
      <c r="D45" s="107">
        <v>2.2000000000000002</v>
      </c>
      <c r="E45" s="103">
        <v>0.2</v>
      </c>
      <c r="F45" s="103">
        <v>0.05</v>
      </c>
      <c r="G45" s="103">
        <v>0.2</v>
      </c>
    </row>
    <row r="46" spans="1:7" ht="32.25" customHeight="1" x14ac:dyDescent="0.25">
      <c r="A46" s="62" t="s">
        <v>67</v>
      </c>
      <c r="B46" s="23" t="s">
        <v>68</v>
      </c>
      <c r="C46" s="25">
        <v>2011</v>
      </c>
      <c r="D46" s="107">
        <v>2.2000000000000002</v>
      </c>
      <c r="E46" s="103">
        <v>0.2</v>
      </c>
      <c r="F46" s="103">
        <v>0.05</v>
      </c>
      <c r="G46" s="103">
        <v>0.2</v>
      </c>
    </row>
    <row r="47" spans="1:7" ht="32.25" customHeight="1" x14ac:dyDescent="0.25">
      <c r="A47" s="33" t="s">
        <v>69</v>
      </c>
      <c r="B47" s="23" t="s">
        <v>70</v>
      </c>
      <c r="C47" s="25">
        <v>2008</v>
      </c>
      <c r="D47" s="107">
        <v>2.2000000000000002</v>
      </c>
      <c r="E47" s="103">
        <v>0.2</v>
      </c>
      <c r="F47" s="103">
        <v>5.1999999999999998E-2</v>
      </c>
      <c r="G47" s="103">
        <v>0.2</v>
      </c>
    </row>
    <row r="48" spans="1:7" ht="30.75" customHeight="1" x14ac:dyDescent="0.25">
      <c r="A48" s="62" t="s">
        <v>90</v>
      </c>
      <c r="B48" s="61" t="s">
        <v>63</v>
      </c>
      <c r="C48" s="105">
        <v>2010</v>
      </c>
      <c r="D48" s="104">
        <v>2.8</v>
      </c>
      <c r="E48" s="104">
        <v>0.4</v>
      </c>
      <c r="F48" s="104">
        <v>0</v>
      </c>
      <c r="G48" s="104">
        <v>0.35</v>
      </c>
    </row>
    <row r="49" spans="1:15" ht="30.75" customHeight="1" x14ac:dyDescent="0.25">
      <c r="A49" s="62" t="s">
        <v>154</v>
      </c>
      <c r="B49" s="61" t="s">
        <v>155</v>
      </c>
      <c r="C49" s="107">
        <v>2023</v>
      </c>
      <c r="D49" s="107">
        <v>2.2000000000000002</v>
      </c>
      <c r="E49" s="103">
        <v>0.2</v>
      </c>
      <c r="F49" s="103">
        <v>0.05</v>
      </c>
      <c r="G49" s="103">
        <v>0.2</v>
      </c>
    </row>
    <row r="50" spans="1:15" ht="30.75" customHeight="1" x14ac:dyDescent="0.25">
      <c r="A50" s="62" t="s">
        <v>154</v>
      </c>
      <c r="B50" s="61" t="s">
        <v>52</v>
      </c>
      <c r="C50" s="105">
        <v>2014</v>
      </c>
      <c r="D50" s="107">
        <v>2.2000000000000002</v>
      </c>
      <c r="E50" s="103">
        <v>0.2</v>
      </c>
      <c r="F50" s="103">
        <v>0.05</v>
      </c>
      <c r="G50" s="103">
        <v>0.2</v>
      </c>
    </row>
    <row r="51" spans="1:15" ht="30.75" customHeight="1" x14ac:dyDescent="0.2">
      <c r="A51" s="251" t="s">
        <v>161</v>
      </c>
      <c r="B51" s="96" t="s">
        <v>164</v>
      </c>
      <c r="C51" s="105">
        <v>2024</v>
      </c>
      <c r="D51" s="107">
        <v>2.2000000000000002</v>
      </c>
      <c r="E51" s="103">
        <v>0.2</v>
      </c>
      <c r="F51" s="103">
        <v>0.05</v>
      </c>
      <c r="G51" s="103">
        <v>0.2</v>
      </c>
    </row>
    <row r="52" spans="1:15" ht="18" customHeight="1" x14ac:dyDescent="0.2">
      <c r="A52" s="113"/>
      <c r="B52" s="114"/>
      <c r="C52" s="115"/>
      <c r="D52" s="116"/>
      <c r="E52" s="116"/>
      <c r="F52" s="116"/>
      <c r="G52" s="116"/>
    </row>
    <row r="53" spans="1:15" s="71" customFormat="1" ht="31.5" customHeight="1" x14ac:dyDescent="0.25">
      <c r="A53" s="384" t="s">
        <v>99</v>
      </c>
      <c r="B53" s="384"/>
      <c r="C53" s="384"/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</row>
  </sheetData>
  <mergeCells count="19">
    <mergeCell ref="D8:F8"/>
    <mergeCell ref="G8:I8"/>
    <mergeCell ref="J8:L8"/>
    <mergeCell ref="K1:O1"/>
    <mergeCell ref="K2:O2"/>
    <mergeCell ref="K3:O3"/>
    <mergeCell ref="K4:O4"/>
    <mergeCell ref="K5:O5"/>
    <mergeCell ref="A7:O7"/>
    <mergeCell ref="A53:O53"/>
    <mergeCell ref="M8:O8"/>
    <mergeCell ref="A29:O29"/>
    <mergeCell ref="A33:A34"/>
    <mergeCell ref="B33:B34"/>
    <mergeCell ref="C33:C34"/>
    <mergeCell ref="D33:G33"/>
    <mergeCell ref="A8:A9"/>
    <mergeCell ref="B8:B9"/>
    <mergeCell ref="C8:C9"/>
  </mergeCells>
  <pageMargins left="0.7" right="0.7" top="0.75" bottom="0.75" header="0.3" footer="0.3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ГСМ РКО</vt:lpstr>
      <vt:lpstr>гсм администрации</vt:lpstr>
      <vt:lpstr>масла гсм</vt:lpstr>
      <vt:lpstr>'гсм администрации'!Область_печати</vt:lpstr>
      <vt:lpstr>'ГСМ РКО'!Область_печати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Елена Алексеевна</cp:lastModifiedBy>
  <cp:lastPrinted>2025-02-25T02:03:35Z</cp:lastPrinted>
  <dcterms:created xsi:type="dcterms:W3CDTF">2003-08-06T04:08:16Z</dcterms:created>
  <dcterms:modified xsi:type="dcterms:W3CDTF">2025-03-04T01:24:25Z</dcterms:modified>
</cp:coreProperties>
</file>