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2285" firstSheet="2" activeTab="7"/>
  </bookViews>
  <sheets>
    <sheet name="2018" sheetId="1" state="hidden" r:id="rId1"/>
    <sheet name="2019" sheetId="6" state="hidden" r:id="rId2"/>
    <sheet name="2019 (2)" sheetId="7" r:id="rId3"/>
    <sheet name="2020" sheetId="8" r:id="rId4"/>
    <sheet name="моя форма" sheetId="9" r:id="rId5"/>
    <sheet name="моя форма за 2020" sheetId="10" r:id="rId6"/>
    <sheet name="за 2020 год " sheetId="11" r:id="rId7"/>
    <sheet name="за 2021 год " sheetId="12" r:id="rId8"/>
  </sheets>
  <definedNames>
    <definedName name="_xlnm.Print_Area" localSheetId="1">'2019'!$A$1:$D$142</definedName>
    <definedName name="_xlnm.Print_Area" localSheetId="2">'2019 (2)'!$A$1:$F$105</definedName>
    <definedName name="_xlnm.Print_Area" localSheetId="3">'2020'!$A$1:$H$114</definedName>
    <definedName name="_xlnm.Print_Area" localSheetId="6">'за 2020 год '!$A$1:$F$118</definedName>
    <definedName name="_xlnm.Print_Area" localSheetId="7">'за 2021 год '!$A$1:$I$119</definedName>
    <definedName name="_xlnm.Print_Area" localSheetId="4">'моя форма'!$A$1:$F$105</definedName>
    <definedName name="_xlnm.Print_Area" localSheetId="5">'моя форма за 2020'!$A$1:$F$121</definedName>
  </definedNames>
  <calcPr calcId="145621"/>
</workbook>
</file>

<file path=xl/calcChain.xml><?xml version="1.0" encoding="utf-8"?>
<calcChain xmlns="http://schemas.openxmlformats.org/spreadsheetml/2006/main">
  <c r="C73" i="12" l="1"/>
  <c r="B73" i="12"/>
  <c r="C72" i="12"/>
  <c r="B72" i="12"/>
  <c r="C42" i="12"/>
  <c r="B42" i="12"/>
  <c r="C41" i="12"/>
  <c r="B41" i="12"/>
  <c r="C40" i="12"/>
  <c r="B40" i="12"/>
  <c r="C7" i="12"/>
  <c r="B7" i="12"/>
  <c r="C6" i="12"/>
  <c r="B6" i="12"/>
  <c r="C5" i="12"/>
  <c r="B5" i="12"/>
  <c r="B24" i="12"/>
  <c r="B23" i="12"/>
  <c r="B22" i="12"/>
  <c r="C24" i="12"/>
  <c r="C23" i="12"/>
  <c r="C22" i="12"/>
  <c r="B4" i="12"/>
  <c r="K109" i="12" l="1"/>
  <c r="J109" i="12"/>
  <c r="K93" i="12"/>
  <c r="J93" i="12"/>
  <c r="C118" i="12" l="1"/>
  <c r="B118" i="12"/>
  <c r="C117" i="12"/>
  <c r="B117" i="12"/>
  <c r="C4" i="12" l="1"/>
  <c r="K4" i="12" s="1"/>
  <c r="J4" i="12"/>
  <c r="C119" i="12"/>
  <c r="B119" i="12"/>
  <c r="C107" i="12"/>
  <c r="B107" i="12"/>
  <c r="C105" i="12"/>
  <c r="B105" i="12"/>
  <c r="C102" i="12"/>
  <c r="B102" i="12"/>
  <c r="C100" i="12"/>
  <c r="B100" i="12"/>
  <c r="C98" i="12"/>
  <c r="E98" i="12" s="1"/>
  <c r="B98" i="12"/>
  <c r="E93" i="12"/>
  <c r="C86" i="12"/>
  <c r="K86" i="12" s="1"/>
  <c r="B86" i="12"/>
  <c r="J86" i="12" s="1"/>
  <c r="C75" i="12"/>
  <c r="C71" i="12" s="1"/>
  <c r="K71" i="12" s="1"/>
  <c r="B75" i="12"/>
  <c r="B71" i="12" s="1"/>
  <c r="J71" i="12" s="1"/>
  <c r="F74" i="12"/>
  <c r="F73" i="12"/>
  <c r="F72" i="12"/>
  <c r="C65" i="12"/>
  <c r="C39" i="12" s="1"/>
  <c r="K39" i="12" s="1"/>
  <c r="B65" i="12"/>
  <c r="B39" i="12" s="1"/>
  <c r="J39" i="12" s="1"/>
  <c r="C43" i="12"/>
  <c r="B43" i="12"/>
  <c r="F43" i="12" s="1"/>
  <c r="F42" i="12"/>
  <c r="F41" i="12"/>
  <c r="G34" i="12"/>
  <c r="F34" i="12"/>
  <c r="E34" i="12"/>
  <c r="D34" i="12"/>
  <c r="C26" i="12"/>
  <c r="C21" i="12" s="1"/>
  <c r="K21" i="12" s="1"/>
  <c r="B26" i="12"/>
  <c r="B21" i="12" s="1"/>
  <c r="J21" i="12" s="1"/>
  <c r="C25" i="12"/>
  <c r="B25" i="12"/>
  <c r="F25" i="12" s="1"/>
  <c r="F24" i="12"/>
  <c r="F23" i="12"/>
  <c r="G21" i="12"/>
  <c r="D8" i="12"/>
  <c r="F6" i="12"/>
  <c r="D41" i="12" l="1"/>
  <c r="B115" i="12"/>
  <c r="B116" i="12" s="1"/>
  <c r="C115" i="12"/>
  <c r="D24" i="12"/>
  <c r="E4" i="12"/>
  <c r="F7" i="12"/>
  <c r="E21" i="12"/>
  <c r="E39" i="12"/>
  <c r="G39" i="12"/>
  <c r="F40" i="12"/>
  <c r="G71" i="12"/>
  <c r="E86" i="12"/>
  <c r="L111" i="10"/>
  <c r="E71" i="12" l="1"/>
  <c r="C114" i="11"/>
  <c r="B114" i="11"/>
  <c r="C113" i="11"/>
  <c r="B113" i="11"/>
  <c r="A113" i="11"/>
  <c r="C112" i="11"/>
  <c r="B112" i="11"/>
  <c r="I108" i="11"/>
  <c r="C118" i="11" s="1"/>
  <c r="H108" i="11"/>
  <c r="B118" i="11" s="1"/>
  <c r="C106" i="11"/>
  <c r="K106" i="11" s="1"/>
  <c r="B106" i="11"/>
  <c r="J106" i="11" s="1"/>
  <c r="C104" i="11"/>
  <c r="K104" i="11" s="1"/>
  <c r="B104" i="11"/>
  <c r="J104" i="11" s="1"/>
  <c r="C101" i="11"/>
  <c r="B101" i="11"/>
  <c r="C99" i="11"/>
  <c r="B99" i="11"/>
  <c r="C97" i="11"/>
  <c r="E97" i="11" s="1"/>
  <c r="B97" i="11"/>
  <c r="C92" i="11"/>
  <c r="E92" i="11" s="1"/>
  <c r="B92" i="11"/>
  <c r="C91" i="11"/>
  <c r="B91" i="11"/>
  <c r="B89" i="11" s="1"/>
  <c r="C90" i="11"/>
  <c r="C89" i="11" s="1"/>
  <c r="B90" i="11"/>
  <c r="C86" i="11"/>
  <c r="B86" i="11"/>
  <c r="C84" i="11"/>
  <c r="B84" i="11"/>
  <c r="C83" i="11"/>
  <c r="C82" i="11" s="1"/>
  <c r="K82" i="11" s="1"/>
  <c r="B83" i="11"/>
  <c r="B82" i="11" s="1"/>
  <c r="J82" i="11" s="1"/>
  <c r="C80" i="11"/>
  <c r="K80" i="11" s="1"/>
  <c r="B80" i="11"/>
  <c r="J80" i="11" s="1"/>
  <c r="B79" i="11"/>
  <c r="C79" i="11" s="1"/>
  <c r="B77" i="11"/>
  <c r="J77" i="11" s="1"/>
  <c r="C74" i="11"/>
  <c r="B74" i="11"/>
  <c r="F73" i="11"/>
  <c r="B72" i="11"/>
  <c r="F72" i="11" s="1"/>
  <c r="B71" i="11"/>
  <c r="F71" i="11" s="1"/>
  <c r="C68" i="11"/>
  <c r="B68" i="11"/>
  <c r="C67" i="11"/>
  <c r="B67" i="11"/>
  <c r="C66" i="11"/>
  <c r="K66" i="11" s="1"/>
  <c r="B66" i="11"/>
  <c r="J66" i="11" s="1"/>
  <c r="C64" i="11"/>
  <c r="K64" i="11" s="1"/>
  <c r="B64" i="11"/>
  <c r="J64" i="11" s="1"/>
  <c r="C63" i="11"/>
  <c r="C62" i="11" s="1"/>
  <c r="K62" i="11" s="1"/>
  <c r="B63" i="11"/>
  <c r="B62" i="11" s="1"/>
  <c r="J62" i="11" s="1"/>
  <c r="C60" i="11"/>
  <c r="B60" i="11"/>
  <c r="C59" i="11"/>
  <c r="B59" i="11"/>
  <c r="C58" i="11"/>
  <c r="K58" i="11" s="1"/>
  <c r="B58" i="11"/>
  <c r="J58" i="11" s="1"/>
  <c r="C56" i="11"/>
  <c r="B56" i="11"/>
  <c r="C55" i="11"/>
  <c r="K55" i="11" s="1"/>
  <c r="B55" i="11"/>
  <c r="J55" i="11" s="1"/>
  <c r="C54" i="11"/>
  <c r="C52" i="11" s="1"/>
  <c r="K52" i="11" s="1"/>
  <c r="B54" i="11"/>
  <c r="B52" i="11" s="1"/>
  <c r="J52" i="11" s="1"/>
  <c r="C53" i="11"/>
  <c r="B53" i="11"/>
  <c r="C50" i="11"/>
  <c r="C41" i="11" s="1"/>
  <c r="B50" i="11"/>
  <c r="C49" i="11"/>
  <c r="B49" i="11"/>
  <c r="C48" i="11"/>
  <c r="C39" i="11" s="1"/>
  <c r="C38" i="11" s="1"/>
  <c r="K38" i="11" s="1"/>
  <c r="B48" i="11"/>
  <c r="B47" i="11" s="1"/>
  <c r="J47" i="11" s="1"/>
  <c r="B45" i="11"/>
  <c r="C44" i="11"/>
  <c r="B44" i="11"/>
  <c r="C43" i="11"/>
  <c r="K43" i="11" s="1"/>
  <c r="B43" i="11"/>
  <c r="J43" i="11" s="1"/>
  <c r="C42" i="11"/>
  <c r="B42" i="11"/>
  <c r="F42" i="11" s="1"/>
  <c r="C40" i="11"/>
  <c r="B40" i="11"/>
  <c r="F40" i="11" s="1"/>
  <c r="C36" i="11"/>
  <c r="B36" i="11"/>
  <c r="C35" i="11"/>
  <c r="B35" i="11"/>
  <c r="C34" i="11"/>
  <c r="C33" i="11" s="1"/>
  <c r="K33" i="11" s="1"/>
  <c r="B34" i="11"/>
  <c r="B33" i="11" s="1"/>
  <c r="J33" i="11" s="1"/>
  <c r="G33" i="11"/>
  <c r="F33" i="11"/>
  <c r="E33" i="11"/>
  <c r="D33" i="11"/>
  <c r="C31" i="11"/>
  <c r="C23" i="11" s="1"/>
  <c r="B31" i="11"/>
  <c r="B23" i="11" s="1"/>
  <c r="F23" i="11" s="1"/>
  <c r="C30" i="11"/>
  <c r="C22" i="11" s="1"/>
  <c r="C20" i="11" s="1"/>
  <c r="K20" i="11" s="1"/>
  <c r="B30" i="11"/>
  <c r="B29" i="11"/>
  <c r="J29" i="11" s="1"/>
  <c r="C25" i="11"/>
  <c r="B25" i="11"/>
  <c r="C24" i="11"/>
  <c r="B24" i="11"/>
  <c r="F24" i="11" s="1"/>
  <c r="B22" i="11"/>
  <c r="F22" i="11" s="1"/>
  <c r="C21" i="11"/>
  <c r="G20" i="11"/>
  <c r="C19" i="11"/>
  <c r="C17" i="11" s="1"/>
  <c r="K17" i="11" s="1"/>
  <c r="B19" i="11"/>
  <c r="C18" i="11"/>
  <c r="B18" i="11"/>
  <c r="B17" i="11"/>
  <c r="J17" i="11" s="1"/>
  <c r="C15" i="11"/>
  <c r="B15" i="11"/>
  <c r="C14" i="11"/>
  <c r="B14" i="11"/>
  <c r="B6" i="11" s="1"/>
  <c r="C12" i="11"/>
  <c r="C110" i="11" s="1"/>
  <c r="B12" i="11"/>
  <c r="B110" i="11" s="1"/>
  <c r="C9" i="11"/>
  <c r="B9" i="11"/>
  <c r="C7" i="11"/>
  <c r="B7" i="11"/>
  <c r="C6" i="11"/>
  <c r="B5" i="11"/>
  <c r="F5" i="11" s="1"/>
  <c r="C4" i="11"/>
  <c r="B4" i="11"/>
  <c r="I111" i="10"/>
  <c r="C121" i="10" s="1"/>
  <c r="H111" i="10"/>
  <c r="B121" i="10" s="1"/>
  <c r="C106" i="10"/>
  <c r="K106" i="10" s="1"/>
  <c r="B106" i="10"/>
  <c r="J106" i="10" s="1"/>
  <c r="C104" i="10"/>
  <c r="K104" i="10" s="1"/>
  <c r="B104" i="10"/>
  <c r="J104" i="10" s="1"/>
  <c r="C63" i="10"/>
  <c r="B63" i="10"/>
  <c r="C56" i="10"/>
  <c r="C55" i="10" s="1"/>
  <c r="K55" i="10" s="1"/>
  <c r="B56" i="10"/>
  <c r="C68" i="10"/>
  <c r="B68" i="10"/>
  <c r="C67" i="10"/>
  <c r="B67" i="10"/>
  <c r="C60" i="10"/>
  <c r="B60" i="10"/>
  <c r="C59" i="10"/>
  <c r="B59" i="10"/>
  <c r="B55" i="10"/>
  <c r="J55" i="10" s="1"/>
  <c r="C53" i="10"/>
  <c r="B53" i="10"/>
  <c r="C54" i="10"/>
  <c r="B54" i="10"/>
  <c r="C48" i="10"/>
  <c r="B48" i="10"/>
  <c r="C49" i="10"/>
  <c r="B49" i="10"/>
  <c r="C50" i="10"/>
  <c r="B50" i="10"/>
  <c r="C44" i="10"/>
  <c r="B44" i="10"/>
  <c r="B45" i="10"/>
  <c r="C91" i="10"/>
  <c r="C89" i="10" s="1"/>
  <c r="K89" i="10" s="1"/>
  <c r="B91" i="10"/>
  <c r="B89" i="10" s="1"/>
  <c r="J89" i="10" s="1"/>
  <c r="C90" i="10"/>
  <c r="B90" i="10"/>
  <c r="C86" i="10"/>
  <c r="B86" i="10"/>
  <c r="C30" i="10"/>
  <c r="B30" i="10"/>
  <c r="C31" i="10"/>
  <c r="B31" i="10"/>
  <c r="B29" i="10" s="1"/>
  <c r="J29" i="10" s="1"/>
  <c r="C35" i="10"/>
  <c r="B35" i="10"/>
  <c r="C36" i="10"/>
  <c r="B36" i="10"/>
  <c r="C34" i="10"/>
  <c r="C21" i="10" s="1"/>
  <c r="B34" i="10"/>
  <c r="B21" i="10" s="1"/>
  <c r="C33" i="10"/>
  <c r="K33" i="10" s="1"/>
  <c r="D33" i="10"/>
  <c r="E33" i="10"/>
  <c r="F33" i="10"/>
  <c r="G33" i="10"/>
  <c r="B33" i="10"/>
  <c r="J33" i="10" s="1"/>
  <c r="J89" i="11" l="1"/>
  <c r="B85" i="11"/>
  <c r="J85" i="11" s="1"/>
  <c r="D23" i="11"/>
  <c r="K89" i="11"/>
  <c r="C85" i="11"/>
  <c r="K85" i="11" s="1"/>
  <c r="C47" i="11"/>
  <c r="K47" i="11" s="1"/>
  <c r="B41" i="11"/>
  <c r="F41" i="11" s="1"/>
  <c r="C5" i="11"/>
  <c r="C3" i="11" s="1"/>
  <c r="K3" i="11" s="1"/>
  <c r="B21" i="11"/>
  <c r="B20" i="11" s="1"/>
  <c r="J20" i="11" s="1"/>
  <c r="C29" i="11"/>
  <c r="K29" i="11" s="1"/>
  <c r="B3" i="11"/>
  <c r="J3" i="11" s="1"/>
  <c r="B11" i="11"/>
  <c r="J11" i="11" s="1"/>
  <c r="B39" i="11"/>
  <c r="C71" i="11"/>
  <c r="D7" i="11"/>
  <c r="C11" i="11"/>
  <c r="K11" i="11" s="1"/>
  <c r="B70" i="11"/>
  <c r="J70" i="11" s="1"/>
  <c r="C116" i="12"/>
  <c r="F6" i="11"/>
  <c r="B109" i="11"/>
  <c r="C109" i="11"/>
  <c r="C77" i="11"/>
  <c r="K77" i="11" s="1"/>
  <c r="C72" i="11"/>
  <c r="E20" i="11"/>
  <c r="E38" i="11"/>
  <c r="F39" i="11"/>
  <c r="G70" i="11"/>
  <c r="E85" i="11"/>
  <c r="J101" i="11"/>
  <c r="K101" i="11"/>
  <c r="C4" i="10"/>
  <c r="C112" i="10" s="1"/>
  <c r="B4" i="10"/>
  <c r="B112" i="10" s="1"/>
  <c r="B19" i="10"/>
  <c r="C19" i="10"/>
  <c r="C18" i="10"/>
  <c r="B18" i="10"/>
  <c r="C17" i="10"/>
  <c r="K17" i="10" s="1"/>
  <c r="B17" i="10"/>
  <c r="J17" i="10" s="1"/>
  <c r="C14" i="10"/>
  <c r="C11" i="10" s="1"/>
  <c r="K11" i="10" s="1"/>
  <c r="B14" i="10"/>
  <c r="B11" i="10" s="1"/>
  <c r="J11" i="10" s="1"/>
  <c r="C12" i="10"/>
  <c r="B12" i="10"/>
  <c r="B83" i="10"/>
  <c r="C83" i="10"/>
  <c r="C84" i="10"/>
  <c r="B84" i="10"/>
  <c r="B79" i="10"/>
  <c r="C79" i="10" s="1"/>
  <c r="E3" i="11" l="1"/>
  <c r="B111" i="11"/>
  <c r="B108" i="11" s="1"/>
  <c r="J108" i="11" s="1"/>
  <c r="D40" i="11"/>
  <c r="B38" i="11"/>
  <c r="C70" i="11"/>
  <c r="K70" i="11" s="1"/>
  <c r="B5" i="10"/>
  <c r="B113" i="10"/>
  <c r="C5" i="10"/>
  <c r="C113" i="10"/>
  <c r="C111" i="11"/>
  <c r="C108" i="11" s="1"/>
  <c r="C6" i="10"/>
  <c r="B6" i="10"/>
  <c r="B7" i="10"/>
  <c r="C117" i="10"/>
  <c r="B117" i="10"/>
  <c r="C116" i="10"/>
  <c r="B116" i="10"/>
  <c r="A116" i="10"/>
  <c r="C115" i="10"/>
  <c r="B115" i="10"/>
  <c r="C101" i="10"/>
  <c r="B101" i="10"/>
  <c r="J101" i="10" s="1"/>
  <c r="C99" i="10"/>
  <c r="B99" i="10"/>
  <c r="C97" i="10"/>
  <c r="E97" i="10" s="1"/>
  <c r="B97" i="10"/>
  <c r="C92" i="10"/>
  <c r="E92" i="10" s="1"/>
  <c r="B92" i="10"/>
  <c r="C85" i="10"/>
  <c r="B85" i="10"/>
  <c r="J85" i="10" s="1"/>
  <c r="C82" i="10"/>
  <c r="K82" i="10" s="1"/>
  <c r="B82" i="10"/>
  <c r="J82" i="10" s="1"/>
  <c r="C80" i="10"/>
  <c r="K80" i="10" s="1"/>
  <c r="B80" i="10"/>
  <c r="J80" i="10" s="1"/>
  <c r="C77" i="10"/>
  <c r="K77" i="10" s="1"/>
  <c r="B77" i="10"/>
  <c r="J77" i="10" s="1"/>
  <c r="C74" i="10"/>
  <c r="B74" i="10"/>
  <c r="F73" i="10"/>
  <c r="C72" i="10"/>
  <c r="B72" i="10"/>
  <c r="F72" i="10" s="1"/>
  <c r="C71" i="10"/>
  <c r="C70" i="10" s="1"/>
  <c r="B71" i="10"/>
  <c r="F71" i="10" s="1"/>
  <c r="C66" i="10"/>
  <c r="K66" i="10" s="1"/>
  <c r="B66" i="10"/>
  <c r="J66" i="10" s="1"/>
  <c r="C64" i="10"/>
  <c r="K64" i="10" s="1"/>
  <c r="B64" i="10"/>
  <c r="J64" i="10" s="1"/>
  <c r="C62" i="10"/>
  <c r="K62" i="10" s="1"/>
  <c r="B62" i="10"/>
  <c r="J62" i="10" s="1"/>
  <c r="C58" i="10"/>
  <c r="K58" i="10" s="1"/>
  <c r="B58" i="10"/>
  <c r="J58" i="10" s="1"/>
  <c r="C52" i="10"/>
  <c r="K52" i="10" s="1"/>
  <c r="B52" i="10"/>
  <c r="J52" i="10" s="1"/>
  <c r="C47" i="10"/>
  <c r="K47" i="10" s="1"/>
  <c r="B47" i="10"/>
  <c r="J47" i="10" s="1"/>
  <c r="C43" i="10"/>
  <c r="K43" i="10" s="1"/>
  <c r="B43" i="10"/>
  <c r="J43" i="10" s="1"/>
  <c r="C42" i="10"/>
  <c r="B42" i="10"/>
  <c r="F42" i="10" s="1"/>
  <c r="C41" i="10"/>
  <c r="B41" i="10"/>
  <c r="F41" i="10" s="1"/>
  <c r="C40" i="10"/>
  <c r="B40" i="10"/>
  <c r="F40" i="10" s="1"/>
  <c r="C39" i="10"/>
  <c r="C38" i="10" s="1"/>
  <c r="B39" i="10"/>
  <c r="D40" i="10" s="1"/>
  <c r="C29" i="10"/>
  <c r="K29" i="10" s="1"/>
  <c r="C25" i="10"/>
  <c r="B25" i="10"/>
  <c r="C24" i="10"/>
  <c r="B24" i="10"/>
  <c r="D23" i="10"/>
  <c r="B23" i="10"/>
  <c r="F23" i="10" s="1"/>
  <c r="C22" i="10"/>
  <c r="B22" i="10"/>
  <c r="F22" i="10" s="1"/>
  <c r="G20" i="10"/>
  <c r="C15" i="10"/>
  <c r="B15" i="10"/>
  <c r="C9" i="10"/>
  <c r="B9" i="10"/>
  <c r="C7" i="10"/>
  <c r="D7" i="10"/>
  <c r="F6" i="10"/>
  <c r="F5" i="10"/>
  <c r="J38" i="11" l="1"/>
  <c r="G38" i="11"/>
  <c r="B116" i="11"/>
  <c r="C116" i="11"/>
  <c r="C117" i="11" s="1"/>
  <c r="B38" i="10"/>
  <c r="B70" i="10"/>
  <c r="E70" i="11"/>
  <c r="G70" i="10"/>
  <c r="J70" i="10"/>
  <c r="E70" i="10"/>
  <c r="K70" i="10"/>
  <c r="E85" i="10"/>
  <c r="K85" i="10"/>
  <c r="B3" i="10"/>
  <c r="J3" i="10" s="1"/>
  <c r="B114" i="10"/>
  <c r="B111" i="10" s="1"/>
  <c r="J111" i="10" s="1"/>
  <c r="C3" i="10"/>
  <c r="F24" i="10"/>
  <c r="B20" i="10"/>
  <c r="J20" i="10" s="1"/>
  <c r="G38" i="10"/>
  <c r="J38" i="10"/>
  <c r="E38" i="10"/>
  <c r="K38" i="10"/>
  <c r="B119" i="10"/>
  <c r="B120" i="10" s="1"/>
  <c r="K108" i="11"/>
  <c r="K101" i="10"/>
  <c r="F39" i="10"/>
  <c r="C101" i="9"/>
  <c r="B101" i="9"/>
  <c r="C100" i="9"/>
  <c r="B100" i="9"/>
  <c r="A100" i="9"/>
  <c r="C99" i="9"/>
  <c r="B99" i="9"/>
  <c r="B97" i="9"/>
  <c r="C96" i="9"/>
  <c r="B96" i="9"/>
  <c r="C92" i="9"/>
  <c r="B92" i="9"/>
  <c r="C90" i="9"/>
  <c r="B90" i="9"/>
  <c r="C88" i="9"/>
  <c r="E88" i="9" s="1"/>
  <c r="B88" i="9"/>
  <c r="C83" i="9"/>
  <c r="E83" i="9" s="1"/>
  <c r="B83" i="9"/>
  <c r="C82" i="9"/>
  <c r="C78" i="9" s="1"/>
  <c r="E78" i="9" s="1"/>
  <c r="B82" i="9"/>
  <c r="B98" i="9" s="1"/>
  <c r="B95" i="9" s="1"/>
  <c r="C77" i="9"/>
  <c r="C75" i="9" s="1"/>
  <c r="B75" i="9"/>
  <c r="C73" i="9"/>
  <c r="B73" i="9"/>
  <c r="C72" i="9"/>
  <c r="C65" i="9" s="1"/>
  <c r="C70" i="9"/>
  <c r="B70" i="9"/>
  <c r="C67" i="9"/>
  <c r="B67" i="9"/>
  <c r="F66" i="9"/>
  <c r="B65" i="9"/>
  <c r="F65" i="9" s="1"/>
  <c r="C64" i="9"/>
  <c r="C63" i="9" s="1"/>
  <c r="E63" i="9" s="1"/>
  <c r="B64" i="9"/>
  <c r="F64" i="9" s="1"/>
  <c r="B63" i="9"/>
  <c r="G63" i="9" s="1"/>
  <c r="C61" i="9"/>
  <c r="C35" i="9" s="1"/>
  <c r="C60" i="9"/>
  <c r="C59" i="9"/>
  <c r="B59" i="9"/>
  <c r="C57" i="9"/>
  <c r="B57" i="9"/>
  <c r="C55" i="9"/>
  <c r="B55" i="9"/>
  <c r="C51" i="9"/>
  <c r="B51" i="9"/>
  <c r="C49" i="9"/>
  <c r="B49" i="9"/>
  <c r="C46" i="9"/>
  <c r="B46" i="9"/>
  <c r="C43" i="9"/>
  <c r="C34" i="9" s="1"/>
  <c r="C41" i="9"/>
  <c r="B41" i="9"/>
  <c r="C37" i="9"/>
  <c r="B37" i="9"/>
  <c r="C36" i="9"/>
  <c r="B36" i="9"/>
  <c r="F36" i="9" s="1"/>
  <c r="B35" i="9"/>
  <c r="F35" i="9" s="1"/>
  <c r="B34" i="9"/>
  <c r="F34" i="9" s="1"/>
  <c r="C33" i="9"/>
  <c r="B33" i="9"/>
  <c r="D34" i="9" s="1"/>
  <c r="B32" i="9"/>
  <c r="G32" i="9" s="1"/>
  <c r="C29" i="9"/>
  <c r="B28" i="9"/>
  <c r="C24" i="9"/>
  <c r="B24" i="9"/>
  <c r="C20" i="9"/>
  <c r="B20" i="9"/>
  <c r="C19" i="9"/>
  <c r="B19" i="9"/>
  <c r="F19" i="9" s="1"/>
  <c r="D18" i="9"/>
  <c r="B18" i="9"/>
  <c r="F18" i="9" s="1"/>
  <c r="C17" i="9"/>
  <c r="B17" i="9"/>
  <c r="F17" i="9" s="1"/>
  <c r="G16" i="9"/>
  <c r="C14" i="9"/>
  <c r="B14" i="9"/>
  <c r="C12" i="9"/>
  <c r="B12" i="9"/>
  <c r="C10" i="9"/>
  <c r="B10" i="9"/>
  <c r="C8" i="9"/>
  <c r="B8" i="9"/>
  <c r="C6" i="9"/>
  <c r="B6" i="9"/>
  <c r="D6" i="9" s="1"/>
  <c r="C5" i="9"/>
  <c r="B5" i="9"/>
  <c r="F5" i="9" s="1"/>
  <c r="C4" i="9"/>
  <c r="C3" i="9" s="1"/>
  <c r="E3" i="9" s="1"/>
  <c r="B4" i="9"/>
  <c r="F4" i="9" s="1"/>
  <c r="C32" i="9" l="1"/>
  <c r="E32" i="9" s="1"/>
  <c r="B3" i="9"/>
  <c r="B118" i="10"/>
  <c r="B115" i="11"/>
  <c r="B117" i="11"/>
  <c r="B16" i="9"/>
  <c r="B78" i="9"/>
  <c r="B103" i="9" s="1"/>
  <c r="B102" i="9" s="1"/>
  <c r="C97" i="9"/>
  <c r="C115" i="11"/>
  <c r="E3" i="10"/>
  <c r="K3" i="10"/>
  <c r="C23" i="10"/>
  <c r="C30" i="9"/>
  <c r="F33" i="9"/>
  <c r="C61" i="7"/>
  <c r="C60" i="7"/>
  <c r="C43" i="7"/>
  <c r="C82" i="7"/>
  <c r="C29" i="7"/>
  <c r="C30" i="7" s="1"/>
  <c r="C5" i="7"/>
  <c r="C3" i="7" s="1"/>
  <c r="C4" i="7"/>
  <c r="C64" i="7"/>
  <c r="C63" i="7" s="1"/>
  <c r="B64" i="7"/>
  <c r="C77" i="7"/>
  <c r="C72" i="7"/>
  <c r="C65" i="7" s="1"/>
  <c r="C20" i="10" l="1"/>
  <c r="C114" i="10"/>
  <c r="C111" i="10" s="1"/>
  <c r="K111" i="10" s="1"/>
  <c r="E20" i="10"/>
  <c r="C28" i="9"/>
  <c r="C18" i="9"/>
  <c r="C16" i="9" s="1"/>
  <c r="C98" i="9"/>
  <c r="C95" i="9" s="1"/>
  <c r="C101" i="7"/>
  <c r="C100" i="7"/>
  <c r="C99" i="7"/>
  <c r="C97" i="7"/>
  <c r="C96" i="7"/>
  <c r="B99" i="7"/>
  <c r="B97" i="7"/>
  <c r="B96" i="7"/>
  <c r="G16" i="7"/>
  <c r="K20" i="10" l="1"/>
  <c r="C119" i="10"/>
  <c r="E16" i="9"/>
  <c r="C103" i="9"/>
  <c r="C102" i="9" s="1"/>
  <c r="B65" i="7"/>
  <c r="B63" i="7" s="1"/>
  <c r="B101" i="7"/>
  <c r="B92" i="7"/>
  <c r="B82" i="7"/>
  <c r="B98" i="7" s="1"/>
  <c r="B95" i="7" s="1"/>
  <c r="B100" i="7"/>
  <c r="A100" i="7"/>
  <c r="C92" i="7"/>
  <c r="C90" i="7"/>
  <c r="B90" i="7"/>
  <c r="C88" i="7"/>
  <c r="E88" i="7" s="1"/>
  <c r="B88" i="7"/>
  <c r="C83" i="7"/>
  <c r="E83" i="7" s="1"/>
  <c r="B83" i="7"/>
  <c r="C98" i="7"/>
  <c r="C78" i="7"/>
  <c r="E78" i="7" s="1"/>
  <c r="C75" i="7"/>
  <c r="B75" i="7"/>
  <c r="C73" i="7"/>
  <c r="B73" i="7"/>
  <c r="C70" i="7"/>
  <c r="B70" i="7"/>
  <c r="C67" i="7"/>
  <c r="B67" i="7"/>
  <c r="F66" i="7"/>
  <c r="F65" i="7"/>
  <c r="F64" i="7"/>
  <c r="E63" i="7"/>
  <c r="G63" i="7"/>
  <c r="C59" i="7"/>
  <c r="B59" i="7"/>
  <c r="C57" i="7"/>
  <c r="B57" i="7"/>
  <c r="C55" i="7"/>
  <c r="B55" i="7"/>
  <c r="C51" i="7"/>
  <c r="B51" i="7"/>
  <c r="C49" i="7"/>
  <c r="B49" i="7"/>
  <c r="C46" i="7"/>
  <c r="B46" i="7"/>
  <c r="C41" i="7"/>
  <c r="B41" i="7"/>
  <c r="C37" i="7"/>
  <c r="B37" i="7"/>
  <c r="C36" i="7"/>
  <c r="B36" i="7"/>
  <c r="F36" i="7" s="1"/>
  <c r="C35" i="7"/>
  <c r="B35" i="7"/>
  <c r="F35" i="7" s="1"/>
  <c r="C34" i="7"/>
  <c r="B34" i="7"/>
  <c r="F34" i="7" s="1"/>
  <c r="C33" i="7"/>
  <c r="B33" i="7"/>
  <c r="D34" i="7" s="1"/>
  <c r="C32" i="7"/>
  <c r="E32" i="7" s="1"/>
  <c r="B32" i="7"/>
  <c r="G32" i="7" s="1"/>
  <c r="C28" i="7"/>
  <c r="B28" i="7"/>
  <c r="C24" i="7"/>
  <c r="B24" i="7"/>
  <c r="C20" i="7"/>
  <c r="B20" i="7"/>
  <c r="C19" i="7"/>
  <c r="B19" i="7"/>
  <c r="F19" i="7" s="1"/>
  <c r="D18" i="7"/>
  <c r="C18" i="7"/>
  <c r="B18" i="7"/>
  <c r="F18" i="7" s="1"/>
  <c r="C17" i="7"/>
  <c r="C16" i="7" s="1"/>
  <c r="E16" i="7" s="1"/>
  <c r="B17" i="7"/>
  <c r="F17" i="7" s="1"/>
  <c r="C14" i="7"/>
  <c r="B14" i="7"/>
  <c r="C12" i="7"/>
  <c r="B12" i="7"/>
  <c r="C10" i="7"/>
  <c r="B10" i="7"/>
  <c r="C8" i="7"/>
  <c r="B8" i="7"/>
  <c r="C6" i="7"/>
  <c r="B6" i="7"/>
  <c r="B5" i="7"/>
  <c r="F5" i="7" s="1"/>
  <c r="B4" i="7"/>
  <c r="F4" i="7" s="1"/>
  <c r="B3" i="7" l="1"/>
  <c r="B16" i="7"/>
  <c r="B78" i="7"/>
  <c r="D6" i="7"/>
  <c r="C120" i="10"/>
  <c r="C118" i="10"/>
  <c r="E3" i="7"/>
  <c r="C95" i="7"/>
  <c r="F33" i="7"/>
  <c r="C61" i="8"/>
  <c r="C112" i="8"/>
  <c r="C111" i="8"/>
  <c r="C108" i="8"/>
  <c r="B108" i="8"/>
  <c r="B102" i="8"/>
  <c r="B69" i="8"/>
  <c r="B68" i="8"/>
  <c r="B70" i="8"/>
  <c r="B5" i="8"/>
  <c r="B4" i="8"/>
  <c r="B35" i="8" l="1"/>
  <c r="B34" i="8"/>
  <c r="B33" i="8"/>
  <c r="C5" i="8"/>
  <c r="C10" i="8"/>
  <c r="B10" i="8"/>
  <c r="C33" i="8"/>
  <c r="C83" i="8"/>
  <c r="B83" i="8"/>
  <c r="B88" i="8"/>
  <c r="B20" i="8"/>
  <c r="B51" i="8"/>
  <c r="B36" i="8"/>
  <c r="B112" i="8"/>
  <c r="C4" i="8"/>
  <c r="D34" i="8" l="1"/>
  <c r="C82" i="8"/>
  <c r="C30" i="8"/>
  <c r="C19" i="8"/>
  <c r="C18" i="8"/>
  <c r="C17" i="8"/>
  <c r="C28" i="8"/>
  <c r="C24" i="8"/>
  <c r="C20" i="8"/>
  <c r="C14" i="8"/>
  <c r="C12" i="8"/>
  <c r="C8" i="8"/>
  <c r="C6" i="8"/>
  <c r="C77" i="8"/>
  <c r="C98" i="8"/>
  <c r="C96" i="8"/>
  <c r="E96" i="8" s="1"/>
  <c r="C94" i="8"/>
  <c r="C92" i="8"/>
  <c r="C90" i="8"/>
  <c r="E90" i="8" s="1"/>
  <c r="C88" i="8"/>
  <c r="E88" i="8" s="1"/>
  <c r="C60" i="8"/>
  <c r="C34" i="8" s="1"/>
  <c r="C53" i="8"/>
  <c r="C51" i="8" s="1"/>
  <c r="C59" i="8"/>
  <c r="C57" i="8"/>
  <c r="C55" i="8"/>
  <c r="C49" i="8"/>
  <c r="C46" i="8"/>
  <c r="C43" i="8"/>
  <c r="C36" i="8"/>
  <c r="C37" i="8"/>
  <c r="C100" i="8"/>
  <c r="B100" i="8"/>
  <c r="C109" i="8" l="1"/>
  <c r="C35" i="8"/>
  <c r="C110" i="8"/>
  <c r="C3" i="8"/>
  <c r="C32" i="8"/>
  <c r="E32" i="8" s="1"/>
  <c r="C41" i="8"/>
  <c r="D37" i="8" s="1"/>
  <c r="C16" i="8"/>
  <c r="E16" i="8" s="1"/>
  <c r="C78" i="8"/>
  <c r="E78" i="8" s="1"/>
  <c r="C65" i="8"/>
  <c r="C64" i="8"/>
  <c r="C67" i="8"/>
  <c r="C75" i="8"/>
  <c r="C70" i="8"/>
  <c r="C73" i="8"/>
  <c r="H35" i="8"/>
  <c r="C107" i="8" l="1"/>
  <c r="C63" i="8"/>
  <c r="E63" i="8"/>
  <c r="H36" i="8"/>
  <c r="H34" i="8"/>
  <c r="H33" i="8"/>
  <c r="H32" i="8" s="1"/>
  <c r="B65" i="8"/>
  <c r="B64" i="8"/>
  <c r="F64" i="8"/>
  <c r="F34" i="8"/>
  <c r="F36" i="8"/>
  <c r="F33" i="8"/>
  <c r="F35" i="8"/>
  <c r="B98" i="8"/>
  <c r="B30" i="8" l="1"/>
  <c r="B18" i="8" s="1"/>
  <c r="B31" i="8"/>
  <c r="B111" i="8" s="1"/>
  <c r="B29" i="8"/>
  <c r="B109" i="8" s="1"/>
  <c r="F18" i="8"/>
  <c r="B28" i="8"/>
  <c r="B24" i="8"/>
  <c r="D18" i="8" s="1"/>
  <c r="B82" i="8"/>
  <c r="B110" i="8" s="1"/>
  <c r="A112" i="8"/>
  <c r="B96" i="8"/>
  <c r="B94" i="8"/>
  <c r="B92" i="8"/>
  <c r="B90" i="8"/>
  <c r="E83" i="8"/>
  <c r="B75" i="8"/>
  <c r="B73" i="8"/>
  <c r="B67" i="8"/>
  <c r="F66" i="8"/>
  <c r="F65" i="8"/>
  <c r="B59" i="8"/>
  <c r="B57" i="8"/>
  <c r="B55" i="8"/>
  <c r="B49" i="8"/>
  <c r="B46" i="8"/>
  <c r="B41" i="8"/>
  <c r="B37" i="8"/>
  <c r="B32" i="8"/>
  <c r="B14" i="8"/>
  <c r="B12" i="8"/>
  <c r="B8" i="8"/>
  <c r="B6" i="8"/>
  <c r="D6" i="8" s="1"/>
  <c r="B3" i="8"/>
  <c r="B78" i="8" l="1"/>
  <c r="B17" i="8"/>
  <c r="F17" i="8"/>
  <c r="B19" i="8"/>
  <c r="B16" i="8" s="1"/>
  <c r="C114" i="8"/>
  <c r="B63" i="8"/>
  <c r="G32" i="8"/>
  <c r="E3" i="8"/>
  <c r="C113" i="8"/>
  <c r="F4" i="8"/>
  <c r="F19" i="8"/>
  <c r="F5" i="8"/>
  <c r="B140" i="6"/>
  <c r="A140" i="6"/>
  <c r="D135" i="6"/>
  <c r="C135" i="6"/>
  <c r="B130" i="6"/>
  <c r="B125" i="6"/>
  <c r="B120" i="6"/>
  <c r="B115" i="6"/>
  <c r="B110" i="6"/>
  <c r="D104" i="6"/>
  <c r="C104" i="6"/>
  <c r="B104" i="6"/>
  <c r="D100" i="6"/>
  <c r="C100" i="6"/>
  <c r="B100" i="6"/>
  <c r="B138" i="6" s="1"/>
  <c r="B96" i="6"/>
  <c r="B92" i="6"/>
  <c r="C88" i="6"/>
  <c r="B88" i="6"/>
  <c r="C84" i="6"/>
  <c r="C80" i="6" s="1"/>
  <c r="B84" i="6"/>
  <c r="B83" i="6"/>
  <c r="B80" i="6" s="1"/>
  <c r="D82" i="6"/>
  <c r="C82" i="6"/>
  <c r="B82" i="6"/>
  <c r="D81" i="6"/>
  <c r="C81" i="6"/>
  <c r="B81" i="6"/>
  <c r="D80" i="6"/>
  <c r="C76" i="6"/>
  <c r="B76" i="6"/>
  <c r="C74" i="6"/>
  <c r="B74" i="6"/>
  <c r="C72" i="6"/>
  <c r="B72" i="6"/>
  <c r="B68" i="6"/>
  <c r="C66" i="6"/>
  <c r="B66" i="6"/>
  <c r="C63" i="6"/>
  <c r="B63" i="6"/>
  <c r="C58" i="6"/>
  <c r="B58" i="6"/>
  <c r="B54" i="6"/>
  <c r="B53" i="6" s="1"/>
  <c r="C53" i="6"/>
  <c r="B52" i="6"/>
  <c r="B139" i="6" s="1"/>
  <c r="B51" i="6"/>
  <c r="B50" i="6"/>
  <c r="C48" i="6"/>
  <c r="D47" i="6"/>
  <c r="C47" i="6"/>
  <c r="C139" i="6" s="1"/>
  <c r="B47" i="6"/>
  <c r="D46" i="6"/>
  <c r="C46" i="6"/>
  <c r="B46" i="6"/>
  <c r="D45" i="6"/>
  <c r="C45" i="6"/>
  <c r="B45" i="6"/>
  <c r="D43" i="6"/>
  <c r="C43" i="6"/>
  <c r="D29" i="6"/>
  <c r="D140" i="6" s="1"/>
  <c r="D28" i="6"/>
  <c r="D139" i="6" s="1"/>
  <c r="D27" i="6"/>
  <c r="D26" i="6"/>
  <c r="D25" i="6"/>
  <c r="C25" i="6"/>
  <c r="B25" i="6"/>
  <c r="B18" i="6"/>
  <c r="B15" i="6"/>
  <c r="C13" i="6"/>
  <c r="B13" i="6"/>
  <c r="C10" i="6"/>
  <c r="B10" i="6"/>
  <c r="C8" i="6"/>
  <c r="B8" i="6"/>
  <c r="C6" i="6"/>
  <c r="C3" i="6" s="1"/>
  <c r="B6" i="6"/>
  <c r="D5" i="6"/>
  <c r="C5" i="6"/>
  <c r="B5" i="6"/>
  <c r="F5" i="6" s="1"/>
  <c r="D4" i="6"/>
  <c r="C4" i="6"/>
  <c r="C137" i="6" s="1"/>
  <c r="B4" i="6"/>
  <c r="F4" i="6" s="1"/>
  <c r="D3" i="6"/>
  <c r="B3" i="6"/>
  <c r="B114" i="8" l="1"/>
  <c r="B137" i="6"/>
  <c r="D137" i="6"/>
  <c r="C140" i="6"/>
  <c r="B49" i="6"/>
  <c r="C138" i="6"/>
  <c r="D138" i="6"/>
  <c r="B107" i="8"/>
  <c r="G63" i="8"/>
  <c r="B113" i="8"/>
  <c r="B44" i="6" l="1"/>
  <c r="B48" i="6"/>
  <c r="B43" i="6" l="1"/>
  <c r="B142" i="6" s="1"/>
  <c r="B136" i="6"/>
  <c r="B135" i="6" s="1"/>
  <c r="F19" i="1"/>
  <c r="B141" i="6" l="1"/>
  <c r="F5" i="1"/>
  <c r="D5" i="1"/>
  <c r="E5" i="1"/>
  <c r="C5" i="1"/>
  <c r="D92" i="1" l="1"/>
  <c r="E92" i="1"/>
  <c r="F92" i="1"/>
  <c r="D83" i="1" l="1"/>
  <c r="E83" i="1"/>
  <c r="F83" i="1"/>
  <c r="D15" i="1"/>
  <c r="E15" i="1"/>
  <c r="F17" i="1"/>
  <c r="F18" i="1"/>
  <c r="F16" i="1"/>
  <c r="D69" i="1"/>
  <c r="E69" i="1"/>
  <c r="F69" i="1"/>
  <c r="D68" i="1"/>
  <c r="E68" i="1"/>
  <c r="F68" i="1"/>
  <c r="D71" i="1"/>
  <c r="E71" i="1"/>
  <c r="F71" i="1"/>
  <c r="D75" i="1"/>
  <c r="E75" i="1"/>
  <c r="F75" i="1"/>
  <c r="C69" i="1"/>
  <c r="C70" i="1"/>
  <c r="C68" i="1"/>
  <c r="C75" i="1"/>
  <c r="C71" i="1"/>
  <c r="C18" i="1"/>
  <c r="C17" i="1"/>
  <c r="C16" i="1"/>
  <c r="C36" i="1"/>
  <c r="D36" i="1"/>
  <c r="D91" i="1" s="1"/>
  <c r="E36" i="1"/>
  <c r="E91" i="1" s="1"/>
  <c r="F36" i="1"/>
  <c r="D35" i="1"/>
  <c r="E35" i="1"/>
  <c r="F35" i="1"/>
  <c r="D34" i="1"/>
  <c r="E34" i="1"/>
  <c r="F34" i="1"/>
  <c r="C35" i="1"/>
  <c r="C34" i="1"/>
  <c r="D63" i="1"/>
  <c r="E63" i="1"/>
  <c r="F63" i="1"/>
  <c r="D59" i="1"/>
  <c r="E59" i="1"/>
  <c r="F59" i="1"/>
  <c r="D55" i="1"/>
  <c r="E55" i="1"/>
  <c r="F55" i="1"/>
  <c r="C55" i="1"/>
  <c r="D51" i="1"/>
  <c r="E51" i="1"/>
  <c r="F51" i="1"/>
  <c r="D49" i="1"/>
  <c r="E49" i="1"/>
  <c r="F49" i="1"/>
  <c r="D45" i="1"/>
  <c r="E45" i="1"/>
  <c r="F45" i="1"/>
  <c r="D41" i="1"/>
  <c r="E41" i="1"/>
  <c r="F41" i="1"/>
  <c r="F67" i="1" l="1"/>
  <c r="D67" i="1"/>
  <c r="C91" i="1"/>
  <c r="F91" i="1"/>
  <c r="F15" i="1"/>
  <c r="C67" i="1"/>
  <c r="E67" i="1"/>
  <c r="D33" i="1"/>
  <c r="F33" i="1"/>
  <c r="E33" i="1"/>
  <c r="D37" i="1" l="1"/>
  <c r="E37" i="1"/>
  <c r="F37" i="1"/>
  <c r="D79" i="1" l="1"/>
  <c r="E79" i="1"/>
  <c r="F79" i="1"/>
  <c r="D13" i="1"/>
  <c r="E13" i="1"/>
  <c r="F13" i="1"/>
  <c r="D10" i="1"/>
  <c r="E10" i="1"/>
  <c r="F10" i="1"/>
  <c r="D8" i="1"/>
  <c r="E8" i="1"/>
  <c r="F8" i="1"/>
  <c r="D6" i="1"/>
  <c r="E6" i="1"/>
  <c r="F6" i="1"/>
  <c r="D90" i="1"/>
  <c r="E90" i="1"/>
  <c r="F90" i="1"/>
  <c r="D4" i="1"/>
  <c r="D89" i="1" s="1"/>
  <c r="D88" i="1" s="1"/>
  <c r="E4" i="1"/>
  <c r="E89" i="1" s="1"/>
  <c r="E88" i="1" s="1"/>
  <c r="F4" i="1"/>
  <c r="F89" i="1" s="1"/>
  <c r="F3" i="1" l="1"/>
  <c r="D3" i="1"/>
  <c r="E3" i="1"/>
  <c r="F88" i="1"/>
  <c r="B92" i="1"/>
  <c r="B83" i="1"/>
  <c r="C92" i="1" l="1"/>
  <c r="C83" i="1"/>
  <c r="C45" i="1" l="1"/>
  <c r="C49" i="1"/>
  <c r="C63" i="1"/>
  <c r="C59" i="1" l="1"/>
  <c r="C51" i="1"/>
  <c r="C37" i="1"/>
  <c r="C19" i="1"/>
  <c r="B19" i="1"/>
  <c r="C33" i="1" l="1"/>
  <c r="C41" i="1"/>
  <c r="C25" i="1"/>
  <c r="B25" i="1"/>
  <c r="B16" i="1"/>
  <c r="B18" i="1"/>
  <c r="B17" i="1"/>
  <c r="C8" i="1"/>
  <c r="C6" i="1"/>
  <c r="C15" i="1" l="1"/>
  <c r="B15" i="1"/>
  <c r="B20" i="1"/>
  <c r="C4" i="1"/>
  <c r="C10" i="1"/>
  <c r="C3" i="1" s="1"/>
  <c r="C13" i="1"/>
  <c r="B67" i="1" l="1"/>
  <c r="B5" i="1"/>
  <c r="B55" i="1"/>
  <c r="B36" i="1"/>
  <c r="B35" i="1" l="1"/>
  <c r="B59" i="1"/>
  <c r="B45" i="1"/>
  <c r="C79" i="1" l="1"/>
  <c r="C88" i="1" l="1"/>
  <c r="B34" i="1"/>
  <c r="B33" i="1" s="1"/>
  <c r="B37" i="1"/>
  <c r="B79" i="1"/>
  <c r="B49" i="1" l="1"/>
  <c r="B91" i="1" l="1"/>
  <c r="B51" i="1"/>
  <c r="B41" i="1"/>
  <c r="B89" i="1" l="1"/>
  <c r="B3" i="1" l="1"/>
  <c r="B90" i="1" l="1"/>
  <c r="B88" i="1" s="1"/>
</calcChain>
</file>

<file path=xl/sharedStrings.xml><?xml version="1.0" encoding="utf-8"?>
<sst xmlns="http://schemas.openxmlformats.org/spreadsheetml/2006/main" count="982" uniqueCount="193">
  <si>
    <t>2018 год</t>
  </si>
  <si>
    <t xml:space="preserve"> в т. ч краевой бюджет </t>
  </si>
  <si>
    <t xml:space="preserve">  районный бюджет </t>
  </si>
  <si>
    <t xml:space="preserve">Наименование </t>
  </si>
  <si>
    <t xml:space="preserve">     в т.ч. районный бюджет </t>
  </si>
  <si>
    <t xml:space="preserve"> 2.Подпрограмма  "Повышение эффективности использования земель, государственная собственность  на которые не разграничена, на территории муниципального района «Оловяннинский район» </t>
  </si>
  <si>
    <t xml:space="preserve">в т. ч. краевой бюджет </t>
  </si>
  <si>
    <t xml:space="preserve">в т.ч. районный бюджет </t>
  </si>
  <si>
    <t xml:space="preserve">край </t>
  </si>
  <si>
    <t>район</t>
  </si>
  <si>
    <t xml:space="preserve">район </t>
  </si>
  <si>
    <t xml:space="preserve">внебюджет </t>
  </si>
  <si>
    <t>краевой бюджет</t>
  </si>
  <si>
    <t>Резервный фонд                              район</t>
  </si>
  <si>
    <t>уточн.2018</t>
  </si>
  <si>
    <t>9.1.1. Реализация подпрограммы «Сохранение, поддержка и развитие сферы культуры в Оловяннинском районе на 2017-2021 г.г.».</t>
  </si>
  <si>
    <t>9.1.2. Реализация подпрограммы «Развитие физической культуры и спорта в муниципальном районе «Оловяннинский район»  на 2017-2021 г.г.»</t>
  </si>
  <si>
    <t>9.1.3. Реализация подпрограммы "Обеспечение деятельности учреждений культуры, доп. Образования в сфере культуры и развития ФК и спорта МР "Оловяннинский район" на 2017-2021 годы"</t>
  </si>
  <si>
    <t>бюджет поселения</t>
  </si>
  <si>
    <t xml:space="preserve">федеральный </t>
  </si>
  <si>
    <t>федеральный</t>
  </si>
  <si>
    <t xml:space="preserve">2. Всего по Программе культура </t>
  </si>
  <si>
    <t>3.1. Подпрограммы "Развитие дошкольного образования в муниципальном районе «Оловяннинский район»</t>
  </si>
  <si>
    <t>3.2.Подпрограммы "Развитие общего  образования в муниципальном районе «Оловяннинский район»</t>
  </si>
  <si>
    <t>3.3.Подпрограммы "Развитие дополнительного   образования в муниципальном районе «Оловяннинский район»</t>
  </si>
  <si>
    <t>3.4.Подпрограмма «Исполнение государственных полномочий по опеке и попечительству и социальной поддержки детей находящихся в трудной жизненной ситуации»</t>
  </si>
  <si>
    <t>3.5.Подпрограммы "Развитие системы оздоровления, отдыха и занятости детей в каникулярное время в муниципальном районе «Оловяннинский район»</t>
  </si>
  <si>
    <t>3.6.Подпрограмма «Развитие комплексной безопасности образовательных учреждений  в  муниципальном районе «Оловяннинский район»</t>
  </si>
  <si>
    <t>3.7.Подпрограмма «Профилактика правонарушений, противодействия незаконному потреблению наркотических средств, психотропных веществ и их незаконному обороту на территории муниципального района «Оловяннинский район»</t>
  </si>
  <si>
    <t>5.Программа  "Развитие муниципального управление  и обеспечение деятельности администрации муниципального района   "Оловяннинский район" на 2017-2021г".</t>
  </si>
  <si>
    <t>6.  реализация МП "Устойчивое развитие сельских территорий муниципального района "Оловяннинский район" на 2018-2020годы"</t>
  </si>
  <si>
    <t>1. Всего по программе  "Управление и распоряжение  муниципаль-ной собственностью муниципального района   "Оловяннинский район" на период 2017-2021г"</t>
  </si>
  <si>
    <t>Районные программы на  2018 год.</t>
  </si>
  <si>
    <t>уточн.2019</t>
  </si>
  <si>
    <t>уточн.2020</t>
  </si>
  <si>
    <t>Факт</t>
  </si>
  <si>
    <t>Ликвидация ЧС                             район</t>
  </si>
  <si>
    <t>3,8«Обеспечение деятельности учреждений подведомственных Комитету образования в муниципальном районе «Оловяннинский район»:Подготовка образовательных учреждений к отопительному сезону</t>
  </si>
  <si>
    <t xml:space="preserve">3.Всего по программе  Образование  </t>
  </si>
  <si>
    <t>Реализация подпрограммы «Повышение финансовой устойчивости бюджетов сельских поселений, входящих в состав муниципального района «Оловяннинский район»</t>
  </si>
  <si>
    <t>Реализация подпрограммы «Управление муниципальным долгом бюджета муниципального района «Оловяннинский район»</t>
  </si>
  <si>
    <r>
      <t xml:space="preserve">3.Подпрограмма </t>
    </r>
    <r>
      <rPr>
        <b/>
        <i/>
        <sz val="10"/>
        <color theme="1"/>
        <rFont val="Times New Roman"/>
        <family val="1"/>
        <charset val="204"/>
      </rPr>
      <t>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«Оловяннинский район»</t>
    </r>
  </si>
  <si>
    <r>
      <t>4.Подпрограмма "</t>
    </r>
    <r>
      <rPr>
        <b/>
        <i/>
        <sz val="10"/>
        <color theme="1"/>
        <rFont val="Times New Roman"/>
        <family val="1"/>
        <charset val="204"/>
      </rPr>
      <t xml:space="preserve"> Территориальное планирование и обеспечение градостроительной деятельности муниципального района «Оловяннинский район»</t>
    </r>
  </si>
  <si>
    <t xml:space="preserve">1.Подпрограмма  "Владение пользование и распоряжение имуществом, находящимся в муниципальной собственности муниципального района «Оловяннинский район» на период 2017-2021 годы»    </t>
  </si>
  <si>
    <t xml:space="preserve">Выплата пенсий за  выслугу лет лицам, замещавших должности  муниципальной  службы                                            </t>
  </si>
  <si>
    <t xml:space="preserve">ВСЕГО К ГОДОВОМУ ПЛАНУ  ПО ПРОГРАММАМ </t>
  </si>
  <si>
    <t>4. Программа "Управление муниципальными финансами и муниципальным долгом муниципального района" Оловяннинский район"</t>
  </si>
  <si>
    <t>Районные программы на  2019 год.</t>
  </si>
  <si>
    <t>фед.</t>
  </si>
  <si>
    <t>фед</t>
  </si>
  <si>
    <t>3. Программа «Развитие системы образования в муниципальном районе «Оловяннинский район» на 2017-2022 годы»</t>
  </si>
  <si>
    <t>3.1.Подпрограмма «Развитие дошкольного образования в муниципальном районе «Оловяннинский район»</t>
  </si>
  <si>
    <t>3.2.Подпрограмма «Развитие общего образования в муниципальном районе «Оловяннинский район»</t>
  </si>
  <si>
    <t>3.3.Подпрограмма «Развитие дополнительного образования, воспитания детей и молодежи в муниципальном районе «Оловяннинский район»</t>
  </si>
  <si>
    <t>3.4.Подпрограмма «Исполнение государственных полномочий по опеке и попечительству и социальной поддержке детей находящихся в трудной жизненной ситуации»</t>
  </si>
  <si>
    <t>3.5.Подпрограмма «Развитие системы оздоровления, отдыха и занятости детей в каникулярное время в муниципальном районе «Оловяннинский район»</t>
  </si>
  <si>
    <t>3.8.Подпрограмма «Обеспечение деятельности учреждений подведомственных Комитету образования в муниципальном районе «Оловяннинский район»</t>
  </si>
  <si>
    <t>план</t>
  </si>
  <si>
    <t>к.ф.</t>
  </si>
  <si>
    <t>1 Подпрограмма 1 «Создание условий для эффективного управления     муниципальными финансами, повышение устойчивости бюджета муниципального  район «Оловяннинский район»</t>
  </si>
  <si>
    <t>2. Подпрограмма 2 «Повышение финансовой устойчивости    бюджетов поселений, входящих в состав муниципального района «Оловяннинский район»</t>
  </si>
  <si>
    <t>3 Подпрограмма 3 «Управление муниципальным долгом муниципального района «Оловяннинский район»</t>
  </si>
  <si>
    <t>4 Подпрограмма 4 «Обеспечение реализации муниципальной программы (обеспечивающая подпрограмма)»</t>
  </si>
  <si>
    <t xml:space="preserve">1 Подпрограмма "Владение, пользование и распоряжение имуществом, находящимся в муниципальной собственности муниципального района «Оловяннинский район» на период 2017-2022 годы»  </t>
  </si>
  <si>
    <t>ком имущ</t>
  </si>
  <si>
    <t>Л.А.Долгова</t>
  </si>
  <si>
    <t>А.С.Логвиненко</t>
  </si>
  <si>
    <t>О.В. Гузанова</t>
  </si>
  <si>
    <t>МКУ ЦБ СО</t>
  </si>
  <si>
    <t>середства участников программы</t>
  </si>
  <si>
    <t>отдел сельс хоз</t>
  </si>
  <si>
    <t>Е.С. Сараева</t>
  </si>
  <si>
    <t>2. Всего по программе  "Управление и распоряжение  муниципаль-ной собственностью муниципального района   "Оловяннинский район" на период 2017-2021г"</t>
  </si>
  <si>
    <t>Подпрограмма 1 «Создание условий для эффективного управления     муниципальными финансами, повышение устойчивости бюджета муниципального  район «Оловяннинский район»</t>
  </si>
  <si>
    <t>Подпрограмма 2 «Повышение финансовой устойчивости    бюджетов поселений, входящих в состав муниципального района «Оловяннинский район»</t>
  </si>
  <si>
    <t>Подпрограмма 3 «Управление муниципальным долгом муниципального района «Оловяннинский район»</t>
  </si>
  <si>
    <t>Подпрограмма 4 «Обеспечение реализации муниципальной программы(обеспечивающая подпрограмма)»</t>
  </si>
  <si>
    <r>
      <t xml:space="preserve">Подпрограмма 2. </t>
    </r>
    <r>
      <rPr>
        <sz val="10"/>
        <color theme="1"/>
        <rFont val="Times New Roman"/>
        <family val="1"/>
        <charset val="204"/>
      </rPr>
      <t xml:space="preserve">Повышение эффективности использования земель, государственная собственность  на которые не разграничена, на территории муниципального района «Оловяннинский район» </t>
    </r>
  </si>
  <si>
    <r>
      <t>3.Подпрограмма "</t>
    </r>
    <r>
      <rPr>
        <sz val="10"/>
        <color theme="1"/>
        <rFont val="Times New Roman"/>
        <family val="1"/>
        <charset val="204"/>
      </rPr>
      <t>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«Оловяннинский район»</t>
    </r>
  </si>
  <si>
    <r>
      <t>4.Подпрограмма "</t>
    </r>
    <r>
      <rPr>
        <sz val="10"/>
        <color theme="1"/>
        <rFont val="Times New Roman"/>
        <family val="1"/>
        <charset val="204"/>
      </rPr>
      <t>Территориальное планирование и обеспечение градостроительной деятельности муниципального района «Оловяннинский район»</t>
    </r>
  </si>
  <si>
    <r>
      <t xml:space="preserve">5. Подпрограмма </t>
    </r>
    <r>
      <rPr>
        <sz val="10"/>
        <color theme="1"/>
        <rFont val="Times New Roman"/>
        <family val="1"/>
        <charset val="204"/>
      </rPr>
      <t>"Обеспечение деятельности Комитета по управлению муниципальным имуществом администрации муниципального района «Оловяннинский  район».</t>
    </r>
  </si>
  <si>
    <t xml:space="preserve">3. Всего по Программе культура </t>
  </si>
  <si>
    <t xml:space="preserve">4.Всего по программе  Образование  </t>
  </si>
  <si>
    <t>5. Программа "Управление муниципальными финансами и муниципальным долгом муниципального района" Оловяннинский район"</t>
  </si>
  <si>
    <t>6.Программа  "Развитие муниципального управление  и обеспечение деятельности администрации муниципального района   "Оловяннинский район" на 2017-2021г".</t>
  </si>
  <si>
    <t>7.  МП "«Устойчивое развитие сельских территорий муниципального района «Оловяннинский район» 2018-2020годы».</t>
  </si>
  <si>
    <t>8. "Доступная среда"</t>
  </si>
  <si>
    <t>9. "Развитие физической культуры, спорта и здорового образа жизни на территории муниципального района"Оловянниский район"</t>
  </si>
  <si>
    <t xml:space="preserve">10.МП  «Формирование законопослушного поведения участников дорожного движения муниципального района «Оловяннинский район»»
на 2020-2022 годы
</t>
  </si>
  <si>
    <t>11.МП « Создание благоприятных условий для развития малого и среднего предпринимательства на территории муниципального района  Оловяннинский район» на 2020-2024 годы.</t>
  </si>
  <si>
    <t xml:space="preserve">12.МП «Улучшение условий   и   охраны труда в муниципальном районе «Оловяннинский район» на 2020-2024 годы». </t>
  </si>
  <si>
    <t>Прочие расходы, в том числе оплата труда</t>
  </si>
  <si>
    <t>культура</t>
  </si>
  <si>
    <t>мку рко и дм</t>
  </si>
  <si>
    <t>4. Программа "Управление муниципальными финансами и муниципальным долгом муниципального района" Оловяннинский район" на 2017-2022 г</t>
  </si>
  <si>
    <t>6.  МП "«Устойчивое развитие сельских территорий муниципального района «Оловяннинский район» 2018-2020годы».</t>
  </si>
  <si>
    <t xml:space="preserve">9.МП  «Формирование законопослушного поведения участников дорожного движения муниципального района «Оловяннинский район»»
на 2020-2022 годы
</t>
  </si>
  <si>
    <t>10.МП « Создание благоприятных условий для развития малого и среднего предпринимательства на территории муниципального района  Оловяннинский район» на 2020-2024 годы.</t>
  </si>
  <si>
    <t xml:space="preserve">11.МП «Улучшение условий   и   охраны труда в муниципальном районе «Оловяннинский район» на 2020-2024 годы». </t>
  </si>
  <si>
    <t xml:space="preserve">12.МП «Профилактика терроризма и противодействие экстремизму на территории муниципального района «Оловяннинский район»Забайкальского края на 2017-2022 годы». </t>
  </si>
  <si>
    <t xml:space="preserve">13.МП «Энергосбережение и повышение энергетической эффективности бюджетной сферы муниципального района «Оловяннинский район» на 2018-2020 годы». </t>
  </si>
  <si>
    <t>Районные программы на  2020 год.</t>
  </si>
  <si>
    <t>исполнитель</t>
  </si>
  <si>
    <t>куми</t>
  </si>
  <si>
    <t xml:space="preserve">14.МП «Комплексное развитие сельских территорий муниципального района «Оловяннинский район» . </t>
  </si>
  <si>
    <t>План по программе на 2020</t>
  </si>
  <si>
    <t>Утверждено в бюджете на 2020</t>
  </si>
  <si>
    <t>1 Подпрограмма 1 «Создание условий для эффективного управления  муниципальными финансами, повышение устойчивости бюджета муниципального  район «Оловяннинский район»</t>
  </si>
  <si>
    <t>2. Подпрограмма 2 «Повышение финансовой устойчивости  бюджетов поселений, входящих в состав муниципального района «Оловяннинский район»</t>
  </si>
  <si>
    <t>4 Подпрограмма 4 «Обеспечение реализации муниципальной программы" (обеспечивающая подпрограмма)</t>
  </si>
  <si>
    <t>5.Программа  "Развитие муниципального управление  и обеспечение деятельности администрации муниципального района   "Оловяннинский район" на 2017-2022г".</t>
  </si>
  <si>
    <t>1. Всего по программе  "Управление и распоряжение  муниципальной собственностью муниципального района   "Оловяннинский район" на период 2017-2022г"</t>
  </si>
  <si>
    <t xml:space="preserve">3"Развитие образования в муниципальном районе "Оловяннинский район" на 2017-2022 годы" </t>
  </si>
  <si>
    <t>3.1.Подпрограмма «Развитие дошкольного образования в муниципальном районе «Оловяннинский район» 2017-2022 годы"</t>
  </si>
  <si>
    <t>3.2.Подпрограмма «Развитие общего образования в муниципальном районе «Оловяннинский район» 2017-2022 годы"</t>
  </si>
  <si>
    <t>3.3.Подпрограмма «Развитие дополнительного образования, воспитания детей и молодежи в муниципальном районе «Оловяннинский район» 2017-2022 годы"</t>
  </si>
  <si>
    <t>3.4.Подпрограмма «Исполнение государственных полномочий по опеке и попечительству и социальной поддержке детей находящихся в трудной жизненной ситуации» 2017-2022 годы"</t>
  </si>
  <si>
    <t>3.5.Подпрограмма «Развитие системы оздоровления, отдыха и занятости детей в каникулярное время в муниципальном районе «Оловяннинский район» 2017-2022 годы"</t>
  </si>
  <si>
    <t>3.6.Подпрограмма «Развитие комплексной безопасности образовательных учреждений  в  муниципальном районе «Оловяннинский район» 2017-2022 годы"</t>
  </si>
  <si>
    <t>3.7.Подпрограмма «Профилактика правонарушений, противодействия незаконному потреблению наркотических средств, психотропных веществ и их незаконному обороту на территории муниципального района «Оловяннинский район» 2017-2022 годы"</t>
  </si>
  <si>
    <t>3.8.Подпрограмма «Обеспечение деятельности учреждений подведомственных Комитету образования в муниципальном районе «Оловяннинский район» 2017-2022 годы"</t>
  </si>
  <si>
    <t>2. "Развитие культуры, в муниципальном районе "Оловяннинский район" (2020-2024гг.)"</t>
  </si>
  <si>
    <t>9.1.1. Реализация подпрограммы «Сохранение, поддержка и развитие сферы культуры в Оловяннинском районе на 2020-2024 г.г.».</t>
  </si>
  <si>
    <t>9.1.2. Реализация подпрограммы «Развитие физической культуры и спорта в муниципальном районе "Оловяннинский район"  на 2020-2024 г.г.»</t>
  </si>
  <si>
    <t>9.1.3. Реализация подпрограммы "Обеспечение деятельности учреждений культуры,дополнительного образованияв сфере культуры и развитие физической культуры и спорта муниципального района "Оловяннинский район" на 2017 год и плановый период (2018-2022 гг.)"</t>
  </si>
  <si>
    <t>7. "Доступная среда на 2018-2022 гг." в Оловяннинском районе</t>
  </si>
  <si>
    <t>8. "Развитие физической культуры, спорта и здорового образа жизни на территории муниципального района"Оловянниский район" на 2020-2022 гг.</t>
  </si>
  <si>
    <t xml:space="preserve">Подпрограмма 2. Повышение эффективности использования земель, государственная собственность  на которые не разграничена, на территории муниципального района «Оловяннинский район» </t>
  </si>
  <si>
    <t>3.Подпрограмма "Содержание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«Оловяннинский район»</t>
  </si>
  <si>
    <t>4.Подпрограмма "Территориальное планирование и обеспечение градостроительной деятельности муниципального района «Оловяннинский район»</t>
  </si>
  <si>
    <t>5. Подпрограмма "Обеспечение деятельности Комитета по управлению муниципальным имуществом администрации муниципального района «Оловяннинский  район».</t>
  </si>
  <si>
    <t>4. Программа "Управление муниципальными финансами и муниципальным долгом муниципального района" Оловяннинский район" на 2017-2021 г</t>
  </si>
  <si>
    <t>Факт 2019</t>
  </si>
  <si>
    <t>1. Всего по программе  "Управление и распоряжение  муниципальной собственностью муниципального района   "Оловяннинский район" на период 2017-2021г"</t>
  </si>
  <si>
    <t xml:space="preserve">1 Подпрограмма "Владение, пользование и распоряжение имуществом, находящимся в муниципальной собственности муниципального района «Оловяннинский район» на период 2017-2019 годы»  </t>
  </si>
  <si>
    <t>3."Развитие образования в муниципальном районе "Оловяннинский район" на 2017-2021 годы"</t>
  </si>
  <si>
    <t>3.1.Подпрограмма «Развитие дошкольного образования в муниципальном районе «Оловяннинский район» 2017-2021 годы"</t>
  </si>
  <si>
    <t>3.2.Подпрограмма «Развитие общего образования в муниципальном районе «Оловяннинский район» 2017-2021 годы"</t>
  </si>
  <si>
    <t>3.3.Подпрограмма «Развитие дополнительного образования, воспитания детей и молодежи в муниципальном районе «Оловяннинский район» 2017-2021 годы"</t>
  </si>
  <si>
    <t>3.4.Подпрограмма «Исполнение государственных полномочий по опеке и попечительству и социальной поддержке детей находящихся в трудной жизненной ситуации» 2017-2021 годы"</t>
  </si>
  <si>
    <t>3.5.Подпрограмма «Развитие системы оздоровления, отдыха и занятости детей в каникулярное время в муниципальном районе «Оловяннинский район» 2017-2021 годы"</t>
  </si>
  <si>
    <t>3.6.Подпрограмма «Развитие комплексной безопасности образовательных учреждений  в  муниципальном районе «Оловяннинский район» 2017-2021 годы</t>
  </si>
  <si>
    <t>3.7.Подпрограмма «Профилактика правонарушений, противодействия незаконному потреблению наркотических средств, психотропных веществ и их незаконному обороту на территории муниципального района «Оловяннинский район» 2017-2021 годы"</t>
  </si>
  <si>
    <t>3.8.Подпрограмма «Обеспечение деятельности учреждений подведомственных Комитету образования в муниципальном районе «Оловяннинский район» 2017-2021 годы"</t>
  </si>
  <si>
    <t>2."Развитие культуры, физической культуры и спорта в муниципальном районе "Оловяннинский район" (2017-2021гг.)"</t>
  </si>
  <si>
    <t>9.1.1. Реализация подпрограммы «Сохранение, поддержка и развитие сферы культуры в Оловяннинском районе на2017-2021 г.г.».</t>
  </si>
  <si>
    <t>9.1.2. Реализация подпрограммы «Развитие физической культуры и спорта в муниципального района "Оловяннинский район" на  2017-2021 г.г.»</t>
  </si>
  <si>
    <t>9.1.3. Реализация подпрограммы "Обеспечение деятельности учреждений культуры,дополнительного образования в сфере культуры и развитие физической культуры и спорта муниципального района "Оловяннинский район" на 2017 год и плановый период (2018-2020 гг.)"</t>
  </si>
  <si>
    <t>7. "Доступная среда на 2018-2021 гг." в Оловяннинском районе</t>
  </si>
  <si>
    <t xml:space="preserve">8.МП «Профилактика терроризма и противодействие экстремизму на территории муниципального района «Оловяннинский район»Забайкальского края на 2017-2019 гг.». </t>
  </si>
  <si>
    <t xml:space="preserve">9.МП «Энергосбережение и повышение энергетической эффективности бюджетной сферы муниципального района «Оловяннинский район» на 2018-2020 годы». </t>
  </si>
  <si>
    <t xml:space="preserve">Районные программы на  2019 год.          Приложение  №2 </t>
  </si>
  <si>
    <t>Факт 2020</t>
  </si>
  <si>
    <t>тыс. руб</t>
  </si>
  <si>
    <t>р-н</t>
  </si>
  <si>
    <t>федеральный бюджет</t>
  </si>
  <si>
    <t>9.1.3. Реализация подпрограммы "Обеспечение деятельности учреждений культуры,дополнительного образования в сфере культуры муниципального района "Оловяннинский район" на 2017 год и плановый период (2018-2020 гг.)"</t>
  </si>
  <si>
    <t>9.1.2. Реализация подпрограммы «Обеспечение реализации муниципальной программы(обеспечивающая)"</t>
  </si>
  <si>
    <t>"Обеспечение деятельности деятельности администрации муниципального района "Оловяннинский район"</t>
  </si>
  <si>
    <t>10.МП "Комплексное развитие сельских территорий муниципального района "Оловяннинский район" на 2020-2025г"</t>
  </si>
  <si>
    <t>11.МП "Развитие ффизической культуры, спорта и здорового образа жизни в муниципальном районе"оловяннинский район" на 2020-2024 г"</t>
  </si>
  <si>
    <t>Федеральный</t>
  </si>
  <si>
    <t>2."Развитие культуры в муниципальном районе "Оловяннинский район" (2020-2024гг.)"</t>
  </si>
  <si>
    <t>5.Программа  "Развитие муниципального управление  и обеспечение деятельности администрации муниципального района   "Оловяннинский район" на 2017-2022г" до 2023г.</t>
  </si>
  <si>
    <t>3."Развитие образования в муниципальном районе "Оловяннинский район" до 2023"</t>
  </si>
  <si>
    <t>1. Всего по программе  "Управление и распоряжение  муниципальной собственностью муниципального района   "Оловяннинский район" на период 2017-2020г"</t>
  </si>
  <si>
    <t>6. "Доступная среда на 2018-2022 гг." в Оловяннинском районе</t>
  </si>
  <si>
    <t xml:space="preserve">7.МП «Профилактика терроризма и противодействие экстремизму на территории муниципального района «Оловяннинский район»Забайкальского края на 2017-2022 гг.». </t>
  </si>
  <si>
    <t xml:space="preserve">8.МП «Энергосбережение и повышение энергетической эффективности бюджетной сферы муниципального района «Оловяннинский район» на 2018-2020 годы». </t>
  </si>
  <si>
    <t>9.МП "Комплексное развитие сельских территорий муниципального района "Оловяннинский район" на 2020-2025г"</t>
  </si>
  <si>
    <t>10.МП "Развитие ффизической культуры, спорта и здорового образа жизни в муниципальном районе"оловяннинский район" на 2020-2024 г"</t>
  </si>
  <si>
    <t>11. МП "Реализация мероприятий по ликвидации мест несанкционированного размещения отходов на территории муниципального района "оловяннинский район" Забайкальского края на 2020-2021 годы"</t>
  </si>
  <si>
    <t>12. МП "Формирование заонопослушного поведения участников дорожного движения муниципального района "Оловяннинский район" на 2020-2022г"</t>
  </si>
  <si>
    <t>13. МП "Укрепление единства российской нации и этнокультурное развитие народов, проживающих на территории муниципального района "Оловяннинский район" Забайкальского края на 2021-2023г"</t>
  </si>
  <si>
    <t>Факт 2021</t>
  </si>
  <si>
    <t>Районные программы на  2021 год.</t>
  </si>
  <si>
    <t>4. Программа "Управление муниципальными финансами и муниципальным долгом муниципального района" Оловяннинский район" на 2017-2023 г</t>
  </si>
  <si>
    <t>1. Всего по программе  "Управление и распоряжение  муниципальной собственностью муниципального района   "Оловяннинский район" на период 2017-2023г"</t>
  </si>
  <si>
    <t>9.1.3. Реализация подпрограммы "Обеспечение деятельности учреждений культуры,дополнительного образования в сфере культуры муниципального района "Оловяннинский район" на 2020 год и плановый период (2021-2024 гг.)"</t>
  </si>
  <si>
    <t>11.МП "Развитие физической культуры, спорта и здорового образа жизни в муниципальном районе"оловяннинский район" на 2020-2024 г"</t>
  </si>
  <si>
    <t>15. МП "Создание бдагоприятных условий для развития малого и среднего предпринимательства на территории муниципального района "Оловяннинский район" на 2020-2024 годы"</t>
  </si>
  <si>
    <t>14. МП "Формирование законопослушного поведения участников дородное движение муниципального района "Оловяннинский роайон" на 2020-2022г.</t>
  </si>
  <si>
    <t>3."Развитие образования в муниципальном районе "Оловяннинский район" до 2023г."</t>
  </si>
  <si>
    <t>13. МП "Развитие физической культуры, спорта и здорового образа жизни на территории муниципального района "Оловяннинский район" на 2020-2024г</t>
  </si>
  <si>
    <t>16. МП "Улучшение условий и охрана труда в муниципальном районе "Оловяннинский район" на 2020-2024г"</t>
  </si>
  <si>
    <t>17. МП "Профилактика правонарушений в муниципальном районе "Оловяннинский район" на 2021-2025 г</t>
  </si>
  <si>
    <t>Уточн. 2021</t>
  </si>
  <si>
    <t>7.МП "Укрепление единства российской нации и этнокультурное развитие народов, проживающих на территории муниципального района "Оловяннинский район" Забайкальского края на 2021-2023 годы"</t>
  </si>
  <si>
    <t>6.  МП "« Комплексное  развитие сельских территорий муниципального района «Оловяннинский район» 2018-2024годы». (  Благоустройство j)</t>
  </si>
  <si>
    <t>5. Подпрограмма "Обеспечение деятельности Комитета по управлению муниципальным имуществом администрации муниц района «Оловяннинский  район».</t>
  </si>
  <si>
    <t>3.5.Подпрограмма «Развитие системы оздоровления, отдыха и занятости детей в каникулярное время в муниц районе «Оловяннинский район» 2017-2021 годы"</t>
  </si>
  <si>
    <t>5.Программа  "Развитие муниципального управление  и обеспечение деятельности администрации муниц района   "Оловяннинский район" на 2017-2023г".</t>
  </si>
  <si>
    <t xml:space="preserve">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ежегодному отчету о ходе реализации Плана мероприятий по реализации в 2021 году стратегии социально-экономического развития                                                                                                                   муниципального района «Оловяннинский район» на период до 2030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</si>
</sst>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39B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8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wrapText="1"/>
    </xf>
    <xf numFmtId="0" fontId="0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1" xfId="0" applyFont="1" applyFill="1" applyBorder="1" applyAlignment="1">
      <alignment horizontal="left" wrapText="1"/>
    </xf>
    <xf numFmtId="16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0" xfId="0" applyFill="1"/>
    <xf numFmtId="16" fontId="8" fillId="2" borderId="1" xfId="0" applyNumberFormat="1" applyFont="1" applyFill="1" applyBorder="1" applyAlignment="1">
      <alignment wrapText="1"/>
    </xf>
    <xf numFmtId="0" fontId="11" fillId="2" borderId="1" xfId="0" applyFont="1" applyFill="1" applyBorder="1"/>
    <xf numFmtId="0" fontId="7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6" fillId="0" borderId="0" xfId="0" applyFont="1"/>
    <xf numFmtId="0" fontId="6" fillId="4" borderId="0" xfId="0" applyFont="1" applyFill="1"/>
    <xf numFmtId="0" fontId="1" fillId="3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 inden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wrapText="1"/>
    </xf>
    <xf numFmtId="2" fontId="0" fillId="0" borderId="0" xfId="0" applyNumberFormat="1"/>
    <xf numFmtId="0" fontId="1" fillId="6" borderId="0" xfId="0" applyFont="1" applyFill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6" borderId="0" xfId="0" applyFont="1" applyFill="1" applyAlignment="1">
      <alignment horizontal="justify" vertical="center"/>
    </xf>
    <xf numFmtId="2" fontId="1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5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13" fillId="6" borderId="1" xfId="1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>
      <alignment wrapText="1"/>
    </xf>
    <xf numFmtId="2" fontId="6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" fillId="8" borderId="1" xfId="0" applyFont="1" applyFill="1" applyBorder="1"/>
    <xf numFmtId="2" fontId="7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/>
    <xf numFmtId="2" fontId="7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horizontal="center"/>
    </xf>
    <xf numFmtId="0" fontId="4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vertical="center"/>
    </xf>
    <xf numFmtId="0" fontId="11" fillId="8" borderId="1" xfId="0" applyFont="1" applyFill="1" applyBorder="1"/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1" fillId="10" borderId="1" xfId="0" applyFont="1" applyFill="1" applyBorder="1"/>
    <xf numFmtId="2" fontId="7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7" fillId="10" borderId="1" xfId="0" applyFont="1" applyFill="1" applyBorder="1"/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wrapText="1"/>
    </xf>
    <xf numFmtId="0" fontId="11" fillId="10" borderId="1" xfId="0" applyFont="1" applyFill="1" applyBorder="1"/>
    <xf numFmtId="0" fontId="4" fillId="10" borderId="1" xfId="0" applyFont="1" applyFill="1" applyBorder="1"/>
    <xf numFmtId="0" fontId="4" fillId="10" borderId="1" xfId="0" applyFont="1" applyFill="1" applyBorder="1" applyAlignment="1">
      <alignment vertical="center"/>
    </xf>
    <xf numFmtId="2" fontId="1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wrapText="1"/>
    </xf>
    <xf numFmtId="0" fontId="1" fillId="11" borderId="1" xfId="0" applyFont="1" applyFill="1" applyBorder="1"/>
    <xf numFmtId="2" fontId="7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2" fillId="11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 vertical="center"/>
    </xf>
    <xf numFmtId="2" fontId="1" fillId="10" borderId="0" xfId="0" applyNumberFormat="1" applyFont="1" applyFill="1" applyAlignment="1">
      <alignment horizont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7" fillId="12" borderId="1" xfId="0" applyFont="1" applyFill="1" applyBorder="1" applyAlignment="1">
      <alignment wrapText="1"/>
    </xf>
    <xf numFmtId="2" fontId="1" fillId="12" borderId="1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/>
    </xf>
    <xf numFmtId="0" fontId="7" fillId="12" borderId="1" xfId="0" applyFont="1" applyFill="1" applyBorder="1"/>
    <xf numFmtId="2" fontId="7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8" fillId="4" borderId="0" xfId="0" applyFont="1" applyFill="1"/>
    <xf numFmtId="0" fontId="14" fillId="4" borderId="0" xfId="0" applyFont="1" applyFill="1" applyBorder="1" applyAlignment="1">
      <alignment horizontal="center" vertical="center"/>
    </xf>
    <xf numFmtId="2" fontId="18" fillId="0" borderId="0" xfId="0" applyNumberFormat="1" applyFont="1"/>
    <xf numFmtId="2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14" fillId="6" borderId="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9" fillId="4" borderId="0" xfId="0" applyFont="1" applyFill="1"/>
    <xf numFmtId="2" fontId="19" fillId="0" borderId="0" xfId="0" applyNumberFormat="1" applyFont="1"/>
    <xf numFmtId="0" fontId="19" fillId="0" borderId="0" xfId="0" applyFont="1"/>
    <xf numFmtId="0" fontId="15" fillId="4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5" fillId="4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2" fontId="14" fillId="5" borderId="0" xfId="0" applyNumberFormat="1" applyFont="1" applyFill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2" fontId="20" fillId="10" borderId="1" xfId="0" applyNumberFormat="1" applyFont="1" applyFill="1" applyBorder="1" applyAlignment="1">
      <alignment horizontal="center" vertical="center"/>
    </xf>
    <xf numFmtId="2" fontId="20" fillId="11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0" borderId="0" xfId="0" applyFont="1"/>
    <xf numFmtId="0" fontId="20" fillId="10" borderId="1" xfId="0" applyFont="1" applyFill="1" applyBorder="1"/>
    <xf numFmtId="0" fontId="20" fillId="1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12" borderId="1" xfId="0" applyFont="1" applyFill="1" applyBorder="1" applyAlignment="1">
      <alignment vertical="top" wrapText="1"/>
    </xf>
    <xf numFmtId="0" fontId="22" fillId="0" borderId="2" xfId="0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10" borderId="1" xfId="0" applyFont="1" applyFill="1" applyBorder="1" applyAlignment="1">
      <alignment wrapText="1"/>
    </xf>
    <xf numFmtId="0" fontId="20" fillId="6" borderId="0" xfId="0" applyFont="1" applyFill="1" applyAlignment="1">
      <alignment horizontal="justify" vertical="center"/>
    </xf>
    <xf numFmtId="0" fontId="11" fillId="10" borderId="1" xfId="0" applyFont="1" applyFill="1" applyBorder="1" applyAlignment="1">
      <alignment vertical="center"/>
    </xf>
    <xf numFmtId="0" fontId="11" fillId="11" borderId="1" xfId="0" applyFont="1" applyFill="1" applyBorder="1"/>
    <xf numFmtId="0" fontId="11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left" vertical="center" wrapText="1"/>
    </xf>
    <xf numFmtId="0" fontId="20" fillId="9" borderId="1" xfId="0" applyFont="1" applyFill="1" applyBorder="1"/>
    <xf numFmtId="0" fontId="20" fillId="8" borderId="1" xfId="0" applyFont="1" applyFill="1" applyBorder="1"/>
    <xf numFmtId="0" fontId="20" fillId="2" borderId="1" xfId="0" applyFont="1" applyFill="1" applyBorder="1" applyAlignment="1"/>
    <xf numFmtId="0" fontId="20" fillId="13" borderId="1" xfId="0" applyFont="1" applyFill="1" applyBorder="1"/>
    <xf numFmtId="0" fontId="15" fillId="0" borderId="0" xfId="0" applyFont="1"/>
    <xf numFmtId="0" fontId="20" fillId="8" borderId="1" xfId="0" applyFont="1" applyFill="1" applyBorder="1" applyAlignment="1">
      <alignment horizontal="center"/>
    </xf>
    <xf numFmtId="0" fontId="23" fillId="4" borderId="0" xfId="0" applyFont="1" applyFill="1"/>
    <xf numFmtId="0" fontId="7" fillId="6" borderId="0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/>
    </xf>
    <xf numFmtId="164" fontId="20" fillId="9" borderId="1" xfId="0" applyNumberFormat="1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wrapText="1"/>
    </xf>
    <xf numFmtId="2" fontId="20" fillId="12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wrapText="1"/>
    </xf>
    <xf numFmtId="2" fontId="20" fillId="4" borderId="1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2" fontId="20" fillId="10" borderId="0" xfId="0" applyNumberFormat="1" applyFont="1" applyFill="1" applyAlignment="1">
      <alignment horizontal="center"/>
    </xf>
    <xf numFmtId="0" fontId="20" fillId="4" borderId="1" xfId="0" applyFont="1" applyFill="1" applyBorder="1"/>
    <xf numFmtId="2" fontId="20" fillId="5" borderId="1" xfId="0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 applyProtection="1">
      <alignment vertical="center" wrapText="1"/>
      <protection locked="0"/>
    </xf>
    <xf numFmtId="0" fontId="20" fillId="12" borderId="1" xfId="0" applyFont="1" applyFill="1" applyBorder="1"/>
    <xf numFmtId="0" fontId="11" fillId="9" borderId="1" xfId="0" applyFont="1" applyFill="1" applyBorder="1" applyAlignment="1">
      <alignment wrapText="1"/>
    </xf>
    <xf numFmtId="2" fontId="20" fillId="6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 wrapText="1" indent="1"/>
    </xf>
    <xf numFmtId="0" fontId="11" fillId="6" borderId="1" xfId="0" applyFont="1" applyFill="1" applyBorder="1" applyAlignment="1">
      <alignment horizontal="left" wrapText="1"/>
    </xf>
    <xf numFmtId="2" fontId="15" fillId="4" borderId="1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wrapText="1"/>
    </xf>
    <xf numFmtId="0" fontId="20" fillId="6" borderId="0" xfId="0" applyFont="1" applyFill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10" borderId="1" xfId="0" applyFont="1" applyFill="1" applyBorder="1" applyAlignment="1">
      <alignment wrapText="1"/>
    </xf>
    <xf numFmtId="0" fontId="20" fillId="12" borderId="1" xfId="0" applyFont="1" applyFill="1" applyBorder="1" applyAlignment="1">
      <alignment horizontal="left" wrapText="1"/>
    </xf>
    <xf numFmtId="2" fontId="20" fillId="9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20" fillId="1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wrapText="1"/>
    </xf>
    <xf numFmtId="0" fontId="20" fillId="11" borderId="1" xfId="0" applyFont="1" applyFill="1" applyBorder="1"/>
    <xf numFmtId="0" fontId="20" fillId="3" borderId="1" xfId="0" applyFont="1" applyFill="1" applyBorder="1"/>
    <xf numFmtId="2" fontId="20" fillId="5" borderId="0" xfId="0" applyNumberFormat="1" applyFont="1" applyFill="1" applyBorder="1" applyAlignment="1">
      <alignment horizontal="center" vertical="center"/>
    </xf>
    <xf numFmtId="2" fontId="20" fillId="5" borderId="0" xfId="0" applyNumberFormat="1" applyFont="1" applyFill="1" applyAlignment="1">
      <alignment horizontal="center" vertical="center"/>
    </xf>
    <xf numFmtId="0" fontId="22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20" fillId="2" borderId="0" xfId="0" applyNumberFormat="1" applyFont="1" applyFill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justify" vertical="center"/>
    </xf>
    <xf numFmtId="0" fontId="11" fillId="2" borderId="1" xfId="0" applyFont="1" applyFill="1" applyBorder="1" applyAlignment="1">
      <alignment vertical="center"/>
    </xf>
    <xf numFmtId="0" fontId="20" fillId="2" borderId="1" xfId="0" applyFont="1" applyFill="1" applyBorder="1"/>
    <xf numFmtId="0" fontId="11" fillId="2" borderId="1" xfId="1" applyFont="1" applyFill="1" applyBorder="1" applyAlignment="1" applyProtection="1">
      <alignment vertical="center" wrapText="1"/>
      <protection locked="0"/>
    </xf>
    <xf numFmtId="164" fontId="20" fillId="2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 indent="1"/>
    </xf>
    <xf numFmtId="0" fontId="11" fillId="2" borderId="1" xfId="0" applyFont="1" applyFill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wrapText="1"/>
    </xf>
    <xf numFmtId="0" fontId="15" fillId="2" borderId="0" xfId="0" applyFont="1" applyFill="1"/>
    <xf numFmtId="2" fontId="20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2" fontId="20" fillId="10" borderId="1" xfId="0" applyNumberFormat="1" applyFont="1" applyFill="1" applyBorder="1" applyAlignment="1">
      <alignment horizontal="center"/>
    </xf>
    <xf numFmtId="0" fontId="18" fillId="2" borderId="0" xfId="0" applyFont="1" applyFill="1"/>
    <xf numFmtId="0" fontId="20" fillId="8" borderId="1" xfId="0" applyFont="1" applyFill="1" applyBorder="1" applyAlignment="1">
      <alignment wrapText="1"/>
    </xf>
    <xf numFmtId="0" fontId="25" fillId="0" borderId="0" xfId="0" applyFont="1"/>
    <xf numFmtId="0" fontId="26" fillId="0" borderId="0" xfId="0" applyFont="1"/>
    <xf numFmtId="0" fontId="20" fillId="6" borderId="1" xfId="0" applyFont="1" applyFill="1" applyBorder="1" applyAlignment="1">
      <alignment horizontal="left" vertical="center" wrapText="1" indent="1"/>
    </xf>
    <xf numFmtId="0" fontId="20" fillId="14" borderId="1" xfId="0" applyFont="1" applyFill="1" applyBorder="1"/>
    <xf numFmtId="2" fontId="20" fillId="14" borderId="1" xfId="0" applyNumberFormat="1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/>
    </xf>
    <xf numFmtId="0" fontId="27" fillId="4" borderId="0" xfId="0" applyFont="1" applyFill="1"/>
    <xf numFmtId="0" fontId="27" fillId="0" borderId="0" xfId="0" applyFont="1"/>
    <xf numFmtId="0" fontId="24" fillId="0" borderId="0" xfId="0" applyFont="1"/>
    <xf numFmtId="2" fontId="27" fillId="0" borderId="0" xfId="0" applyNumberFormat="1" applyFont="1"/>
    <xf numFmtId="0" fontId="28" fillId="4" borderId="0" xfId="0" applyFont="1" applyFill="1"/>
    <xf numFmtId="2" fontId="25" fillId="0" borderId="0" xfId="0" applyNumberFormat="1" applyFont="1"/>
    <xf numFmtId="0" fontId="25" fillId="4" borderId="0" xfId="0" applyFont="1" applyFill="1"/>
    <xf numFmtId="0" fontId="14" fillId="0" borderId="0" xfId="0" applyFont="1" applyBorder="1" applyAlignment="1">
      <alignment horizontal="center"/>
    </xf>
    <xf numFmtId="0" fontId="7" fillId="9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20" fillId="2" borderId="1" xfId="0" applyFont="1" applyFill="1" applyBorder="1" applyAlignment="1">
      <alignment horizontal="left" vertical="center" wrapText="1" indent="1"/>
    </xf>
    <xf numFmtId="2" fontId="2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20" fillId="2" borderId="0" xfId="0" applyFont="1" applyFill="1" applyAlignment="1">
      <alignment horizontal="center"/>
    </xf>
    <xf numFmtId="0" fontId="7" fillId="3" borderId="1" xfId="0" applyFont="1" applyFill="1" applyBorder="1" applyAlignment="1">
      <alignment wrapText="1"/>
    </xf>
    <xf numFmtId="2" fontId="24" fillId="0" borderId="0" xfId="0" applyNumberFormat="1" applyFont="1"/>
    <xf numFmtId="164" fontId="0" fillId="0" borderId="0" xfId="0" applyNumberFormat="1"/>
    <xf numFmtId="0" fontId="29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wrapText="1"/>
    </xf>
    <xf numFmtId="2" fontId="31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2" fontId="30" fillId="2" borderId="0" xfId="0" applyNumberFormat="1" applyFont="1" applyFill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justify" vertical="center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/>
    <xf numFmtId="0" fontId="30" fillId="2" borderId="1" xfId="0" applyFont="1" applyFill="1" applyBorder="1"/>
    <xf numFmtId="0" fontId="32" fillId="2" borderId="1" xfId="1" applyFont="1" applyFill="1" applyBorder="1" applyAlignment="1" applyProtection="1">
      <alignment vertical="center" wrapText="1"/>
      <protection locked="0"/>
    </xf>
    <xf numFmtId="0" fontId="31" fillId="2" borderId="1" xfId="0" applyFont="1" applyFill="1" applyBorder="1"/>
    <xf numFmtId="164" fontId="30" fillId="2" borderId="1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 indent="1"/>
    </xf>
    <xf numFmtId="0" fontId="32" fillId="2" borderId="1" xfId="0" applyFont="1" applyFill="1" applyBorder="1" applyAlignment="1">
      <alignment horizontal="left" wrapText="1"/>
    </xf>
    <xf numFmtId="2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vertical="center" wrapText="1"/>
    </xf>
    <xf numFmtId="2" fontId="30" fillId="2" borderId="1" xfId="0" applyNumberFormat="1" applyFont="1" applyFill="1" applyBorder="1" applyAlignment="1">
      <alignment horizontal="center"/>
    </xf>
    <xf numFmtId="0" fontId="30" fillId="2" borderId="0" xfId="0" applyFont="1" applyFill="1" applyAlignment="1">
      <alignment wrapText="1"/>
    </xf>
    <xf numFmtId="0" fontId="31" fillId="2" borderId="1" xfId="0" applyFont="1" applyFill="1" applyBorder="1" applyAlignment="1">
      <alignment horizontal="left" wrapText="1"/>
    </xf>
    <xf numFmtId="0" fontId="30" fillId="2" borderId="1" xfId="0" applyFont="1" applyFill="1" applyBorder="1" applyAlignment="1"/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wrapText="1"/>
    </xf>
    <xf numFmtId="0" fontId="33" fillId="2" borderId="0" xfId="0" applyFont="1" applyFill="1"/>
    <xf numFmtId="2" fontId="30" fillId="2" borderId="0" xfId="0" applyNumberFormat="1" applyFont="1" applyFill="1" applyAlignment="1">
      <alignment horizontal="center" vertical="center"/>
    </xf>
    <xf numFmtId="2" fontId="31" fillId="2" borderId="0" xfId="0" applyNumberFormat="1" applyFont="1" applyFill="1" applyAlignment="1">
      <alignment horizontal="center" vertical="center"/>
    </xf>
    <xf numFmtId="0" fontId="34" fillId="2" borderId="0" xfId="0" applyFont="1" applyFill="1"/>
    <xf numFmtId="0" fontId="0" fillId="0" borderId="2" xfId="0" applyBorder="1" applyAlignment="1">
      <alignment horizontal="center"/>
    </xf>
    <xf numFmtId="2" fontId="1" fillId="2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2">
    <cellStyle name="Обычный" xfId="0" builtinId="0"/>
    <cellStyle name="Обычный_ИТОГО" xfId="1"/>
  </cellStyles>
  <dxfs count="0"/>
  <tableStyles count="0" defaultTableStyle="TableStyleMedium2" defaultPivotStyle="PivotStyleLight16"/>
  <colors>
    <mruColors>
      <color rgb="FFE739B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92"/>
  <sheetViews>
    <sheetView topLeftCell="A46" workbookViewId="0">
      <selection activeCell="A16" sqref="A16"/>
    </sheetView>
  </sheetViews>
  <sheetFormatPr defaultRowHeight="15" x14ac:dyDescent="0.25"/>
  <cols>
    <col min="1" max="1" width="96.28515625" customWidth="1"/>
    <col min="2" max="2" width="18.140625" hidden="1" customWidth="1"/>
    <col min="3" max="3" width="11.5703125" customWidth="1"/>
    <col min="4" max="4" width="0.140625" style="3" hidden="1" customWidth="1"/>
    <col min="5" max="5" width="0.140625" style="3" customWidth="1"/>
    <col min="6" max="6" width="14.28515625" style="26" customWidth="1"/>
  </cols>
  <sheetData>
    <row r="1" spans="1:6" x14ac:dyDescent="0.25">
      <c r="A1" s="375" t="s">
        <v>32</v>
      </c>
      <c r="B1" s="375"/>
      <c r="C1" s="375"/>
    </row>
    <row r="2" spans="1:6" x14ac:dyDescent="0.25">
      <c r="A2" s="13" t="s">
        <v>3</v>
      </c>
      <c r="B2" s="2" t="s">
        <v>0</v>
      </c>
      <c r="C2" s="2" t="s">
        <v>14</v>
      </c>
      <c r="D2" s="2" t="s">
        <v>33</v>
      </c>
      <c r="E2" s="2" t="s">
        <v>34</v>
      </c>
      <c r="F2" s="2" t="s">
        <v>35</v>
      </c>
    </row>
    <row r="3" spans="1:6" ht="25.5" customHeight="1" x14ac:dyDescent="0.25">
      <c r="A3" s="41" t="s">
        <v>31</v>
      </c>
      <c r="B3" s="45" t="e">
        <f xml:space="preserve"> SUM(B6,B8,B10,B13,#REF!,)</f>
        <v>#REF!</v>
      </c>
      <c r="C3" s="45">
        <f xml:space="preserve"> SUM(C6,C8,C10,C13,)</f>
        <v>12558</v>
      </c>
      <c r="D3" s="45">
        <f t="shared" ref="D3:F3" si="0" xml:space="preserve"> SUM(D6,D8,D10,D13,)</f>
        <v>103</v>
      </c>
      <c r="E3" s="45">
        <f t="shared" si="0"/>
        <v>103</v>
      </c>
      <c r="F3" s="45">
        <f t="shared" si="0"/>
        <v>23792.9</v>
      </c>
    </row>
    <row r="4" spans="1:6" ht="10.5" customHeight="1" x14ac:dyDescent="0.25">
      <c r="A4" s="46" t="s">
        <v>1</v>
      </c>
      <c r="B4" s="45">
        <v>15700</v>
      </c>
      <c r="C4" s="45">
        <f>SUM(C11)</f>
        <v>0</v>
      </c>
      <c r="D4" s="45">
        <f t="shared" ref="D4:F4" si="1">SUM(D11)</f>
        <v>0</v>
      </c>
      <c r="E4" s="45">
        <f t="shared" si="1"/>
        <v>0</v>
      </c>
      <c r="F4" s="45">
        <f t="shared" si="1"/>
        <v>6246.6</v>
      </c>
    </row>
    <row r="5" spans="1:6" ht="11.25" customHeight="1" x14ac:dyDescent="0.25">
      <c r="A5" s="46" t="s">
        <v>2</v>
      </c>
      <c r="B5" s="45" t="e">
        <f xml:space="preserve"> SUM(B7,B9,B14,#REF!)</f>
        <v>#REF!</v>
      </c>
      <c r="C5" s="45">
        <f>SUM(C7,C9,C12,C14,)</f>
        <v>12558</v>
      </c>
      <c r="D5" s="45">
        <f t="shared" ref="D5:E5" si="2">SUM(D7,D9,D12,D14,)</f>
        <v>103</v>
      </c>
      <c r="E5" s="45">
        <f t="shared" si="2"/>
        <v>103</v>
      </c>
      <c r="F5" s="45">
        <f>SUM(F7,F9,F12,F14,)</f>
        <v>17546.3</v>
      </c>
    </row>
    <row r="6" spans="1:6" ht="26.25" customHeight="1" x14ac:dyDescent="0.25">
      <c r="A6" s="27" t="s">
        <v>43</v>
      </c>
      <c r="B6" s="9">
        <v>924</v>
      </c>
      <c r="C6" s="44">
        <f>SUM(C7)</f>
        <v>337</v>
      </c>
      <c r="D6" s="44">
        <f t="shared" ref="D6:F6" si="3">SUM(D7)</f>
        <v>0</v>
      </c>
      <c r="E6" s="44">
        <f t="shared" si="3"/>
        <v>0</v>
      </c>
      <c r="F6" s="44">
        <f t="shared" si="3"/>
        <v>0</v>
      </c>
    </row>
    <row r="7" spans="1:6" ht="12.75" customHeight="1" x14ac:dyDescent="0.25">
      <c r="A7" s="10" t="s">
        <v>4</v>
      </c>
      <c r="B7" s="9">
        <v>924</v>
      </c>
      <c r="C7" s="44">
        <v>337</v>
      </c>
      <c r="D7" s="30"/>
      <c r="E7" s="30"/>
      <c r="F7" s="4">
        <v>0</v>
      </c>
    </row>
    <row r="8" spans="1:6" ht="27.75" customHeight="1" x14ac:dyDescent="0.25">
      <c r="A8" s="42" t="s">
        <v>5</v>
      </c>
      <c r="B8" s="9">
        <v>430.1</v>
      </c>
      <c r="C8" s="44">
        <f>SUM(C9)</f>
        <v>114</v>
      </c>
      <c r="D8" s="44">
        <f t="shared" ref="D8:F8" si="4">SUM(D9)</f>
        <v>0</v>
      </c>
      <c r="E8" s="44">
        <f t="shared" si="4"/>
        <v>0</v>
      </c>
      <c r="F8" s="44">
        <f t="shared" si="4"/>
        <v>0</v>
      </c>
    </row>
    <row r="9" spans="1:6" ht="12.75" customHeight="1" x14ac:dyDescent="0.25">
      <c r="A9" s="11" t="s">
        <v>7</v>
      </c>
      <c r="B9" s="9">
        <v>430.1</v>
      </c>
      <c r="C9" s="44">
        <v>114</v>
      </c>
      <c r="D9" s="30"/>
      <c r="E9" s="30"/>
      <c r="F9" s="4">
        <v>0</v>
      </c>
    </row>
    <row r="10" spans="1:6" ht="27" customHeight="1" x14ac:dyDescent="0.25">
      <c r="A10" s="43" t="s">
        <v>41</v>
      </c>
      <c r="B10" s="9">
        <v>15700</v>
      </c>
      <c r="C10" s="44">
        <f>SUM(C11,C12)</f>
        <v>12004</v>
      </c>
      <c r="D10" s="44">
        <f t="shared" ref="D10:F10" si="5">SUM(D11,D12)</f>
        <v>0</v>
      </c>
      <c r="E10" s="44">
        <f t="shared" si="5"/>
        <v>0</v>
      </c>
      <c r="F10" s="44">
        <f t="shared" si="5"/>
        <v>23792.9</v>
      </c>
    </row>
    <row r="11" spans="1:6" ht="10.5" customHeight="1" x14ac:dyDescent="0.25">
      <c r="A11" s="12" t="s">
        <v>6</v>
      </c>
      <c r="B11" s="9">
        <v>15700</v>
      </c>
      <c r="C11" s="44"/>
      <c r="D11" s="30"/>
      <c r="E11" s="30"/>
      <c r="F11" s="4">
        <v>6246.6</v>
      </c>
    </row>
    <row r="12" spans="1:6" ht="11.25" customHeight="1" x14ac:dyDescent="0.25">
      <c r="A12" s="11" t="s">
        <v>7</v>
      </c>
      <c r="B12" s="9"/>
      <c r="C12" s="44">
        <v>12004</v>
      </c>
      <c r="D12" s="30"/>
      <c r="E12" s="30"/>
      <c r="F12" s="4">
        <v>17546.3</v>
      </c>
    </row>
    <row r="13" spans="1:6" ht="25.5" customHeight="1" x14ac:dyDescent="0.25">
      <c r="A13" s="43" t="s">
        <v>42</v>
      </c>
      <c r="B13" s="9">
        <v>411</v>
      </c>
      <c r="C13" s="44">
        <f>SUM(C14)</f>
        <v>103</v>
      </c>
      <c r="D13" s="44">
        <f t="shared" ref="D13:F13" si="6">SUM(D14)</f>
        <v>103</v>
      </c>
      <c r="E13" s="44">
        <f t="shared" si="6"/>
        <v>103</v>
      </c>
      <c r="F13" s="44">
        <f t="shared" si="6"/>
        <v>0</v>
      </c>
    </row>
    <row r="14" spans="1:6" ht="13.5" customHeight="1" x14ac:dyDescent="0.25">
      <c r="A14" s="11" t="s">
        <v>7</v>
      </c>
      <c r="B14" s="9">
        <v>411</v>
      </c>
      <c r="C14" s="44">
        <v>103</v>
      </c>
      <c r="D14" s="44">
        <v>103</v>
      </c>
      <c r="E14" s="44">
        <v>103</v>
      </c>
      <c r="F14" s="44">
        <v>0</v>
      </c>
    </row>
    <row r="15" spans="1:6" ht="13.5" customHeight="1" x14ac:dyDescent="0.25">
      <c r="A15" s="34" t="s">
        <v>21</v>
      </c>
      <c r="B15" s="33" t="e">
        <f xml:space="preserve"> SUM(B16:B18:B19)</f>
        <v>#REF!</v>
      </c>
      <c r="C15" s="33">
        <f xml:space="preserve"> SUM(C16:C18:C19)</f>
        <v>25</v>
      </c>
      <c r="D15" s="33">
        <f xml:space="preserve"> SUM(D16:D18:D19)</f>
        <v>0</v>
      </c>
      <c r="E15" s="33">
        <f xml:space="preserve"> SUM(E16:E18:E19)</f>
        <v>0</v>
      </c>
      <c r="F15" s="33">
        <f xml:space="preserve"> SUM(F16:F18:F19)</f>
        <v>91.600000000000009</v>
      </c>
    </row>
    <row r="16" spans="1:6" ht="9.75" customHeight="1" x14ac:dyDescent="0.25">
      <c r="A16" s="34" t="s">
        <v>8</v>
      </c>
      <c r="B16" s="33" t="e">
        <f>SUM(B21,B26,B30,#REF!)</f>
        <v>#REF!</v>
      </c>
      <c r="C16" s="33">
        <f>SUM(C21,C26,C30,)</f>
        <v>0</v>
      </c>
      <c r="D16" s="38"/>
      <c r="E16" s="38"/>
      <c r="F16" s="36">
        <f>SUM(F21,F26,F30)</f>
        <v>0</v>
      </c>
    </row>
    <row r="17" spans="1:6" ht="11.25" customHeight="1" x14ac:dyDescent="0.25">
      <c r="A17" s="34" t="s">
        <v>10</v>
      </c>
      <c r="B17" s="33" t="e">
        <f>SUM(B22,B27,#REF!)</f>
        <v>#REF!</v>
      </c>
      <c r="C17" s="33">
        <f>SUM(C22,C27,)</f>
        <v>25</v>
      </c>
      <c r="D17" s="38"/>
      <c r="E17" s="38"/>
      <c r="F17" s="36">
        <f t="shared" ref="F17:F18" si="7">SUM(F22,F27,F31)</f>
        <v>91.600000000000009</v>
      </c>
    </row>
    <row r="18" spans="1:6" ht="12" customHeight="1" x14ac:dyDescent="0.25">
      <c r="A18" s="34" t="s">
        <v>11</v>
      </c>
      <c r="B18" s="33" t="e">
        <f>SUM(B23,B28,#REF!)</f>
        <v>#REF!</v>
      </c>
      <c r="C18" s="33">
        <f>SUM(C23,C28,)</f>
        <v>0</v>
      </c>
      <c r="D18" s="38"/>
      <c r="E18" s="38"/>
      <c r="F18" s="36">
        <f t="shared" si="7"/>
        <v>0</v>
      </c>
    </row>
    <row r="19" spans="1:6" ht="9.75" customHeight="1" x14ac:dyDescent="0.25">
      <c r="A19" s="34" t="s">
        <v>18</v>
      </c>
      <c r="B19" s="33">
        <f>SUM(B24)</f>
        <v>116.1</v>
      </c>
      <c r="C19" s="33">
        <f>SUM(C24)</f>
        <v>0</v>
      </c>
      <c r="D19" s="38"/>
      <c r="E19" s="38"/>
      <c r="F19" s="36">
        <f>SUM(F24,F29,)</f>
        <v>0</v>
      </c>
    </row>
    <row r="20" spans="1:6" ht="23.25" customHeight="1" x14ac:dyDescent="0.25">
      <c r="A20" s="47" t="s">
        <v>15</v>
      </c>
      <c r="B20" s="14">
        <f>SUM(B21,B22,B23,B24)</f>
        <v>482.1</v>
      </c>
      <c r="C20" s="4"/>
      <c r="D20" s="30"/>
      <c r="E20" s="30"/>
      <c r="F20" s="4"/>
    </row>
    <row r="21" spans="1:6" ht="10.5" customHeight="1" x14ac:dyDescent="0.25">
      <c r="A21" s="12" t="s">
        <v>8</v>
      </c>
      <c r="B21" s="14">
        <v>0</v>
      </c>
      <c r="C21" s="4"/>
      <c r="D21" s="30"/>
      <c r="E21" s="30"/>
      <c r="F21" s="4"/>
    </row>
    <row r="22" spans="1:6" ht="11.25" customHeight="1" x14ac:dyDescent="0.25">
      <c r="A22" s="12" t="s">
        <v>10</v>
      </c>
      <c r="B22" s="14">
        <v>305</v>
      </c>
      <c r="C22" s="4"/>
      <c r="D22" s="30"/>
      <c r="E22" s="30"/>
      <c r="F22" s="4">
        <v>80.900000000000006</v>
      </c>
    </row>
    <row r="23" spans="1:6" ht="10.5" customHeight="1" x14ac:dyDescent="0.25">
      <c r="A23" s="12" t="s">
        <v>11</v>
      </c>
      <c r="B23" s="14">
        <v>61</v>
      </c>
      <c r="C23" s="4"/>
      <c r="D23" s="30"/>
      <c r="E23" s="30"/>
      <c r="F23" s="4"/>
    </row>
    <row r="24" spans="1:6" ht="11.25" customHeight="1" x14ac:dyDescent="0.25">
      <c r="A24" s="12" t="s">
        <v>18</v>
      </c>
      <c r="B24" s="14">
        <v>116.1</v>
      </c>
      <c r="C24" s="4"/>
      <c r="D24" s="30"/>
      <c r="E24" s="30"/>
      <c r="F24" s="4"/>
    </row>
    <row r="25" spans="1:6" ht="23.25" customHeight="1" x14ac:dyDescent="0.25">
      <c r="A25" s="47" t="s">
        <v>16</v>
      </c>
      <c r="B25" s="14">
        <f>SUM(B26,B27,B28)</f>
        <v>150</v>
      </c>
      <c r="C25" s="4">
        <f>SUM(C26,C27,C28)</f>
        <v>25</v>
      </c>
      <c r="D25" s="30"/>
      <c r="E25" s="30"/>
      <c r="F25" s="4"/>
    </row>
    <row r="26" spans="1:6" ht="11.25" customHeight="1" x14ac:dyDescent="0.25">
      <c r="A26" s="12" t="s">
        <v>8</v>
      </c>
      <c r="B26" s="14"/>
      <c r="C26" s="4"/>
      <c r="D26" s="30"/>
      <c r="E26" s="30"/>
      <c r="F26" s="4"/>
    </row>
    <row r="27" spans="1:6" ht="11.25" customHeight="1" x14ac:dyDescent="0.25">
      <c r="A27" s="12" t="s">
        <v>10</v>
      </c>
      <c r="B27" s="14">
        <v>150</v>
      </c>
      <c r="C27" s="4">
        <v>25</v>
      </c>
      <c r="D27" s="30"/>
      <c r="E27" s="30"/>
      <c r="F27" s="4">
        <v>10.7</v>
      </c>
    </row>
    <row r="28" spans="1:6" ht="9.75" customHeight="1" x14ac:dyDescent="0.25">
      <c r="A28" s="12" t="s">
        <v>11</v>
      </c>
      <c r="B28" s="14"/>
      <c r="C28" s="4"/>
      <c r="D28" s="30"/>
      <c r="E28" s="30"/>
      <c r="F28" s="4"/>
    </row>
    <row r="29" spans="1:6" ht="27" customHeight="1" x14ac:dyDescent="0.25">
      <c r="A29" s="47" t="s">
        <v>17</v>
      </c>
      <c r="B29" s="14">
        <v>213</v>
      </c>
      <c r="C29" s="4"/>
      <c r="D29" s="30"/>
      <c r="E29" s="30"/>
      <c r="F29" s="4"/>
    </row>
    <row r="30" spans="1:6" ht="12" customHeight="1" x14ac:dyDescent="0.25">
      <c r="A30" s="12" t="s">
        <v>8</v>
      </c>
      <c r="B30" s="14"/>
      <c r="C30" s="4"/>
      <c r="D30" s="30"/>
      <c r="E30" s="30"/>
      <c r="F30" s="4"/>
    </row>
    <row r="31" spans="1:6" ht="9" customHeight="1" x14ac:dyDescent="0.25">
      <c r="A31" s="12" t="s">
        <v>10</v>
      </c>
      <c r="B31" s="14">
        <v>190</v>
      </c>
      <c r="C31" s="4"/>
      <c r="D31" s="30"/>
      <c r="E31" s="30"/>
      <c r="F31" s="4"/>
    </row>
    <row r="32" spans="1:6" ht="10.5" customHeight="1" x14ac:dyDescent="0.25">
      <c r="A32" s="12" t="s">
        <v>11</v>
      </c>
      <c r="B32" s="14">
        <v>23</v>
      </c>
      <c r="C32" s="4"/>
      <c r="D32" s="30"/>
      <c r="E32" s="30"/>
      <c r="F32" s="4"/>
    </row>
    <row r="33" spans="1:6" ht="10.5" customHeight="1" x14ac:dyDescent="0.25">
      <c r="A33" s="34" t="s">
        <v>38</v>
      </c>
      <c r="B33" s="32" t="e">
        <f>SUM(B34,B35,B36)</f>
        <v>#REF!</v>
      </c>
      <c r="C33" s="33">
        <f t="shared" ref="C33:F33" si="8" xml:space="preserve"> SUM(C34:C36)</f>
        <v>50240</v>
      </c>
      <c r="D33" s="33">
        <f t="shared" si="8"/>
        <v>0</v>
      </c>
      <c r="E33" s="33">
        <f t="shared" si="8"/>
        <v>0</v>
      </c>
      <c r="F33" s="33">
        <f t="shared" si="8"/>
        <v>57917</v>
      </c>
    </row>
    <row r="34" spans="1:6" ht="12.75" customHeight="1" x14ac:dyDescent="0.25">
      <c r="A34" s="34" t="s">
        <v>8</v>
      </c>
      <c r="B34" s="35" t="e">
        <f>SUM(B38,B42,B46,B50,B52,#REF!)</f>
        <v>#REF!</v>
      </c>
      <c r="C34" s="35">
        <f>SUM(C38,C42,C46,C50,C52,C56,C60,C64,)</f>
        <v>44936.3</v>
      </c>
      <c r="D34" s="35">
        <f t="shared" ref="D34:F34" si="9">SUM(D38,D42,D46,D50,D52,D56,D60,D64,)</f>
        <v>0</v>
      </c>
      <c r="E34" s="35">
        <f t="shared" si="9"/>
        <v>0</v>
      </c>
      <c r="F34" s="35">
        <f t="shared" si="9"/>
        <v>45815.9</v>
      </c>
    </row>
    <row r="35" spans="1:6" ht="12" customHeight="1" x14ac:dyDescent="0.25">
      <c r="A35" s="34" t="s">
        <v>9</v>
      </c>
      <c r="B35" s="35" t="e">
        <f>SUM(B39,B43,B47,B53,B57,B61,#REF!)</f>
        <v>#REF!</v>
      </c>
      <c r="C35" s="35">
        <f>SUM(C39,C43,C47,C53,C57,C61,C65,)</f>
        <v>5303.7</v>
      </c>
      <c r="D35" s="35">
        <f t="shared" ref="C35:F36" si="10">SUM(D39,D43,D47,D53,D57,D61,D65,)</f>
        <v>0</v>
      </c>
      <c r="E35" s="35">
        <f t="shared" si="10"/>
        <v>0</v>
      </c>
      <c r="F35" s="35">
        <f t="shared" si="10"/>
        <v>11371.1</v>
      </c>
    </row>
    <row r="36" spans="1:6" ht="12.75" customHeight="1" x14ac:dyDescent="0.25">
      <c r="A36" s="34" t="s">
        <v>11</v>
      </c>
      <c r="B36" s="35" t="e">
        <f>SUM(B40,B44,B48,B54,B58,B62,B66,#REF!,#REF!)</f>
        <v>#REF!</v>
      </c>
      <c r="C36" s="35">
        <f t="shared" si="10"/>
        <v>0</v>
      </c>
      <c r="D36" s="35">
        <f t="shared" si="10"/>
        <v>0</v>
      </c>
      <c r="E36" s="35">
        <f t="shared" si="10"/>
        <v>0</v>
      </c>
      <c r="F36" s="35">
        <f t="shared" si="10"/>
        <v>730</v>
      </c>
    </row>
    <row r="37" spans="1:6" ht="13.5" customHeight="1" x14ac:dyDescent="0.25">
      <c r="A37" s="27" t="s">
        <v>22</v>
      </c>
      <c r="B37" s="16">
        <f>SUM(B38,B40,B39)</f>
        <v>143480.6</v>
      </c>
      <c r="C37" s="8">
        <f t="shared" ref="C37:F37" si="11" xml:space="preserve"> SUM(C38:C40)</f>
        <v>2300.4</v>
      </c>
      <c r="D37" s="8">
        <f t="shared" si="11"/>
        <v>0</v>
      </c>
      <c r="E37" s="8">
        <f t="shared" si="11"/>
        <v>0</v>
      </c>
      <c r="F37" s="8">
        <f t="shared" si="11"/>
        <v>3772.9</v>
      </c>
    </row>
    <row r="38" spans="1:6" ht="12" customHeight="1" x14ac:dyDescent="0.25">
      <c r="A38" s="15" t="s">
        <v>8</v>
      </c>
      <c r="B38" s="16">
        <v>63860</v>
      </c>
      <c r="C38" s="8">
        <v>2000</v>
      </c>
      <c r="D38" s="28"/>
      <c r="E38" s="28"/>
      <c r="F38" s="4">
        <v>1716.9</v>
      </c>
    </row>
    <row r="39" spans="1:6" ht="14.25" customHeight="1" x14ac:dyDescent="0.25">
      <c r="A39" s="15" t="s">
        <v>10</v>
      </c>
      <c r="B39" s="16">
        <v>64120.6</v>
      </c>
      <c r="C39" s="8">
        <v>300.39999999999998</v>
      </c>
      <c r="D39" s="28"/>
      <c r="E39" s="28"/>
      <c r="F39" s="4">
        <v>2027</v>
      </c>
    </row>
    <row r="40" spans="1:6" ht="12" customHeight="1" x14ac:dyDescent="0.25">
      <c r="A40" s="15" t="s">
        <v>11</v>
      </c>
      <c r="B40" s="16">
        <v>15500</v>
      </c>
      <c r="C40" s="8">
        <v>0</v>
      </c>
      <c r="D40" s="28"/>
      <c r="E40" s="28"/>
      <c r="F40" s="4">
        <v>29</v>
      </c>
    </row>
    <row r="41" spans="1:6" ht="12" customHeight="1" x14ac:dyDescent="0.25">
      <c r="A41" s="27" t="s">
        <v>23</v>
      </c>
      <c r="B41" s="20">
        <f t="shared" ref="B41" si="12" xml:space="preserve"> SUM(B42:B44)</f>
        <v>335400</v>
      </c>
      <c r="C41" s="18">
        <f>SUM(C42,C43,C44)</f>
        <v>17618.099999999999</v>
      </c>
      <c r="D41" s="18">
        <f t="shared" ref="D41:F41" si="13">SUM(D42,D43,D44)</f>
        <v>0</v>
      </c>
      <c r="E41" s="18">
        <f t="shared" si="13"/>
        <v>0</v>
      </c>
      <c r="F41" s="18">
        <f t="shared" si="13"/>
        <v>13163.7</v>
      </c>
    </row>
    <row r="42" spans="1:6" ht="12" customHeight="1" x14ac:dyDescent="0.25">
      <c r="A42" s="15" t="s">
        <v>8</v>
      </c>
      <c r="B42" s="21">
        <v>232700</v>
      </c>
      <c r="C42" s="19">
        <v>13659.8</v>
      </c>
      <c r="D42" s="28"/>
      <c r="E42" s="28"/>
      <c r="F42" s="4">
        <v>9081.1</v>
      </c>
    </row>
    <row r="43" spans="1:6" ht="11.25" customHeight="1" x14ac:dyDescent="0.25">
      <c r="A43" s="15" t="s">
        <v>10</v>
      </c>
      <c r="B43" s="21">
        <v>101200</v>
      </c>
      <c r="C43" s="19">
        <v>3958.3</v>
      </c>
      <c r="D43" s="28"/>
      <c r="E43" s="28"/>
      <c r="F43" s="4">
        <v>3782.6</v>
      </c>
    </row>
    <row r="44" spans="1:6" ht="12" customHeight="1" x14ac:dyDescent="0.25">
      <c r="A44" s="15" t="s">
        <v>11</v>
      </c>
      <c r="B44" s="21">
        <v>1500</v>
      </c>
      <c r="C44" s="19">
        <v>0</v>
      </c>
      <c r="D44" s="28"/>
      <c r="E44" s="28"/>
      <c r="F44" s="4">
        <v>300</v>
      </c>
    </row>
    <row r="45" spans="1:6" ht="14.25" customHeight="1" x14ac:dyDescent="0.25">
      <c r="A45" s="27" t="s">
        <v>24</v>
      </c>
      <c r="B45" s="22">
        <f t="shared" ref="B45:F45" si="14">SUM(B46,B47,B48)</f>
        <v>9131</v>
      </c>
      <c r="C45" s="18">
        <f t="shared" si="14"/>
        <v>0</v>
      </c>
      <c r="D45" s="18">
        <f t="shared" si="14"/>
        <v>0</v>
      </c>
      <c r="E45" s="18">
        <f t="shared" si="14"/>
        <v>0</v>
      </c>
      <c r="F45" s="18">
        <f t="shared" si="14"/>
        <v>22.2</v>
      </c>
    </row>
    <row r="46" spans="1:6" ht="12.75" customHeight="1" x14ac:dyDescent="0.25">
      <c r="A46" s="15" t="s">
        <v>8</v>
      </c>
      <c r="B46" s="23">
        <v>1180</v>
      </c>
      <c r="C46" s="29">
        <v>0</v>
      </c>
      <c r="D46" s="30"/>
      <c r="E46" s="30"/>
      <c r="F46" s="4"/>
    </row>
    <row r="47" spans="1:6" ht="12" customHeight="1" x14ac:dyDescent="0.25">
      <c r="A47" s="15" t="s">
        <v>10</v>
      </c>
      <c r="B47" s="23">
        <v>7951</v>
      </c>
      <c r="C47" s="29">
        <v>0</v>
      </c>
      <c r="D47" s="30"/>
      <c r="E47" s="30"/>
      <c r="F47" s="4">
        <v>22.2</v>
      </c>
    </row>
    <row r="48" spans="1:6" ht="11.25" customHeight="1" x14ac:dyDescent="0.25">
      <c r="A48" s="15" t="s">
        <v>11</v>
      </c>
      <c r="B48" s="23">
        <v>0</v>
      </c>
      <c r="C48" s="8">
        <v>0</v>
      </c>
      <c r="D48" s="30"/>
      <c r="E48" s="30"/>
      <c r="F48" s="4"/>
    </row>
    <row r="49" spans="1:6" ht="27" customHeight="1" x14ac:dyDescent="0.25">
      <c r="A49" s="27" t="s">
        <v>25</v>
      </c>
      <c r="B49" s="21">
        <f t="shared" ref="B49:F49" si="15" xml:space="preserve"> SUM(B50)</f>
        <v>23200</v>
      </c>
      <c r="C49" s="19">
        <f t="shared" si="15"/>
        <v>25276.5</v>
      </c>
      <c r="D49" s="19">
        <f t="shared" si="15"/>
        <v>0</v>
      </c>
      <c r="E49" s="19">
        <f t="shared" si="15"/>
        <v>0</v>
      </c>
      <c r="F49" s="19">
        <f t="shared" si="15"/>
        <v>27143</v>
      </c>
    </row>
    <row r="50" spans="1:6" ht="15" customHeight="1" x14ac:dyDescent="0.25">
      <c r="A50" s="24" t="s">
        <v>12</v>
      </c>
      <c r="B50" s="20">
        <v>23200</v>
      </c>
      <c r="C50" s="18">
        <v>25276.5</v>
      </c>
      <c r="D50" s="30"/>
      <c r="E50" s="30"/>
      <c r="F50" s="4">
        <v>27143</v>
      </c>
    </row>
    <row r="51" spans="1:6" ht="27" x14ac:dyDescent="0.25">
      <c r="A51" s="27" t="s">
        <v>26</v>
      </c>
      <c r="B51" s="16">
        <f t="shared" ref="B51:F51" si="16" xml:space="preserve"> SUM(B52:B54)</f>
        <v>5870</v>
      </c>
      <c r="C51" s="8">
        <f t="shared" si="16"/>
        <v>4230</v>
      </c>
      <c r="D51" s="8">
        <f t="shared" si="16"/>
        <v>0</v>
      </c>
      <c r="E51" s="8">
        <f t="shared" si="16"/>
        <v>0</v>
      </c>
      <c r="F51" s="8">
        <f t="shared" si="16"/>
        <v>3935.4</v>
      </c>
    </row>
    <row r="52" spans="1:6" ht="12" customHeight="1" x14ac:dyDescent="0.25">
      <c r="A52" s="15" t="s">
        <v>8</v>
      </c>
      <c r="B52" s="21">
        <v>3850</v>
      </c>
      <c r="C52" s="7">
        <v>4000</v>
      </c>
      <c r="D52" s="30"/>
      <c r="E52" s="30"/>
      <c r="F52" s="4">
        <v>3203.6</v>
      </c>
    </row>
    <row r="53" spans="1:6" ht="12" customHeight="1" x14ac:dyDescent="0.25">
      <c r="A53" s="15" t="s">
        <v>10</v>
      </c>
      <c r="B53" s="21">
        <v>1870</v>
      </c>
      <c r="C53" s="7">
        <v>230</v>
      </c>
      <c r="D53" s="30"/>
      <c r="E53" s="30"/>
      <c r="F53" s="4">
        <v>717.5</v>
      </c>
    </row>
    <row r="54" spans="1:6" ht="12.75" customHeight="1" x14ac:dyDescent="0.25">
      <c r="A54" s="15" t="s">
        <v>11</v>
      </c>
      <c r="B54" s="17">
        <v>150</v>
      </c>
      <c r="C54" s="7">
        <v>0</v>
      </c>
      <c r="D54" s="30"/>
      <c r="E54" s="30"/>
      <c r="F54" s="4">
        <v>14.3</v>
      </c>
    </row>
    <row r="55" spans="1:6" ht="29.25" customHeight="1" x14ac:dyDescent="0.25">
      <c r="A55" s="27" t="s">
        <v>27</v>
      </c>
      <c r="B55" s="17">
        <f>SUM(B56,B57,B58)</f>
        <v>4495</v>
      </c>
      <c r="C55" s="8">
        <f t="shared" ref="C55:F55" si="17" xml:space="preserve"> SUM(C56:C58)</f>
        <v>0</v>
      </c>
      <c r="D55" s="8">
        <f t="shared" si="17"/>
        <v>0</v>
      </c>
      <c r="E55" s="8">
        <f t="shared" si="17"/>
        <v>0</v>
      </c>
      <c r="F55" s="8">
        <f t="shared" si="17"/>
        <v>3179.1</v>
      </c>
    </row>
    <row r="56" spans="1:6" ht="12.75" customHeight="1" x14ac:dyDescent="0.25">
      <c r="A56" s="15" t="s">
        <v>8</v>
      </c>
      <c r="B56" s="17">
        <v>0</v>
      </c>
      <c r="C56" s="7">
        <v>0</v>
      </c>
      <c r="D56" s="30"/>
      <c r="E56" s="30"/>
      <c r="F56" s="4"/>
    </row>
    <row r="57" spans="1:6" ht="12" customHeight="1" x14ac:dyDescent="0.25">
      <c r="A57" s="15" t="s">
        <v>10</v>
      </c>
      <c r="B57" s="17">
        <v>4495</v>
      </c>
      <c r="C57" s="7">
        <v>0</v>
      </c>
      <c r="D57" s="30"/>
      <c r="E57" s="30"/>
      <c r="F57" s="4">
        <v>3179.1</v>
      </c>
    </row>
    <row r="58" spans="1:6" ht="13.5" customHeight="1" x14ac:dyDescent="0.25">
      <c r="A58" s="15" t="s">
        <v>11</v>
      </c>
      <c r="B58" s="17">
        <v>0</v>
      </c>
      <c r="C58" s="7">
        <v>0</v>
      </c>
      <c r="D58" s="30"/>
      <c r="E58" s="30"/>
      <c r="F58" s="4"/>
    </row>
    <row r="59" spans="1:6" ht="39.75" customHeight="1" x14ac:dyDescent="0.25">
      <c r="A59" s="27" t="s">
        <v>28</v>
      </c>
      <c r="B59" s="17">
        <f>SUM(B61)</f>
        <v>98</v>
      </c>
      <c r="C59" s="7">
        <f>SUM(C61)</f>
        <v>15</v>
      </c>
      <c r="D59" s="7">
        <f t="shared" ref="D59:F59" si="18">SUM(D61)</f>
        <v>0</v>
      </c>
      <c r="E59" s="7">
        <f t="shared" si="18"/>
        <v>0</v>
      </c>
      <c r="F59" s="7">
        <f t="shared" si="18"/>
        <v>12.5</v>
      </c>
    </row>
    <row r="60" spans="1:6" ht="11.25" customHeight="1" x14ac:dyDescent="0.25">
      <c r="A60" s="15" t="s">
        <v>8</v>
      </c>
      <c r="B60" s="17">
        <v>0</v>
      </c>
      <c r="C60" s="7"/>
      <c r="D60" s="30"/>
      <c r="E60" s="30"/>
      <c r="F60" s="4"/>
    </row>
    <row r="61" spans="1:6" ht="11.25" customHeight="1" x14ac:dyDescent="0.25">
      <c r="A61" s="15" t="s">
        <v>10</v>
      </c>
      <c r="B61" s="17">
        <v>98</v>
      </c>
      <c r="C61" s="7">
        <v>15</v>
      </c>
      <c r="D61" s="30"/>
      <c r="E61" s="30"/>
      <c r="F61" s="4">
        <v>12.5</v>
      </c>
    </row>
    <row r="62" spans="1:6" ht="12" customHeight="1" x14ac:dyDescent="0.25">
      <c r="A62" s="15" t="s">
        <v>11</v>
      </c>
      <c r="B62" s="17">
        <v>0</v>
      </c>
      <c r="C62" s="7"/>
      <c r="D62" s="30"/>
      <c r="E62" s="30"/>
      <c r="F62" s="4"/>
    </row>
    <row r="63" spans="1:6" ht="26.25" customHeight="1" x14ac:dyDescent="0.25">
      <c r="A63" s="31" t="s">
        <v>37</v>
      </c>
      <c r="B63" s="17"/>
      <c r="C63" s="7">
        <f>SUM(C64,C65,C66)</f>
        <v>800</v>
      </c>
      <c r="D63" s="7">
        <f t="shared" ref="D63:F63" si="19">SUM(D64,D65,D66)</f>
        <v>0</v>
      </c>
      <c r="E63" s="7">
        <f t="shared" si="19"/>
        <v>0</v>
      </c>
      <c r="F63" s="7">
        <f t="shared" si="19"/>
        <v>6688.2</v>
      </c>
    </row>
    <row r="64" spans="1:6" ht="12.75" customHeight="1" x14ac:dyDescent="0.25">
      <c r="A64" s="15" t="s">
        <v>8</v>
      </c>
      <c r="B64" s="17"/>
      <c r="C64" s="7"/>
      <c r="D64" s="30"/>
      <c r="E64" s="30"/>
      <c r="F64" s="4">
        <v>4671.3</v>
      </c>
    </row>
    <row r="65" spans="1:6" ht="12.75" customHeight="1" x14ac:dyDescent="0.25">
      <c r="A65" s="15" t="s">
        <v>10</v>
      </c>
      <c r="B65" s="17"/>
      <c r="C65" s="7">
        <v>800</v>
      </c>
      <c r="D65" s="30"/>
      <c r="E65" s="30"/>
      <c r="F65" s="4">
        <v>1630.2</v>
      </c>
    </row>
    <row r="66" spans="1:6" ht="12" customHeight="1" x14ac:dyDescent="0.25">
      <c r="A66" s="15" t="s">
        <v>11</v>
      </c>
      <c r="B66" s="17"/>
      <c r="C66" s="7"/>
      <c r="D66" s="30"/>
      <c r="E66" s="30"/>
      <c r="F66" s="4">
        <v>386.7</v>
      </c>
    </row>
    <row r="67" spans="1:6" s="50" customFormat="1" ht="24" customHeight="1" x14ac:dyDescent="0.2">
      <c r="A67" s="41" t="s">
        <v>46</v>
      </c>
      <c r="B67" s="36">
        <f>SUM(B68,B69,B70)</f>
        <v>20518.3</v>
      </c>
      <c r="C67" s="36">
        <f>SUM(C71,C75)</f>
        <v>17638.3</v>
      </c>
      <c r="D67" s="36">
        <f t="shared" ref="D67:F67" si="20">SUM(D71,D75)</f>
        <v>0</v>
      </c>
      <c r="E67" s="36">
        <f t="shared" si="20"/>
        <v>0</v>
      </c>
      <c r="F67" s="36">
        <f t="shared" si="20"/>
        <v>20518.3</v>
      </c>
    </row>
    <row r="68" spans="1:6" s="50" customFormat="1" ht="12" customHeight="1" x14ac:dyDescent="0.2">
      <c r="A68" s="37" t="s">
        <v>8</v>
      </c>
      <c r="B68" s="36">
        <v>5505</v>
      </c>
      <c r="C68" s="36">
        <f>SUM(C72,C76)</f>
        <v>5395</v>
      </c>
      <c r="D68" s="36">
        <f t="shared" ref="D68:F68" si="21">SUM(D72,D76)</f>
        <v>0</v>
      </c>
      <c r="E68" s="36">
        <f t="shared" si="21"/>
        <v>0</v>
      </c>
      <c r="F68" s="36">
        <f t="shared" si="21"/>
        <v>5505</v>
      </c>
    </row>
    <row r="69" spans="1:6" s="50" customFormat="1" ht="10.5" customHeight="1" x14ac:dyDescent="0.2">
      <c r="A69" s="37" t="s">
        <v>10</v>
      </c>
      <c r="B69" s="36">
        <v>15013.3</v>
      </c>
      <c r="C69" s="36">
        <f t="shared" ref="C69:F70" si="22">SUM(C73,C77)</f>
        <v>12243.3</v>
      </c>
      <c r="D69" s="36">
        <f t="shared" si="22"/>
        <v>0</v>
      </c>
      <c r="E69" s="36">
        <f t="shared" si="22"/>
        <v>0</v>
      </c>
      <c r="F69" s="36">
        <f t="shared" si="22"/>
        <v>15013.3</v>
      </c>
    </row>
    <row r="70" spans="1:6" s="50" customFormat="1" ht="10.5" customHeight="1" x14ac:dyDescent="0.2">
      <c r="A70" s="37" t="s">
        <v>11</v>
      </c>
      <c r="B70" s="36"/>
      <c r="C70" s="36">
        <f t="shared" si="22"/>
        <v>0</v>
      </c>
      <c r="D70" s="51"/>
      <c r="E70" s="51"/>
      <c r="F70" s="49"/>
    </row>
    <row r="71" spans="1:6" ht="24.75" customHeight="1" x14ac:dyDescent="0.25">
      <c r="A71" s="39" t="s">
        <v>39</v>
      </c>
      <c r="B71" s="5"/>
      <c r="C71" s="8">
        <f>SUM(C72:C74)</f>
        <v>17625</v>
      </c>
      <c r="D71" s="8">
        <f t="shared" ref="D71:F71" si="23">SUM(D72:D74)</f>
        <v>0</v>
      </c>
      <c r="E71" s="8">
        <f t="shared" si="23"/>
        <v>0</v>
      </c>
      <c r="F71" s="8">
        <f t="shared" si="23"/>
        <v>20505</v>
      </c>
    </row>
    <row r="72" spans="1:6" ht="9.75" customHeight="1" x14ac:dyDescent="0.25">
      <c r="A72" s="40" t="s">
        <v>8</v>
      </c>
      <c r="B72" s="5"/>
      <c r="C72" s="8">
        <v>5395</v>
      </c>
      <c r="F72" s="8">
        <v>5505</v>
      </c>
    </row>
    <row r="73" spans="1:6" ht="11.25" customHeight="1" x14ac:dyDescent="0.25">
      <c r="A73" s="40" t="s">
        <v>10</v>
      </c>
      <c r="B73" s="5"/>
      <c r="C73" s="8">
        <v>12230</v>
      </c>
      <c r="F73" s="8">
        <v>15000</v>
      </c>
    </row>
    <row r="74" spans="1:6" ht="12" customHeight="1" x14ac:dyDescent="0.25">
      <c r="A74" s="40" t="s">
        <v>11</v>
      </c>
      <c r="B74" s="5"/>
      <c r="C74" s="5"/>
      <c r="F74" s="8"/>
    </row>
    <row r="75" spans="1:6" ht="24.75" customHeight="1" x14ac:dyDescent="0.25">
      <c r="A75" s="27" t="s">
        <v>40</v>
      </c>
      <c r="B75" s="5"/>
      <c r="C75" s="8">
        <f>SUM(C76:C78)</f>
        <v>13.3</v>
      </c>
      <c r="D75" s="8">
        <f t="shared" ref="D75:F75" si="24">SUM(D76:D78)</f>
        <v>0</v>
      </c>
      <c r="E75" s="8">
        <f t="shared" si="24"/>
        <v>0</v>
      </c>
      <c r="F75" s="8">
        <f t="shared" si="24"/>
        <v>13.3</v>
      </c>
    </row>
    <row r="76" spans="1:6" ht="10.5" customHeight="1" x14ac:dyDescent="0.25">
      <c r="A76" s="40" t="s">
        <v>8</v>
      </c>
      <c r="B76" s="5"/>
      <c r="C76" s="8"/>
      <c r="F76" s="8"/>
    </row>
    <row r="77" spans="1:6" ht="10.5" customHeight="1" x14ac:dyDescent="0.25">
      <c r="A77" s="40" t="s">
        <v>10</v>
      </c>
      <c r="B77" s="5"/>
      <c r="C77" s="8">
        <v>13.3</v>
      </c>
      <c r="F77" s="8">
        <v>13.3</v>
      </c>
    </row>
    <row r="78" spans="1:6" ht="12.75" customHeight="1" x14ac:dyDescent="0.25">
      <c r="A78" s="40" t="s">
        <v>11</v>
      </c>
      <c r="B78" s="5"/>
      <c r="C78" s="5"/>
      <c r="F78" s="8"/>
    </row>
    <row r="79" spans="1:6" s="50" customFormat="1" ht="24.75" customHeight="1" x14ac:dyDescent="0.2">
      <c r="A79" s="41" t="s">
        <v>29</v>
      </c>
      <c r="B79" s="33">
        <f t="shared" ref="B79" si="25">SUM(B80:B82)</f>
        <v>3777.6</v>
      </c>
      <c r="C79" s="33">
        <f>SUM(C80:C82)</f>
        <v>3527</v>
      </c>
      <c r="D79" s="33">
        <f t="shared" ref="D79:F79" si="26">SUM(D80:D82)</f>
        <v>0</v>
      </c>
      <c r="E79" s="33">
        <f t="shared" si="26"/>
        <v>0</v>
      </c>
      <c r="F79" s="33">
        <f t="shared" si="26"/>
        <v>2687.4</v>
      </c>
    </row>
    <row r="80" spans="1:6" s="50" customFormat="1" ht="11.25" customHeight="1" x14ac:dyDescent="0.2">
      <c r="A80" s="34" t="s">
        <v>13</v>
      </c>
      <c r="B80" s="33">
        <v>419.6</v>
      </c>
      <c r="C80" s="33">
        <v>300</v>
      </c>
      <c r="D80" s="51"/>
      <c r="E80" s="51"/>
      <c r="F80" s="49">
        <v>150</v>
      </c>
    </row>
    <row r="81" spans="1:6" s="50" customFormat="1" ht="11.25" customHeight="1" x14ac:dyDescent="0.2">
      <c r="A81" s="34" t="s">
        <v>36</v>
      </c>
      <c r="B81" s="33">
        <v>493</v>
      </c>
      <c r="C81" s="33">
        <v>350</v>
      </c>
      <c r="D81" s="51"/>
      <c r="E81" s="51"/>
      <c r="F81" s="49">
        <v>175</v>
      </c>
    </row>
    <row r="82" spans="1:6" s="50" customFormat="1" ht="10.5" customHeight="1" x14ac:dyDescent="0.2">
      <c r="A82" s="41" t="s">
        <v>44</v>
      </c>
      <c r="B82" s="33">
        <v>2865</v>
      </c>
      <c r="C82" s="33">
        <v>2877</v>
      </c>
      <c r="D82" s="51"/>
      <c r="E82" s="51"/>
      <c r="F82" s="49">
        <v>2362.4</v>
      </c>
    </row>
    <row r="83" spans="1:6" ht="25.5" customHeight="1" x14ac:dyDescent="0.25">
      <c r="A83" s="48" t="s">
        <v>30</v>
      </c>
      <c r="B83" s="8">
        <f>SUM(B84,B85,B86,B87)</f>
        <v>5100</v>
      </c>
      <c r="C83" s="5">
        <f>SUM(C84,C85,C86,C87)</f>
        <v>4722</v>
      </c>
      <c r="D83" s="5">
        <f t="shared" ref="D83:F83" si="27">SUM(D84,D85,D86,D87)</f>
        <v>0</v>
      </c>
      <c r="E83" s="5">
        <f t="shared" si="27"/>
        <v>0</v>
      </c>
      <c r="F83" s="5">
        <f t="shared" si="27"/>
        <v>0</v>
      </c>
    </row>
    <row r="84" spans="1:6" ht="11.25" customHeight="1" x14ac:dyDescent="0.25">
      <c r="A84" s="6" t="s">
        <v>19</v>
      </c>
      <c r="B84" s="8">
        <v>1850</v>
      </c>
      <c r="C84" s="8">
        <v>1718.84</v>
      </c>
      <c r="F84" s="4">
        <v>0</v>
      </c>
    </row>
    <row r="85" spans="1:6" ht="12" customHeight="1" x14ac:dyDescent="0.25">
      <c r="A85" s="1" t="s">
        <v>8</v>
      </c>
      <c r="B85" s="8">
        <v>1360</v>
      </c>
      <c r="C85" s="8">
        <v>1256.01</v>
      </c>
      <c r="F85" s="4">
        <v>0</v>
      </c>
    </row>
    <row r="86" spans="1:6" ht="12" customHeight="1" x14ac:dyDescent="0.25">
      <c r="A86" s="1" t="s">
        <v>9</v>
      </c>
      <c r="B86" s="8">
        <v>360</v>
      </c>
      <c r="C86" s="8">
        <v>330.54</v>
      </c>
      <c r="F86" s="4">
        <v>0</v>
      </c>
    </row>
    <row r="87" spans="1:6" ht="12.75" customHeight="1" x14ac:dyDescent="0.25">
      <c r="A87" s="25" t="s">
        <v>11</v>
      </c>
      <c r="B87" s="8">
        <v>1530</v>
      </c>
      <c r="C87" s="8">
        <v>1416.61</v>
      </c>
      <c r="F87" s="4">
        <v>0</v>
      </c>
    </row>
    <row r="88" spans="1:6" ht="13.5" customHeight="1" x14ac:dyDescent="0.25">
      <c r="A88" s="52" t="s">
        <v>45</v>
      </c>
      <c r="B88" s="53" t="e">
        <f>SUM(B89,B90,B91,B92)</f>
        <v>#REF!</v>
      </c>
      <c r="C88" s="53">
        <f>SUM(C89,C90,C91,C92)</f>
        <v>88725.3</v>
      </c>
      <c r="D88" s="53">
        <f t="shared" ref="D88:F88" si="28">SUM(D89,D90,D91,D92)</f>
        <v>103</v>
      </c>
      <c r="E88" s="53">
        <f t="shared" si="28"/>
        <v>103</v>
      </c>
      <c r="F88" s="53">
        <f t="shared" si="28"/>
        <v>105007.20000000001</v>
      </c>
    </row>
    <row r="89" spans="1:6" ht="12.75" customHeight="1" x14ac:dyDescent="0.25">
      <c r="A89" s="54" t="s">
        <v>8</v>
      </c>
      <c r="B89" s="53" t="e">
        <f>SUM(#REF!,B85)</f>
        <v>#REF!</v>
      </c>
      <c r="C89" s="53">
        <v>58450.61</v>
      </c>
      <c r="D89" s="53">
        <f>SUM(D4,D16,D34,D68,D85)</f>
        <v>0</v>
      </c>
      <c r="E89" s="53">
        <f>SUM(E4,E16,E34,E68,E85)</f>
        <v>0</v>
      </c>
      <c r="F89" s="53">
        <f>SUM(F4,F16,F34,F68,F85)</f>
        <v>57567.5</v>
      </c>
    </row>
    <row r="90" spans="1:6" ht="12" customHeight="1" x14ac:dyDescent="0.25">
      <c r="A90" s="54" t="s">
        <v>10</v>
      </c>
      <c r="B90" s="53" t="e">
        <f>SUM(#REF!,B86)</f>
        <v>#REF!</v>
      </c>
      <c r="C90" s="53">
        <v>27139.24</v>
      </c>
      <c r="D90" s="53">
        <f>SUM(D5,D17,D35,D69,D79,D86)</f>
        <v>103</v>
      </c>
      <c r="E90" s="53">
        <f>SUM(E5,E17,E35,E69,E79,E86)</f>
        <v>103</v>
      </c>
      <c r="F90" s="53">
        <f>SUM(F5,F17,F35,F69,F79,F86)</f>
        <v>46709.700000000004</v>
      </c>
    </row>
    <row r="91" spans="1:6" ht="13.5" customHeight="1" x14ac:dyDescent="0.25">
      <c r="A91" s="54" t="s">
        <v>11</v>
      </c>
      <c r="B91" s="53" t="e">
        <f>SUM(#REF!,B87)</f>
        <v>#REF!</v>
      </c>
      <c r="C91" s="53">
        <f>SUM(C18,C36,C70,C87)</f>
        <v>1416.61</v>
      </c>
      <c r="D91" s="53">
        <f>SUM(D18,D36,D70,D87)</f>
        <v>0</v>
      </c>
      <c r="E91" s="53">
        <f>SUM(E18,E36,E70,E87)</f>
        <v>0</v>
      </c>
      <c r="F91" s="53">
        <f>SUM(F18,F36,F70,F87)</f>
        <v>730</v>
      </c>
    </row>
    <row r="92" spans="1:6" ht="12.75" customHeight="1" x14ac:dyDescent="0.25">
      <c r="A92" s="54" t="s">
        <v>20</v>
      </c>
      <c r="B92" s="55">
        <f>SUM(B84)</f>
        <v>1850</v>
      </c>
      <c r="C92" s="55">
        <f>SUM(C84)</f>
        <v>1718.84</v>
      </c>
      <c r="D92" s="55">
        <f t="shared" ref="D92:F92" si="29">SUM(D84)</f>
        <v>0</v>
      </c>
      <c r="E92" s="55">
        <f t="shared" si="29"/>
        <v>0</v>
      </c>
      <c r="F92" s="55">
        <f t="shared" si="29"/>
        <v>0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42"/>
  <sheetViews>
    <sheetView topLeftCell="A118" zoomScaleNormal="100" workbookViewId="0">
      <selection activeCell="A131" sqref="A131"/>
    </sheetView>
  </sheetViews>
  <sheetFormatPr defaultRowHeight="15" x14ac:dyDescent="0.25"/>
  <cols>
    <col min="1" max="1" width="96.28515625" style="79" customWidth="1"/>
    <col min="2" max="2" width="13" style="96" customWidth="1"/>
    <col min="3" max="3" width="1" style="30" customWidth="1"/>
    <col min="4" max="4" width="14.28515625" style="98" customWidth="1"/>
    <col min="5" max="5" width="12.42578125" customWidth="1"/>
    <col min="6" max="6" width="10.5703125" customWidth="1"/>
  </cols>
  <sheetData>
    <row r="1" spans="1:6" x14ac:dyDescent="0.25">
      <c r="A1" s="97" t="s">
        <v>47</v>
      </c>
      <c r="B1" s="75" t="s">
        <v>57</v>
      </c>
    </row>
    <row r="2" spans="1:6" x14ac:dyDescent="0.25">
      <c r="A2" s="2" t="s">
        <v>3</v>
      </c>
      <c r="B2" s="76" t="s">
        <v>33</v>
      </c>
      <c r="C2" s="2" t="s">
        <v>34</v>
      </c>
      <c r="D2" s="2" t="s">
        <v>35</v>
      </c>
    </row>
    <row r="3" spans="1:6" ht="25.5" customHeight="1" x14ac:dyDescent="0.25">
      <c r="A3" s="41" t="s">
        <v>31</v>
      </c>
      <c r="B3" s="77">
        <f>B4+B5</f>
        <v>25624.3</v>
      </c>
      <c r="C3" s="45">
        <f t="shared" ref="C3:D3" si="0" xml:space="preserve"> SUM(C6,C8,C10,C13,)</f>
        <v>103</v>
      </c>
      <c r="D3" s="45">
        <f t="shared" si="0"/>
        <v>0</v>
      </c>
      <c r="E3" t="s">
        <v>64</v>
      </c>
    </row>
    <row r="4" spans="1:6" ht="10.5" customHeight="1" x14ac:dyDescent="0.25">
      <c r="A4" s="46" t="s">
        <v>1</v>
      </c>
      <c r="B4" s="77">
        <f t="shared" ref="B4:D4" si="1">SUM(B11)</f>
        <v>17300</v>
      </c>
      <c r="C4" s="45">
        <f t="shared" si="1"/>
        <v>0</v>
      </c>
      <c r="D4" s="45">
        <f t="shared" si="1"/>
        <v>0</v>
      </c>
      <c r="E4">
        <v>17300000</v>
      </c>
      <c r="F4" s="63">
        <f>E4-B4</f>
        <v>17282700</v>
      </c>
    </row>
    <row r="5" spans="1:6" ht="11.25" customHeight="1" x14ac:dyDescent="0.25">
      <c r="A5" s="46" t="s">
        <v>2</v>
      </c>
      <c r="B5" s="77">
        <f>B7+B9+B14+B17</f>
        <v>8324.2999999999993</v>
      </c>
      <c r="C5" s="45">
        <f t="shared" ref="C5" si="2">SUM(C7,C9,C12,C14,)</f>
        <v>103</v>
      </c>
      <c r="D5" s="45">
        <f>SUM(D7,D9,D12,D14,)</f>
        <v>0</v>
      </c>
      <c r="E5">
        <v>8324300</v>
      </c>
      <c r="F5" s="63">
        <f>E5-B5</f>
        <v>8315975.7000000002</v>
      </c>
    </row>
    <row r="6" spans="1:6" ht="26.25" customHeight="1" x14ac:dyDescent="0.25">
      <c r="A6" s="56" t="s">
        <v>63</v>
      </c>
      <c r="B6" s="78">
        <f t="shared" ref="B6:C6" si="3">SUM(B7)</f>
        <v>1016</v>
      </c>
      <c r="C6" s="65">
        <f t="shared" si="3"/>
        <v>0</v>
      </c>
      <c r="D6" s="65"/>
    </row>
    <row r="7" spans="1:6" ht="12.75" customHeight="1" x14ac:dyDescent="0.25">
      <c r="A7" s="10" t="s">
        <v>4</v>
      </c>
      <c r="B7" s="79">
        <v>1016</v>
      </c>
      <c r="C7" s="1"/>
      <c r="D7" s="4"/>
    </row>
    <row r="8" spans="1:6" ht="27.75" customHeight="1" x14ac:dyDescent="0.25">
      <c r="A8" s="80" t="s">
        <v>77</v>
      </c>
      <c r="B8" s="78">
        <f t="shared" ref="B8:C8" si="4">SUM(B9)</f>
        <v>473.1</v>
      </c>
      <c r="C8" s="65">
        <f t="shared" si="4"/>
        <v>0</v>
      </c>
      <c r="D8" s="65"/>
    </row>
    <row r="9" spans="1:6" ht="12.75" customHeight="1" x14ac:dyDescent="0.25">
      <c r="A9" s="11" t="s">
        <v>7</v>
      </c>
      <c r="B9" s="81">
        <v>473.1</v>
      </c>
      <c r="C9" s="1"/>
      <c r="D9" s="4"/>
    </row>
    <row r="10" spans="1:6" ht="27" customHeight="1" x14ac:dyDescent="0.25">
      <c r="A10" s="80" t="s">
        <v>78</v>
      </c>
      <c r="B10" s="78">
        <f t="shared" ref="B10:C10" si="5">SUM(B11,B12)</f>
        <v>17300</v>
      </c>
      <c r="C10" s="65">
        <f t="shared" si="5"/>
        <v>0</v>
      </c>
      <c r="D10" s="65"/>
    </row>
    <row r="11" spans="1:6" ht="10.5" customHeight="1" x14ac:dyDescent="0.25">
      <c r="A11" s="12" t="s">
        <v>6</v>
      </c>
      <c r="B11" s="82">
        <v>17300</v>
      </c>
      <c r="C11" s="1"/>
      <c r="D11" s="4"/>
    </row>
    <row r="12" spans="1:6" ht="11.25" customHeight="1" x14ac:dyDescent="0.25">
      <c r="A12" s="11" t="s">
        <v>7</v>
      </c>
      <c r="B12" s="81"/>
      <c r="C12" s="1"/>
      <c r="D12" s="4"/>
    </row>
    <row r="13" spans="1:6" ht="25.5" customHeight="1" x14ac:dyDescent="0.25">
      <c r="A13" s="80" t="s">
        <v>79</v>
      </c>
      <c r="B13" s="78">
        <f t="shared" ref="B13:C13" si="6">SUM(B14)</f>
        <v>254</v>
      </c>
      <c r="C13" s="65">
        <f t="shared" si="6"/>
        <v>103</v>
      </c>
      <c r="D13" s="65"/>
    </row>
    <row r="14" spans="1:6" ht="13.5" customHeight="1" x14ac:dyDescent="0.25">
      <c r="A14" s="11" t="s">
        <v>7</v>
      </c>
      <c r="B14" s="76">
        <v>254</v>
      </c>
      <c r="C14" s="44">
        <v>103</v>
      </c>
      <c r="D14" s="44">
        <v>0</v>
      </c>
    </row>
    <row r="15" spans="1:6" ht="27.75" customHeight="1" x14ac:dyDescent="0.25">
      <c r="A15" s="80" t="s">
        <v>80</v>
      </c>
      <c r="B15" s="78">
        <f>SUM(B16:B17)</f>
        <v>6581.2</v>
      </c>
      <c r="C15" s="65"/>
      <c r="D15" s="65"/>
    </row>
    <row r="16" spans="1:6" ht="13.5" customHeight="1" x14ac:dyDescent="0.25">
      <c r="A16" s="12" t="s">
        <v>6</v>
      </c>
      <c r="B16" s="76"/>
      <c r="C16" s="44"/>
      <c r="D16" s="44"/>
    </row>
    <row r="17" spans="1:4" ht="13.5" customHeight="1" x14ac:dyDescent="0.25">
      <c r="A17" s="11" t="s">
        <v>7</v>
      </c>
      <c r="B17" s="76">
        <v>6581.2</v>
      </c>
      <c r="C17" s="44"/>
      <c r="D17" s="44"/>
    </row>
    <row r="18" spans="1:4" ht="32.25" customHeight="1" x14ac:dyDescent="0.25">
      <c r="A18" s="41" t="s">
        <v>72</v>
      </c>
      <c r="B18" s="77">
        <f>B19+B20</f>
        <v>195233.8</v>
      </c>
      <c r="C18" s="73"/>
      <c r="D18" s="73"/>
    </row>
    <row r="19" spans="1:4" ht="13.5" customHeight="1" x14ac:dyDescent="0.25">
      <c r="A19" s="46" t="s">
        <v>1</v>
      </c>
      <c r="B19" s="77">
        <v>34125</v>
      </c>
      <c r="C19" s="73"/>
      <c r="D19" s="73"/>
    </row>
    <row r="20" spans="1:4" ht="13.5" customHeight="1" x14ac:dyDescent="0.25">
      <c r="A20" s="46" t="s">
        <v>2</v>
      </c>
      <c r="B20" s="77">
        <v>161108.79999999999</v>
      </c>
      <c r="C20" s="73"/>
      <c r="D20" s="73"/>
    </row>
    <row r="21" spans="1:4" ht="31.5" customHeight="1" x14ac:dyDescent="0.25">
      <c r="A21" s="74" t="s">
        <v>73</v>
      </c>
      <c r="B21" s="78"/>
      <c r="C21" s="65"/>
      <c r="D21" s="65"/>
    </row>
    <row r="22" spans="1:4" ht="44.25" customHeight="1" x14ac:dyDescent="0.25">
      <c r="A22" s="61" t="s">
        <v>74</v>
      </c>
      <c r="B22" s="78"/>
      <c r="C22" s="65"/>
      <c r="D22" s="65"/>
    </row>
    <row r="23" spans="1:4" ht="33" customHeight="1" x14ac:dyDescent="0.25">
      <c r="A23" s="61" t="s">
        <v>75</v>
      </c>
      <c r="B23" s="78"/>
      <c r="C23" s="65"/>
      <c r="D23" s="65"/>
    </row>
    <row r="24" spans="1:4" ht="32.25" customHeight="1" x14ac:dyDescent="0.25">
      <c r="A24" s="61" t="s">
        <v>76</v>
      </c>
      <c r="B24" s="78"/>
      <c r="C24" s="65"/>
      <c r="D24" s="65"/>
    </row>
    <row r="25" spans="1:4" ht="13.5" customHeight="1" x14ac:dyDescent="0.25">
      <c r="A25" s="34" t="s">
        <v>81</v>
      </c>
      <c r="B25" s="83">
        <f>SUM(B26:B29)</f>
        <v>0</v>
      </c>
      <c r="C25" s="33">
        <f xml:space="preserve"> SUM(C26:C28:C29)</f>
        <v>0</v>
      </c>
      <c r="D25" s="33">
        <f xml:space="preserve"> SUM(D26:D28:D29)</f>
        <v>0</v>
      </c>
    </row>
    <row r="26" spans="1:4" ht="9.75" customHeight="1" x14ac:dyDescent="0.25">
      <c r="A26" s="34" t="s">
        <v>8</v>
      </c>
      <c r="B26" s="84"/>
      <c r="C26" s="99"/>
      <c r="D26" s="36">
        <f>SUM(D31,D36,D40)</f>
        <v>0</v>
      </c>
    </row>
    <row r="27" spans="1:4" ht="11.25" customHeight="1" x14ac:dyDescent="0.25">
      <c r="A27" s="34" t="s">
        <v>10</v>
      </c>
      <c r="B27" s="84"/>
      <c r="C27" s="99"/>
      <c r="D27" s="36">
        <f t="shared" ref="D27:D28" si="7">SUM(D32,D37,D41)</f>
        <v>0</v>
      </c>
    </row>
    <row r="28" spans="1:4" ht="12" customHeight="1" x14ac:dyDescent="0.25">
      <c r="A28" s="34" t="s">
        <v>11</v>
      </c>
      <c r="B28" s="84"/>
      <c r="C28" s="99"/>
      <c r="D28" s="36">
        <f t="shared" si="7"/>
        <v>0</v>
      </c>
    </row>
    <row r="29" spans="1:4" ht="9.75" customHeight="1" x14ac:dyDescent="0.25">
      <c r="A29" s="34" t="s">
        <v>18</v>
      </c>
      <c r="B29" s="84"/>
      <c r="C29" s="99"/>
      <c r="D29" s="36">
        <f>SUM(D34,D39,)</f>
        <v>0</v>
      </c>
    </row>
    <row r="30" spans="1:4" ht="23.25" customHeight="1" x14ac:dyDescent="0.25">
      <c r="A30" s="47" t="s">
        <v>15</v>
      </c>
      <c r="B30" s="84"/>
      <c r="C30" s="1"/>
      <c r="D30" s="4"/>
    </row>
    <row r="31" spans="1:4" ht="10.5" customHeight="1" x14ac:dyDescent="0.25">
      <c r="A31" s="12" t="s">
        <v>8</v>
      </c>
      <c r="B31" s="84"/>
      <c r="C31" s="1"/>
      <c r="D31" s="4"/>
    </row>
    <row r="32" spans="1:4" ht="11.25" customHeight="1" x14ac:dyDescent="0.25">
      <c r="A32" s="12" t="s">
        <v>10</v>
      </c>
      <c r="B32" s="84"/>
      <c r="C32" s="1"/>
      <c r="D32" s="4"/>
    </row>
    <row r="33" spans="1:5" ht="10.5" customHeight="1" x14ac:dyDescent="0.25">
      <c r="A33" s="12" t="s">
        <v>11</v>
      </c>
      <c r="B33" s="84"/>
      <c r="C33" s="1"/>
      <c r="D33" s="4"/>
    </row>
    <row r="34" spans="1:5" ht="11.25" customHeight="1" x14ac:dyDescent="0.25">
      <c r="A34" s="12" t="s">
        <v>18</v>
      </c>
      <c r="B34" s="84"/>
      <c r="C34" s="1"/>
      <c r="D34" s="4"/>
    </row>
    <row r="35" spans="1:5" ht="23.25" customHeight="1" x14ac:dyDescent="0.25">
      <c r="A35" s="47" t="s">
        <v>16</v>
      </c>
      <c r="B35" s="84"/>
      <c r="C35" s="1"/>
      <c r="D35" s="4"/>
    </row>
    <row r="36" spans="1:5" ht="11.25" customHeight="1" x14ac:dyDescent="0.25">
      <c r="A36" s="12" t="s">
        <v>8</v>
      </c>
      <c r="B36" s="84"/>
      <c r="C36" s="1"/>
      <c r="D36" s="4"/>
    </row>
    <row r="37" spans="1:5" ht="11.25" customHeight="1" x14ac:dyDescent="0.25">
      <c r="A37" s="12" t="s">
        <v>10</v>
      </c>
      <c r="B37" s="84"/>
      <c r="C37" s="1"/>
      <c r="D37" s="4"/>
    </row>
    <row r="38" spans="1:5" ht="9.75" customHeight="1" x14ac:dyDescent="0.25">
      <c r="A38" s="12" t="s">
        <v>11</v>
      </c>
      <c r="B38" s="84"/>
      <c r="C38" s="1"/>
      <c r="D38" s="4"/>
    </row>
    <row r="39" spans="1:5" ht="27" customHeight="1" x14ac:dyDescent="0.25">
      <c r="A39" s="47" t="s">
        <v>17</v>
      </c>
      <c r="B39" s="84"/>
      <c r="C39" s="1"/>
      <c r="D39" s="4"/>
    </row>
    <row r="40" spans="1:5" ht="12" customHeight="1" x14ac:dyDescent="0.25">
      <c r="A40" s="12" t="s">
        <v>8</v>
      </c>
      <c r="B40" s="84"/>
      <c r="C40" s="1"/>
      <c r="D40" s="4"/>
    </row>
    <row r="41" spans="1:5" ht="9" customHeight="1" x14ac:dyDescent="0.25">
      <c r="A41" s="12" t="s">
        <v>10</v>
      </c>
      <c r="B41" s="84"/>
      <c r="C41" s="1"/>
      <c r="D41" s="4"/>
    </row>
    <row r="42" spans="1:5" ht="10.5" customHeight="1" x14ac:dyDescent="0.25">
      <c r="A42" s="12" t="s">
        <v>11</v>
      </c>
      <c r="B42" s="84"/>
      <c r="C42" s="1"/>
      <c r="D42" s="4"/>
    </row>
    <row r="43" spans="1:5" ht="13.5" customHeight="1" x14ac:dyDescent="0.25">
      <c r="A43" s="34" t="s">
        <v>82</v>
      </c>
      <c r="B43" s="85">
        <f xml:space="preserve"> SUM(B44:B47)</f>
        <v>623928.19999999995</v>
      </c>
      <c r="C43" s="33" t="e">
        <f xml:space="preserve"> SUM(C45:C47)</f>
        <v>#REF!</v>
      </c>
      <c r="D43" s="33" t="e">
        <f xml:space="preserve"> SUM(D45:D47)</f>
        <v>#REF!</v>
      </c>
    </row>
    <row r="44" spans="1:5" ht="10.5" customHeight="1" x14ac:dyDescent="0.25">
      <c r="A44" s="34" t="s">
        <v>48</v>
      </c>
      <c r="B44" s="85">
        <f>B49</f>
        <v>1571.7</v>
      </c>
      <c r="C44" s="33"/>
      <c r="D44" s="33"/>
    </row>
    <row r="45" spans="1:5" ht="12.75" customHeight="1" x14ac:dyDescent="0.25">
      <c r="A45" s="34" t="s">
        <v>8</v>
      </c>
      <c r="B45" s="85">
        <f>B50</f>
        <v>315300.09999999998</v>
      </c>
      <c r="C45" s="35" t="e">
        <f>SUM(C50,C55,C60,C64,C69,#REF!,#REF!,C77,)</f>
        <v>#REF!</v>
      </c>
      <c r="D45" s="35" t="e">
        <f>SUM(D50,D55,D60,D64,D69,#REF!,#REF!,D77,)</f>
        <v>#REF!</v>
      </c>
    </row>
    <row r="46" spans="1:5" ht="12" customHeight="1" x14ac:dyDescent="0.25">
      <c r="A46" s="34" t="s">
        <v>9</v>
      </c>
      <c r="B46" s="85">
        <f>B51</f>
        <v>287406.40000000002</v>
      </c>
      <c r="C46" s="35">
        <f>SUM(C51,C56,C61,C70,C73,C75,C78,)</f>
        <v>0</v>
      </c>
      <c r="D46" s="35">
        <f>SUM(D51,D56,D61,D70,D73,D75,D78,)</f>
        <v>0</v>
      </c>
    </row>
    <row r="47" spans="1:5" ht="12.75" customHeight="1" x14ac:dyDescent="0.25">
      <c r="A47" s="34" t="s">
        <v>11</v>
      </c>
      <c r="B47" s="85">
        <f>B52</f>
        <v>19650</v>
      </c>
      <c r="C47" s="35" t="e">
        <f>SUM(C52,C57,C62,C71,#REF!,#REF!,C79,)</f>
        <v>#REF!</v>
      </c>
      <c r="D47" s="35" t="e">
        <f>SUM(D52,D57,D62,D71,#REF!,#REF!,D79,)</f>
        <v>#REF!</v>
      </c>
    </row>
    <row r="48" spans="1:5" ht="13.5" customHeight="1" x14ac:dyDescent="0.25">
      <c r="A48" s="56" t="s">
        <v>50</v>
      </c>
      <c r="B48" s="78">
        <f xml:space="preserve"> SUM(B49:B52)</f>
        <v>623928.19999999995</v>
      </c>
      <c r="C48" s="58">
        <f xml:space="preserve"> SUM(C50:C52)</f>
        <v>0</v>
      </c>
      <c r="D48" s="58"/>
      <c r="E48" t="s">
        <v>68</v>
      </c>
    </row>
    <row r="49" spans="1:6" ht="13.5" customHeight="1" x14ac:dyDescent="0.25">
      <c r="A49" s="27" t="s">
        <v>48</v>
      </c>
      <c r="B49" s="86">
        <f>B54</f>
        <v>1571.7</v>
      </c>
      <c r="C49" s="8"/>
      <c r="D49" s="8"/>
      <c r="E49">
        <v>1571.7</v>
      </c>
      <c r="F49" s="63"/>
    </row>
    <row r="50" spans="1:6" ht="12" customHeight="1" x14ac:dyDescent="0.25">
      <c r="A50" s="15" t="s">
        <v>8</v>
      </c>
      <c r="B50" s="86">
        <f>B55+B60+B64+B69+B77</f>
        <v>315300.09999999998</v>
      </c>
      <c r="C50" s="1"/>
      <c r="D50" s="4"/>
      <c r="E50">
        <v>345400.1</v>
      </c>
      <c r="F50" s="63"/>
    </row>
    <row r="51" spans="1:6" ht="14.25" customHeight="1" x14ac:dyDescent="0.25">
      <c r="A51" s="15" t="s">
        <v>10</v>
      </c>
      <c r="B51" s="86">
        <f>B56+B61+B65+B67+B70+B73+B75+B78</f>
        <v>287406.40000000002</v>
      </c>
      <c r="C51" s="1"/>
      <c r="D51" s="4"/>
      <c r="E51">
        <v>257306.4</v>
      </c>
      <c r="F51" s="63"/>
    </row>
    <row r="52" spans="1:6" ht="12" customHeight="1" x14ac:dyDescent="0.25">
      <c r="A52" s="15" t="s">
        <v>11</v>
      </c>
      <c r="B52" s="86">
        <f>B57+B62+B71+B79</f>
        <v>19650</v>
      </c>
      <c r="C52" s="1"/>
      <c r="D52" s="4"/>
      <c r="E52">
        <v>19650</v>
      </c>
      <c r="F52" s="63"/>
    </row>
    <row r="53" spans="1:6" ht="12" customHeight="1" x14ac:dyDescent="0.25">
      <c r="A53" s="56" t="s">
        <v>51</v>
      </c>
      <c r="B53" s="78">
        <f>SUM(B54:B57)</f>
        <v>146381.70000000001</v>
      </c>
      <c r="C53" s="57">
        <f>SUM(C55,C56,C57)</f>
        <v>0</v>
      </c>
      <c r="D53" s="57"/>
    </row>
    <row r="54" spans="1:6" ht="12" customHeight="1" x14ac:dyDescent="0.25">
      <c r="A54" s="27" t="s">
        <v>49</v>
      </c>
      <c r="B54" s="76">
        <f>B59</f>
        <v>1571.7</v>
      </c>
      <c r="C54" s="18"/>
      <c r="D54" s="18"/>
    </row>
    <row r="55" spans="1:6" ht="12" customHeight="1" x14ac:dyDescent="0.25">
      <c r="A55" s="15" t="s">
        <v>8</v>
      </c>
      <c r="B55" s="86">
        <v>63860</v>
      </c>
      <c r="C55" s="1"/>
      <c r="D55" s="4"/>
    </row>
    <row r="56" spans="1:6" ht="11.25" customHeight="1" x14ac:dyDescent="0.25">
      <c r="A56" s="15" t="s">
        <v>10</v>
      </c>
      <c r="B56" s="86">
        <v>65450</v>
      </c>
      <c r="C56" s="1"/>
      <c r="D56" s="4"/>
    </row>
    <row r="57" spans="1:6" ht="12" customHeight="1" x14ac:dyDescent="0.25">
      <c r="A57" s="15" t="s">
        <v>11</v>
      </c>
      <c r="B57" s="86">
        <v>15500</v>
      </c>
      <c r="C57" s="1"/>
      <c r="D57" s="4"/>
    </row>
    <row r="58" spans="1:6" ht="14.25" customHeight="1" x14ac:dyDescent="0.25">
      <c r="A58" s="56" t="s">
        <v>52</v>
      </c>
      <c r="B58" s="78">
        <f>SUM(B59:B62)</f>
        <v>351136.5</v>
      </c>
      <c r="C58" s="57">
        <f>SUM(C60,C61,C62)</f>
        <v>0</v>
      </c>
      <c r="D58" s="57"/>
    </row>
    <row r="59" spans="1:6" ht="14.25" customHeight="1" x14ac:dyDescent="0.25">
      <c r="A59" s="27" t="s">
        <v>49</v>
      </c>
      <c r="B59" s="87">
        <v>1571.7</v>
      </c>
      <c r="C59" s="18"/>
      <c r="D59" s="18"/>
    </row>
    <row r="60" spans="1:6" ht="12.75" customHeight="1" x14ac:dyDescent="0.25">
      <c r="A60" s="15" t="s">
        <v>8</v>
      </c>
      <c r="B60" s="87">
        <v>242832.1</v>
      </c>
      <c r="C60" s="1"/>
      <c r="D60" s="4"/>
    </row>
    <row r="61" spans="1:6" ht="12" customHeight="1" x14ac:dyDescent="0.25">
      <c r="A61" s="15" t="s">
        <v>10</v>
      </c>
      <c r="B61" s="87">
        <v>105232.7</v>
      </c>
      <c r="C61" s="1"/>
      <c r="D61" s="4"/>
    </row>
    <row r="62" spans="1:6" ht="11.25" customHeight="1" x14ac:dyDescent="0.25">
      <c r="A62" s="15" t="s">
        <v>11</v>
      </c>
      <c r="B62" s="72">
        <v>1500</v>
      </c>
      <c r="C62" s="1"/>
      <c r="D62" s="4"/>
    </row>
    <row r="63" spans="1:6" ht="27" customHeight="1" x14ac:dyDescent="0.25">
      <c r="A63" s="56" t="s">
        <v>53</v>
      </c>
      <c r="B63" s="88">
        <f xml:space="preserve"> SUM(B64:B65)</f>
        <v>9398</v>
      </c>
      <c r="C63" s="59">
        <f xml:space="preserve"> SUM(C64)</f>
        <v>0</v>
      </c>
      <c r="D63" s="59"/>
    </row>
    <row r="64" spans="1:6" ht="15" customHeight="1" x14ac:dyDescent="0.25">
      <c r="A64" s="24" t="s">
        <v>12</v>
      </c>
      <c r="B64" s="87">
        <v>1200</v>
      </c>
      <c r="C64" s="1"/>
      <c r="D64" s="4"/>
    </row>
    <row r="65" spans="1:5" ht="15" customHeight="1" x14ac:dyDescent="0.25">
      <c r="A65" s="15" t="s">
        <v>10</v>
      </c>
      <c r="B65" s="72">
        <v>8198</v>
      </c>
      <c r="C65" s="1"/>
      <c r="D65" s="4"/>
    </row>
    <row r="66" spans="1:5" ht="27" x14ac:dyDescent="0.25">
      <c r="A66" s="56" t="s">
        <v>54</v>
      </c>
      <c r="B66" s="78">
        <f>SUM(B67)</f>
        <v>23200</v>
      </c>
      <c r="C66" s="58">
        <f xml:space="preserve"> SUM(C69:C71)</f>
        <v>0</v>
      </c>
      <c r="D66" s="58"/>
    </row>
    <row r="67" spans="1:5" ht="17.25" customHeight="1" x14ac:dyDescent="0.25">
      <c r="A67" s="15" t="s">
        <v>10</v>
      </c>
      <c r="B67" s="72">
        <v>23200</v>
      </c>
      <c r="C67" s="1"/>
      <c r="D67" s="4"/>
    </row>
    <row r="68" spans="1:5" ht="25.5" x14ac:dyDescent="0.25">
      <c r="A68" s="60" t="s">
        <v>55</v>
      </c>
      <c r="B68" s="78">
        <f>SUM(B69:B71)</f>
        <v>6150</v>
      </c>
      <c r="C68" s="58"/>
      <c r="D68" s="58"/>
    </row>
    <row r="69" spans="1:5" ht="12" customHeight="1" x14ac:dyDescent="0.25">
      <c r="A69" s="15" t="s">
        <v>8</v>
      </c>
      <c r="B69" s="87">
        <v>4000</v>
      </c>
      <c r="C69" s="1"/>
      <c r="D69" s="4"/>
    </row>
    <row r="70" spans="1:5" ht="12" customHeight="1" x14ac:dyDescent="0.25">
      <c r="A70" s="15" t="s">
        <v>10</v>
      </c>
      <c r="B70" s="87">
        <v>2000</v>
      </c>
      <c r="C70" s="1"/>
      <c r="D70" s="4"/>
    </row>
    <row r="71" spans="1:5" ht="12.75" customHeight="1" x14ac:dyDescent="0.25">
      <c r="A71" s="15" t="s">
        <v>11</v>
      </c>
      <c r="B71" s="87">
        <v>150</v>
      </c>
      <c r="C71" s="1"/>
      <c r="D71" s="4"/>
    </row>
    <row r="72" spans="1:5" ht="29.25" customHeight="1" x14ac:dyDescent="0.25">
      <c r="A72" s="56" t="s">
        <v>27</v>
      </c>
      <c r="B72" s="78">
        <f xml:space="preserve"> SUM(B73:B73)</f>
        <v>3108</v>
      </c>
      <c r="C72" s="58">
        <f xml:space="preserve"> SUM(C73:C73)</f>
        <v>0</v>
      </c>
      <c r="D72" s="58"/>
    </row>
    <row r="73" spans="1:5" ht="12" customHeight="1" x14ac:dyDescent="0.25">
      <c r="A73" s="15" t="s">
        <v>10</v>
      </c>
      <c r="B73" s="72">
        <v>3108</v>
      </c>
      <c r="C73" s="1"/>
      <c r="D73" s="4"/>
    </row>
    <row r="74" spans="1:5" ht="39.75" customHeight="1" x14ac:dyDescent="0.25">
      <c r="A74" s="56" t="s">
        <v>28</v>
      </c>
      <c r="B74" s="88">
        <f>SUM(B75)</f>
        <v>98</v>
      </c>
      <c r="C74" s="61">
        <f>SUM(C75)</f>
        <v>0</v>
      </c>
      <c r="D74" s="61"/>
    </row>
    <row r="75" spans="1:5" ht="14.25" customHeight="1" x14ac:dyDescent="0.25">
      <c r="A75" s="15" t="s">
        <v>10</v>
      </c>
      <c r="B75" s="72">
        <v>98</v>
      </c>
      <c r="C75" s="1"/>
      <c r="D75" s="4"/>
    </row>
    <row r="76" spans="1:5" ht="26.25" customHeight="1" x14ac:dyDescent="0.25">
      <c r="A76" s="62" t="s">
        <v>56</v>
      </c>
      <c r="B76" s="88">
        <f>SUM(B77,B78,B79)</f>
        <v>86027.7</v>
      </c>
      <c r="C76" s="61">
        <f t="shared" ref="C76" si="8">SUM(C77,C78,C79)</f>
        <v>0</v>
      </c>
      <c r="D76" s="61"/>
    </row>
    <row r="77" spans="1:5" ht="12.75" customHeight="1" x14ac:dyDescent="0.25">
      <c r="A77" s="15" t="s">
        <v>8</v>
      </c>
      <c r="B77" s="87">
        <v>3408</v>
      </c>
      <c r="C77" s="1"/>
      <c r="D77" s="4"/>
    </row>
    <row r="78" spans="1:5" ht="12.75" customHeight="1" x14ac:dyDescent="0.25">
      <c r="A78" s="15" t="s">
        <v>10</v>
      </c>
      <c r="B78" s="87">
        <v>80119.7</v>
      </c>
      <c r="C78" s="1"/>
      <c r="D78" s="4"/>
    </row>
    <row r="79" spans="1:5" ht="12" customHeight="1" x14ac:dyDescent="0.25">
      <c r="A79" s="15" t="s">
        <v>11</v>
      </c>
      <c r="B79" s="87">
        <v>2500</v>
      </c>
      <c r="C79" s="1"/>
      <c r="D79" s="4"/>
    </row>
    <row r="80" spans="1:5" s="50" customFormat="1" ht="24" customHeight="1" x14ac:dyDescent="0.2">
      <c r="A80" s="41" t="s">
        <v>83</v>
      </c>
      <c r="B80" s="77">
        <f>SUM(B81:B83)</f>
        <v>74358.399999999994</v>
      </c>
      <c r="C80" s="36">
        <f t="shared" ref="C80:D82" si="9">SUM(C84,C88)</f>
        <v>0</v>
      </c>
      <c r="D80" s="36">
        <f t="shared" si="9"/>
        <v>0</v>
      </c>
      <c r="E80" s="50" t="s">
        <v>58</v>
      </c>
    </row>
    <row r="81" spans="1:5" s="50" customFormat="1" ht="12" customHeight="1" x14ac:dyDescent="0.2">
      <c r="A81" s="37" t="s">
        <v>8</v>
      </c>
      <c r="B81" s="77">
        <f>B85+B89+B93+B97</f>
        <v>11000.2</v>
      </c>
      <c r="C81" s="36">
        <f t="shared" si="9"/>
        <v>0</v>
      </c>
      <c r="D81" s="36">
        <f t="shared" si="9"/>
        <v>0</v>
      </c>
    </row>
    <row r="82" spans="1:5" s="50" customFormat="1" ht="10.5" customHeight="1" x14ac:dyDescent="0.2">
      <c r="A82" s="37" t="s">
        <v>10</v>
      </c>
      <c r="B82" s="77">
        <f t="shared" ref="B82:B83" si="10">B86+B90+B94+B98</f>
        <v>63358.2</v>
      </c>
      <c r="C82" s="36">
        <f t="shared" si="9"/>
        <v>0</v>
      </c>
      <c r="D82" s="36">
        <f t="shared" si="9"/>
        <v>0</v>
      </c>
    </row>
    <row r="83" spans="1:5" s="50" customFormat="1" ht="10.5" customHeight="1" x14ac:dyDescent="0.2">
      <c r="A83" s="37" t="s">
        <v>11</v>
      </c>
      <c r="B83" s="77">
        <f t="shared" si="10"/>
        <v>0</v>
      </c>
      <c r="C83" s="99"/>
      <c r="D83" s="49"/>
    </row>
    <row r="84" spans="1:5" ht="24.75" customHeight="1" x14ac:dyDescent="0.25">
      <c r="A84" s="64" t="s">
        <v>59</v>
      </c>
      <c r="B84" s="78">
        <f>SUM(B85:B87)</f>
        <v>37044.199999999997</v>
      </c>
      <c r="C84" s="58">
        <f t="shared" ref="C84" si="11">SUM(C85:C87)</f>
        <v>0</v>
      </c>
      <c r="D84" s="58"/>
      <c r="E84" s="63"/>
    </row>
    <row r="85" spans="1:5" ht="9.75" customHeight="1" x14ac:dyDescent="0.25">
      <c r="A85" s="40" t="s">
        <v>8</v>
      </c>
      <c r="B85" s="81">
        <v>5365.1</v>
      </c>
      <c r="C85" s="1"/>
      <c r="D85" s="8"/>
    </row>
    <row r="86" spans="1:5" ht="11.25" customHeight="1" x14ac:dyDescent="0.25">
      <c r="A86" s="40" t="s">
        <v>10</v>
      </c>
      <c r="B86" s="81">
        <v>31679.1</v>
      </c>
      <c r="C86" s="1"/>
      <c r="D86" s="8"/>
    </row>
    <row r="87" spans="1:5" ht="12" customHeight="1" x14ac:dyDescent="0.25">
      <c r="A87" s="40" t="s">
        <v>11</v>
      </c>
      <c r="B87" s="81">
        <v>0</v>
      </c>
      <c r="C87" s="1"/>
      <c r="D87" s="8"/>
    </row>
    <row r="88" spans="1:5" ht="24.75" customHeight="1" x14ac:dyDescent="0.25">
      <c r="A88" s="89" t="s">
        <v>60</v>
      </c>
      <c r="B88" s="78">
        <f>SUM(B89:B91)</f>
        <v>30555</v>
      </c>
      <c r="C88" s="58">
        <f t="shared" ref="C88" si="12">SUM(C89:C92)</f>
        <v>0</v>
      </c>
      <c r="D88" s="58"/>
    </row>
    <row r="89" spans="1:5" ht="10.5" customHeight="1" x14ac:dyDescent="0.25">
      <c r="A89" s="40" t="s">
        <v>8</v>
      </c>
      <c r="B89" s="81">
        <v>5315</v>
      </c>
      <c r="C89" s="1"/>
      <c r="D89" s="8"/>
    </row>
    <row r="90" spans="1:5" ht="10.5" customHeight="1" x14ac:dyDescent="0.25">
      <c r="A90" s="40" t="s">
        <v>10</v>
      </c>
      <c r="B90" s="81">
        <v>25240</v>
      </c>
      <c r="C90" s="1"/>
      <c r="D90" s="8"/>
    </row>
    <row r="91" spans="1:5" ht="10.5" customHeight="1" x14ac:dyDescent="0.25">
      <c r="A91" s="40" t="s">
        <v>11</v>
      </c>
      <c r="B91" s="81">
        <v>0</v>
      </c>
      <c r="C91" s="1"/>
      <c r="D91" s="8"/>
    </row>
    <row r="92" spans="1:5" ht="12.75" customHeight="1" x14ac:dyDescent="0.25">
      <c r="A92" s="64" t="s">
        <v>61</v>
      </c>
      <c r="B92" s="90">
        <f>SUM(B93:B95)</f>
        <v>9.6</v>
      </c>
      <c r="C92" s="100"/>
      <c r="D92" s="58"/>
    </row>
    <row r="93" spans="1:5" ht="12.75" customHeight="1" x14ac:dyDescent="0.25">
      <c r="A93" s="40" t="s">
        <v>8</v>
      </c>
      <c r="B93" s="81">
        <v>0</v>
      </c>
      <c r="C93" s="1"/>
      <c r="D93" s="8"/>
    </row>
    <row r="94" spans="1:5" ht="12.75" customHeight="1" x14ac:dyDescent="0.25">
      <c r="A94" s="40" t="s">
        <v>10</v>
      </c>
      <c r="B94" s="81">
        <v>9.6</v>
      </c>
      <c r="C94" s="1"/>
      <c r="D94" s="8"/>
    </row>
    <row r="95" spans="1:5" ht="12.75" customHeight="1" x14ac:dyDescent="0.25">
      <c r="A95" s="40" t="s">
        <v>11</v>
      </c>
      <c r="B95" s="81">
        <v>0</v>
      </c>
      <c r="C95" s="1"/>
      <c r="D95" s="8"/>
    </row>
    <row r="96" spans="1:5" ht="12.75" customHeight="1" x14ac:dyDescent="0.25">
      <c r="A96" s="91" t="s">
        <v>62</v>
      </c>
      <c r="B96" s="90">
        <f>SUM(B97:B99)</f>
        <v>6749.6</v>
      </c>
      <c r="C96" s="100"/>
      <c r="D96" s="58"/>
    </row>
    <row r="97" spans="1:5" ht="12.75" customHeight="1" x14ac:dyDescent="0.25">
      <c r="A97" s="92" t="s">
        <v>8</v>
      </c>
      <c r="B97" s="81">
        <v>320.10000000000002</v>
      </c>
      <c r="C97" s="1"/>
      <c r="D97" s="8"/>
    </row>
    <row r="98" spans="1:5" ht="12.75" customHeight="1" x14ac:dyDescent="0.25">
      <c r="A98" s="40" t="s">
        <v>10</v>
      </c>
      <c r="B98" s="81">
        <v>6429.5</v>
      </c>
      <c r="C98" s="1"/>
      <c r="D98" s="8"/>
    </row>
    <row r="99" spans="1:5" ht="11.25" customHeight="1" x14ac:dyDescent="0.25">
      <c r="A99" s="40" t="s">
        <v>11</v>
      </c>
      <c r="B99" s="81">
        <v>0</v>
      </c>
      <c r="C99" s="1"/>
      <c r="D99" s="8"/>
    </row>
    <row r="100" spans="1:5" s="50" customFormat="1" ht="24.75" customHeight="1" x14ac:dyDescent="0.2">
      <c r="A100" s="41" t="s">
        <v>84</v>
      </c>
      <c r="B100" s="85">
        <f t="shared" ref="B100:D100" si="13">SUM(B101:B103)</f>
        <v>3300</v>
      </c>
      <c r="C100" s="33">
        <f t="shared" si="13"/>
        <v>0</v>
      </c>
      <c r="D100" s="71">
        <f t="shared" si="13"/>
        <v>0</v>
      </c>
      <c r="E100" s="50" t="s">
        <v>67</v>
      </c>
    </row>
    <row r="101" spans="1:5" s="50" customFormat="1" ht="11.25" customHeight="1" x14ac:dyDescent="0.2">
      <c r="A101" s="66" t="s">
        <v>13</v>
      </c>
      <c r="B101" s="93">
        <v>117.8</v>
      </c>
      <c r="C101" s="101"/>
      <c r="D101" s="67"/>
    </row>
    <row r="102" spans="1:5" s="50" customFormat="1" ht="11.25" customHeight="1" x14ac:dyDescent="0.2">
      <c r="A102" s="66" t="s">
        <v>36</v>
      </c>
      <c r="B102" s="93">
        <v>230</v>
      </c>
      <c r="C102" s="101"/>
      <c r="D102" s="67"/>
    </row>
    <row r="103" spans="1:5" s="50" customFormat="1" ht="10.5" customHeight="1" x14ac:dyDescent="0.2">
      <c r="A103" s="68" t="s">
        <v>44</v>
      </c>
      <c r="B103" s="93">
        <v>2952.2</v>
      </c>
      <c r="C103" s="101"/>
      <c r="D103" s="67"/>
    </row>
    <row r="104" spans="1:5" ht="25.5" customHeight="1" x14ac:dyDescent="0.25">
      <c r="A104" s="70" t="s">
        <v>85</v>
      </c>
      <c r="B104" s="77">
        <f>B105+B106+B107+B108+B109</f>
        <v>21600</v>
      </c>
      <c r="C104" s="36">
        <f t="shared" ref="C104:D104" si="14">SUM(C105,C106,C107,C108)</f>
        <v>0</v>
      </c>
      <c r="D104" s="36">
        <f t="shared" si="14"/>
        <v>0</v>
      </c>
      <c r="E104" t="s">
        <v>70</v>
      </c>
    </row>
    <row r="105" spans="1:5" ht="11.25" customHeight="1" x14ac:dyDescent="0.25">
      <c r="A105" s="1" t="s">
        <v>19</v>
      </c>
      <c r="B105" s="94">
        <v>13500</v>
      </c>
      <c r="C105" s="1"/>
      <c r="D105" s="4">
        <v>0</v>
      </c>
    </row>
    <row r="106" spans="1:5" ht="12" customHeight="1" x14ac:dyDescent="0.25">
      <c r="A106" s="1" t="s">
        <v>8</v>
      </c>
      <c r="B106" s="94">
        <v>900</v>
      </c>
      <c r="C106" s="1"/>
      <c r="D106" s="4">
        <v>0</v>
      </c>
    </row>
    <row r="107" spans="1:5" ht="12" customHeight="1" x14ac:dyDescent="0.25">
      <c r="A107" s="1" t="s">
        <v>9</v>
      </c>
      <c r="B107" s="94">
        <v>800</v>
      </c>
      <c r="C107" s="1"/>
      <c r="D107" s="4">
        <v>0</v>
      </c>
    </row>
    <row r="108" spans="1:5" ht="12.75" customHeight="1" x14ac:dyDescent="0.25">
      <c r="A108" s="25" t="s">
        <v>11</v>
      </c>
      <c r="B108" s="94"/>
      <c r="C108" s="1"/>
      <c r="D108" s="4">
        <v>0</v>
      </c>
    </row>
    <row r="109" spans="1:5" ht="12.75" customHeight="1" x14ac:dyDescent="0.25">
      <c r="A109" s="25" t="s">
        <v>69</v>
      </c>
      <c r="B109" s="94">
        <v>6400</v>
      </c>
      <c r="C109" s="1"/>
      <c r="D109" s="4"/>
    </row>
    <row r="110" spans="1:5" ht="12.75" customHeight="1" x14ac:dyDescent="0.25">
      <c r="A110" s="70" t="s">
        <v>86</v>
      </c>
      <c r="B110" s="95">
        <f>SUM(B111:B114)</f>
        <v>948</v>
      </c>
      <c r="C110" s="99"/>
      <c r="D110" s="49"/>
      <c r="E110" t="s">
        <v>65</v>
      </c>
    </row>
    <row r="111" spans="1:5" ht="12.75" customHeight="1" x14ac:dyDescent="0.25">
      <c r="A111" s="1" t="s">
        <v>19</v>
      </c>
      <c r="B111" s="81"/>
      <c r="C111" s="1"/>
      <c r="D111" s="4"/>
    </row>
    <row r="112" spans="1:5" ht="12.75" customHeight="1" x14ac:dyDescent="0.25">
      <c r="A112" s="1" t="s">
        <v>8</v>
      </c>
      <c r="B112" s="81"/>
      <c r="C112" s="1"/>
      <c r="D112" s="4"/>
    </row>
    <row r="113" spans="1:6" ht="12.75" customHeight="1" x14ac:dyDescent="0.25">
      <c r="A113" s="1" t="s">
        <v>9</v>
      </c>
      <c r="B113" s="81">
        <v>948</v>
      </c>
      <c r="C113" s="1"/>
      <c r="D113" s="4"/>
    </row>
    <row r="114" spans="1:6" ht="12.75" customHeight="1" x14ac:dyDescent="0.25">
      <c r="A114" s="25" t="s">
        <v>11</v>
      </c>
      <c r="B114" s="81"/>
      <c r="C114" s="1"/>
      <c r="D114" s="4"/>
    </row>
    <row r="115" spans="1:6" ht="12.75" customHeight="1" x14ac:dyDescent="0.25">
      <c r="A115" s="70" t="s">
        <v>87</v>
      </c>
      <c r="B115" s="95">
        <f>SUM(B116:B119)</f>
        <v>3315</v>
      </c>
      <c r="C115" s="99"/>
      <c r="D115" s="49"/>
      <c r="E115" t="s">
        <v>66</v>
      </c>
    </row>
    <row r="116" spans="1:6" ht="12.75" customHeight="1" x14ac:dyDescent="0.25">
      <c r="A116" s="1" t="s">
        <v>19</v>
      </c>
      <c r="B116" s="81"/>
      <c r="C116" s="1"/>
      <c r="D116" s="4"/>
    </row>
    <row r="117" spans="1:6" ht="12.75" customHeight="1" x14ac:dyDescent="0.25">
      <c r="A117" s="1" t="s">
        <v>8</v>
      </c>
      <c r="B117" s="81"/>
      <c r="C117" s="1"/>
      <c r="D117" s="4"/>
    </row>
    <row r="118" spans="1:6" ht="12.75" customHeight="1" x14ac:dyDescent="0.25">
      <c r="A118" s="1" t="s">
        <v>9</v>
      </c>
      <c r="B118" s="81">
        <v>3315</v>
      </c>
      <c r="C118" s="1"/>
      <c r="D118" s="4"/>
    </row>
    <row r="119" spans="1:6" ht="12.75" customHeight="1" x14ac:dyDescent="0.25">
      <c r="A119" s="25" t="s">
        <v>11</v>
      </c>
      <c r="B119" s="81"/>
      <c r="C119" s="1"/>
      <c r="D119" s="4"/>
    </row>
    <row r="120" spans="1:6" ht="24" customHeight="1" x14ac:dyDescent="0.25">
      <c r="A120" s="46" t="s">
        <v>88</v>
      </c>
      <c r="B120" s="95">
        <f>SUM(B121:B124)</f>
        <v>600</v>
      </c>
      <c r="C120" s="37"/>
      <c r="D120" s="36"/>
      <c r="E120">
        <v>600</v>
      </c>
      <c r="F120" t="s">
        <v>65</v>
      </c>
    </row>
    <row r="121" spans="1:6" ht="12.75" customHeight="1" x14ac:dyDescent="0.25">
      <c r="A121" s="1" t="s">
        <v>19</v>
      </c>
      <c r="B121" s="81"/>
      <c r="C121" s="1"/>
      <c r="D121" s="4"/>
    </row>
    <row r="122" spans="1:6" ht="12.75" customHeight="1" x14ac:dyDescent="0.25">
      <c r="A122" s="1" t="s">
        <v>8</v>
      </c>
      <c r="B122" s="81"/>
      <c r="C122" s="1"/>
      <c r="D122" s="4"/>
    </row>
    <row r="123" spans="1:6" ht="12.75" customHeight="1" x14ac:dyDescent="0.25">
      <c r="A123" s="1" t="s">
        <v>9</v>
      </c>
      <c r="B123" s="81">
        <v>600</v>
      </c>
      <c r="C123" s="1"/>
      <c r="D123" s="4"/>
    </row>
    <row r="124" spans="1:6" ht="12.75" customHeight="1" x14ac:dyDescent="0.25">
      <c r="A124" s="25" t="s">
        <v>11</v>
      </c>
      <c r="B124" s="81"/>
      <c r="C124" s="1"/>
      <c r="D124" s="4"/>
    </row>
    <row r="125" spans="1:6" ht="24.75" customHeight="1" x14ac:dyDescent="0.25">
      <c r="A125" s="46" t="s">
        <v>89</v>
      </c>
      <c r="B125" s="95">
        <f>SUM(B126:B129)</f>
        <v>300</v>
      </c>
      <c r="C125" s="99"/>
      <c r="D125" s="49"/>
    </row>
    <row r="126" spans="1:6" ht="12.75" customHeight="1" x14ac:dyDescent="0.25">
      <c r="A126" s="1" t="s">
        <v>19</v>
      </c>
      <c r="B126" s="81"/>
      <c r="C126" s="1"/>
      <c r="D126" s="4"/>
    </row>
    <row r="127" spans="1:6" ht="12.75" customHeight="1" x14ac:dyDescent="0.25">
      <c r="A127" s="1" t="s">
        <v>8</v>
      </c>
      <c r="B127" s="81"/>
      <c r="C127" s="1"/>
      <c r="D127" s="4"/>
    </row>
    <row r="128" spans="1:6" ht="12.75" customHeight="1" x14ac:dyDescent="0.25">
      <c r="A128" s="1" t="s">
        <v>9</v>
      </c>
      <c r="B128" s="81">
        <v>300</v>
      </c>
      <c r="C128" s="1"/>
      <c r="D128" s="4"/>
    </row>
    <row r="129" spans="1:5" ht="12.75" customHeight="1" x14ac:dyDescent="0.25">
      <c r="A129" s="25" t="s">
        <v>11</v>
      </c>
      <c r="B129" s="81"/>
      <c r="C129" s="1"/>
      <c r="D129" s="4"/>
    </row>
    <row r="130" spans="1:5" ht="12.75" customHeight="1" x14ac:dyDescent="0.25">
      <c r="A130" s="69" t="s">
        <v>90</v>
      </c>
      <c r="B130" s="95">
        <f>SUM(B131:B134)</f>
        <v>1294.3</v>
      </c>
      <c r="C130" s="99"/>
      <c r="D130" s="49"/>
      <c r="E130" t="s">
        <v>71</v>
      </c>
    </row>
    <row r="131" spans="1:5" ht="1.5" customHeight="1" x14ac:dyDescent="0.25">
      <c r="A131" s="1" t="s">
        <v>19</v>
      </c>
      <c r="B131" s="81"/>
      <c r="C131" s="1"/>
      <c r="D131" s="4"/>
    </row>
    <row r="132" spans="1:5" ht="12.75" hidden="1" customHeight="1" x14ac:dyDescent="0.25">
      <c r="A132" s="1" t="s">
        <v>8</v>
      </c>
      <c r="B132" s="81"/>
      <c r="C132" s="1"/>
      <c r="D132" s="4"/>
    </row>
    <row r="133" spans="1:5" ht="12.75" hidden="1" customHeight="1" x14ac:dyDescent="0.25">
      <c r="A133" s="1" t="s">
        <v>9</v>
      </c>
      <c r="B133" s="81">
        <v>1294.3</v>
      </c>
      <c r="C133" s="1"/>
      <c r="D133" s="4"/>
    </row>
    <row r="134" spans="1:5" ht="12.75" hidden="1" customHeight="1" x14ac:dyDescent="0.25">
      <c r="A134" s="25" t="s">
        <v>11</v>
      </c>
      <c r="B134" s="81"/>
      <c r="C134" s="1"/>
      <c r="D134" s="4"/>
    </row>
    <row r="135" spans="1:5" ht="13.5" customHeight="1" x14ac:dyDescent="0.25">
      <c r="A135" s="52" t="s">
        <v>45</v>
      </c>
      <c r="B135" s="83">
        <f>SUM(B136:B140)</f>
        <v>950502</v>
      </c>
      <c r="C135" s="53" t="e">
        <f>SUM(C137,C138,C139,#REF!)</f>
        <v>#REF!</v>
      </c>
      <c r="D135" s="53" t="e">
        <f>SUM(D137,D138,D139,#REF!)</f>
        <v>#REF!</v>
      </c>
    </row>
    <row r="136" spans="1:5" ht="13.5" customHeight="1" x14ac:dyDescent="0.25">
      <c r="A136" s="54" t="s">
        <v>20</v>
      </c>
      <c r="B136" s="83">
        <f>B131+B126+B121+B116+B111+B105+B44</f>
        <v>15071.7</v>
      </c>
      <c r="C136" s="53"/>
      <c r="D136" s="53"/>
    </row>
    <row r="137" spans="1:5" ht="12.75" customHeight="1" x14ac:dyDescent="0.25">
      <c r="A137" s="54" t="s">
        <v>8</v>
      </c>
      <c r="B137" s="83">
        <f>B132+B127+B122+B117+B112+B106+B81+B45+B4+B19</f>
        <v>378625.3</v>
      </c>
      <c r="C137" s="53" t="e">
        <f>SUM(C4,C26,C45,C81,C106)</f>
        <v>#REF!</v>
      </c>
      <c r="D137" s="53" t="e">
        <f>SUM(D4,D26,D45,D81,D106)</f>
        <v>#REF!</v>
      </c>
    </row>
    <row r="138" spans="1:5" ht="12" customHeight="1" x14ac:dyDescent="0.25">
      <c r="A138" s="54" t="s">
        <v>10</v>
      </c>
      <c r="B138" s="83">
        <f>B133+B128+B123+B118+B113+B107+B100+B82+B46+B5+B20</f>
        <v>530755</v>
      </c>
      <c r="C138" s="53">
        <f>SUM(C5,C27,C46,C82,C100,C107)</f>
        <v>103</v>
      </c>
      <c r="D138" s="53">
        <f>SUM(D5,D27,D46,D82,D100,D107)</f>
        <v>0</v>
      </c>
    </row>
    <row r="139" spans="1:5" ht="13.5" customHeight="1" x14ac:dyDescent="0.25">
      <c r="A139" s="54" t="s">
        <v>11</v>
      </c>
      <c r="B139" s="83">
        <f>B52+B91+B95+B99+B108+B114+B119+B124+B129+B134</f>
        <v>19650</v>
      </c>
      <c r="C139" s="53" t="e">
        <f>SUM(C28,C47,C83,C108)</f>
        <v>#REF!</v>
      </c>
      <c r="D139" s="53" t="e">
        <f>SUM(D28,D47,D83,D108)</f>
        <v>#REF!</v>
      </c>
    </row>
    <row r="140" spans="1:5" ht="13.5" customHeight="1" x14ac:dyDescent="0.25">
      <c r="A140" s="54" t="str">
        <f>A109</f>
        <v>середства участников программы</v>
      </c>
      <c r="B140" s="83">
        <f>B109</f>
        <v>6400</v>
      </c>
      <c r="C140" s="53">
        <f>SUM(C29,C48,C84,C109)</f>
        <v>0</v>
      </c>
      <c r="D140" s="53">
        <f>SUM(D29,D48,D84,D109)</f>
        <v>0</v>
      </c>
    </row>
    <row r="141" spans="1:5" x14ac:dyDescent="0.25">
      <c r="B141" s="96">
        <f>B142-B135</f>
        <v>0</v>
      </c>
    </row>
    <row r="142" spans="1:5" x14ac:dyDescent="0.25">
      <c r="B142" s="96">
        <f>B130+B125+B120+B115+B110+B104+B100+B80+B43+B3+B18</f>
        <v>950502</v>
      </c>
    </row>
  </sheetData>
  <pageMargins left="0.7" right="0.7" top="0.75" bottom="0.75" header="0.3" footer="0.3"/>
  <pageSetup paperSize="9" scale="56" orientation="portrait" r:id="rId1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06"/>
  <sheetViews>
    <sheetView topLeftCell="A73" zoomScaleNormal="100" workbookViewId="0"/>
  </sheetViews>
  <sheetFormatPr defaultRowHeight="26.25" customHeight="1" x14ac:dyDescent="0.25"/>
  <cols>
    <col min="1" max="1" width="96.28515625" style="310" customWidth="1"/>
    <col min="2" max="2" width="13" style="312" customWidth="1"/>
    <col min="3" max="3" width="14.28515625" style="290" customWidth="1"/>
    <col min="4" max="4" width="11.85546875" style="187" hidden="1" customWidth="1"/>
    <col min="5" max="5" width="10.7109375" style="187" hidden="1" customWidth="1"/>
    <col min="6" max="7" width="12.42578125" style="188" hidden="1" customWidth="1"/>
  </cols>
  <sheetData>
    <row r="1" spans="1:7" ht="26.25" customHeight="1" x14ac:dyDescent="0.3">
      <c r="A1" s="289" t="s">
        <v>151</v>
      </c>
      <c r="B1" s="227" t="s">
        <v>57</v>
      </c>
    </row>
    <row r="2" spans="1:7" ht="26.25" customHeight="1" x14ac:dyDescent="0.25">
      <c r="A2" s="291" t="s">
        <v>3</v>
      </c>
      <c r="B2" s="260" t="s">
        <v>33</v>
      </c>
      <c r="C2" s="291" t="s">
        <v>132</v>
      </c>
      <c r="D2" s="189"/>
      <c r="E2" s="189"/>
      <c r="F2" s="190" t="s">
        <v>102</v>
      </c>
    </row>
    <row r="3" spans="1:7" ht="26.25" customHeight="1" x14ac:dyDescent="0.25">
      <c r="A3" s="292" t="s">
        <v>133</v>
      </c>
      <c r="B3" s="260">
        <f>B4+B5</f>
        <v>25624.2</v>
      </c>
      <c r="C3" s="260">
        <f>C4+C5</f>
        <v>19621.900000000001</v>
      </c>
      <c r="D3" s="254">
        <v>19621.900000000001</v>
      </c>
      <c r="E3" s="191">
        <f>D3-C3</f>
        <v>0</v>
      </c>
      <c r="F3" s="192" t="s">
        <v>103</v>
      </c>
    </row>
    <row r="4" spans="1:7" ht="14.25" customHeight="1" x14ac:dyDescent="0.25">
      <c r="A4" s="292" t="s">
        <v>1</v>
      </c>
      <c r="B4" s="260">
        <f>SUM(B11)</f>
        <v>17300</v>
      </c>
      <c r="C4" s="260">
        <f>SUM(C11)</f>
        <v>14569.3</v>
      </c>
      <c r="D4" s="193"/>
      <c r="E4" s="193"/>
      <c r="F4" s="194">
        <f>G4-B4</f>
        <v>1730</v>
      </c>
      <c r="G4" s="194">
        <v>19030</v>
      </c>
    </row>
    <row r="5" spans="1:7" ht="14.25" customHeight="1" x14ac:dyDescent="0.25">
      <c r="A5" s="292" t="s">
        <v>2</v>
      </c>
      <c r="B5" s="260">
        <f>B7+B9+B13+B15</f>
        <v>8324.2000000000007</v>
      </c>
      <c r="C5" s="260">
        <f>C7+C9+C13+C15</f>
        <v>5052.6000000000004</v>
      </c>
      <c r="D5" s="193"/>
      <c r="E5" s="193"/>
      <c r="F5" s="194">
        <f>G5-B5</f>
        <v>1106.8599999999988</v>
      </c>
      <c r="G5" s="194">
        <v>9431.06</v>
      </c>
    </row>
    <row r="6" spans="1:7" ht="26.25" customHeight="1" x14ac:dyDescent="0.25">
      <c r="A6" s="293" t="s">
        <v>134</v>
      </c>
      <c r="B6" s="260">
        <f t="shared" ref="B6:C6" si="0">SUM(B7)</f>
        <v>1016</v>
      </c>
      <c r="C6" s="260">
        <f t="shared" si="0"/>
        <v>457</v>
      </c>
      <c r="D6" s="195">
        <f>B6+B8+B10+B12+B14</f>
        <v>25624.2</v>
      </c>
      <c r="E6" s="196"/>
    </row>
    <row r="7" spans="1:7" ht="13.5" customHeight="1" x14ac:dyDescent="0.25">
      <c r="A7" s="293" t="s">
        <v>4</v>
      </c>
      <c r="B7" s="294">
        <v>1016</v>
      </c>
      <c r="C7" s="295">
        <v>457</v>
      </c>
      <c r="D7" s="198"/>
      <c r="E7" s="198"/>
    </row>
    <row r="8" spans="1:7" ht="26.25" customHeight="1" x14ac:dyDescent="0.25">
      <c r="A8" s="296" t="s">
        <v>127</v>
      </c>
      <c r="B8" s="260">
        <f t="shared" ref="B8:C8" si="1">SUM(B9)</f>
        <v>473</v>
      </c>
      <c r="C8" s="260">
        <f t="shared" si="1"/>
        <v>100</v>
      </c>
      <c r="D8" s="196"/>
      <c r="E8" s="196"/>
    </row>
    <row r="9" spans="1:7" ht="17.25" customHeight="1" x14ac:dyDescent="0.25">
      <c r="A9" s="297" t="s">
        <v>7</v>
      </c>
      <c r="B9" s="260">
        <v>473</v>
      </c>
      <c r="C9" s="295">
        <v>100</v>
      </c>
      <c r="D9" s="198"/>
      <c r="E9" s="198"/>
    </row>
    <row r="10" spans="1:7" ht="26.25" customHeight="1" x14ac:dyDescent="0.25">
      <c r="A10" s="296" t="s">
        <v>128</v>
      </c>
      <c r="B10" s="260">
        <f>B11</f>
        <v>17300</v>
      </c>
      <c r="C10" s="260">
        <f>C11</f>
        <v>14569.3</v>
      </c>
      <c r="D10" s="196"/>
      <c r="E10" s="196"/>
    </row>
    <row r="11" spans="1:7" ht="15.75" customHeight="1" x14ac:dyDescent="0.25">
      <c r="A11" s="40" t="s">
        <v>6</v>
      </c>
      <c r="B11" s="260">
        <v>17300</v>
      </c>
      <c r="C11" s="295">
        <v>14569.3</v>
      </c>
      <c r="D11" s="198"/>
      <c r="E11" s="198"/>
    </row>
    <row r="12" spans="1:7" ht="24" customHeight="1" x14ac:dyDescent="0.25">
      <c r="A12" s="296" t="s">
        <v>129</v>
      </c>
      <c r="B12" s="260">
        <f t="shared" ref="B12:C12" si="2">SUM(B13)</f>
        <v>254</v>
      </c>
      <c r="C12" s="260">
        <f t="shared" si="2"/>
        <v>128.30000000000001</v>
      </c>
      <c r="D12" s="196"/>
      <c r="E12" s="196"/>
    </row>
    <row r="13" spans="1:7" ht="18" customHeight="1" x14ac:dyDescent="0.25">
      <c r="A13" s="297" t="s">
        <v>7</v>
      </c>
      <c r="B13" s="260">
        <v>254</v>
      </c>
      <c r="C13" s="291">
        <v>128.30000000000001</v>
      </c>
      <c r="D13" s="199"/>
      <c r="E13" s="199"/>
    </row>
    <row r="14" spans="1:7" ht="29.25" customHeight="1" x14ac:dyDescent="0.25">
      <c r="A14" s="296" t="s">
        <v>130</v>
      </c>
      <c r="B14" s="260">
        <f>SUM(B15:B15)</f>
        <v>6581.2</v>
      </c>
      <c r="C14" s="260">
        <f>SUM(C15:C15)</f>
        <v>4367.3</v>
      </c>
      <c r="D14" s="196"/>
      <c r="E14" s="196"/>
    </row>
    <row r="15" spans="1:7" ht="26.25" customHeight="1" x14ac:dyDescent="0.25">
      <c r="A15" s="297" t="s">
        <v>7</v>
      </c>
      <c r="B15" s="260">
        <v>6581.2</v>
      </c>
      <c r="C15" s="291">
        <v>4367.3</v>
      </c>
      <c r="D15" s="199"/>
      <c r="E15" s="199"/>
    </row>
    <row r="16" spans="1:7" ht="31.5" customHeight="1" x14ac:dyDescent="0.25">
      <c r="A16" s="292" t="s">
        <v>144</v>
      </c>
      <c r="B16" s="260">
        <f>SUM(B17:B19)</f>
        <v>47987.600000000006</v>
      </c>
      <c r="C16" s="260">
        <f>SUM(C17:C19)</f>
        <v>35739.599999999999</v>
      </c>
      <c r="D16" s="111">
        <v>35739.599999999999</v>
      </c>
      <c r="E16" s="200">
        <f>D16-C16</f>
        <v>0</v>
      </c>
      <c r="F16" s="192" t="s">
        <v>92</v>
      </c>
      <c r="G16" s="188">
        <f>G17+G18+G19</f>
        <v>47987.600000000006</v>
      </c>
    </row>
    <row r="17" spans="1:7" ht="16.5" customHeight="1" x14ac:dyDescent="0.25">
      <c r="A17" s="298" t="s">
        <v>8</v>
      </c>
      <c r="B17" s="260">
        <f>B21+B25+B29</f>
        <v>2571.4</v>
      </c>
      <c r="C17" s="260">
        <f t="shared" ref="B17:C19" si="3">C21+C25+C29</f>
        <v>1184.5</v>
      </c>
      <c r="D17" s="122"/>
      <c r="E17" s="122"/>
      <c r="F17" s="194">
        <f>G17-B17</f>
        <v>0</v>
      </c>
      <c r="G17" s="188">
        <v>2571.4</v>
      </c>
    </row>
    <row r="18" spans="1:7" ht="18" customHeight="1" x14ac:dyDescent="0.25">
      <c r="A18" s="298" t="s">
        <v>10</v>
      </c>
      <c r="B18" s="260">
        <f t="shared" si="3"/>
        <v>44359.4</v>
      </c>
      <c r="C18" s="260">
        <f t="shared" si="3"/>
        <v>34555.1</v>
      </c>
      <c r="D18" s="125">
        <f>B20+B24+B28</f>
        <v>47987.600000000006</v>
      </c>
      <c r="E18" s="122"/>
      <c r="F18" s="194">
        <f>G18-B18</f>
        <v>0</v>
      </c>
      <c r="G18" s="188">
        <v>44359.4</v>
      </c>
    </row>
    <row r="19" spans="1:7" ht="16.5" customHeight="1" x14ac:dyDescent="0.25">
      <c r="A19" s="298" t="s">
        <v>11</v>
      </c>
      <c r="B19" s="260">
        <f t="shared" si="3"/>
        <v>1056.8</v>
      </c>
      <c r="C19" s="260">
        <f t="shared" si="3"/>
        <v>0</v>
      </c>
      <c r="D19" s="122"/>
      <c r="E19" s="122"/>
      <c r="F19" s="194">
        <f>G19-B19</f>
        <v>0</v>
      </c>
      <c r="G19" s="188">
        <v>1056.8</v>
      </c>
    </row>
    <row r="20" spans="1:7" ht="26.25" customHeight="1" x14ac:dyDescent="0.25">
      <c r="A20" s="299" t="s">
        <v>145</v>
      </c>
      <c r="B20" s="260">
        <f>SUM(B21:B23)</f>
        <v>2176.5</v>
      </c>
      <c r="C20" s="260">
        <f>SUM(C21:C23)</f>
        <v>0</v>
      </c>
      <c r="D20" s="201"/>
      <c r="E20" s="201"/>
    </row>
    <row r="21" spans="1:7" ht="16.5" customHeight="1" x14ac:dyDescent="0.25">
      <c r="A21" s="40" t="s">
        <v>8</v>
      </c>
      <c r="B21" s="260">
        <v>0</v>
      </c>
      <c r="C21" s="295"/>
      <c r="D21" s="198"/>
      <c r="E21" s="198"/>
    </row>
    <row r="22" spans="1:7" ht="17.25" customHeight="1" x14ac:dyDescent="0.25">
      <c r="A22" s="40" t="s">
        <v>10</v>
      </c>
      <c r="B22" s="260">
        <v>2108.5</v>
      </c>
      <c r="C22" s="295"/>
      <c r="D22" s="198"/>
      <c r="E22" s="198"/>
    </row>
    <row r="23" spans="1:7" ht="15" customHeight="1" x14ac:dyDescent="0.25">
      <c r="A23" s="40" t="s">
        <v>11</v>
      </c>
      <c r="B23" s="260">
        <v>68</v>
      </c>
      <c r="C23" s="295"/>
      <c r="D23" s="198"/>
      <c r="E23" s="198"/>
    </row>
    <row r="24" spans="1:7" ht="33" customHeight="1" x14ac:dyDescent="0.25">
      <c r="A24" s="299" t="s">
        <v>146</v>
      </c>
      <c r="B24" s="260">
        <f>SUM(B25:B27)</f>
        <v>170</v>
      </c>
      <c r="C24" s="260">
        <f>SUM(C25:C27)</f>
        <v>0</v>
      </c>
      <c r="D24" s="201"/>
      <c r="E24" s="201"/>
    </row>
    <row r="25" spans="1:7" ht="15" customHeight="1" x14ac:dyDescent="0.25">
      <c r="A25" s="40" t="s">
        <v>8</v>
      </c>
      <c r="B25" s="260">
        <v>0</v>
      </c>
      <c r="C25" s="295"/>
      <c r="D25" s="198"/>
      <c r="E25" s="198"/>
    </row>
    <row r="26" spans="1:7" ht="15" customHeight="1" x14ac:dyDescent="0.25">
      <c r="A26" s="40" t="s">
        <v>10</v>
      </c>
      <c r="B26" s="260">
        <v>170</v>
      </c>
      <c r="C26" s="295"/>
      <c r="D26" s="198"/>
      <c r="E26" s="198"/>
    </row>
    <row r="27" spans="1:7" ht="15" customHeight="1" x14ac:dyDescent="0.25">
      <c r="A27" s="40" t="s">
        <v>11</v>
      </c>
      <c r="B27" s="260">
        <v>0</v>
      </c>
      <c r="C27" s="295"/>
      <c r="D27" s="198"/>
      <c r="E27" s="198"/>
    </row>
    <row r="28" spans="1:7" ht="43.5" customHeight="1" x14ac:dyDescent="0.25">
      <c r="A28" s="299" t="s">
        <v>147</v>
      </c>
      <c r="B28" s="260">
        <f>SUM(B29:B31)</f>
        <v>45641.100000000006</v>
      </c>
      <c r="C28" s="260">
        <f>SUM(C29:C31)</f>
        <v>35739.599999999999</v>
      </c>
      <c r="D28" s="201"/>
      <c r="E28" s="201"/>
    </row>
    <row r="29" spans="1:7" ht="18.75" customHeight="1" x14ac:dyDescent="0.25">
      <c r="A29" s="40" t="s">
        <v>8</v>
      </c>
      <c r="B29" s="260">
        <v>2571.4</v>
      </c>
      <c r="C29" s="295">
        <f>1184.5</f>
        <v>1184.5</v>
      </c>
      <c r="D29" s="198"/>
      <c r="E29" s="198"/>
    </row>
    <row r="30" spans="1:7" ht="18.75" customHeight="1" x14ac:dyDescent="0.25">
      <c r="A30" s="40" t="s">
        <v>10</v>
      </c>
      <c r="B30" s="260">
        <v>42080.9</v>
      </c>
      <c r="C30" s="295">
        <f>28069.7-C29+7669.9</f>
        <v>34555.1</v>
      </c>
      <c r="D30" s="198"/>
      <c r="E30" s="198"/>
    </row>
    <row r="31" spans="1:7" ht="18.75" customHeight="1" x14ac:dyDescent="0.25">
      <c r="A31" s="40" t="s">
        <v>11</v>
      </c>
      <c r="B31" s="260">
        <v>988.8</v>
      </c>
      <c r="C31" s="295"/>
      <c r="D31" s="198"/>
      <c r="E31" s="198"/>
    </row>
    <row r="32" spans="1:7" ht="18.75" customHeight="1" x14ac:dyDescent="0.25">
      <c r="A32" s="298" t="s">
        <v>135</v>
      </c>
      <c r="B32" s="260">
        <f xml:space="preserve"> SUM(B33:B36)</f>
        <v>623928.19999999995</v>
      </c>
      <c r="C32" s="260">
        <f xml:space="preserve"> SUM(C33:C36)</f>
        <v>505930.5</v>
      </c>
      <c r="D32" s="114">
        <v>505930.5</v>
      </c>
      <c r="E32" s="125">
        <f>D32-C32</f>
        <v>0</v>
      </c>
      <c r="F32" s="188" t="s">
        <v>93</v>
      </c>
      <c r="G32" s="194">
        <f>647740.1-B32</f>
        <v>23811.900000000023</v>
      </c>
    </row>
    <row r="33" spans="1:7" ht="18.75" customHeight="1" x14ac:dyDescent="0.25">
      <c r="A33" s="298" t="s">
        <v>48</v>
      </c>
      <c r="B33" s="260">
        <f>B42</f>
        <v>1571.7</v>
      </c>
      <c r="C33" s="260">
        <f>C42</f>
        <v>0</v>
      </c>
      <c r="D33" s="122"/>
      <c r="E33" s="122"/>
      <c r="F33" s="194">
        <f>G33-B33</f>
        <v>0</v>
      </c>
      <c r="G33" s="188">
        <v>1571.7</v>
      </c>
    </row>
    <row r="34" spans="1:7" ht="18.75" customHeight="1" x14ac:dyDescent="0.25">
      <c r="A34" s="298" t="s">
        <v>8</v>
      </c>
      <c r="B34" s="260">
        <f>B38+B43+B47+B52+B60+B50</f>
        <v>338500.1</v>
      </c>
      <c r="C34" s="260">
        <f>C38+C43+C47+C52+C60+C50</f>
        <v>277243.8</v>
      </c>
      <c r="D34" s="202">
        <f>B33+B34+B35+B36</f>
        <v>623928.19999999995</v>
      </c>
      <c r="E34" s="202"/>
      <c r="F34" s="194">
        <f>G34-B34</f>
        <v>6900</v>
      </c>
      <c r="G34" s="188">
        <v>345400.1</v>
      </c>
    </row>
    <row r="35" spans="1:7" ht="18.75" customHeight="1" x14ac:dyDescent="0.25">
      <c r="A35" s="298" t="s">
        <v>9</v>
      </c>
      <c r="B35" s="260">
        <f>B39+B44+B48+B53+B56+B58+B61</f>
        <v>264206.40000000002</v>
      </c>
      <c r="C35" s="260">
        <f>C39+C44+C48+C53+C56+C58+C61</f>
        <v>228686.7</v>
      </c>
      <c r="D35" s="202"/>
      <c r="E35" s="202"/>
      <c r="F35" s="194">
        <f>G35-B35</f>
        <v>-6900.0000000000291</v>
      </c>
      <c r="G35" s="188">
        <v>257306.4</v>
      </c>
    </row>
    <row r="36" spans="1:7" ht="18.75" customHeight="1" x14ac:dyDescent="0.25">
      <c r="A36" s="298" t="s">
        <v>11</v>
      </c>
      <c r="B36" s="260">
        <f>B40+B45+B54+B62</f>
        <v>19650</v>
      </c>
      <c r="C36" s="260">
        <f>C40+C45+C54+C62</f>
        <v>0</v>
      </c>
      <c r="D36" s="202"/>
      <c r="E36" s="202"/>
      <c r="F36" s="194">
        <f>G36-B36</f>
        <v>0</v>
      </c>
      <c r="G36" s="188">
        <v>19650</v>
      </c>
    </row>
    <row r="37" spans="1:7" ht="27" customHeight="1" x14ac:dyDescent="0.25">
      <c r="A37" s="293" t="s">
        <v>136</v>
      </c>
      <c r="B37" s="260">
        <f>SUM(B38:B40)</f>
        <v>144810</v>
      </c>
      <c r="C37" s="260">
        <f>SUM(C38:C40)</f>
        <v>121467.4</v>
      </c>
      <c r="D37" s="203"/>
      <c r="E37" s="203"/>
    </row>
    <row r="38" spans="1:7" ht="18.75" customHeight="1" x14ac:dyDescent="0.25">
      <c r="A38" s="40" t="s">
        <v>8</v>
      </c>
      <c r="B38" s="260">
        <v>63860</v>
      </c>
      <c r="C38" s="295">
        <v>67412.399999999994</v>
      </c>
      <c r="D38" s="198"/>
      <c r="E38" s="198"/>
    </row>
    <row r="39" spans="1:7" ht="18.75" customHeight="1" x14ac:dyDescent="0.25">
      <c r="A39" s="40" t="s">
        <v>10</v>
      </c>
      <c r="B39" s="260">
        <v>65450</v>
      </c>
      <c r="C39" s="295">
        <v>54055</v>
      </c>
      <c r="D39" s="198"/>
      <c r="E39" s="198"/>
    </row>
    <row r="40" spans="1:7" ht="18.75" customHeight="1" x14ac:dyDescent="0.25">
      <c r="A40" s="40" t="s">
        <v>11</v>
      </c>
      <c r="B40" s="260">
        <v>15500</v>
      </c>
      <c r="C40" s="295"/>
      <c r="D40" s="198"/>
      <c r="E40" s="198"/>
    </row>
    <row r="41" spans="1:7" ht="27.75" customHeight="1" x14ac:dyDescent="0.25">
      <c r="A41" s="293" t="s">
        <v>137</v>
      </c>
      <c r="B41" s="260">
        <f>SUM(B42:B45)</f>
        <v>351136.5</v>
      </c>
      <c r="C41" s="260">
        <f>SUM(C42:C45)</f>
        <v>298413.90000000002</v>
      </c>
      <c r="D41" s="203"/>
      <c r="E41" s="203"/>
    </row>
    <row r="42" spans="1:7" ht="18.75" customHeight="1" x14ac:dyDescent="0.25">
      <c r="A42" s="293" t="s">
        <v>49</v>
      </c>
      <c r="B42" s="291">
        <v>1571.7</v>
      </c>
      <c r="C42" s="300"/>
      <c r="D42" s="204"/>
      <c r="E42" s="204"/>
    </row>
    <row r="43" spans="1:7" ht="18.75" customHeight="1" x14ac:dyDescent="0.25">
      <c r="A43" s="40" t="s">
        <v>8</v>
      </c>
      <c r="B43" s="291">
        <v>242832.1</v>
      </c>
      <c r="C43" s="295">
        <f>173873.7+4814</f>
        <v>178687.7</v>
      </c>
      <c r="D43" s="198"/>
      <c r="E43" s="198"/>
    </row>
    <row r="44" spans="1:7" ht="15.75" customHeight="1" x14ac:dyDescent="0.25">
      <c r="A44" s="40" t="s">
        <v>10</v>
      </c>
      <c r="B44" s="291">
        <v>105232.7</v>
      </c>
      <c r="C44" s="295">
        <v>119726.2</v>
      </c>
      <c r="D44" s="198"/>
      <c r="E44" s="198"/>
    </row>
    <row r="45" spans="1:7" ht="15.75" customHeight="1" x14ac:dyDescent="0.25">
      <c r="A45" s="40" t="s">
        <v>11</v>
      </c>
      <c r="B45" s="301">
        <v>1500</v>
      </c>
      <c r="C45" s="295"/>
      <c r="D45" s="198"/>
      <c r="E45" s="198"/>
    </row>
    <row r="46" spans="1:7" ht="30.75" customHeight="1" x14ac:dyDescent="0.25">
      <c r="A46" s="293" t="s">
        <v>138</v>
      </c>
      <c r="B46" s="302">
        <f xml:space="preserve"> SUM(B47:B48)</f>
        <v>9398</v>
      </c>
      <c r="C46" s="302">
        <f xml:space="preserve"> SUM(C47:C48)</f>
        <v>6836.8</v>
      </c>
      <c r="D46" s="205"/>
      <c r="E46" s="205"/>
    </row>
    <row r="47" spans="1:7" ht="15.75" customHeight="1" x14ac:dyDescent="0.25">
      <c r="A47" s="297" t="s">
        <v>12</v>
      </c>
      <c r="B47" s="291">
        <v>1200</v>
      </c>
      <c r="C47" s="295">
        <v>401.8</v>
      </c>
      <c r="D47" s="198"/>
      <c r="E47" s="198"/>
    </row>
    <row r="48" spans="1:7" ht="12.75" customHeight="1" x14ac:dyDescent="0.25">
      <c r="A48" s="40" t="s">
        <v>10</v>
      </c>
      <c r="B48" s="301">
        <v>8198</v>
      </c>
      <c r="C48" s="295">
        <v>6435</v>
      </c>
      <c r="D48" s="198"/>
      <c r="E48" s="198"/>
    </row>
    <row r="49" spans="1:7" ht="24.75" customHeight="1" x14ac:dyDescent="0.25">
      <c r="A49" s="293" t="s">
        <v>139</v>
      </c>
      <c r="B49" s="260">
        <f>SUM(B50)</f>
        <v>23200</v>
      </c>
      <c r="C49" s="260">
        <f>SUM(C50)</f>
        <v>27197</v>
      </c>
      <c r="D49" s="201"/>
      <c r="E49" s="201"/>
    </row>
    <row r="50" spans="1:7" ht="14.25" customHeight="1" x14ac:dyDescent="0.25">
      <c r="A50" s="40" t="s">
        <v>8</v>
      </c>
      <c r="B50" s="301">
        <v>23200</v>
      </c>
      <c r="C50" s="295">
        <v>27197</v>
      </c>
      <c r="D50" s="198"/>
      <c r="E50" s="198"/>
    </row>
    <row r="51" spans="1:7" ht="27" customHeight="1" x14ac:dyDescent="0.25">
      <c r="A51" s="303" t="s">
        <v>140</v>
      </c>
      <c r="B51" s="260">
        <f>SUM(B52:B54)</f>
        <v>6150</v>
      </c>
      <c r="C51" s="260">
        <f>SUM(C52:C54)</f>
        <v>1661</v>
      </c>
      <c r="D51" s="201"/>
      <c r="E51" s="201"/>
    </row>
    <row r="52" spans="1:7" ht="14.25" customHeight="1" x14ac:dyDescent="0.25">
      <c r="A52" s="40" t="s">
        <v>8</v>
      </c>
      <c r="B52" s="291">
        <v>4000</v>
      </c>
      <c r="C52" s="295"/>
      <c r="D52" s="198"/>
      <c r="E52" s="198"/>
    </row>
    <row r="53" spans="1:7" ht="12.75" customHeight="1" x14ac:dyDescent="0.25">
      <c r="A53" s="40" t="s">
        <v>10</v>
      </c>
      <c r="B53" s="291">
        <v>2000</v>
      </c>
      <c r="C53" s="295">
        <v>1661</v>
      </c>
      <c r="D53" s="198"/>
      <c r="E53" s="198"/>
    </row>
    <row r="54" spans="1:7" ht="15.75" customHeight="1" x14ac:dyDescent="0.25">
      <c r="A54" s="40" t="s">
        <v>11</v>
      </c>
      <c r="B54" s="291">
        <v>150</v>
      </c>
      <c r="C54" s="295"/>
      <c r="D54" s="198"/>
      <c r="E54" s="198"/>
    </row>
    <row r="55" spans="1:7" ht="27.75" customHeight="1" x14ac:dyDescent="0.25">
      <c r="A55" s="293" t="s">
        <v>141</v>
      </c>
      <c r="B55" s="260">
        <f xml:space="preserve"> SUM(B56:B56)</f>
        <v>3108</v>
      </c>
      <c r="C55" s="260">
        <f xml:space="preserve"> SUM(C56:C56)</f>
        <v>1000</v>
      </c>
      <c r="D55" s="201"/>
      <c r="E55" s="201"/>
    </row>
    <row r="56" spans="1:7" ht="15.75" customHeight="1" x14ac:dyDescent="0.25">
      <c r="A56" s="40" t="s">
        <v>10</v>
      </c>
      <c r="B56" s="301">
        <v>3108</v>
      </c>
      <c r="C56" s="295">
        <v>1000</v>
      </c>
      <c r="D56" s="198"/>
      <c r="E56" s="198"/>
    </row>
    <row r="57" spans="1:7" ht="44.25" customHeight="1" x14ac:dyDescent="0.25">
      <c r="A57" s="293" t="s">
        <v>142</v>
      </c>
      <c r="B57" s="302">
        <f>SUM(B58)</f>
        <v>98</v>
      </c>
      <c r="C57" s="302">
        <f>SUM(C58)</f>
        <v>10</v>
      </c>
      <c r="D57" s="206"/>
      <c r="E57" s="206"/>
    </row>
    <row r="58" spans="1:7" ht="15.75" customHeight="1" x14ac:dyDescent="0.25">
      <c r="A58" s="40" t="s">
        <v>10</v>
      </c>
      <c r="B58" s="301">
        <v>98</v>
      </c>
      <c r="C58" s="295">
        <v>10</v>
      </c>
      <c r="D58" s="198"/>
      <c r="E58" s="198"/>
    </row>
    <row r="59" spans="1:7" ht="30.75" customHeight="1" x14ac:dyDescent="0.25">
      <c r="A59" s="304" t="s">
        <v>143</v>
      </c>
      <c r="B59" s="302">
        <f>SUM(B60,B61,B62)</f>
        <v>86027.7</v>
      </c>
      <c r="C59" s="302">
        <f>SUM(C60,C61,C62)</f>
        <v>49344.4</v>
      </c>
      <c r="D59" s="206"/>
      <c r="E59" s="206"/>
    </row>
    <row r="60" spans="1:7" ht="17.25" customHeight="1" x14ac:dyDescent="0.25">
      <c r="A60" s="40" t="s">
        <v>8</v>
      </c>
      <c r="B60" s="291">
        <v>3408</v>
      </c>
      <c r="C60" s="295">
        <f>3453.8+91.1</f>
        <v>3544.9</v>
      </c>
      <c r="D60" s="198"/>
      <c r="E60" s="198"/>
    </row>
    <row r="61" spans="1:7" ht="17.25" customHeight="1" x14ac:dyDescent="0.25">
      <c r="A61" s="40" t="s">
        <v>10</v>
      </c>
      <c r="B61" s="291">
        <v>80119.7</v>
      </c>
      <c r="C61" s="295">
        <f>2604+4194.7+9244+250+29506.8</f>
        <v>45799.5</v>
      </c>
      <c r="D61" s="198"/>
      <c r="E61" s="198"/>
    </row>
    <row r="62" spans="1:7" ht="17.25" customHeight="1" x14ac:dyDescent="0.25">
      <c r="A62" s="40" t="s">
        <v>11</v>
      </c>
      <c r="B62" s="291">
        <v>2500</v>
      </c>
      <c r="C62" s="295"/>
      <c r="D62" s="198"/>
      <c r="E62" s="198"/>
    </row>
    <row r="63" spans="1:7" ht="26.25" customHeight="1" x14ac:dyDescent="0.25">
      <c r="A63" s="292" t="s">
        <v>131</v>
      </c>
      <c r="B63" s="260">
        <f>SUM(B64:B66)</f>
        <v>37314.199999999997</v>
      </c>
      <c r="C63" s="260">
        <f>SUM(C64:C66)</f>
        <v>29743.799999999996</v>
      </c>
      <c r="D63" s="114">
        <v>29743.8</v>
      </c>
      <c r="E63" s="127">
        <f>D63-C63</f>
        <v>0</v>
      </c>
      <c r="F63" s="253" t="s">
        <v>58</v>
      </c>
      <c r="G63" s="208">
        <f>SUM(G64:G65)-B63</f>
        <v>0</v>
      </c>
    </row>
    <row r="64" spans="1:7" ht="15.75" customHeight="1" x14ac:dyDescent="0.25">
      <c r="A64" s="298" t="s">
        <v>8</v>
      </c>
      <c r="B64" s="260">
        <f>B71+B76</f>
        <v>5635.1</v>
      </c>
      <c r="C64" s="260">
        <f>C71+C76</f>
        <v>5635.1</v>
      </c>
      <c r="D64" s="122"/>
      <c r="E64" s="122"/>
      <c r="F64" s="208">
        <f>G64-B64</f>
        <v>0</v>
      </c>
      <c r="G64" s="209">
        <v>5635.1</v>
      </c>
    </row>
    <row r="65" spans="1:7" ht="15.75" customHeight="1" x14ac:dyDescent="0.25">
      <c r="A65" s="298" t="s">
        <v>10</v>
      </c>
      <c r="B65" s="260">
        <f>B72+B74+B77</f>
        <v>31679.1</v>
      </c>
      <c r="C65" s="260">
        <f>C72+C74+C77</f>
        <v>24108.699999999997</v>
      </c>
      <c r="D65" s="122"/>
      <c r="E65" s="122"/>
      <c r="F65" s="208">
        <f>G65-B65</f>
        <v>0</v>
      </c>
      <c r="G65" s="209">
        <v>31679.1</v>
      </c>
    </row>
    <row r="66" spans="1:7" ht="16.5" customHeight="1" x14ac:dyDescent="0.25">
      <c r="A66" s="298" t="s">
        <v>11</v>
      </c>
      <c r="B66" s="305"/>
      <c r="C66" s="305"/>
      <c r="D66" s="210"/>
      <c r="E66" s="210"/>
      <c r="F66" s="208">
        <f>G66-B66</f>
        <v>0</v>
      </c>
      <c r="G66" s="209"/>
    </row>
    <row r="67" spans="1:7" ht="29.25" customHeight="1" x14ac:dyDescent="0.25">
      <c r="A67" s="306" t="s">
        <v>107</v>
      </c>
      <c r="B67" s="260">
        <f>SUM(B68:B69)</f>
        <v>0</v>
      </c>
      <c r="C67" s="260">
        <f>SUM(C68:C69)</f>
        <v>0</v>
      </c>
      <c r="D67" s="201"/>
      <c r="E67" s="201"/>
      <c r="F67" s="194"/>
    </row>
    <row r="68" spans="1:7" ht="12.75" customHeight="1" x14ac:dyDescent="0.25">
      <c r="A68" s="40" t="s">
        <v>8</v>
      </c>
      <c r="B68" s="260"/>
      <c r="C68" s="211"/>
      <c r="D68" s="212"/>
      <c r="E68" s="212"/>
    </row>
    <row r="69" spans="1:7" ht="12.75" customHeight="1" x14ac:dyDescent="0.25">
      <c r="A69" s="40" t="s">
        <v>10</v>
      </c>
      <c r="B69" s="260"/>
      <c r="C69" s="211"/>
      <c r="D69" s="212"/>
      <c r="E69" s="212"/>
    </row>
    <row r="70" spans="1:7" ht="26.25" customHeight="1" x14ac:dyDescent="0.25">
      <c r="A70" s="307" t="s">
        <v>60</v>
      </c>
      <c r="B70" s="260">
        <f>SUM(B71:B72)</f>
        <v>30555</v>
      </c>
      <c r="C70" s="260">
        <f>SUM(C71:C72)</f>
        <v>23591</v>
      </c>
      <c r="D70" s="201"/>
      <c r="E70" s="201"/>
    </row>
    <row r="71" spans="1:7" ht="16.5" customHeight="1" x14ac:dyDescent="0.25">
      <c r="A71" s="40" t="s">
        <v>8</v>
      </c>
      <c r="B71" s="260">
        <v>5315</v>
      </c>
      <c r="C71" s="295">
        <v>5315</v>
      </c>
      <c r="D71" s="212"/>
      <c r="E71" s="212"/>
    </row>
    <row r="72" spans="1:7" ht="16.5" customHeight="1" x14ac:dyDescent="0.25">
      <c r="A72" s="40" t="s">
        <v>10</v>
      </c>
      <c r="B72" s="260">
        <v>25240</v>
      </c>
      <c r="C72" s="295">
        <f>13871+4405</f>
        <v>18276</v>
      </c>
      <c r="D72" s="212"/>
      <c r="E72" s="212"/>
    </row>
    <row r="73" spans="1:7" ht="26.25" customHeight="1" x14ac:dyDescent="0.25">
      <c r="A73" s="306" t="s">
        <v>61</v>
      </c>
      <c r="B73" s="260">
        <f>SUM(B74:B74)</f>
        <v>9.6</v>
      </c>
      <c r="C73" s="260">
        <f>SUM(C74:C74)</f>
        <v>9.6</v>
      </c>
      <c r="D73" s="201"/>
      <c r="E73" s="201"/>
    </row>
    <row r="74" spans="1:7" ht="15.75" customHeight="1" x14ac:dyDescent="0.25">
      <c r="A74" s="40" t="s">
        <v>10</v>
      </c>
      <c r="B74" s="260">
        <v>9.6</v>
      </c>
      <c r="C74" s="295">
        <v>9.6</v>
      </c>
      <c r="D74" s="212"/>
      <c r="E74" s="212"/>
    </row>
    <row r="75" spans="1:7" ht="26.25" customHeight="1" x14ac:dyDescent="0.25">
      <c r="A75" s="308" t="s">
        <v>62</v>
      </c>
      <c r="B75" s="260">
        <f>SUM(B76:B77)</f>
        <v>6749.6</v>
      </c>
      <c r="C75" s="260">
        <f>SUM(C76:C77)</f>
        <v>6143.2</v>
      </c>
      <c r="D75" s="201"/>
      <c r="E75" s="201"/>
    </row>
    <row r="76" spans="1:7" ht="13.5" customHeight="1" x14ac:dyDescent="0.25">
      <c r="A76" s="308" t="s">
        <v>8</v>
      </c>
      <c r="B76" s="260">
        <v>320.10000000000002</v>
      </c>
      <c r="C76" s="295">
        <v>320.10000000000002</v>
      </c>
      <c r="D76" s="212"/>
      <c r="E76" s="212"/>
    </row>
    <row r="77" spans="1:7" ht="13.5" customHeight="1" x14ac:dyDescent="0.25">
      <c r="A77" s="40" t="s">
        <v>10</v>
      </c>
      <c r="B77" s="260">
        <v>6429.5</v>
      </c>
      <c r="C77" s="295">
        <f>6143.2-C76</f>
        <v>5823.0999999999995</v>
      </c>
      <c r="D77" s="212"/>
      <c r="E77" s="212"/>
    </row>
    <row r="78" spans="1:7" ht="26.25" customHeight="1" x14ac:dyDescent="0.25">
      <c r="A78" s="292" t="s">
        <v>29</v>
      </c>
      <c r="B78" s="260">
        <f>SUM(B79:B82)</f>
        <v>24471.8</v>
      </c>
      <c r="C78" s="260">
        <f>SUM(C79:C82)</f>
        <v>21399</v>
      </c>
      <c r="D78" s="114">
        <v>21399</v>
      </c>
      <c r="E78" s="125">
        <f>D78-C78</f>
        <v>0</v>
      </c>
      <c r="F78" s="207" t="s">
        <v>67</v>
      </c>
      <c r="G78" s="209"/>
    </row>
    <row r="79" spans="1:7" ht="26.25" customHeight="1" x14ac:dyDescent="0.25">
      <c r="A79" s="298" t="s">
        <v>13</v>
      </c>
      <c r="B79" s="260">
        <v>117.8</v>
      </c>
      <c r="C79" s="295">
        <v>300</v>
      </c>
      <c r="D79" s="123"/>
      <c r="E79" s="123"/>
      <c r="F79" s="209"/>
      <c r="G79" s="209"/>
    </row>
    <row r="80" spans="1:7" s="50" customFormat="1" ht="26.25" customHeight="1" x14ac:dyDescent="0.2">
      <c r="A80" s="298" t="s">
        <v>36</v>
      </c>
      <c r="B80" s="260">
        <v>230</v>
      </c>
      <c r="C80" s="295">
        <v>350</v>
      </c>
      <c r="D80" s="123"/>
      <c r="E80" s="123"/>
      <c r="F80" s="209"/>
      <c r="G80" s="209"/>
    </row>
    <row r="81" spans="1:7" s="50" customFormat="1" ht="26.25" customHeight="1" x14ac:dyDescent="0.2">
      <c r="A81" s="292" t="s">
        <v>44</v>
      </c>
      <c r="B81" s="260">
        <v>2952.2</v>
      </c>
      <c r="C81" s="295">
        <v>2670.6</v>
      </c>
      <c r="D81" s="123"/>
      <c r="E81" s="123"/>
      <c r="F81" s="209"/>
      <c r="G81" s="209"/>
    </row>
    <row r="82" spans="1:7" s="50" customFormat="1" ht="26.25" customHeight="1" x14ac:dyDescent="0.2">
      <c r="A82" s="292" t="s">
        <v>91</v>
      </c>
      <c r="B82" s="260">
        <f>24471.8-B81-B80-B79</f>
        <v>21171.8</v>
      </c>
      <c r="C82" s="295">
        <f>21399-C81-C80-C79</f>
        <v>18078.400000000001</v>
      </c>
      <c r="D82" s="123"/>
      <c r="E82" s="123"/>
      <c r="F82" s="209"/>
      <c r="G82" s="209"/>
    </row>
    <row r="83" spans="1:7" s="50" customFormat="1" ht="26.25" customHeight="1" x14ac:dyDescent="0.25">
      <c r="A83" s="309" t="s">
        <v>95</v>
      </c>
      <c r="B83" s="260">
        <f>B84+B85+B86+B87</f>
        <v>4890</v>
      </c>
      <c r="C83" s="260">
        <f>C84+C85+C86+C87</f>
        <v>0</v>
      </c>
      <c r="D83" s="122">
        <v>210</v>
      </c>
      <c r="E83" s="122">
        <f>D83-C83</f>
        <v>210</v>
      </c>
      <c r="F83" s="192" t="s">
        <v>70</v>
      </c>
      <c r="G83" s="188"/>
    </row>
    <row r="84" spans="1:7" ht="15.75" customHeight="1" x14ac:dyDescent="0.25">
      <c r="A84" s="298" t="s">
        <v>19</v>
      </c>
      <c r="B84" s="260">
        <v>1780</v>
      </c>
      <c r="C84" s="295">
        <v>0</v>
      </c>
      <c r="D84" s="198"/>
      <c r="E84" s="198"/>
    </row>
    <row r="85" spans="1:7" ht="15.75" customHeight="1" x14ac:dyDescent="0.25">
      <c r="A85" s="298" t="s">
        <v>8</v>
      </c>
      <c r="B85" s="260">
        <v>1300</v>
      </c>
      <c r="C85" s="295">
        <v>0</v>
      </c>
      <c r="D85" s="198"/>
      <c r="E85" s="198"/>
    </row>
    <row r="86" spans="1:7" ht="15.75" customHeight="1" x14ac:dyDescent="0.25">
      <c r="A86" s="298" t="s">
        <v>9</v>
      </c>
      <c r="B86" s="260">
        <v>340</v>
      </c>
      <c r="C86" s="295">
        <v>0</v>
      </c>
      <c r="D86" s="198"/>
      <c r="E86" s="198"/>
    </row>
    <row r="87" spans="1:7" ht="15.75" customHeight="1" x14ac:dyDescent="0.25">
      <c r="A87" s="249" t="s">
        <v>69</v>
      </c>
      <c r="B87" s="260">
        <v>1470</v>
      </c>
      <c r="C87" s="295"/>
      <c r="D87" s="198"/>
      <c r="E87" s="198"/>
    </row>
    <row r="88" spans="1:7" ht="21.75" customHeight="1" x14ac:dyDescent="0.25">
      <c r="A88" s="309" t="s">
        <v>148</v>
      </c>
      <c r="B88" s="260">
        <f>SUM(B89:B89)</f>
        <v>0</v>
      </c>
      <c r="C88" s="260">
        <f>SUM(C89:C89)</f>
        <v>0</v>
      </c>
      <c r="D88" s="210">
        <v>90</v>
      </c>
      <c r="E88" s="213">
        <f>D88-C88</f>
        <v>90</v>
      </c>
      <c r="F88" s="192" t="s">
        <v>65</v>
      </c>
    </row>
    <row r="89" spans="1:7" ht="17.25" customHeight="1" x14ac:dyDescent="0.25">
      <c r="A89" s="298" t="s">
        <v>9</v>
      </c>
      <c r="B89" s="260">
        <v>0</v>
      </c>
      <c r="C89" s="295">
        <v>0</v>
      </c>
      <c r="D89" s="198"/>
      <c r="E89" s="198"/>
    </row>
    <row r="90" spans="1:7" ht="26.25" customHeight="1" x14ac:dyDescent="0.25">
      <c r="A90" s="292" t="s">
        <v>149</v>
      </c>
      <c r="B90" s="260">
        <f>SUM(B91:B91)</f>
        <v>0</v>
      </c>
      <c r="C90" s="260">
        <f>SUM(C91:C91)</f>
        <v>100</v>
      </c>
      <c r="D90" s="210"/>
      <c r="E90" s="210"/>
      <c r="F90" s="192" t="s">
        <v>65</v>
      </c>
    </row>
    <row r="91" spans="1:7" ht="14.25" customHeight="1" x14ac:dyDescent="0.25">
      <c r="A91" s="298" t="s">
        <v>9</v>
      </c>
      <c r="B91" s="260">
        <v>0</v>
      </c>
      <c r="C91" s="295">
        <v>100</v>
      </c>
      <c r="D91" s="198"/>
      <c r="E91" s="198"/>
    </row>
    <row r="92" spans="1:7" s="50" customFormat="1" ht="26.25" customHeight="1" x14ac:dyDescent="0.25">
      <c r="A92" s="292" t="s">
        <v>150</v>
      </c>
      <c r="B92" s="260">
        <f>SUM(B93:B94)</f>
        <v>2724.7</v>
      </c>
      <c r="C92" s="260">
        <f>SUM(C93)</f>
        <v>50</v>
      </c>
      <c r="D92" s="198"/>
      <c r="E92" s="198"/>
      <c r="F92" s="188"/>
      <c r="G92" s="188"/>
    </row>
    <row r="93" spans="1:7" s="50" customFormat="1" ht="15" customHeight="1" x14ac:dyDescent="0.25">
      <c r="A93" s="298" t="s">
        <v>9</v>
      </c>
      <c r="B93" s="260">
        <v>1754.9</v>
      </c>
      <c r="C93" s="295">
        <v>50</v>
      </c>
      <c r="D93" s="198"/>
      <c r="E93" s="198"/>
      <c r="F93" s="188"/>
      <c r="G93" s="188"/>
    </row>
    <row r="94" spans="1:7" s="50" customFormat="1" ht="14.25" customHeight="1" x14ac:dyDescent="0.25">
      <c r="A94" s="298" t="s">
        <v>18</v>
      </c>
      <c r="B94" s="260">
        <v>969.8</v>
      </c>
      <c r="C94" s="211"/>
      <c r="D94" s="198"/>
      <c r="E94" s="198"/>
      <c r="F94" s="188"/>
      <c r="G94" s="188"/>
    </row>
    <row r="95" spans="1:7" ht="18" customHeight="1" x14ac:dyDescent="0.25">
      <c r="A95" s="292" t="s">
        <v>45</v>
      </c>
      <c r="B95" s="260">
        <f>SUM(B96:B101)</f>
        <v>766940.70000000019</v>
      </c>
      <c r="C95" s="260">
        <f>SUM(C96:C100)</f>
        <v>612584.80000000005</v>
      </c>
      <c r="D95" s="214"/>
      <c r="E95" s="214"/>
    </row>
    <row r="96" spans="1:7" ht="18" customHeight="1" x14ac:dyDescent="0.25">
      <c r="A96" s="298" t="s">
        <v>20</v>
      </c>
      <c r="B96" s="260">
        <f>B84+B42</f>
        <v>3351.7</v>
      </c>
      <c r="C96" s="260">
        <f>C84+C42</f>
        <v>0</v>
      </c>
      <c r="D96" s="214"/>
      <c r="E96" s="214"/>
    </row>
    <row r="97" spans="1:5" ht="18" customHeight="1" x14ac:dyDescent="0.25">
      <c r="A97" s="298" t="s">
        <v>8</v>
      </c>
      <c r="B97" s="260">
        <f>B11+B21+B25+B29+B38+B43+B47+B50+B52+B60+B71+B76+B85</f>
        <v>365306.6</v>
      </c>
      <c r="C97" s="260">
        <f>C11+C21+C25+C29+C38+C43+C47+C50+C52+C60+C71+C76+C85</f>
        <v>298632.7</v>
      </c>
      <c r="D97" s="214"/>
      <c r="E97" s="214"/>
    </row>
    <row r="98" spans="1:5" ht="18" customHeight="1" x14ac:dyDescent="0.25">
      <c r="A98" s="298" t="s">
        <v>10</v>
      </c>
      <c r="B98" s="260">
        <f>B93+B91+B89+B86+B82+B81+B80+B79+B77+B74+B72+B61+B58+B56+B53+B48+B44+B39+B30+B26+B22+B15+B13+B9+B7</f>
        <v>375135.80000000005</v>
      </c>
      <c r="C98" s="260">
        <f>C93+C91+C89+C86+C82+C81+C80+C79+C77+C74+C72+C61+C58+C56+C53+C48+C44+C39+C30+C26+C22+C15+C13+C9+C7</f>
        <v>313952.09999999998</v>
      </c>
      <c r="D98" s="214"/>
      <c r="E98" s="214"/>
    </row>
    <row r="99" spans="1:5" ht="18" customHeight="1" x14ac:dyDescent="0.25">
      <c r="A99" s="298" t="s">
        <v>11</v>
      </c>
      <c r="B99" s="260">
        <f>B62+B54+B45+B40+B31+B27+B23</f>
        <v>20706.8</v>
      </c>
      <c r="C99" s="260">
        <f>C62+C54+C45+C40+C31+C27+C23</f>
        <v>0</v>
      </c>
      <c r="D99" s="214"/>
      <c r="E99" s="214"/>
    </row>
    <row r="100" spans="1:5" ht="18" customHeight="1" x14ac:dyDescent="0.25">
      <c r="A100" s="298" t="str">
        <f>A87</f>
        <v>середства участников программы</v>
      </c>
      <c r="B100" s="260">
        <f>B87</f>
        <v>1470</v>
      </c>
      <c r="C100" s="260">
        <f>C87</f>
        <v>0</v>
      </c>
      <c r="D100" s="214"/>
      <c r="E100" s="214"/>
    </row>
    <row r="101" spans="1:5" ht="18" customHeight="1" x14ac:dyDescent="0.25">
      <c r="A101" s="298" t="s">
        <v>18</v>
      </c>
      <c r="B101" s="260">
        <f>B94</f>
        <v>969.8</v>
      </c>
      <c r="C101" s="260">
        <f>C94</f>
        <v>0</v>
      </c>
      <c r="D101" s="214"/>
      <c r="E101" s="214"/>
    </row>
    <row r="102" spans="1:5" ht="19.5" customHeight="1" x14ac:dyDescent="0.25">
      <c r="B102" s="311"/>
      <c r="C102" s="311"/>
    </row>
    <row r="103" spans="1:5" ht="18" customHeight="1" x14ac:dyDescent="0.25">
      <c r="B103" s="311"/>
      <c r="C103" s="311"/>
    </row>
    <row r="104" spans="1:5" ht="26.25" customHeight="1" x14ac:dyDescent="0.25">
      <c r="C104" s="312"/>
    </row>
    <row r="105" spans="1:5" ht="26.25" customHeight="1" x14ac:dyDescent="0.25">
      <c r="C105" s="312"/>
    </row>
    <row r="106" spans="1:5" ht="26.25" customHeight="1" x14ac:dyDescent="0.25">
      <c r="C106" s="312"/>
    </row>
  </sheetData>
  <pageMargins left="0.7" right="0.7" top="0.75" bottom="0.75" header="0.3" footer="0.3"/>
  <pageSetup paperSize="9" scale="70" orientation="portrait" r:id="rId1"/>
  <rowBreaks count="1" manualBreakCount="1">
    <brk id="52" max="5" man="1"/>
  </rowBreaks>
  <colBreaks count="1" manualBreakCount="1">
    <brk id="3" max="1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17"/>
  <sheetViews>
    <sheetView view="pageBreakPreview" topLeftCell="A92" zoomScale="60" zoomScaleNormal="100" workbookViewId="0">
      <selection activeCell="E92" sqref="E92"/>
    </sheetView>
  </sheetViews>
  <sheetFormatPr defaultRowHeight="26.25" customHeight="1" x14ac:dyDescent="0.25"/>
  <cols>
    <col min="1" max="1" width="96.28515625" style="79" customWidth="1"/>
    <col min="2" max="2" width="13" style="177" customWidth="1"/>
    <col min="3" max="3" width="14.28515625" style="98" customWidth="1"/>
    <col min="4" max="4" width="11.85546875" style="98" customWidth="1"/>
    <col min="5" max="5" width="10.7109375" style="98" customWidth="1"/>
    <col min="6" max="7" width="12.42578125" customWidth="1"/>
  </cols>
  <sheetData>
    <row r="1" spans="1:7" ht="16.5" customHeight="1" x14ac:dyDescent="0.3">
      <c r="A1" s="129" t="s">
        <v>101</v>
      </c>
      <c r="B1" s="161" t="s">
        <v>57</v>
      </c>
    </row>
    <row r="2" spans="1:7" ht="35.25" customHeight="1" x14ac:dyDescent="0.25">
      <c r="A2" s="2" t="s">
        <v>3</v>
      </c>
      <c r="B2" s="228" t="s">
        <v>105</v>
      </c>
      <c r="C2" s="229" t="s">
        <v>106</v>
      </c>
      <c r="D2" s="105"/>
      <c r="E2" s="105"/>
      <c r="F2" s="185" t="s">
        <v>102</v>
      </c>
    </row>
    <row r="3" spans="1:7" ht="26.25" customHeight="1" x14ac:dyDescent="0.25">
      <c r="A3" s="178" t="s">
        <v>111</v>
      </c>
      <c r="B3" s="179">
        <f>B4+B5</f>
        <v>28461.06</v>
      </c>
      <c r="C3" s="179">
        <f xml:space="preserve"> SUM(C6,C8,C10,C12,)+C14</f>
        <v>21522.5</v>
      </c>
      <c r="D3" s="106">
        <v>21522.5</v>
      </c>
      <c r="E3" s="106">
        <f>D3-C3</f>
        <v>0</v>
      </c>
      <c r="F3" s="38" t="s">
        <v>103</v>
      </c>
    </row>
    <row r="4" spans="1:7" ht="14.25" customHeight="1" x14ac:dyDescent="0.25">
      <c r="A4" s="46" t="s">
        <v>1</v>
      </c>
      <c r="B4" s="77">
        <f>SUM(B11)</f>
        <v>19030</v>
      </c>
      <c r="C4" s="45">
        <f>C11</f>
        <v>15684</v>
      </c>
      <c r="D4" s="107"/>
      <c r="E4" s="107"/>
      <c r="F4" s="63">
        <f>G4-B4</f>
        <v>0</v>
      </c>
      <c r="G4" s="63">
        <v>19030</v>
      </c>
    </row>
    <row r="5" spans="1:7" ht="14.25" customHeight="1" x14ac:dyDescent="0.25">
      <c r="A5" s="46" t="s">
        <v>2</v>
      </c>
      <c r="B5" s="77">
        <f>B7+B9+B13+B15</f>
        <v>9431.0600000000013</v>
      </c>
      <c r="C5" s="77">
        <f>C7+C9+C13+C15</f>
        <v>5838.5</v>
      </c>
      <c r="D5" s="107"/>
      <c r="E5" s="107"/>
      <c r="F5" s="63">
        <f>G5-B5</f>
        <v>0</v>
      </c>
      <c r="G5" s="63">
        <v>9431.06</v>
      </c>
    </row>
    <row r="6" spans="1:7" ht="26.25" customHeight="1" x14ac:dyDescent="0.25">
      <c r="A6" s="103" t="s">
        <v>63</v>
      </c>
      <c r="B6" s="78">
        <f t="shared" ref="B6:C6" si="0">SUM(B7)</f>
        <v>1226</v>
      </c>
      <c r="C6" s="78">
        <f t="shared" si="0"/>
        <v>302.7</v>
      </c>
      <c r="D6" s="128">
        <f>B6+B8+B10+B12+B14</f>
        <v>28461.06</v>
      </c>
      <c r="E6" s="108"/>
    </row>
    <row r="7" spans="1:7" ht="13.5" customHeight="1" x14ac:dyDescent="0.25">
      <c r="A7" s="156" t="s">
        <v>4</v>
      </c>
      <c r="B7" s="162">
        <v>1226</v>
      </c>
      <c r="C7" s="147">
        <v>302.7</v>
      </c>
      <c r="D7" s="109"/>
      <c r="E7" s="109"/>
    </row>
    <row r="8" spans="1:7" ht="26.25" customHeight="1" x14ac:dyDescent="0.25">
      <c r="A8" s="80" t="s">
        <v>77</v>
      </c>
      <c r="B8" s="78">
        <f t="shared" ref="B8:C8" si="1">SUM(B9)</f>
        <v>680</v>
      </c>
      <c r="C8" s="78">
        <f t="shared" si="1"/>
        <v>110</v>
      </c>
      <c r="D8" s="108"/>
      <c r="E8" s="108"/>
    </row>
    <row r="9" spans="1:7" ht="17.25" customHeight="1" x14ac:dyDescent="0.25">
      <c r="A9" s="153" t="s">
        <v>7</v>
      </c>
      <c r="B9" s="154">
        <v>680</v>
      </c>
      <c r="C9" s="147">
        <v>110</v>
      </c>
      <c r="D9" s="109"/>
      <c r="E9" s="109"/>
    </row>
    <row r="10" spans="1:7" ht="26.25" customHeight="1" x14ac:dyDescent="0.25">
      <c r="A10" s="80" t="s">
        <v>78</v>
      </c>
      <c r="B10" s="78">
        <f>B11</f>
        <v>19030</v>
      </c>
      <c r="C10" s="78">
        <f>C11</f>
        <v>15684</v>
      </c>
      <c r="D10" s="108"/>
      <c r="E10" s="108"/>
    </row>
    <row r="11" spans="1:7" ht="15" customHeight="1" x14ac:dyDescent="0.25">
      <c r="A11" s="138" t="s">
        <v>6</v>
      </c>
      <c r="B11" s="131">
        <v>19030</v>
      </c>
      <c r="C11" s="139">
        <v>15684</v>
      </c>
      <c r="D11" s="109"/>
      <c r="E11" s="109"/>
    </row>
    <row r="12" spans="1:7" ht="26.25" customHeight="1" x14ac:dyDescent="0.25">
      <c r="A12" s="80" t="s">
        <v>79</v>
      </c>
      <c r="B12" s="78">
        <f t="shared" ref="B12:C12" si="2">SUM(B13)</f>
        <v>910</v>
      </c>
      <c r="C12" s="78">
        <f t="shared" si="2"/>
        <v>303.2</v>
      </c>
      <c r="D12" s="108"/>
      <c r="E12" s="108"/>
    </row>
    <row r="13" spans="1:7" ht="16.5" customHeight="1" x14ac:dyDescent="0.25">
      <c r="A13" s="153" t="s">
        <v>7</v>
      </c>
      <c r="B13" s="154">
        <v>910</v>
      </c>
      <c r="C13" s="155">
        <v>303.2</v>
      </c>
      <c r="D13" s="110"/>
      <c r="E13" s="110"/>
    </row>
    <row r="14" spans="1:7" ht="25.5" customHeight="1" x14ac:dyDescent="0.25">
      <c r="A14" s="80" t="s">
        <v>80</v>
      </c>
      <c r="B14" s="78">
        <f>SUM(B15:B15)</f>
        <v>6615.06</v>
      </c>
      <c r="C14" s="78">
        <f>SUM(C15:C15)</f>
        <v>5122.6000000000004</v>
      </c>
      <c r="D14" s="108"/>
      <c r="E14" s="108"/>
    </row>
    <row r="15" spans="1:7" ht="16.5" customHeight="1" x14ac:dyDescent="0.25">
      <c r="A15" s="153" t="s">
        <v>7</v>
      </c>
      <c r="B15" s="154">
        <v>6615.06</v>
      </c>
      <c r="C15" s="155">
        <v>5122.6000000000004</v>
      </c>
      <c r="D15" s="110"/>
      <c r="E15" s="110"/>
    </row>
    <row r="16" spans="1:7" ht="17.25" customHeight="1" x14ac:dyDescent="0.25">
      <c r="A16" s="178" t="s">
        <v>121</v>
      </c>
      <c r="B16" s="182">
        <f>SUM(B17:B19)</f>
        <v>47305.8</v>
      </c>
      <c r="C16" s="182">
        <f>SUM(C17:C19)</f>
        <v>44541.9</v>
      </c>
      <c r="D16" s="111">
        <v>44541.9</v>
      </c>
      <c r="E16" s="126">
        <f>D16-C16</f>
        <v>0</v>
      </c>
      <c r="F16" s="38" t="s">
        <v>92</v>
      </c>
    </row>
    <row r="17" spans="1:8" ht="15" customHeight="1" x14ac:dyDescent="0.25">
      <c r="A17" s="34" t="s">
        <v>8</v>
      </c>
      <c r="B17" s="163">
        <f>B21+B25+B29</f>
        <v>2204.8000000000002</v>
      </c>
      <c r="C17" s="163">
        <f t="shared" ref="B17:C19" si="3">C21+C25+C29</f>
        <v>0</v>
      </c>
      <c r="D17" s="112"/>
      <c r="E17" s="112"/>
      <c r="F17" s="63">
        <f>G17-B17</f>
        <v>0</v>
      </c>
      <c r="G17">
        <v>2204.8000000000002</v>
      </c>
    </row>
    <row r="18" spans="1:8" ht="15" customHeight="1" x14ac:dyDescent="0.25">
      <c r="A18" s="34" t="s">
        <v>10</v>
      </c>
      <c r="B18" s="163">
        <f t="shared" si="3"/>
        <v>44237.1</v>
      </c>
      <c r="C18" s="163">
        <f t="shared" si="3"/>
        <v>44541.9</v>
      </c>
      <c r="D18" s="180">
        <f>B20+B24+B28</f>
        <v>47305.8</v>
      </c>
      <c r="E18" s="112"/>
      <c r="F18" s="63">
        <f>G18-B18</f>
        <v>0</v>
      </c>
      <c r="G18">
        <v>44237.1</v>
      </c>
    </row>
    <row r="19" spans="1:8" ht="15" customHeight="1" x14ac:dyDescent="0.25">
      <c r="A19" s="34" t="s">
        <v>11</v>
      </c>
      <c r="B19" s="163">
        <f t="shared" si="3"/>
        <v>863.9</v>
      </c>
      <c r="C19" s="163">
        <f t="shared" si="3"/>
        <v>0</v>
      </c>
      <c r="D19" s="112"/>
      <c r="E19" s="112"/>
      <c r="F19" s="63">
        <f>G19-B19</f>
        <v>0</v>
      </c>
      <c r="G19">
        <v>863.9</v>
      </c>
    </row>
    <row r="20" spans="1:8" ht="29.25" customHeight="1" x14ac:dyDescent="0.25">
      <c r="A20" s="102" t="s">
        <v>122</v>
      </c>
      <c r="B20" s="78">
        <f>SUM(B21:B23)</f>
        <v>1520</v>
      </c>
      <c r="C20" s="78">
        <f>SUM(C21:C23)</f>
        <v>0</v>
      </c>
      <c r="D20" s="113"/>
      <c r="E20" s="113"/>
    </row>
    <row r="21" spans="1:8" ht="17.25" customHeight="1" x14ac:dyDescent="0.25">
      <c r="A21" s="138" t="s">
        <v>8</v>
      </c>
      <c r="B21" s="164">
        <v>290</v>
      </c>
      <c r="C21" s="139"/>
      <c r="D21" s="109"/>
      <c r="E21" s="109"/>
    </row>
    <row r="22" spans="1:8" ht="17.25" customHeight="1" x14ac:dyDescent="0.25">
      <c r="A22" s="152" t="s">
        <v>10</v>
      </c>
      <c r="B22" s="154">
        <v>1190</v>
      </c>
      <c r="C22" s="147"/>
      <c r="D22" s="109"/>
      <c r="E22" s="109"/>
    </row>
    <row r="23" spans="1:8" ht="17.25" customHeight="1" x14ac:dyDescent="0.25">
      <c r="A23" s="159" t="s">
        <v>11</v>
      </c>
      <c r="B23" s="165">
        <v>40</v>
      </c>
      <c r="C23" s="160"/>
      <c r="D23" s="109"/>
      <c r="E23" s="109"/>
    </row>
    <row r="24" spans="1:8" ht="24" customHeight="1" x14ac:dyDescent="0.25">
      <c r="A24" s="102" t="s">
        <v>123</v>
      </c>
      <c r="B24" s="78">
        <f>SUM(B25:B27)</f>
        <v>430</v>
      </c>
      <c r="C24" s="78">
        <f>SUM(C25:C27)</f>
        <v>0</v>
      </c>
      <c r="D24" s="113"/>
      <c r="E24" s="113"/>
    </row>
    <row r="25" spans="1:8" ht="15.75" customHeight="1" x14ac:dyDescent="0.25">
      <c r="A25" s="138" t="s">
        <v>8</v>
      </c>
      <c r="B25" s="164">
        <v>210</v>
      </c>
      <c r="C25" s="139"/>
      <c r="D25" s="109"/>
      <c r="E25" s="109"/>
    </row>
    <row r="26" spans="1:8" ht="15.75" customHeight="1" x14ac:dyDescent="0.25">
      <c r="A26" s="152" t="s">
        <v>10</v>
      </c>
      <c r="B26" s="154">
        <v>210</v>
      </c>
      <c r="C26" s="147"/>
      <c r="D26" s="109"/>
      <c r="E26" s="109"/>
    </row>
    <row r="27" spans="1:8" ht="15.75" customHeight="1" x14ac:dyDescent="0.25">
      <c r="A27" s="159" t="s">
        <v>11</v>
      </c>
      <c r="B27" s="165">
        <v>10</v>
      </c>
      <c r="C27" s="160"/>
      <c r="D27" s="109"/>
      <c r="E27" s="109"/>
    </row>
    <row r="28" spans="1:8" ht="47.25" customHeight="1" x14ac:dyDescent="0.25">
      <c r="A28" s="102" t="s">
        <v>124</v>
      </c>
      <c r="B28" s="78">
        <f>SUM(B29:B31)</f>
        <v>45355.8</v>
      </c>
      <c r="C28" s="78">
        <f>SUM(C29:C31)</f>
        <v>44541.9</v>
      </c>
      <c r="D28" s="113"/>
      <c r="E28" s="113"/>
    </row>
    <row r="29" spans="1:8" ht="13.5" customHeight="1" x14ac:dyDescent="0.25">
      <c r="A29" s="138" t="s">
        <v>8</v>
      </c>
      <c r="B29" s="164">
        <f>1704.8</f>
        <v>1704.8</v>
      </c>
      <c r="C29" s="139"/>
      <c r="D29" s="109"/>
      <c r="E29" s="109"/>
    </row>
    <row r="30" spans="1:8" ht="13.5" customHeight="1" x14ac:dyDescent="0.25">
      <c r="A30" s="152" t="s">
        <v>10</v>
      </c>
      <c r="B30" s="154">
        <f>32639.2+10197.9</f>
        <v>42837.1</v>
      </c>
      <c r="C30" s="147">
        <f>10197.9+34344</f>
        <v>44541.9</v>
      </c>
      <c r="D30" s="109"/>
      <c r="E30" s="109"/>
    </row>
    <row r="31" spans="1:8" ht="13.5" customHeight="1" x14ac:dyDescent="0.25">
      <c r="A31" s="159" t="s">
        <v>11</v>
      </c>
      <c r="B31" s="165">
        <f>813.9</f>
        <v>813.9</v>
      </c>
      <c r="C31" s="160"/>
      <c r="D31" s="109"/>
      <c r="E31" s="109"/>
    </row>
    <row r="32" spans="1:8" ht="20.25" customHeight="1" x14ac:dyDescent="0.25">
      <c r="A32" s="181" t="s">
        <v>112</v>
      </c>
      <c r="B32" s="182">
        <f xml:space="preserve"> SUM(B33:B36)</f>
        <v>647740.1</v>
      </c>
      <c r="C32" s="182">
        <f xml:space="preserve"> SUM(C33:C36)</f>
        <v>624343.19999999995</v>
      </c>
      <c r="D32" s="114">
        <v>624343.19999999995</v>
      </c>
      <c r="E32" s="127">
        <f>D32-C32</f>
        <v>0</v>
      </c>
      <c r="F32" t="s">
        <v>93</v>
      </c>
      <c r="G32" s="63">
        <f>647740.1-B32</f>
        <v>0</v>
      </c>
      <c r="H32">
        <f>SUM(H33:H36)</f>
        <v>647740.1</v>
      </c>
    </row>
    <row r="33" spans="1:8" ht="13.5" customHeight="1" x14ac:dyDescent="0.25">
      <c r="A33" s="34" t="s">
        <v>48</v>
      </c>
      <c r="B33" s="85">
        <f>B42</f>
        <v>1600</v>
      </c>
      <c r="C33" s="85">
        <f>C42</f>
        <v>0</v>
      </c>
      <c r="D33" s="114"/>
      <c r="E33" s="114"/>
      <c r="F33" s="63">
        <f>G33-B33</f>
        <v>0</v>
      </c>
      <c r="G33">
        <v>1600</v>
      </c>
      <c r="H33">
        <f>1600</f>
        <v>1600</v>
      </c>
    </row>
    <row r="34" spans="1:8" ht="15.75" customHeight="1" x14ac:dyDescent="0.25">
      <c r="A34" s="34" t="s">
        <v>8</v>
      </c>
      <c r="B34" s="85">
        <f>B38+B43+B47+B52+B60+B50</f>
        <v>351896</v>
      </c>
      <c r="C34" s="85">
        <f>C38+C43+C47+C52+C60+C50</f>
        <v>398934</v>
      </c>
      <c r="D34" s="115">
        <f>B33+B34+B35+B36</f>
        <v>647740.1</v>
      </c>
      <c r="E34" s="115"/>
      <c r="F34" s="63">
        <f>G34-B34</f>
        <v>7000</v>
      </c>
      <c r="G34">
        <v>358896</v>
      </c>
      <c r="H34">
        <f>66320+252530+1200+24128+4200+3518</f>
        <v>351896</v>
      </c>
    </row>
    <row r="35" spans="1:8" ht="12.75" customHeight="1" x14ac:dyDescent="0.25">
      <c r="A35" s="34" t="s">
        <v>9</v>
      </c>
      <c r="B35" s="85">
        <f>B39+B44+B48+B53+B56+B58+B61</f>
        <v>274044.09999999998</v>
      </c>
      <c r="C35" s="85">
        <f>C39+C44+C48+C53+C56+C58+C61</f>
        <v>225409.2</v>
      </c>
      <c r="D35" s="115"/>
      <c r="E35" s="115"/>
      <c r="F35" s="63">
        <f>G35-B35</f>
        <v>-7000</v>
      </c>
      <c r="G35">
        <v>267044.09999999998</v>
      </c>
      <c r="H35">
        <f>66420+109000+8320+2170+3950+98+84086.1</f>
        <v>274044.09999999998</v>
      </c>
    </row>
    <row r="36" spans="1:8" ht="12" customHeight="1" x14ac:dyDescent="0.25">
      <c r="A36" s="34" t="s">
        <v>11</v>
      </c>
      <c r="B36" s="85">
        <f>B40+B45+B54+B62</f>
        <v>20200</v>
      </c>
      <c r="C36" s="85">
        <f>C40+C45+C54+C62</f>
        <v>0</v>
      </c>
      <c r="D36" s="115"/>
      <c r="E36" s="115"/>
      <c r="F36" s="63">
        <f>G36-B36</f>
        <v>0</v>
      </c>
      <c r="G36">
        <v>20200</v>
      </c>
      <c r="H36">
        <f>15500+2000+200+2500</f>
        <v>20200</v>
      </c>
    </row>
    <row r="37" spans="1:8" ht="27" customHeight="1" x14ac:dyDescent="0.25">
      <c r="A37" s="56" t="s">
        <v>113</v>
      </c>
      <c r="B37" s="78">
        <f>SUM(B38:B40)</f>
        <v>148240</v>
      </c>
      <c r="C37" s="78">
        <f>SUM(C38:C40)</f>
        <v>157337.5</v>
      </c>
      <c r="D37" s="116">
        <f>C37+C41+C46+C49+C51+C55+C57+C59</f>
        <v>624343.20000000019</v>
      </c>
      <c r="E37" s="116"/>
    </row>
    <row r="38" spans="1:8" ht="12.75" customHeight="1" x14ac:dyDescent="0.25">
      <c r="A38" s="138" t="s">
        <v>8</v>
      </c>
      <c r="B38" s="166">
        <v>66320</v>
      </c>
      <c r="C38" s="139">
        <v>99495.8</v>
      </c>
      <c r="D38" s="109"/>
      <c r="E38" s="109"/>
    </row>
    <row r="39" spans="1:8" ht="12.75" customHeight="1" x14ac:dyDescent="0.25">
      <c r="A39" s="152" t="s">
        <v>10</v>
      </c>
      <c r="B39" s="167">
        <v>66420</v>
      </c>
      <c r="C39" s="147">
        <v>57841.7</v>
      </c>
      <c r="D39" s="109"/>
      <c r="E39" s="109"/>
    </row>
    <row r="40" spans="1:8" ht="12.75" customHeight="1" x14ac:dyDescent="0.25">
      <c r="A40" s="159" t="s">
        <v>11</v>
      </c>
      <c r="B40" s="168">
        <v>15500</v>
      </c>
      <c r="C40" s="160"/>
      <c r="D40" s="109"/>
      <c r="E40" s="109"/>
    </row>
    <row r="41" spans="1:8" ht="27" customHeight="1" x14ac:dyDescent="0.25">
      <c r="A41" s="56" t="s">
        <v>114</v>
      </c>
      <c r="B41" s="78">
        <f>SUM(B42:B45)</f>
        <v>365130</v>
      </c>
      <c r="C41" s="78">
        <f>SUM(C42:C45)</f>
        <v>368938.10000000003</v>
      </c>
      <c r="D41" s="116"/>
      <c r="E41" s="116"/>
    </row>
    <row r="42" spans="1:8" ht="15.75" customHeight="1" x14ac:dyDescent="0.25">
      <c r="A42" s="136" t="s">
        <v>49</v>
      </c>
      <c r="B42" s="169">
        <v>1600</v>
      </c>
      <c r="C42" s="137"/>
      <c r="D42" s="117"/>
      <c r="E42" s="117"/>
    </row>
    <row r="43" spans="1:8" ht="15.75" customHeight="1" x14ac:dyDescent="0.25">
      <c r="A43" s="138" t="s">
        <v>8</v>
      </c>
      <c r="B43" s="170">
        <v>252530</v>
      </c>
      <c r="C43" s="139">
        <f>254738.6+10527.3</f>
        <v>265265.90000000002</v>
      </c>
      <c r="D43" s="109"/>
      <c r="E43" s="109"/>
    </row>
    <row r="44" spans="1:8" ht="15.75" customHeight="1" x14ac:dyDescent="0.25">
      <c r="A44" s="152" t="s">
        <v>10</v>
      </c>
      <c r="B44" s="155">
        <v>109000</v>
      </c>
      <c r="C44" s="147">
        <v>103672.2</v>
      </c>
      <c r="D44" s="109"/>
      <c r="E44" s="109"/>
    </row>
    <row r="45" spans="1:8" ht="15.75" customHeight="1" x14ac:dyDescent="0.25">
      <c r="A45" s="159" t="s">
        <v>11</v>
      </c>
      <c r="B45" s="171">
        <v>2000</v>
      </c>
      <c r="C45" s="160"/>
      <c r="D45" s="109"/>
      <c r="E45" s="109"/>
    </row>
    <row r="46" spans="1:8" ht="26.25" customHeight="1" x14ac:dyDescent="0.25">
      <c r="A46" s="56" t="s">
        <v>115</v>
      </c>
      <c r="B46" s="88">
        <f xml:space="preserve"> SUM(B47:B48)</f>
        <v>9520</v>
      </c>
      <c r="C46" s="88">
        <f xml:space="preserve"> SUM(C47:C48)</f>
        <v>8183.8</v>
      </c>
      <c r="D46" s="118"/>
      <c r="E46" s="118"/>
    </row>
    <row r="47" spans="1:8" ht="15.75" customHeight="1" x14ac:dyDescent="0.25">
      <c r="A47" s="140" t="s">
        <v>12</v>
      </c>
      <c r="B47" s="170">
        <v>1200</v>
      </c>
      <c r="C47" s="139">
        <v>708.6</v>
      </c>
      <c r="D47" s="109"/>
      <c r="E47" s="109"/>
    </row>
    <row r="48" spans="1:8" ht="15.75" customHeight="1" x14ac:dyDescent="0.25">
      <c r="A48" s="152" t="s">
        <v>10</v>
      </c>
      <c r="B48" s="172">
        <v>8320</v>
      </c>
      <c r="C48" s="147">
        <v>7475.2</v>
      </c>
      <c r="D48" s="109"/>
      <c r="E48" s="109"/>
    </row>
    <row r="49" spans="1:7" ht="26.25" customHeight="1" x14ac:dyDescent="0.25">
      <c r="A49" s="56" t="s">
        <v>116</v>
      </c>
      <c r="B49" s="78">
        <f>SUM(B50)</f>
        <v>24128</v>
      </c>
      <c r="C49" s="78">
        <f>SUM(C50)</f>
        <v>26012.5</v>
      </c>
      <c r="D49" s="113"/>
      <c r="E49" s="113"/>
    </row>
    <row r="50" spans="1:7" ht="15.75" customHeight="1" x14ac:dyDescent="0.25">
      <c r="A50" s="138" t="s">
        <v>8</v>
      </c>
      <c r="B50" s="173">
        <v>24128</v>
      </c>
      <c r="C50" s="139">
        <v>26012.5</v>
      </c>
      <c r="D50" s="109"/>
      <c r="E50" s="109"/>
    </row>
    <row r="51" spans="1:7" ht="26.25" customHeight="1" x14ac:dyDescent="0.25">
      <c r="A51" s="60" t="s">
        <v>117</v>
      </c>
      <c r="B51" s="78">
        <f>SUM(B52:B54)</f>
        <v>6570</v>
      </c>
      <c r="C51" s="78">
        <f>SUM(C52:C54)</f>
        <v>6278</v>
      </c>
      <c r="D51" s="113"/>
      <c r="E51" s="113"/>
    </row>
    <row r="52" spans="1:7" ht="13.5" customHeight="1" x14ac:dyDescent="0.25">
      <c r="A52" s="138" t="s">
        <v>8</v>
      </c>
      <c r="B52" s="170">
        <v>4200</v>
      </c>
      <c r="C52" s="139">
        <v>4133</v>
      </c>
      <c r="D52" s="109"/>
      <c r="E52" s="109"/>
    </row>
    <row r="53" spans="1:7" ht="13.5" customHeight="1" x14ac:dyDescent="0.25">
      <c r="A53" s="152" t="s">
        <v>10</v>
      </c>
      <c r="B53" s="155">
        <v>2170</v>
      </c>
      <c r="C53" s="147">
        <f>300+1595+250</f>
        <v>2145</v>
      </c>
      <c r="D53" s="109"/>
      <c r="E53" s="109"/>
    </row>
    <row r="54" spans="1:7" ht="13.5" customHeight="1" x14ac:dyDescent="0.25">
      <c r="A54" s="159" t="s">
        <v>11</v>
      </c>
      <c r="B54" s="174">
        <v>200</v>
      </c>
      <c r="C54" s="160"/>
      <c r="D54" s="109"/>
      <c r="E54" s="109"/>
    </row>
    <row r="55" spans="1:7" ht="26.25" customHeight="1" x14ac:dyDescent="0.25">
      <c r="A55" s="56" t="s">
        <v>118</v>
      </c>
      <c r="B55" s="78">
        <f xml:space="preserve"> SUM(B56:B56)</f>
        <v>3950</v>
      </c>
      <c r="C55" s="78">
        <f xml:space="preserve"> SUM(C56:C56)</f>
        <v>370</v>
      </c>
      <c r="D55" s="113"/>
      <c r="E55" s="113"/>
    </row>
    <row r="56" spans="1:7" ht="15" customHeight="1" x14ac:dyDescent="0.25">
      <c r="A56" s="152" t="s">
        <v>10</v>
      </c>
      <c r="B56" s="172">
        <v>3950</v>
      </c>
      <c r="C56" s="147">
        <v>370</v>
      </c>
      <c r="D56" s="109"/>
      <c r="E56" s="109"/>
    </row>
    <row r="57" spans="1:7" ht="42.75" customHeight="1" x14ac:dyDescent="0.25">
      <c r="A57" s="56" t="s">
        <v>119</v>
      </c>
      <c r="B57" s="88">
        <f>SUM(B58)</f>
        <v>98</v>
      </c>
      <c r="C57" s="88">
        <f>SUM(C58)</f>
        <v>30</v>
      </c>
      <c r="D57" s="119"/>
      <c r="E57" s="119"/>
    </row>
    <row r="58" spans="1:7" ht="16.5" customHeight="1" x14ac:dyDescent="0.25">
      <c r="A58" s="152" t="s">
        <v>10</v>
      </c>
      <c r="B58" s="172">
        <v>98</v>
      </c>
      <c r="C58" s="147">
        <v>30</v>
      </c>
      <c r="D58" s="109"/>
      <c r="E58" s="109"/>
    </row>
    <row r="59" spans="1:7" ht="26.25" customHeight="1" x14ac:dyDescent="0.25">
      <c r="A59" s="62" t="s">
        <v>120</v>
      </c>
      <c r="B59" s="88">
        <f>SUM(B60,B61,B62)</f>
        <v>90104.1</v>
      </c>
      <c r="C59" s="88">
        <f>SUM(C60,C61,C62)</f>
        <v>57193.299999999996</v>
      </c>
      <c r="D59" s="119"/>
      <c r="E59" s="119"/>
    </row>
    <row r="60" spans="1:7" ht="15" customHeight="1" x14ac:dyDescent="0.25">
      <c r="A60" s="138" t="s">
        <v>8</v>
      </c>
      <c r="B60" s="170">
        <v>3518</v>
      </c>
      <c r="C60" s="139">
        <f>3222.7+95.5</f>
        <v>3318.2</v>
      </c>
      <c r="D60" s="109"/>
      <c r="E60" s="109"/>
    </row>
    <row r="61" spans="1:7" ht="15" customHeight="1" x14ac:dyDescent="0.25">
      <c r="A61" s="152" t="s">
        <v>10</v>
      </c>
      <c r="B61" s="155">
        <v>84086.1</v>
      </c>
      <c r="C61" s="147">
        <f>2506.8+6849.5+10451.8+34067</f>
        <v>53875.1</v>
      </c>
      <c r="D61" s="109"/>
      <c r="E61" s="109"/>
    </row>
    <row r="62" spans="1:7" ht="15" customHeight="1" x14ac:dyDescent="0.25">
      <c r="A62" s="159" t="s">
        <v>11</v>
      </c>
      <c r="B62" s="174">
        <v>2500</v>
      </c>
      <c r="C62" s="160"/>
      <c r="D62" s="109"/>
      <c r="E62" s="109"/>
    </row>
    <row r="63" spans="1:7" s="50" customFormat="1" ht="21.75" customHeight="1" x14ac:dyDescent="0.2">
      <c r="A63" s="178" t="s">
        <v>94</v>
      </c>
      <c r="B63" s="179">
        <f>SUM(B64:B66)</f>
        <v>27515.1</v>
      </c>
      <c r="C63" s="179">
        <f>C67+C70+C73+C75</f>
        <v>30556.899999999998</v>
      </c>
      <c r="D63" s="112">
        <v>30556.9</v>
      </c>
      <c r="E63" s="125">
        <f>D63-C63</f>
        <v>0</v>
      </c>
      <c r="F63" s="51" t="s">
        <v>58</v>
      </c>
      <c r="G63" s="104">
        <f>SUM(G64:G65)-B63</f>
        <v>-270</v>
      </c>
    </row>
    <row r="64" spans="1:7" s="50" customFormat="1" ht="12" customHeight="1" x14ac:dyDescent="0.2">
      <c r="A64" s="37" t="s">
        <v>8</v>
      </c>
      <c r="B64" s="77">
        <f>B68</f>
        <v>5635.1</v>
      </c>
      <c r="C64" s="77">
        <f>C68</f>
        <v>0</v>
      </c>
      <c r="D64" s="112"/>
      <c r="E64" s="112"/>
      <c r="F64" s="104">
        <f>G64-B64</f>
        <v>-270</v>
      </c>
      <c r="G64" s="50">
        <v>5365.1</v>
      </c>
    </row>
    <row r="65" spans="1:7" s="50" customFormat="1" ht="10.5" customHeight="1" x14ac:dyDescent="0.2">
      <c r="A65" s="37" t="s">
        <v>10</v>
      </c>
      <c r="B65" s="77">
        <f>B69</f>
        <v>21880</v>
      </c>
      <c r="C65" s="77">
        <f>C69</f>
        <v>0</v>
      </c>
      <c r="D65" s="112"/>
      <c r="E65" s="112"/>
      <c r="F65" s="104">
        <f>G65-B65</f>
        <v>0</v>
      </c>
      <c r="G65" s="50">
        <v>21880</v>
      </c>
    </row>
    <row r="66" spans="1:7" s="50" customFormat="1" ht="12.75" customHeight="1" x14ac:dyDescent="0.2">
      <c r="A66" s="37" t="s">
        <v>11</v>
      </c>
      <c r="B66" s="77"/>
      <c r="C66" s="77"/>
      <c r="D66" s="120"/>
      <c r="E66" s="120"/>
      <c r="F66" s="104">
        <f>G66-B66</f>
        <v>0</v>
      </c>
    </row>
    <row r="67" spans="1:7" ht="25.5" customHeight="1" x14ac:dyDescent="0.25">
      <c r="A67" s="64" t="s">
        <v>107</v>
      </c>
      <c r="B67" s="78">
        <f>SUM(B68:B69)</f>
        <v>27515.1</v>
      </c>
      <c r="C67" s="78">
        <f>SUM(C68:C69)</f>
        <v>0</v>
      </c>
      <c r="D67" s="113"/>
      <c r="E67" s="113"/>
      <c r="F67" s="63"/>
    </row>
    <row r="68" spans="1:7" ht="14.25" customHeight="1" x14ac:dyDescent="0.25">
      <c r="A68" s="40" t="s">
        <v>8</v>
      </c>
      <c r="B68" s="76">
        <f>B71+B76</f>
        <v>5635.1</v>
      </c>
      <c r="C68" s="8"/>
      <c r="D68" s="121"/>
      <c r="E68" s="121"/>
    </row>
    <row r="69" spans="1:7" ht="14.25" customHeight="1" x14ac:dyDescent="0.25">
      <c r="A69" s="151" t="s">
        <v>10</v>
      </c>
      <c r="B69" s="154">
        <f>B72+B74+B77</f>
        <v>21880</v>
      </c>
      <c r="C69" s="147"/>
      <c r="D69" s="121"/>
      <c r="E69" s="121"/>
    </row>
    <row r="70" spans="1:7" ht="26.25" customHeight="1" x14ac:dyDescent="0.25">
      <c r="A70" s="89" t="s">
        <v>108</v>
      </c>
      <c r="B70" s="78">
        <f>SUM(B71:B72)</f>
        <v>20315</v>
      </c>
      <c r="C70" s="78">
        <f>SUM(C71:C72)</f>
        <v>23488</v>
      </c>
      <c r="D70" s="113"/>
      <c r="E70" s="113"/>
    </row>
    <row r="71" spans="1:7" ht="15" customHeight="1" x14ac:dyDescent="0.25">
      <c r="A71" s="141" t="s">
        <v>8</v>
      </c>
      <c r="B71" s="164">
        <v>5315</v>
      </c>
      <c r="C71" s="139">
        <v>5212</v>
      </c>
      <c r="D71" s="121"/>
      <c r="E71" s="121"/>
    </row>
    <row r="72" spans="1:7" ht="14.25" customHeight="1" x14ac:dyDescent="0.25">
      <c r="A72" s="151" t="s">
        <v>10</v>
      </c>
      <c r="B72" s="154">
        <v>15000</v>
      </c>
      <c r="C72" s="147">
        <v>18276</v>
      </c>
      <c r="D72" s="121"/>
      <c r="E72" s="121"/>
    </row>
    <row r="73" spans="1:7" ht="25.5" customHeight="1" x14ac:dyDescent="0.25">
      <c r="A73" s="64" t="s">
        <v>61</v>
      </c>
      <c r="B73" s="78">
        <f>SUM(B74:B74)</f>
        <v>9.1</v>
      </c>
      <c r="C73" s="78">
        <f>SUM(C74:C74)</f>
        <v>9.1</v>
      </c>
      <c r="D73" s="113"/>
      <c r="E73" s="113"/>
    </row>
    <row r="74" spans="1:7" ht="15.75" customHeight="1" x14ac:dyDescent="0.25">
      <c r="A74" s="151" t="s">
        <v>10</v>
      </c>
      <c r="B74" s="154">
        <v>9.1</v>
      </c>
      <c r="C74" s="147">
        <v>9.1</v>
      </c>
      <c r="D74" s="121"/>
      <c r="E74" s="121"/>
    </row>
    <row r="75" spans="1:7" ht="26.25" customHeight="1" x14ac:dyDescent="0.25">
      <c r="A75" s="91" t="s">
        <v>109</v>
      </c>
      <c r="B75" s="78">
        <f>SUM(B76:B77)</f>
        <v>7191</v>
      </c>
      <c r="C75" s="78">
        <f>SUM(C76:C77)</f>
        <v>7059.8</v>
      </c>
      <c r="D75" s="113"/>
      <c r="E75" s="113"/>
    </row>
    <row r="76" spans="1:7" ht="15.75" customHeight="1" x14ac:dyDescent="0.25">
      <c r="A76" s="142" t="s">
        <v>8</v>
      </c>
      <c r="B76" s="164">
        <v>320.10000000000002</v>
      </c>
      <c r="C76" s="139">
        <v>332.5</v>
      </c>
      <c r="D76" s="121"/>
      <c r="E76" s="121"/>
    </row>
    <row r="77" spans="1:7" ht="15.75" customHeight="1" x14ac:dyDescent="0.25">
      <c r="A77" s="151" t="s">
        <v>10</v>
      </c>
      <c r="B77" s="154">
        <v>6870.9</v>
      </c>
      <c r="C77" s="147">
        <f>5829.3+579.8+318.2</f>
        <v>6727.3</v>
      </c>
      <c r="D77" s="121"/>
      <c r="E77" s="121"/>
    </row>
    <row r="78" spans="1:7" s="50" customFormat="1" ht="26.25" customHeight="1" x14ac:dyDescent="0.2">
      <c r="A78" s="178" t="s">
        <v>110</v>
      </c>
      <c r="B78" s="182">
        <f>SUM(B79:B82)</f>
        <v>29458.799999999999</v>
      </c>
      <c r="C78" s="182">
        <f>SUM(C79:C82)</f>
        <v>23420.2</v>
      </c>
      <c r="D78" s="122">
        <v>23420.2</v>
      </c>
      <c r="E78" s="125">
        <f>D78-C78</f>
        <v>0</v>
      </c>
      <c r="F78" s="51" t="s">
        <v>67</v>
      </c>
    </row>
    <row r="79" spans="1:7" s="50" customFormat="1" ht="14.25" customHeight="1" x14ac:dyDescent="0.2">
      <c r="A79" s="148" t="s">
        <v>13</v>
      </c>
      <c r="B79" s="154">
        <v>300</v>
      </c>
      <c r="C79" s="149">
        <v>300</v>
      </c>
      <c r="D79" s="123"/>
      <c r="E79" s="123"/>
    </row>
    <row r="80" spans="1:7" s="50" customFormat="1" ht="14.25" customHeight="1" x14ac:dyDescent="0.2">
      <c r="A80" s="148" t="s">
        <v>36</v>
      </c>
      <c r="B80" s="154">
        <v>350</v>
      </c>
      <c r="C80" s="149">
        <v>350</v>
      </c>
      <c r="D80" s="123"/>
      <c r="E80" s="123"/>
    </row>
    <row r="81" spans="1:6" s="50" customFormat="1" ht="14.25" customHeight="1" x14ac:dyDescent="0.2">
      <c r="A81" s="150" t="s">
        <v>44</v>
      </c>
      <c r="B81" s="154">
        <v>2631.6</v>
      </c>
      <c r="C81" s="149">
        <v>2641.2</v>
      </c>
      <c r="D81" s="123"/>
      <c r="E81" s="123"/>
    </row>
    <row r="82" spans="1:6" s="50" customFormat="1" ht="14.25" customHeight="1" x14ac:dyDescent="0.2">
      <c r="A82" s="150" t="s">
        <v>91</v>
      </c>
      <c r="B82" s="154">
        <f>29458.8-B81-B80-B79</f>
        <v>26177.200000000001</v>
      </c>
      <c r="C82" s="149">
        <f>23420.2-C81-C80-C79</f>
        <v>20129</v>
      </c>
      <c r="D82" s="123"/>
      <c r="E82" s="123"/>
    </row>
    <row r="83" spans="1:6" ht="26.25" customHeight="1" x14ac:dyDescent="0.25">
      <c r="A83" s="183" t="s">
        <v>95</v>
      </c>
      <c r="B83" s="179">
        <f>B84+B85+B86+B87</f>
        <v>3900</v>
      </c>
      <c r="C83" s="179">
        <f>C84+C85+C86+C87</f>
        <v>210</v>
      </c>
      <c r="D83" s="112">
        <v>210</v>
      </c>
      <c r="E83" s="112">
        <f>D83-C83</f>
        <v>0</v>
      </c>
      <c r="F83" s="38" t="s">
        <v>70</v>
      </c>
    </row>
    <row r="84" spans="1:6" ht="15.75" customHeight="1" x14ac:dyDescent="0.25">
      <c r="A84" s="134" t="s">
        <v>19</v>
      </c>
      <c r="B84" s="175">
        <v>2500</v>
      </c>
      <c r="C84" s="135">
        <v>0</v>
      </c>
      <c r="D84" s="109"/>
      <c r="E84" s="109"/>
    </row>
    <row r="85" spans="1:6" ht="15.75" customHeight="1" x14ac:dyDescent="0.25">
      <c r="A85" s="143" t="s">
        <v>8</v>
      </c>
      <c r="B85" s="164">
        <v>100</v>
      </c>
      <c r="C85" s="139">
        <v>0</v>
      </c>
      <c r="D85" s="109"/>
      <c r="E85" s="109"/>
    </row>
    <row r="86" spans="1:6" ht="15.75" customHeight="1" x14ac:dyDescent="0.25">
      <c r="A86" s="146" t="s">
        <v>9</v>
      </c>
      <c r="B86" s="154">
        <v>100</v>
      </c>
      <c r="C86" s="147">
        <v>210</v>
      </c>
      <c r="D86" s="109"/>
      <c r="E86" s="109"/>
    </row>
    <row r="87" spans="1:6" ht="15.75" customHeight="1" x14ac:dyDescent="0.25">
      <c r="A87" s="25" t="s">
        <v>69</v>
      </c>
      <c r="B87" s="176">
        <v>1200</v>
      </c>
      <c r="C87" s="4"/>
      <c r="D87" s="109"/>
      <c r="E87" s="109"/>
    </row>
    <row r="88" spans="1:6" s="234" customFormat="1" ht="15.75" customHeight="1" x14ac:dyDescent="0.25">
      <c r="A88" s="230" t="s">
        <v>125</v>
      </c>
      <c r="B88" s="182">
        <f>SUM(B89:B89)</f>
        <v>90</v>
      </c>
      <c r="C88" s="182">
        <f>SUM(C89:C89)</f>
        <v>90</v>
      </c>
      <c r="D88" s="231">
        <v>90</v>
      </c>
      <c r="E88" s="232">
        <f>D88-C88</f>
        <v>0</v>
      </c>
      <c r="F88" s="233" t="s">
        <v>65</v>
      </c>
    </row>
    <row r="89" spans="1:6" s="234" customFormat="1" ht="15.75" customHeight="1" x14ac:dyDescent="0.25">
      <c r="A89" s="235" t="s">
        <v>9</v>
      </c>
      <c r="B89" s="145">
        <v>90</v>
      </c>
      <c r="C89" s="236">
        <v>90</v>
      </c>
      <c r="D89" s="237"/>
      <c r="E89" s="237"/>
    </row>
    <row r="90" spans="1:6" s="234" customFormat="1" ht="26.25" customHeight="1" x14ac:dyDescent="0.25">
      <c r="A90" s="230" t="s">
        <v>126</v>
      </c>
      <c r="B90" s="182">
        <f>SUM(B91:B91)</f>
        <v>663</v>
      </c>
      <c r="C90" s="182">
        <f>SUM(C91:C91)</f>
        <v>100</v>
      </c>
      <c r="D90" s="231">
        <v>100</v>
      </c>
      <c r="E90" s="232">
        <f>D90-C90</f>
        <v>0</v>
      </c>
      <c r="F90" s="233" t="s">
        <v>66</v>
      </c>
    </row>
    <row r="91" spans="1:6" s="234" customFormat="1" ht="14.25" customHeight="1" x14ac:dyDescent="0.25">
      <c r="A91" s="235" t="s">
        <v>9</v>
      </c>
      <c r="B91" s="145">
        <v>663</v>
      </c>
      <c r="C91" s="236">
        <v>100</v>
      </c>
      <c r="D91" s="237"/>
      <c r="E91" s="237"/>
    </row>
    <row r="92" spans="1:6" s="234" customFormat="1" ht="39" customHeight="1" x14ac:dyDescent="0.25">
      <c r="A92" s="238" t="s">
        <v>96</v>
      </c>
      <c r="B92" s="182">
        <f>SUM(B93:B93)</f>
        <v>200</v>
      </c>
      <c r="C92" s="182">
        <f>SUM(C93:C93)</f>
        <v>0</v>
      </c>
      <c r="D92" s="114"/>
      <c r="E92" s="114"/>
      <c r="F92" s="233" t="s">
        <v>65</v>
      </c>
    </row>
    <row r="93" spans="1:6" s="234" customFormat="1" ht="12.75" customHeight="1" x14ac:dyDescent="0.25">
      <c r="A93" s="235" t="s">
        <v>9</v>
      </c>
      <c r="B93" s="145">
        <v>200</v>
      </c>
      <c r="C93" s="236"/>
      <c r="D93" s="237"/>
      <c r="E93" s="237"/>
    </row>
    <row r="94" spans="1:6" s="234" customFormat="1" ht="26.25" customHeight="1" x14ac:dyDescent="0.25">
      <c r="A94" s="178" t="s">
        <v>97</v>
      </c>
      <c r="B94" s="182">
        <f>SUM(B95:B95)</f>
        <v>60</v>
      </c>
      <c r="C94" s="182">
        <f>SUM(C95:C95)</f>
        <v>0</v>
      </c>
      <c r="D94" s="231"/>
      <c r="E94" s="231"/>
      <c r="F94" s="233"/>
    </row>
    <row r="95" spans="1:6" s="234" customFormat="1" ht="15" customHeight="1" x14ac:dyDescent="0.25">
      <c r="A95" s="235" t="s">
        <v>9</v>
      </c>
      <c r="B95" s="145">
        <v>60</v>
      </c>
      <c r="C95" s="236"/>
      <c r="D95" s="237"/>
      <c r="E95" s="237"/>
    </row>
    <row r="96" spans="1:6" s="234" customFormat="1" ht="26.25" customHeight="1" x14ac:dyDescent="0.25">
      <c r="A96" s="178" t="s">
        <v>98</v>
      </c>
      <c r="B96" s="182">
        <f>SUM(B97:B97)</f>
        <v>763</v>
      </c>
      <c r="C96" s="182">
        <f>SUM(C97:C97)</f>
        <v>350</v>
      </c>
      <c r="D96" s="231">
        <v>350</v>
      </c>
      <c r="E96" s="232">
        <f>D96-C96</f>
        <v>0</v>
      </c>
      <c r="F96" s="233" t="s">
        <v>71</v>
      </c>
    </row>
    <row r="97" spans="1:6" s="234" customFormat="1" ht="15" customHeight="1" x14ac:dyDescent="0.25">
      <c r="A97" s="235" t="s">
        <v>9</v>
      </c>
      <c r="B97" s="145">
        <v>763</v>
      </c>
      <c r="C97" s="236">
        <v>350</v>
      </c>
      <c r="D97" s="237"/>
      <c r="E97" s="237"/>
    </row>
    <row r="98" spans="1:6" ht="29.25" customHeight="1" x14ac:dyDescent="0.25">
      <c r="A98" s="184" t="s">
        <v>99</v>
      </c>
      <c r="B98" s="179">
        <f>SUM(B99:B99)</f>
        <v>305</v>
      </c>
      <c r="C98" s="179">
        <f>SUM(C99:C99)</f>
        <v>0</v>
      </c>
      <c r="D98" s="120"/>
      <c r="E98" s="120"/>
      <c r="F98" s="38" t="s">
        <v>65</v>
      </c>
    </row>
    <row r="99" spans="1:6" ht="15" customHeight="1" x14ac:dyDescent="0.25">
      <c r="A99" s="146" t="s">
        <v>9</v>
      </c>
      <c r="B99" s="154">
        <v>305</v>
      </c>
      <c r="C99" s="147"/>
      <c r="D99" s="109"/>
      <c r="E99" s="109"/>
    </row>
    <row r="100" spans="1:6" ht="30" customHeight="1" x14ac:dyDescent="0.25">
      <c r="A100" s="184" t="s">
        <v>100</v>
      </c>
      <c r="B100" s="179">
        <f>SUM(B101)</f>
        <v>2094.4</v>
      </c>
      <c r="C100" s="179">
        <f>SUM(C101)</f>
        <v>550</v>
      </c>
      <c r="D100" s="109"/>
      <c r="E100" s="109"/>
    </row>
    <row r="101" spans="1:6" ht="12" customHeight="1" x14ac:dyDescent="0.25">
      <c r="A101" s="146" t="s">
        <v>9</v>
      </c>
      <c r="B101" s="154">
        <v>2094.4</v>
      </c>
      <c r="C101" s="147">
        <v>550</v>
      </c>
      <c r="D101" s="109"/>
      <c r="E101" s="109"/>
    </row>
    <row r="102" spans="1:6" ht="12" customHeight="1" x14ac:dyDescent="0.25">
      <c r="A102" s="184" t="s">
        <v>104</v>
      </c>
      <c r="B102" s="179">
        <f>SUM(B103:B106)</f>
        <v>3529.9800000000005</v>
      </c>
      <c r="C102" s="186"/>
      <c r="D102" s="109"/>
      <c r="E102" s="109"/>
    </row>
    <row r="103" spans="1:6" ht="12" customHeight="1" x14ac:dyDescent="0.25">
      <c r="A103" s="132" t="s">
        <v>20</v>
      </c>
      <c r="B103" s="175">
        <v>2223.88</v>
      </c>
      <c r="C103" s="135"/>
      <c r="D103" s="109"/>
      <c r="E103" s="109"/>
    </row>
    <row r="104" spans="1:6" ht="12" customHeight="1" x14ac:dyDescent="0.25">
      <c r="A104" s="130" t="s">
        <v>8</v>
      </c>
      <c r="B104" s="164">
        <v>148.26</v>
      </c>
      <c r="C104" s="139"/>
      <c r="D104" s="109"/>
      <c r="E104" s="109"/>
    </row>
    <row r="105" spans="1:6" ht="12" customHeight="1" x14ac:dyDescent="0.25">
      <c r="A105" s="144" t="s">
        <v>10</v>
      </c>
      <c r="B105" s="154">
        <v>98.84</v>
      </c>
      <c r="C105" s="147"/>
      <c r="D105" s="109"/>
      <c r="E105" s="109"/>
    </row>
    <row r="106" spans="1:6" ht="12" customHeight="1" x14ac:dyDescent="0.25">
      <c r="A106" s="157" t="s">
        <v>11</v>
      </c>
      <c r="B106" s="165">
        <v>1059</v>
      </c>
      <c r="C106" s="160"/>
      <c r="D106" s="109"/>
      <c r="E106" s="109"/>
    </row>
    <row r="107" spans="1:6" ht="16.5" customHeight="1" x14ac:dyDescent="0.25">
      <c r="A107" s="52" t="s">
        <v>45</v>
      </c>
      <c r="B107" s="83">
        <f>SUM(B108:B112)</f>
        <v>792086.24</v>
      </c>
      <c r="C107" s="83">
        <f>SUM(C108:C112)</f>
        <v>745684.7</v>
      </c>
      <c r="D107" s="124"/>
      <c r="E107" s="124"/>
    </row>
    <row r="108" spans="1:6" ht="15" customHeight="1" x14ac:dyDescent="0.25">
      <c r="A108" s="132" t="s">
        <v>20</v>
      </c>
      <c r="B108" s="133">
        <f>B84+B42+B103</f>
        <v>6323.88</v>
      </c>
      <c r="C108" s="133">
        <f>C84+C42+C103</f>
        <v>0</v>
      </c>
      <c r="D108" s="124"/>
      <c r="E108" s="124"/>
    </row>
    <row r="109" spans="1:6" ht="14.25" customHeight="1" x14ac:dyDescent="0.25">
      <c r="A109" s="130" t="s">
        <v>8</v>
      </c>
      <c r="B109" s="131">
        <f>B11+B21+B25+B29+B38+B43+B47+B50+B52+B60+B71+B76+B85+B104</f>
        <v>379014.16</v>
      </c>
      <c r="C109" s="131">
        <f>C11+C21+C25+C29+C38+C43+C47+C50+C52+C60+C71+C76+C85+C104</f>
        <v>420162.5</v>
      </c>
      <c r="D109" s="124"/>
      <c r="E109" s="124"/>
    </row>
    <row r="110" spans="1:6" ht="16.5" customHeight="1" x14ac:dyDescent="0.25">
      <c r="A110" s="144" t="s">
        <v>10</v>
      </c>
      <c r="B110" s="145">
        <f>B101+B99+B97+B95+B89+B86+B82+B81+B80+B79+B77+B74+B72+B61+B58+B56+B53+B48+B44+B39+B30+B26+B22+B15+B13+B9+B7+B91+B93+B105</f>
        <v>383425.3</v>
      </c>
      <c r="C110" s="145">
        <f>C101+C99+C97+C95+C89+C86+C82+C81+C80+C79+C77+C74+C72+C61+C58+C56+C53+C48+C44+C39+C30+C26+C22+C15+C13+C9+C7+C91+C93+C105</f>
        <v>325522.2</v>
      </c>
      <c r="D110" s="124"/>
      <c r="E110" s="124"/>
    </row>
    <row r="111" spans="1:6" ht="16.5" customHeight="1" x14ac:dyDescent="0.25">
      <c r="A111" s="157" t="s">
        <v>11</v>
      </c>
      <c r="B111" s="158">
        <f>B62+B54+B45+B40+B31+B27+B23+B106</f>
        <v>22122.9</v>
      </c>
      <c r="C111" s="158">
        <f>C62+C54+C45+C40+C31+C27+C23+C106</f>
        <v>0</v>
      </c>
      <c r="D111" s="124"/>
      <c r="E111" s="124"/>
    </row>
    <row r="112" spans="1:6" ht="15" customHeight="1" x14ac:dyDescent="0.25">
      <c r="A112" s="54" t="str">
        <f>A87</f>
        <v>середства участников программы</v>
      </c>
      <c r="B112" s="83">
        <f>B87</f>
        <v>1200</v>
      </c>
      <c r="C112" s="83">
        <f>C87</f>
        <v>0</v>
      </c>
      <c r="D112" s="124"/>
      <c r="E112" s="124"/>
    </row>
    <row r="113" spans="2:3" ht="14.25" customHeight="1" x14ac:dyDescent="0.25">
      <c r="B113" s="177">
        <f>B114-B107</f>
        <v>0</v>
      </c>
      <c r="C113" s="177">
        <f>C114-C107</f>
        <v>0</v>
      </c>
    </row>
    <row r="114" spans="2:3" ht="14.25" customHeight="1" x14ac:dyDescent="0.25">
      <c r="B114" s="177">
        <f>B100+B98+B96+B94+B92+B90+B88+B83+B78+B63+B32+B16+B3+B102</f>
        <v>792086.24000000011</v>
      </c>
      <c r="C114" s="177">
        <f>C98+C96+C94+C92+C90+C88+C83+C78+C63+C32+C16+C3+C100</f>
        <v>745684.7</v>
      </c>
    </row>
    <row r="115" spans="2:3" ht="26.25" customHeight="1" x14ac:dyDescent="0.25">
      <c r="C115" s="177"/>
    </row>
    <row r="116" spans="2:3" ht="26.25" customHeight="1" x14ac:dyDescent="0.25">
      <c r="C116" s="177"/>
    </row>
    <row r="117" spans="2:3" ht="26.25" customHeight="1" x14ac:dyDescent="0.25">
      <c r="C117" s="177"/>
    </row>
  </sheetData>
  <pageMargins left="0.7" right="0.7" top="0.75" bottom="0.75" header="0.3" footer="0.3"/>
  <pageSetup paperSize="9" scale="44" orientation="landscape" r:id="rId1"/>
  <rowBreaks count="1" manualBreakCount="1"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06"/>
  <sheetViews>
    <sheetView zoomScaleNormal="100" workbookViewId="0">
      <selection activeCell="J104" sqref="J104"/>
    </sheetView>
  </sheetViews>
  <sheetFormatPr defaultRowHeight="26.25" customHeight="1" x14ac:dyDescent="0.25"/>
  <cols>
    <col min="1" max="1" width="96.28515625" style="251" customWidth="1"/>
    <col min="2" max="2" width="13" style="215" customWidth="1"/>
    <col min="3" max="3" width="14.28515625" style="187" customWidth="1"/>
    <col min="4" max="4" width="11.85546875" style="187" hidden="1" customWidth="1"/>
    <col min="5" max="5" width="10.7109375" style="187" hidden="1" customWidth="1"/>
    <col min="6" max="7" width="12.42578125" style="188" hidden="1" customWidth="1"/>
  </cols>
  <sheetData>
    <row r="1" spans="1:7" ht="26.25" customHeight="1" x14ac:dyDescent="0.3">
      <c r="A1" s="239" t="s">
        <v>47</v>
      </c>
      <c r="B1" s="227" t="s">
        <v>57</v>
      </c>
    </row>
    <row r="2" spans="1:7" ht="26.25" customHeight="1" x14ac:dyDescent="0.25">
      <c r="A2" s="259" t="s">
        <v>3</v>
      </c>
      <c r="B2" s="260" t="s">
        <v>33</v>
      </c>
      <c r="C2" s="259" t="s">
        <v>132</v>
      </c>
      <c r="D2" s="189"/>
      <c r="E2" s="189"/>
      <c r="F2" s="190" t="s">
        <v>102</v>
      </c>
    </row>
    <row r="3" spans="1:7" ht="26.25" customHeight="1" x14ac:dyDescent="0.25">
      <c r="A3" s="261" t="s">
        <v>133</v>
      </c>
      <c r="B3" s="262">
        <f>B4+B5</f>
        <v>25624.2</v>
      </c>
      <c r="C3" s="262">
        <f>C4+C5</f>
        <v>19621.900000000001</v>
      </c>
      <c r="D3" s="254">
        <v>19621.900000000001</v>
      </c>
      <c r="E3" s="191">
        <f>D3-C3</f>
        <v>0</v>
      </c>
      <c r="F3" s="192" t="s">
        <v>103</v>
      </c>
    </row>
    <row r="4" spans="1:7" ht="14.25" customHeight="1" x14ac:dyDescent="0.25">
      <c r="A4" s="263" t="s">
        <v>1</v>
      </c>
      <c r="B4" s="264">
        <f>SUM(B11)</f>
        <v>17300</v>
      </c>
      <c r="C4" s="264">
        <f>SUM(C11)</f>
        <v>14569.3</v>
      </c>
      <c r="D4" s="193"/>
      <c r="E4" s="193"/>
      <c r="F4" s="194">
        <f>G4-B4</f>
        <v>1730</v>
      </c>
      <c r="G4" s="194">
        <v>19030</v>
      </c>
    </row>
    <row r="5" spans="1:7" ht="14.25" customHeight="1" x14ac:dyDescent="0.25">
      <c r="A5" s="263" t="s">
        <v>2</v>
      </c>
      <c r="B5" s="264">
        <f>B7+B9+B13+B15</f>
        <v>8324.2000000000007</v>
      </c>
      <c r="C5" s="264">
        <f>C7+C9+C13+C15</f>
        <v>5052.6000000000004</v>
      </c>
      <c r="D5" s="193"/>
      <c r="E5" s="193"/>
      <c r="F5" s="194">
        <f>G5-B5</f>
        <v>1106.8599999999988</v>
      </c>
      <c r="G5" s="194">
        <v>9431.06</v>
      </c>
    </row>
    <row r="6" spans="1:7" ht="26.25" customHeight="1" x14ac:dyDescent="0.25">
      <c r="A6" s="240" t="s">
        <v>134</v>
      </c>
      <c r="B6" s="265">
        <f t="shared" ref="B6:C6" si="0">SUM(B7)</f>
        <v>1016</v>
      </c>
      <c r="C6" s="265">
        <f t="shared" si="0"/>
        <v>457</v>
      </c>
      <c r="D6" s="195">
        <f>B6+B8+B10+B12+B14</f>
        <v>25624.2</v>
      </c>
      <c r="E6" s="196"/>
    </row>
    <row r="7" spans="1:7" ht="13.5" customHeight="1" x14ac:dyDescent="0.25">
      <c r="A7" s="241" t="s">
        <v>4</v>
      </c>
      <c r="B7" s="266">
        <v>1016</v>
      </c>
      <c r="C7" s="236">
        <v>457</v>
      </c>
      <c r="D7" s="198"/>
      <c r="E7" s="198"/>
    </row>
    <row r="8" spans="1:7" ht="26.25" customHeight="1" x14ac:dyDescent="0.25">
      <c r="A8" s="242" t="s">
        <v>127</v>
      </c>
      <c r="B8" s="265">
        <f t="shared" ref="B8:C8" si="1">SUM(B9)</f>
        <v>473</v>
      </c>
      <c r="C8" s="265">
        <f t="shared" si="1"/>
        <v>100</v>
      </c>
      <c r="D8" s="196"/>
      <c r="E8" s="196"/>
    </row>
    <row r="9" spans="1:7" ht="17.25" customHeight="1" x14ac:dyDescent="0.25">
      <c r="A9" s="243" t="s">
        <v>7</v>
      </c>
      <c r="B9" s="217">
        <v>473</v>
      </c>
      <c r="C9" s="236">
        <v>100</v>
      </c>
      <c r="D9" s="198"/>
      <c r="E9" s="198"/>
    </row>
    <row r="10" spans="1:7" ht="26.25" customHeight="1" x14ac:dyDescent="0.25">
      <c r="A10" s="242" t="s">
        <v>128</v>
      </c>
      <c r="B10" s="265">
        <f>B11</f>
        <v>17300</v>
      </c>
      <c r="C10" s="265">
        <f>C11</f>
        <v>14569.3</v>
      </c>
      <c r="D10" s="196"/>
      <c r="E10" s="196"/>
    </row>
    <row r="11" spans="1:7" ht="15.75" customHeight="1" x14ac:dyDescent="0.25">
      <c r="A11" s="141" t="s">
        <v>6</v>
      </c>
      <c r="B11" s="216">
        <v>17300</v>
      </c>
      <c r="C11" s="252">
        <v>14569.3</v>
      </c>
      <c r="D11" s="198"/>
      <c r="E11" s="198"/>
    </row>
    <row r="12" spans="1:7" ht="24" customHeight="1" x14ac:dyDescent="0.25">
      <c r="A12" s="242" t="s">
        <v>129</v>
      </c>
      <c r="B12" s="265">
        <f t="shared" ref="B12:C12" si="2">SUM(B13)</f>
        <v>254</v>
      </c>
      <c r="C12" s="265">
        <f t="shared" si="2"/>
        <v>128.30000000000001</v>
      </c>
      <c r="D12" s="196"/>
      <c r="E12" s="196"/>
    </row>
    <row r="13" spans="1:7" ht="18" customHeight="1" x14ac:dyDescent="0.25">
      <c r="A13" s="243" t="s">
        <v>7</v>
      </c>
      <c r="B13" s="217">
        <v>254</v>
      </c>
      <c r="C13" s="221">
        <v>128.30000000000001</v>
      </c>
      <c r="D13" s="199"/>
      <c r="E13" s="199"/>
    </row>
    <row r="14" spans="1:7" ht="29.25" customHeight="1" x14ac:dyDescent="0.25">
      <c r="A14" s="242" t="s">
        <v>130</v>
      </c>
      <c r="B14" s="265">
        <f>SUM(B15:B15)</f>
        <v>6581.2</v>
      </c>
      <c r="C14" s="265">
        <f>SUM(C15:C15)</f>
        <v>4367.3</v>
      </c>
      <c r="D14" s="196"/>
      <c r="E14" s="196"/>
    </row>
    <row r="15" spans="1:7" ht="26.25" customHeight="1" x14ac:dyDescent="0.25">
      <c r="A15" s="243" t="s">
        <v>7</v>
      </c>
      <c r="B15" s="217">
        <v>6581.2</v>
      </c>
      <c r="C15" s="221">
        <v>4367.3</v>
      </c>
      <c r="D15" s="199"/>
      <c r="E15" s="199"/>
    </row>
    <row r="16" spans="1:7" ht="31.5" customHeight="1" x14ac:dyDescent="0.25">
      <c r="A16" s="261" t="s">
        <v>144</v>
      </c>
      <c r="B16" s="262">
        <f>SUM(B17:B19)</f>
        <v>47987.600000000006</v>
      </c>
      <c r="C16" s="262">
        <f>SUM(C17:C19)</f>
        <v>35739.599999999999</v>
      </c>
      <c r="D16" s="111">
        <v>35739.599999999999</v>
      </c>
      <c r="E16" s="200">
        <f>D16-C16</f>
        <v>0</v>
      </c>
      <c r="F16" s="192" t="s">
        <v>92</v>
      </c>
      <c r="G16" s="188">
        <f>G17+G18+G19</f>
        <v>47987.600000000006</v>
      </c>
    </row>
    <row r="17" spans="1:7" ht="16.5" customHeight="1" x14ac:dyDescent="0.25">
      <c r="A17" s="267" t="s">
        <v>8</v>
      </c>
      <c r="B17" s="268">
        <f>B21+B25+B29</f>
        <v>2571.4</v>
      </c>
      <c r="C17" s="268">
        <f t="shared" ref="B17:C19" si="3">C21+C25+C29</f>
        <v>1184.5</v>
      </c>
      <c r="D17" s="122"/>
      <c r="E17" s="122"/>
      <c r="F17" s="194">
        <f>G17-B17</f>
        <v>0</v>
      </c>
      <c r="G17" s="188">
        <v>2571.4</v>
      </c>
    </row>
    <row r="18" spans="1:7" ht="18" customHeight="1" x14ac:dyDescent="0.25">
      <c r="A18" s="267" t="s">
        <v>10</v>
      </c>
      <c r="B18" s="268">
        <f t="shared" si="3"/>
        <v>44359.4</v>
      </c>
      <c r="C18" s="268">
        <f t="shared" si="3"/>
        <v>34555.1</v>
      </c>
      <c r="D18" s="125">
        <f>B20+B24+B28</f>
        <v>47987.600000000006</v>
      </c>
      <c r="E18" s="122"/>
      <c r="F18" s="194">
        <f>G18-B18</f>
        <v>0</v>
      </c>
      <c r="G18" s="188">
        <v>44359.4</v>
      </c>
    </row>
    <row r="19" spans="1:7" ht="16.5" customHeight="1" x14ac:dyDescent="0.25">
      <c r="A19" s="267" t="s">
        <v>11</v>
      </c>
      <c r="B19" s="268">
        <f t="shared" si="3"/>
        <v>1056.8</v>
      </c>
      <c r="C19" s="268">
        <f t="shared" si="3"/>
        <v>0</v>
      </c>
      <c r="D19" s="122"/>
      <c r="E19" s="122"/>
      <c r="F19" s="194">
        <f>G19-B19</f>
        <v>0</v>
      </c>
      <c r="G19" s="188">
        <v>1056.8</v>
      </c>
    </row>
    <row r="20" spans="1:7" ht="26.25" customHeight="1" x14ac:dyDescent="0.25">
      <c r="A20" s="269" t="s">
        <v>145</v>
      </c>
      <c r="B20" s="265">
        <f>SUM(B21:B23)</f>
        <v>2176.5</v>
      </c>
      <c r="C20" s="265">
        <f>SUM(C21:C23)</f>
        <v>0</v>
      </c>
      <c r="D20" s="201"/>
      <c r="E20" s="201"/>
    </row>
    <row r="21" spans="1:7" ht="16.5" customHeight="1" x14ac:dyDescent="0.25">
      <c r="A21" s="141" t="s">
        <v>8</v>
      </c>
      <c r="B21" s="216">
        <v>0</v>
      </c>
      <c r="C21" s="252"/>
      <c r="D21" s="198"/>
      <c r="E21" s="198"/>
    </row>
    <row r="22" spans="1:7" ht="17.25" customHeight="1" x14ac:dyDescent="0.25">
      <c r="A22" s="151" t="s">
        <v>10</v>
      </c>
      <c r="B22" s="217">
        <v>2108.5</v>
      </c>
      <c r="C22" s="236"/>
      <c r="D22" s="198"/>
      <c r="E22" s="198"/>
    </row>
    <row r="23" spans="1:7" ht="15" customHeight="1" x14ac:dyDescent="0.25">
      <c r="A23" s="244" t="s">
        <v>11</v>
      </c>
      <c r="B23" s="218">
        <v>68</v>
      </c>
      <c r="C23" s="255"/>
      <c r="D23" s="198"/>
      <c r="E23" s="198"/>
    </row>
    <row r="24" spans="1:7" ht="33" customHeight="1" x14ac:dyDescent="0.25">
      <c r="A24" s="269" t="s">
        <v>146</v>
      </c>
      <c r="B24" s="265">
        <f>SUM(B25:B27)</f>
        <v>170</v>
      </c>
      <c r="C24" s="265">
        <f>SUM(C25:C27)</f>
        <v>0</v>
      </c>
      <c r="D24" s="201"/>
      <c r="E24" s="201"/>
    </row>
    <row r="25" spans="1:7" ht="15" customHeight="1" x14ac:dyDescent="0.25">
      <c r="A25" s="141" t="s">
        <v>8</v>
      </c>
      <c r="B25" s="216">
        <v>0</v>
      </c>
      <c r="C25" s="252"/>
      <c r="D25" s="198"/>
      <c r="E25" s="198"/>
    </row>
    <row r="26" spans="1:7" ht="15" customHeight="1" x14ac:dyDescent="0.25">
      <c r="A26" s="151" t="s">
        <v>10</v>
      </c>
      <c r="B26" s="217">
        <v>170</v>
      </c>
      <c r="C26" s="236"/>
      <c r="D26" s="198"/>
      <c r="E26" s="198"/>
    </row>
    <row r="27" spans="1:7" ht="15" customHeight="1" x14ac:dyDescent="0.25">
      <c r="A27" s="244" t="s">
        <v>11</v>
      </c>
      <c r="B27" s="218">
        <v>0</v>
      </c>
      <c r="C27" s="255"/>
      <c r="D27" s="198"/>
      <c r="E27" s="198"/>
    </row>
    <row r="28" spans="1:7" ht="43.5" customHeight="1" x14ac:dyDescent="0.25">
      <c r="A28" s="269" t="s">
        <v>147</v>
      </c>
      <c r="B28" s="265">
        <f>SUM(B29:B31)</f>
        <v>45641.100000000006</v>
      </c>
      <c r="C28" s="265">
        <f>SUM(C29:C31)</f>
        <v>35739.599999999999</v>
      </c>
      <c r="D28" s="201"/>
      <c r="E28" s="201"/>
    </row>
    <row r="29" spans="1:7" ht="18.75" customHeight="1" x14ac:dyDescent="0.25">
      <c r="A29" s="141" t="s">
        <v>8</v>
      </c>
      <c r="B29" s="216">
        <v>2571.4</v>
      </c>
      <c r="C29" s="252">
        <f>1184.5</f>
        <v>1184.5</v>
      </c>
      <c r="D29" s="198"/>
      <c r="E29" s="198"/>
    </row>
    <row r="30" spans="1:7" ht="18.75" customHeight="1" x14ac:dyDescent="0.25">
      <c r="A30" s="151" t="s">
        <v>10</v>
      </c>
      <c r="B30" s="217">
        <v>42080.9</v>
      </c>
      <c r="C30" s="236">
        <f>28069.7-C29+7669.9</f>
        <v>34555.1</v>
      </c>
      <c r="D30" s="198"/>
      <c r="E30" s="198"/>
    </row>
    <row r="31" spans="1:7" ht="18.75" customHeight="1" x14ac:dyDescent="0.25">
      <c r="A31" s="244" t="s">
        <v>11</v>
      </c>
      <c r="B31" s="218">
        <v>988.8</v>
      </c>
      <c r="C31" s="255"/>
      <c r="D31" s="198"/>
      <c r="E31" s="198"/>
    </row>
    <row r="32" spans="1:7" ht="18.75" customHeight="1" x14ac:dyDescent="0.25">
      <c r="A32" s="270" t="s">
        <v>135</v>
      </c>
      <c r="B32" s="262">
        <f xml:space="preserve"> SUM(B33:B36)</f>
        <v>623928.19999999995</v>
      </c>
      <c r="C32" s="262">
        <f xml:space="preserve"> SUM(C33:C36)</f>
        <v>505930.5</v>
      </c>
      <c r="D32" s="114">
        <v>505930.5</v>
      </c>
      <c r="E32" s="125">
        <f>D32-C32</f>
        <v>0</v>
      </c>
      <c r="F32" s="188" t="s">
        <v>93</v>
      </c>
      <c r="G32" s="194">
        <f>647740.1-B32</f>
        <v>23811.900000000023</v>
      </c>
    </row>
    <row r="33" spans="1:7" ht="18.75" customHeight="1" x14ac:dyDescent="0.25">
      <c r="A33" s="267" t="s">
        <v>48</v>
      </c>
      <c r="B33" s="264">
        <f>B42</f>
        <v>1571.7</v>
      </c>
      <c r="C33" s="264">
        <f>C42</f>
        <v>0</v>
      </c>
      <c r="D33" s="122"/>
      <c r="E33" s="122"/>
      <c r="F33" s="194">
        <f>G33-B33</f>
        <v>0</v>
      </c>
      <c r="G33" s="188">
        <v>1571.7</v>
      </c>
    </row>
    <row r="34" spans="1:7" ht="18.75" customHeight="1" x14ac:dyDescent="0.25">
      <c r="A34" s="267" t="s">
        <v>8</v>
      </c>
      <c r="B34" s="264">
        <f>B38+B43+B47+B52+B60+B50</f>
        <v>338500.1</v>
      </c>
      <c r="C34" s="264">
        <f>C38+C43+C47+C52+C60+C50</f>
        <v>277243.8</v>
      </c>
      <c r="D34" s="202">
        <f>B33+B34+B35+B36</f>
        <v>623928.19999999995</v>
      </c>
      <c r="E34" s="202"/>
      <c r="F34" s="194">
        <f>G34-B34</f>
        <v>6900</v>
      </c>
      <c r="G34" s="188">
        <v>345400.1</v>
      </c>
    </row>
    <row r="35" spans="1:7" ht="18.75" customHeight="1" x14ac:dyDescent="0.25">
      <c r="A35" s="267" t="s">
        <v>9</v>
      </c>
      <c r="B35" s="264">
        <f>B39+B44+B48+B53+B56+B58+B61</f>
        <v>264206.40000000002</v>
      </c>
      <c r="C35" s="264">
        <f>C39+C44+C48+C53+C56+C58+C61</f>
        <v>228686.7</v>
      </c>
      <c r="D35" s="202"/>
      <c r="E35" s="202"/>
      <c r="F35" s="194">
        <f>G35-B35</f>
        <v>-6900.0000000000291</v>
      </c>
      <c r="G35" s="188">
        <v>257306.4</v>
      </c>
    </row>
    <row r="36" spans="1:7" ht="18.75" customHeight="1" x14ac:dyDescent="0.25">
      <c r="A36" s="267" t="s">
        <v>11</v>
      </c>
      <c r="B36" s="264">
        <f>B40+B45+B54+B62</f>
        <v>19650</v>
      </c>
      <c r="C36" s="264">
        <f>C40+C45+C54+C62</f>
        <v>0</v>
      </c>
      <c r="D36" s="202"/>
      <c r="E36" s="202"/>
      <c r="F36" s="194">
        <f>G36-B36</f>
        <v>0</v>
      </c>
      <c r="G36" s="188">
        <v>19650</v>
      </c>
    </row>
    <row r="37" spans="1:7" ht="27" customHeight="1" x14ac:dyDescent="0.25">
      <c r="A37" s="240" t="s">
        <v>136</v>
      </c>
      <c r="B37" s="265">
        <f>SUM(B38:B40)</f>
        <v>144810</v>
      </c>
      <c r="C37" s="265">
        <f>SUM(C38:C40)</f>
        <v>121467.4</v>
      </c>
      <c r="D37" s="203"/>
      <c r="E37" s="203"/>
    </row>
    <row r="38" spans="1:7" ht="18.75" customHeight="1" x14ac:dyDescent="0.25">
      <c r="A38" s="141" t="s">
        <v>8</v>
      </c>
      <c r="B38" s="216">
        <v>63860</v>
      </c>
      <c r="C38" s="252">
        <v>67412.399999999994</v>
      </c>
      <c r="D38" s="198"/>
      <c r="E38" s="198"/>
    </row>
    <row r="39" spans="1:7" ht="18.75" customHeight="1" x14ac:dyDescent="0.25">
      <c r="A39" s="151" t="s">
        <v>10</v>
      </c>
      <c r="B39" s="217">
        <v>65450</v>
      </c>
      <c r="C39" s="236">
        <v>54055</v>
      </c>
      <c r="D39" s="198"/>
      <c r="E39" s="198"/>
    </row>
    <row r="40" spans="1:7" ht="18.75" customHeight="1" x14ac:dyDescent="0.25">
      <c r="A40" s="244" t="s">
        <v>11</v>
      </c>
      <c r="B40" s="218">
        <v>15500</v>
      </c>
      <c r="C40" s="255"/>
      <c r="D40" s="198"/>
      <c r="E40" s="198"/>
    </row>
    <row r="41" spans="1:7" ht="27.75" customHeight="1" x14ac:dyDescent="0.25">
      <c r="A41" s="240" t="s">
        <v>137</v>
      </c>
      <c r="B41" s="265">
        <f>SUM(B42:B45)</f>
        <v>351136.5</v>
      </c>
      <c r="C41" s="265">
        <f>SUM(C42:C45)</f>
        <v>298413.90000000002</v>
      </c>
      <c r="D41" s="203"/>
      <c r="E41" s="203"/>
    </row>
    <row r="42" spans="1:7" ht="18.75" customHeight="1" x14ac:dyDescent="0.25">
      <c r="A42" s="271" t="s">
        <v>49</v>
      </c>
      <c r="B42" s="219">
        <v>1571.7</v>
      </c>
      <c r="C42" s="256"/>
      <c r="D42" s="204"/>
      <c r="E42" s="204"/>
    </row>
    <row r="43" spans="1:7" ht="18.75" customHeight="1" x14ac:dyDescent="0.25">
      <c r="A43" s="141" t="s">
        <v>8</v>
      </c>
      <c r="B43" s="220">
        <v>242832.1</v>
      </c>
      <c r="C43" s="252">
        <f>173873.7+4814</f>
        <v>178687.7</v>
      </c>
      <c r="D43" s="198"/>
      <c r="E43" s="198"/>
    </row>
    <row r="44" spans="1:7" ht="15.75" customHeight="1" x14ac:dyDescent="0.25">
      <c r="A44" s="151" t="s">
        <v>10</v>
      </c>
      <c r="B44" s="221">
        <v>105232.7</v>
      </c>
      <c r="C44" s="236">
        <v>119726.2</v>
      </c>
      <c r="D44" s="198"/>
      <c r="E44" s="198"/>
    </row>
    <row r="45" spans="1:7" ht="15.75" customHeight="1" x14ac:dyDescent="0.25">
      <c r="A45" s="244" t="s">
        <v>11</v>
      </c>
      <c r="B45" s="222">
        <v>1500</v>
      </c>
      <c r="C45" s="255"/>
      <c r="D45" s="198"/>
      <c r="E45" s="198"/>
    </row>
    <row r="46" spans="1:7" ht="30.75" customHeight="1" x14ac:dyDescent="0.25">
      <c r="A46" s="240" t="s">
        <v>138</v>
      </c>
      <c r="B46" s="272">
        <f xml:space="preserve"> SUM(B47:B48)</f>
        <v>9398</v>
      </c>
      <c r="C46" s="272">
        <f xml:space="preserve"> SUM(C47:C48)</f>
        <v>6836.8</v>
      </c>
      <c r="D46" s="205"/>
      <c r="E46" s="205"/>
    </row>
    <row r="47" spans="1:7" ht="15.75" customHeight="1" x14ac:dyDescent="0.25">
      <c r="A47" s="245" t="s">
        <v>12</v>
      </c>
      <c r="B47" s="220">
        <v>1200</v>
      </c>
      <c r="C47" s="252">
        <v>401.8</v>
      </c>
      <c r="D47" s="198"/>
      <c r="E47" s="198"/>
    </row>
    <row r="48" spans="1:7" ht="12.75" customHeight="1" x14ac:dyDescent="0.25">
      <c r="A48" s="151" t="s">
        <v>10</v>
      </c>
      <c r="B48" s="223">
        <v>8198</v>
      </c>
      <c r="C48" s="236">
        <v>6435</v>
      </c>
      <c r="D48" s="198"/>
      <c r="E48" s="198"/>
    </row>
    <row r="49" spans="1:7" ht="24.75" customHeight="1" x14ac:dyDescent="0.25">
      <c r="A49" s="240" t="s">
        <v>139</v>
      </c>
      <c r="B49" s="265">
        <f>SUM(B50)</f>
        <v>23200</v>
      </c>
      <c r="C49" s="265">
        <f>SUM(C50)</f>
        <v>27197</v>
      </c>
      <c r="D49" s="201"/>
      <c r="E49" s="201"/>
    </row>
    <row r="50" spans="1:7" ht="14.25" customHeight="1" x14ac:dyDescent="0.25">
      <c r="A50" s="141" t="s">
        <v>8</v>
      </c>
      <c r="B50" s="224">
        <v>23200</v>
      </c>
      <c r="C50" s="252">
        <v>27197</v>
      </c>
      <c r="D50" s="198"/>
      <c r="E50" s="198"/>
    </row>
    <row r="51" spans="1:7" ht="27" customHeight="1" x14ac:dyDescent="0.25">
      <c r="A51" s="273" t="s">
        <v>140</v>
      </c>
      <c r="B51" s="265">
        <f>SUM(B52:B54)</f>
        <v>6150</v>
      </c>
      <c r="C51" s="265">
        <f>SUM(C52:C54)</f>
        <v>1661</v>
      </c>
      <c r="D51" s="201"/>
      <c r="E51" s="201"/>
    </row>
    <row r="52" spans="1:7" ht="14.25" customHeight="1" x14ac:dyDescent="0.25">
      <c r="A52" s="141" t="s">
        <v>8</v>
      </c>
      <c r="B52" s="220">
        <v>4000</v>
      </c>
      <c r="C52" s="252"/>
      <c r="D52" s="198"/>
      <c r="E52" s="198"/>
    </row>
    <row r="53" spans="1:7" ht="12.75" customHeight="1" x14ac:dyDescent="0.25">
      <c r="A53" s="151" t="s">
        <v>10</v>
      </c>
      <c r="B53" s="221">
        <v>2000</v>
      </c>
      <c r="C53" s="236">
        <v>1661</v>
      </c>
      <c r="D53" s="198"/>
      <c r="E53" s="198"/>
    </row>
    <row r="54" spans="1:7" ht="15.75" customHeight="1" x14ac:dyDescent="0.25">
      <c r="A54" s="244" t="s">
        <v>11</v>
      </c>
      <c r="B54" s="225">
        <v>150</v>
      </c>
      <c r="C54" s="255"/>
      <c r="D54" s="198"/>
      <c r="E54" s="198"/>
    </row>
    <row r="55" spans="1:7" ht="27.75" customHeight="1" x14ac:dyDescent="0.25">
      <c r="A55" s="240" t="s">
        <v>141</v>
      </c>
      <c r="B55" s="265">
        <f xml:space="preserve"> SUM(B56:B56)</f>
        <v>3108</v>
      </c>
      <c r="C55" s="265">
        <f xml:space="preserve"> SUM(C56:C56)</f>
        <v>1000</v>
      </c>
      <c r="D55" s="201"/>
      <c r="E55" s="201"/>
    </row>
    <row r="56" spans="1:7" ht="15.75" customHeight="1" x14ac:dyDescent="0.25">
      <c r="A56" s="151" t="s">
        <v>10</v>
      </c>
      <c r="B56" s="223">
        <v>3108</v>
      </c>
      <c r="C56" s="236">
        <v>1000</v>
      </c>
      <c r="D56" s="198"/>
      <c r="E56" s="198"/>
    </row>
    <row r="57" spans="1:7" ht="44.25" customHeight="1" x14ac:dyDescent="0.25">
      <c r="A57" s="240" t="s">
        <v>142</v>
      </c>
      <c r="B57" s="272">
        <f>SUM(B58)</f>
        <v>98</v>
      </c>
      <c r="C57" s="272">
        <f>SUM(C58)</f>
        <v>10</v>
      </c>
      <c r="D57" s="206"/>
      <c r="E57" s="206"/>
    </row>
    <row r="58" spans="1:7" ht="15.75" customHeight="1" x14ac:dyDescent="0.25">
      <c r="A58" s="151" t="s">
        <v>10</v>
      </c>
      <c r="B58" s="223">
        <v>98</v>
      </c>
      <c r="C58" s="236">
        <v>10</v>
      </c>
      <c r="D58" s="198"/>
      <c r="E58" s="198"/>
    </row>
    <row r="59" spans="1:7" ht="30.75" customHeight="1" x14ac:dyDescent="0.25">
      <c r="A59" s="274" t="s">
        <v>143</v>
      </c>
      <c r="B59" s="272">
        <f>SUM(B60,B61,B62)</f>
        <v>86027.7</v>
      </c>
      <c r="C59" s="272">
        <f>SUM(C60,C61,C62)</f>
        <v>49344.4</v>
      </c>
      <c r="D59" s="206"/>
      <c r="E59" s="206"/>
    </row>
    <row r="60" spans="1:7" ht="17.25" customHeight="1" x14ac:dyDescent="0.25">
      <c r="A60" s="141" t="s">
        <v>8</v>
      </c>
      <c r="B60" s="220">
        <v>3408</v>
      </c>
      <c r="C60" s="252">
        <f>3453.8+91.1</f>
        <v>3544.9</v>
      </c>
      <c r="D60" s="198"/>
      <c r="E60" s="198"/>
    </row>
    <row r="61" spans="1:7" ht="17.25" customHeight="1" x14ac:dyDescent="0.25">
      <c r="A61" s="151" t="s">
        <v>10</v>
      </c>
      <c r="B61" s="221">
        <v>80119.7</v>
      </c>
      <c r="C61" s="236">
        <f>2604+4194.7+9244+250+29506.8</f>
        <v>45799.5</v>
      </c>
      <c r="D61" s="198"/>
      <c r="E61" s="198"/>
    </row>
    <row r="62" spans="1:7" ht="17.25" customHeight="1" x14ac:dyDescent="0.25">
      <c r="A62" s="244" t="s">
        <v>11</v>
      </c>
      <c r="B62" s="225">
        <v>2500</v>
      </c>
      <c r="C62" s="255"/>
      <c r="D62" s="198"/>
      <c r="E62" s="198"/>
    </row>
    <row r="63" spans="1:7" ht="26.25" customHeight="1" x14ac:dyDescent="0.25">
      <c r="A63" s="261" t="s">
        <v>131</v>
      </c>
      <c r="B63" s="262">
        <f>SUM(B64:B66)</f>
        <v>37314.199999999997</v>
      </c>
      <c r="C63" s="262">
        <f>SUM(C64:C66)</f>
        <v>29743.799999999996</v>
      </c>
      <c r="D63" s="114">
        <v>29743.8</v>
      </c>
      <c r="E63" s="127">
        <f>D63-C63</f>
        <v>0</v>
      </c>
      <c r="F63" s="253" t="s">
        <v>58</v>
      </c>
      <c r="G63" s="208">
        <f>SUM(G64:G65)-B63</f>
        <v>0</v>
      </c>
    </row>
    <row r="64" spans="1:7" ht="15.75" customHeight="1" x14ac:dyDescent="0.25">
      <c r="A64" s="267" t="s">
        <v>8</v>
      </c>
      <c r="B64" s="264">
        <f>B71+B76</f>
        <v>5635.1</v>
      </c>
      <c r="C64" s="264">
        <f>C71+C76</f>
        <v>5635.1</v>
      </c>
      <c r="D64" s="122"/>
      <c r="E64" s="122"/>
      <c r="F64" s="208">
        <f>G64-B64</f>
        <v>0</v>
      </c>
      <c r="G64" s="209">
        <v>5635.1</v>
      </c>
    </row>
    <row r="65" spans="1:7" ht="15.75" customHeight="1" x14ac:dyDescent="0.25">
      <c r="A65" s="267" t="s">
        <v>10</v>
      </c>
      <c r="B65" s="264">
        <f>B72+B74+B77</f>
        <v>31679.1</v>
      </c>
      <c r="C65" s="264">
        <f>C72+C74+C77</f>
        <v>24108.699999999997</v>
      </c>
      <c r="D65" s="122"/>
      <c r="E65" s="122"/>
      <c r="F65" s="208">
        <f>G65-B65</f>
        <v>0</v>
      </c>
      <c r="G65" s="209">
        <v>31679.1</v>
      </c>
    </row>
    <row r="66" spans="1:7" ht="16.5" customHeight="1" x14ac:dyDescent="0.25">
      <c r="A66" s="267" t="s">
        <v>11</v>
      </c>
      <c r="B66" s="275"/>
      <c r="C66" s="275"/>
      <c r="D66" s="210"/>
      <c r="E66" s="210"/>
      <c r="F66" s="208">
        <f>G66-B66</f>
        <v>0</v>
      </c>
      <c r="G66" s="209"/>
    </row>
    <row r="67" spans="1:7" ht="29.25" customHeight="1" x14ac:dyDescent="0.25">
      <c r="A67" s="276" t="s">
        <v>107</v>
      </c>
      <c r="B67" s="265">
        <f>SUM(B68:B69)</f>
        <v>0</v>
      </c>
      <c r="C67" s="265">
        <f>SUM(C68:C69)</f>
        <v>0</v>
      </c>
      <c r="D67" s="201"/>
      <c r="E67" s="201"/>
      <c r="F67" s="194"/>
    </row>
    <row r="68" spans="1:7" ht="12.75" customHeight="1" x14ac:dyDescent="0.25">
      <c r="A68" s="40" t="s">
        <v>8</v>
      </c>
      <c r="B68" s="260"/>
      <c r="C68" s="211"/>
      <c r="D68" s="212"/>
      <c r="E68" s="212"/>
    </row>
    <row r="69" spans="1:7" ht="12.75" customHeight="1" x14ac:dyDescent="0.25">
      <c r="A69" s="151" t="s">
        <v>10</v>
      </c>
      <c r="B69" s="217"/>
      <c r="C69" s="197"/>
      <c r="D69" s="212"/>
      <c r="E69" s="212"/>
    </row>
    <row r="70" spans="1:7" ht="26.25" customHeight="1" x14ac:dyDescent="0.25">
      <c r="A70" s="277" t="s">
        <v>60</v>
      </c>
      <c r="B70" s="265">
        <f>SUM(B71:B72)</f>
        <v>30555</v>
      </c>
      <c r="C70" s="265">
        <f>SUM(C71:C72)</f>
        <v>23591</v>
      </c>
      <c r="D70" s="201"/>
      <c r="E70" s="201"/>
    </row>
    <row r="71" spans="1:7" ht="16.5" customHeight="1" x14ac:dyDescent="0.25">
      <c r="A71" s="141" t="s">
        <v>8</v>
      </c>
      <c r="B71" s="216">
        <v>5315</v>
      </c>
      <c r="C71" s="252">
        <v>5315</v>
      </c>
      <c r="D71" s="212"/>
      <c r="E71" s="212"/>
    </row>
    <row r="72" spans="1:7" ht="16.5" customHeight="1" x14ac:dyDescent="0.25">
      <c r="A72" s="151" t="s">
        <v>10</v>
      </c>
      <c r="B72" s="217">
        <v>25240</v>
      </c>
      <c r="C72" s="236">
        <f>13871+4405</f>
        <v>18276</v>
      </c>
      <c r="D72" s="212"/>
      <c r="E72" s="212"/>
    </row>
    <row r="73" spans="1:7" ht="26.25" customHeight="1" x14ac:dyDescent="0.25">
      <c r="A73" s="276" t="s">
        <v>61</v>
      </c>
      <c r="B73" s="265">
        <f>SUM(B74:B74)</f>
        <v>9.6</v>
      </c>
      <c r="C73" s="265">
        <f>SUM(C74:C74)</f>
        <v>9.6</v>
      </c>
      <c r="D73" s="201"/>
      <c r="E73" s="201"/>
    </row>
    <row r="74" spans="1:7" ht="15.75" customHeight="1" x14ac:dyDescent="0.25">
      <c r="A74" s="151" t="s">
        <v>10</v>
      </c>
      <c r="B74" s="217">
        <v>9.6</v>
      </c>
      <c r="C74" s="236">
        <v>9.6</v>
      </c>
      <c r="D74" s="212"/>
      <c r="E74" s="212"/>
    </row>
    <row r="75" spans="1:7" ht="26.25" customHeight="1" x14ac:dyDescent="0.25">
      <c r="A75" s="278" t="s">
        <v>62</v>
      </c>
      <c r="B75" s="265">
        <f>SUM(B76:B77)</f>
        <v>6749.6</v>
      </c>
      <c r="C75" s="265">
        <f>SUM(C76:C77)</f>
        <v>6143.2</v>
      </c>
      <c r="D75" s="201"/>
      <c r="E75" s="201"/>
    </row>
    <row r="76" spans="1:7" ht="13.5" customHeight="1" x14ac:dyDescent="0.25">
      <c r="A76" s="246" t="s">
        <v>8</v>
      </c>
      <c r="B76" s="216">
        <v>320.10000000000002</v>
      </c>
      <c r="C76" s="252">
        <v>320.10000000000002</v>
      </c>
      <c r="D76" s="212"/>
      <c r="E76" s="212"/>
    </row>
    <row r="77" spans="1:7" ht="13.5" customHeight="1" x14ac:dyDescent="0.25">
      <c r="A77" s="151" t="s">
        <v>10</v>
      </c>
      <c r="B77" s="217">
        <v>6429.5</v>
      </c>
      <c r="C77" s="236">
        <f>6143.2-C76</f>
        <v>5823.0999999999995</v>
      </c>
      <c r="D77" s="212"/>
      <c r="E77" s="212"/>
    </row>
    <row r="78" spans="1:7" ht="26.25" customHeight="1" x14ac:dyDescent="0.25">
      <c r="A78" s="261" t="s">
        <v>29</v>
      </c>
      <c r="B78" s="262">
        <f>SUM(B79:B82)</f>
        <v>24471.8</v>
      </c>
      <c r="C78" s="262">
        <f>SUM(C79:C82)</f>
        <v>21399</v>
      </c>
      <c r="D78" s="114">
        <v>21399</v>
      </c>
      <c r="E78" s="125">
        <f>D78-C78</f>
        <v>0</v>
      </c>
      <c r="F78" s="207" t="s">
        <v>67</v>
      </c>
      <c r="G78" s="209"/>
    </row>
    <row r="79" spans="1:7" ht="26.25" customHeight="1" x14ac:dyDescent="0.25">
      <c r="A79" s="235" t="s">
        <v>13</v>
      </c>
      <c r="B79" s="217">
        <v>117.8</v>
      </c>
      <c r="C79" s="236">
        <v>300</v>
      </c>
      <c r="D79" s="123"/>
      <c r="E79" s="123"/>
      <c r="F79" s="209"/>
      <c r="G79" s="209"/>
    </row>
    <row r="80" spans="1:7" s="50" customFormat="1" ht="26.25" customHeight="1" x14ac:dyDescent="0.2">
      <c r="A80" s="235" t="s">
        <v>36</v>
      </c>
      <c r="B80" s="217">
        <v>230</v>
      </c>
      <c r="C80" s="236">
        <v>350</v>
      </c>
      <c r="D80" s="123"/>
      <c r="E80" s="123"/>
      <c r="F80" s="209"/>
      <c r="G80" s="209"/>
    </row>
    <row r="81" spans="1:7" s="50" customFormat="1" ht="26.25" customHeight="1" x14ac:dyDescent="0.2">
      <c r="A81" s="279" t="s">
        <v>44</v>
      </c>
      <c r="B81" s="217">
        <v>2952.2</v>
      </c>
      <c r="C81" s="236">
        <v>2670.6</v>
      </c>
      <c r="D81" s="123"/>
      <c r="E81" s="123"/>
      <c r="F81" s="209"/>
      <c r="G81" s="209"/>
    </row>
    <row r="82" spans="1:7" s="50" customFormat="1" ht="26.25" customHeight="1" x14ac:dyDescent="0.2">
      <c r="A82" s="279" t="s">
        <v>91</v>
      </c>
      <c r="B82" s="217">
        <f>24471.8-B81-B80-B79</f>
        <v>21171.8</v>
      </c>
      <c r="C82" s="236">
        <f>21399-C81-C80-C79</f>
        <v>18078.400000000001</v>
      </c>
      <c r="D82" s="123"/>
      <c r="E82" s="123"/>
      <c r="F82" s="209"/>
      <c r="G82" s="209"/>
    </row>
    <row r="83" spans="1:7" s="50" customFormat="1" ht="26.25" customHeight="1" x14ac:dyDescent="0.25">
      <c r="A83" s="280" t="s">
        <v>95</v>
      </c>
      <c r="B83" s="262">
        <f>B84+B85+B86+B87</f>
        <v>4890</v>
      </c>
      <c r="C83" s="262">
        <f>C84+C85+C86+C87</f>
        <v>0</v>
      </c>
      <c r="D83" s="122">
        <v>210</v>
      </c>
      <c r="E83" s="122">
        <f>D83-C83</f>
        <v>210</v>
      </c>
      <c r="F83" s="192" t="s">
        <v>70</v>
      </c>
      <c r="G83" s="188"/>
    </row>
    <row r="84" spans="1:7" ht="15.75" customHeight="1" x14ac:dyDescent="0.25">
      <c r="A84" s="247" t="s">
        <v>19</v>
      </c>
      <c r="B84" s="281">
        <v>1780</v>
      </c>
      <c r="C84" s="257">
        <v>0</v>
      </c>
      <c r="D84" s="198"/>
      <c r="E84" s="198"/>
    </row>
    <row r="85" spans="1:7" ht="15.75" customHeight="1" x14ac:dyDescent="0.25">
      <c r="A85" s="248" t="s">
        <v>8</v>
      </c>
      <c r="B85" s="216">
        <v>1300</v>
      </c>
      <c r="C85" s="252">
        <v>0</v>
      </c>
      <c r="D85" s="198"/>
      <c r="E85" s="198"/>
    </row>
    <row r="86" spans="1:7" ht="15.75" customHeight="1" x14ac:dyDescent="0.25">
      <c r="A86" s="235" t="s">
        <v>9</v>
      </c>
      <c r="B86" s="217">
        <v>340</v>
      </c>
      <c r="C86" s="236">
        <v>0</v>
      </c>
      <c r="D86" s="198"/>
      <c r="E86" s="198"/>
    </row>
    <row r="87" spans="1:7" ht="15.75" customHeight="1" x14ac:dyDescent="0.25">
      <c r="A87" s="249" t="s">
        <v>69</v>
      </c>
      <c r="B87" s="282">
        <v>1470</v>
      </c>
      <c r="C87" s="258"/>
      <c r="D87" s="198"/>
      <c r="E87" s="198"/>
    </row>
    <row r="88" spans="1:7" ht="21.75" customHeight="1" x14ac:dyDescent="0.25">
      <c r="A88" s="280" t="s">
        <v>148</v>
      </c>
      <c r="B88" s="262">
        <f>SUM(B89:B89)</f>
        <v>0</v>
      </c>
      <c r="C88" s="262">
        <f>SUM(C89:C89)</f>
        <v>0</v>
      </c>
      <c r="D88" s="210">
        <v>90</v>
      </c>
      <c r="E88" s="213">
        <f>D88-C88</f>
        <v>90</v>
      </c>
      <c r="F88" s="192" t="s">
        <v>65</v>
      </c>
    </row>
    <row r="89" spans="1:7" ht="17.25" customHeight="1" x14ac:dyDescent="0.25">
      <c r="A89" s="235" t="s">
        <v>9</v>
      </c>
      <c r="B89" s="217">
        <v>0</v>
      </c>
      <c r="C89" s="236">
        <v>0</v>
      </c>
      <c r="D89" s="198"/>
      <c r="E89" s="198"/>
    </row>
    <row r="90" spans="1:7" ht="26.25" customHeight="1" x14ac:dyDescent="0.25">
      <c r="A90" s="261" t="s">
        <v>149</v>
      </c>
      <c r="B90" s="262">
        <f>SUM(B91:B91)</f>
        <v>0</v>
      </c>
      <c r="C90" s="262">
        <f>SUM(C91:C91)</f>
        <v>100</v>
      </c>
      <c r="D90" s="210"/>
      <c r="E90" s="210"/>
      <c r="F90" s="192" t="s">
        <v>65</v>
      </c>
    </row>
    <row r="91" spans="1:7" ht="14.25" customHeight="1" x14ac:dyDescent="0.25">
      <c r="A91" s="235" t="s">
        <v>9</v>
      </c>
      <c r="B91" s="217">
        <v>0</v>
      </c>
      <c r="C91" s="236">
        <v>100</v>
      </c>
      <c r="D91" s="198"/>
      <c r="E91" s="198"/>
    </row>
    <row r="92" spans="1:7" s="50" customFormat="1" ht="26.25" customHeight="1" x14ac:dyDescent="0.25">
      <c r="A92" s="261" t="s">
        <v>150</v>
      </c>
      <c r="B92" s="262">
        <f>SUM(B93:B94)</f>
        <v>2724.7</v>
      </c>
      <c r="C92" s="262">
        <f>SUM(C93)</f>
        <v>50</v>
      </c>
      <c r="D92" s="198"/>
      <c r="E92" s="198"/>
      <c r="F92" s="188"/>
      <c r="G92" s="188"/>
    </row>
    <row r="93" spans="1:7" s="50" customFormat="1" ht="15" customHeight="1" x14ac:dyDescent="0.25">
      <c r="A93" s="235" t="s">
        <v>9</v>
      </c>
      <c r="B93" s="217">
        <v>1754.9</v>
      </c>
      <c r="C93" s="236">
        <v>50</v>
      </c>
      <c r="D93" s="198"/>
      <c r="E93" s="198"/>
      <c r="F93" s="188"/>
      <c r="G93" s="188"/>
    </row>
    <row r="94" spans="1:7" s="50" customFormat="1" ht="14.25" customHeight="1" x14ac:dyDescent="0.25">
      <c r="A94" s="250" t="s">
        <v>18</v>
      </c>
      <c r="B94" s="283">
        <v>969.8</v>
      </c>
      <c r="C94" s="226"/>
      <c r="D94" s="198"/>
      <c r="E94" s="198"/>
      <c r="F94" s="188"/>
      <c r="G94" s="188"/>
    </row>
    <row r="95" spans="1:7" ht="18" customHeight="1" x14ac:dyDescent="0.25">
      <c r="A95" s="284" t="s">
        <v>45</v>
      </c>
      <c r="B95" s="268">
        <f>SUM(B96:B101)</f>
        <v>766940.70000000019</v>
      </c>
      <c r="C95" s="268">
        <f>SUM(C96:C100)</f>
        <v>612584.80000000005</v>
      </c>
      <c r="D95" s="214"/>
      <c r="E95" s="214"/>
    </row>
    <row r="96" spans="1:7" ht="18" customHeight="1" x14ac:dyDescent="0.25">
      <c r="A96" s="247" t="s">
        <v>20</v>
      </c>
      <c r="B96" s="281">
        <f>B84+B42</f>
        <v>3351.7</v>
      </c>
      <c r="C96" s="281">
        <f>C84+C42</f>
        <v>0</v>
      </c>
      <c r="D96" s="214"/>
      <c r="E96" s="214"/>
    </row>
    <row r="97" spans="1:5" ht="18" customHeight="1" x14ac:dyDescent="0.25">
      <c r="A97" s="248" t="s">
        <v>8</v>
      </c>
      <c r="B97" s="216">
        <f>B11+B21+B25+B29+B38+B43+B47+B50+B52+B60+B71+B76+B85</f>
        <v>365306.6</v>
      </c>
      <c r="C97" s="216">
        <f>C11+C21+C25+C29+C38+C43+C47+C50+C52+C60+C71+C76+C85</f>
        <v>298632.7</v>
      </c>
      <c r="D97" s="214"/>
      <c r="E97" s="214"/>
    </row>
    <row r="98" spans="1:5" ht="18" customHeight="1" x14ac:dyDescent="0.25">
      <c r="A98" s="235" t="s">
        <v>10</v>
      </c>
      <c r="B98" s="217">
        <f>B93+B91+B89+B86+B82+B81+B80+B79+B77+B74+B72+B61+B58+B56+B53+B48+B44+B39+B30+B26+B22+B15+B13+B9+B7</f>
        <v>375135.80000000005</v>
      </c>
      <c r="C98" s="217">
        <f>C93+C91+C89+C86+C82+C81+C80+C79+C77+C74+C72+C61+C58+C56+C53+C48+C44+C39+C30+C26+C22+C15+C13+C9+C7</f>
        <v>313952.09999999998</v>
      </c>
      <c r="D98" s="214"/>
      <c r="E98" s="214"/>
    </row>
    <row r="99" spans="1:5" ht="18" customHeight="1" x14ac:dyDescent="0.25">
      <c r="A99" s="285" t="s">
        <v>11</v>
      </c>
      <c r="B99" s="218">
        <f>B62+B54+B45+B40+B31+B27+B23</f>
        <v>20706.8</v>
      </c>
      <c r="C99" s="218">
        <f>C62+C54+C45+C40+C31+C27+C23</f>
        <v>0</v>
      </c>
      <c r="D99" s="214"/>
      <c r="E99" s="214"/>
    </row>
    <row r="100" spans="1:5" ht="18" customHeight="1" x14ac:dyDescent="0.25">
      <c r="A100" s="286" t="str">
        <f>A87</f>
        <v>середства участников программы</v>
      </c>
      <c r="B100" s="268">
        <f>B87</f>
        <v>1470</v>
      </c>
      <c r="C100" s="268">
        <f>C87</f>
        <v>0</v>
      </c>
      <c r="D100" s="214"/>
      <c r="E100" s="214"/>
    </row>
    <row r="101" spans="1:5" ht="18" customHeight="1" x14ac:dyDescent="0.25">
      <c r="A101" s="250" t="s">
        <v>18</v>
      </c>
      <c r="B101" s="287">
        <f>B94</f>
        <v>969.8</v>
      </c>
      <c r="C101" s="287">
        <f>C94</f>
        <v>0</v>
      </c>
      <c r="D101" s="214"/>
      <c r="E101" s="214"/>
    </row>
    <row r="102" spans="1:5" ht="19.5" customHeight="1" x14ac:dyDescent="0.25">
      <c r="B102" s="288">
        <f>B103-B95</f>
        <v>0</v>
      </c>
      <c r="C102" s="288">
        <f>C103-C95</f>
        <v>0</v>
      </c>
    </row>
    <row r="103" spans="1:5" ht="18" customHeight="1" x14ac:dyDescent="0.25">
      <c r="B103" s="288">
        <f>B92+B90+B88+B83+B78+B63+B32+B16+B3</f>
        <v>766940.69999999984</v>
      </c>
      <c r="C103" s="288">
        <f>C90+C88+C83+C78+C63+C32+C16+C3+C92</f>
        <v>612584.80000000005</v>
      </c>
    </row>
    <row r="104" spans="1:5" ht="26.25" customHeight="1" x14ac:dyDescent="0.25">
      <c r="C104" s="215"/>
    </row>
    <row r="105" spans="1:5" ht="26.25" customHeight="1" x14ac:dyDescent="0.25">
      <c r="C105" s="215"/>
    </row>
    <row r="106" spans="1:5" ht="26.25" customHeight="1" x14ac:dyDescent="0.25">
      <c r="C106" s="215"/>
    </row>
  </sheetData>
  <pageMargins left="0.7" right="0.7" top="0.75" bottom="0.75" header="0.3" footer="0.3"/>
  <pageSetup paperSize="9" scale="70" orientation="portrait" r:id="rId1"/>
  <rowBreaks count="1" manualBreakCount="1">
    <brk id="52" max="5" man="1"/>
  </rowBreaks>
  <colBreaks count="1" manualBreakCount="1">
    <brk id="3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A83" zoomScaleNormal="100" workbookViewId="0">
      <selection activeCell="A111" sqref="A111:XFD111"/>
    </sheetView>
  </sheetViews>
  <sheetFormatPr defaultRowHeight="26.25" customHeight="1" x14ac:dyDescent="0.25"/>
  <cols>
    <col min="1" max="1" width="96.28515625" style="251" customWidth="1"/>
    <col min="2" max="2" width="13" style="215" customWidth="1"/>
    <col min="3" max="3" width="14.28515625" style="187" customWidth="1"/>
    <col min="4" max="4" width="11.85546875" style="187" hidden="1" customWidth="1"/>
    <col min="5" max="5" width="10.7109375" style="187" hidden="1" customWidth="1"/>
    <col min="6" max="7" width="12.42578125" style="188" hidden="1" customWidth="1"/>
    <col min="10" max="10" width="9.5703125" bestFit="1" customWidth="1"/>
  </cols>
  <sheetData>
    <row r="1" spans="1:12" ht="26.25" customHeight="1" x14ac:dyDescent="0.3">
      <c r="A1" s="239" t="s">
        <v>101</v>
      </c>
      <c r="B1" s="227" t="s">
        <v>57</v>
      </c>
      <c r="C1" s="187" t="s">
        <v>153</v>
      </c>
    </row>
    <row r="2" spans="1:12" ht="26.25" customHeight="1" x14ac:dyDescent="0.25">
      <c r="A2" s="259" t="s">
        <v>3</v>
      </c>
      <c r="B2" s="260" t="s">
        <v>34</v>
      </c>
      <c r="C2" s="259" t="s">
        <v>152</v>
      </c>
      <c r="D2" s="189"/>
      <c r="E2" s="189"/>
      <c r="F2" s="190" t="s">
        <v>102</v>
      </c>
    </row>
    <row r="3" spans="1:12" s="324" customFormat="1" ht="26.25" customHeight="1" x14ac:dyDescent="0.25">
      <c r="A3" s="178" t="s">
        <v>165</v>
      </c>
      <c r="B3" s="182">
        <f>B5+B6+B4</f>
        <v>30385.9</v>
      </c>
      <c r="C3" s="182">
        <f>C5+C6+C4</f>
        <v>27993.5</v>
      </c>
      <c r="D3" s="254">
        <v>19621.900000000001</v>
      </c>
      <c r="E3" s="191">
        <f>D3-C3</f>
        <v>-8371.5999999999985</v>
      </c>
      <c r="F3" s="322" t="s">
        <v>103</v>
      </c>
      <c r="G3" s="323"/>
      <c r="H3" s="324">
        <v>30385.9</v>
      </c>
      <c r="I3" s="324">
        <v>27993.5</v>
      </c>
      <c r="J3" s="63">
        <f>H3-B3</f>
        <v>0</v>
      </c>
      <c r="K3" s="63">
        <f>I3-C3</f>
        <v>0</v>
      </c>
      <c r="L3" s="324">
        <v>1</v>
      </c>
    </row>
    <row r="4" spans="1:12" ht="14.25" customHeight="1" x14ac:dyDescent="0.25">
      <c r="A4" s="263" t="s">
        <v>155</v>
      </c>
      <c r="B4" s="264">
        <f>B13</f>
        <v>2858.6</v>
      </c>
      <c r="C4" s="264">
        <f>C13</f>
        <v>2858.6</v>
      </c>
      <c r="D4" s="254"/>
      <c r="E4" s="191"/>
      <c r="F4" s="192"/>
    </row>
    <row r="5" spans="1:12" ht="14.25" customHeight="1" x14ac:dyDescent="0.25">
      <c r="A5" s="263" t="s">
        <v>1</v>
      </c>
      <c r="B5" s="264">
        <f>B12+B18</f>
        <v>4826.9000000000005</v>
      </c>
      <c r="C5" s="264">
        <f>C12+C18</f>
        <v>4826.9000000000005</v>
      </c>
      <c r="D5" s="193"/>
      <c r="E5" s="193"/>
      <c r="F5" s="194">
        <f>G5-B5</f>
        <v>14203.099999999999</v>
      </c>
      <c r="G5" s="194">
        <v>19030</v>
      </c>
    </row>
    <row r="6" spans="1:12" ht="14.25" customHeight="1" x14ac:dyDescent="0.25">
      <c r="A6" s="263" t="s">
        <v>2</v>
      </c>
      <c r="B6" s="264">
        <f>B8+B10+B16+B19+B14</f>
        <v>22700.400000000001</v>
      </c>
      <c r="C6" s="264">
        <f>C8+C10+C16+C19+C14</f>
        <v>20308</v>
      </c>
      <c r="D6" s="193"/>
      <c r="E6" s="193"/>
      <c r="F6" s="194">
        <f>G6-B6</f>
        <v>-13269.340000000002</v>
      </c>
      <c r="G6" s="194">
        <v>9431.06</v>
      </c>
    </row>
    <row r="7" spans="1:12" ht="26.25" customHeight="1" x14ac:dyDescent="0.25">
      <c r="A7" s="240" t="s">
        <v>134</v>
      </c>
      <c r="B7" s="265">
        <f>SUM(B8)</f>
        <v>508.5</v>
      </c>
      <c r="C7" s="265">
        <f t="shared" ref="C7" si="0">SUM(C8)</f>
        <v>507.9</v>
      </c>
      <c r="D7" s="195">
        <f>B7+B9+B11+B15+B17</f>
        <v>30385.899999999998</v>
      </c>
      <c r="E7" s="196"/>
    </row>
    <row r="8" spans="1:12" ht="13.5" customHeight="1" x14ac:dyDescent="0.25">
      <c r="A8" s="241" t="s">
        <v>4</v>
      </c>
      <c r="B8" s="266">
        <v>508.5</v>
      </c>
      <c r="C8" s="236">
        <v>507.9</v>
      </c>
      <c r="D8" s="198"/>
      <c r="E8" s="198"/>
    </row>
    <row r="9" spans="1:12" ht="26.25" customHeight="1" x14ac:dyDescent="0.25">
      <c r="A9" s="242" t="s">
        <v>127</v>
      </c>
      <c r="B9" s="265">
        <f t="shared" ref="B9:C9" si="1">SUM(B10)</f>
        <v>52</v>
      </c>
      <c r="C9" s="265">
        <f t="shared" si="1"/>
        <v>52</v>
      </c>
      <c r="D9" s="196"/>
      <c r="E9" s="196"/>
    </row>
    <row r="10" spans="1:12" ht="17.25" customHeight="1" x14ac:dyDescent="0.25">
      <c r="A10" s="243" t="s">
        <v>7</v>
      </c>
      <c r="B10" s="217">
        <v>52</v>
      </c>
      <c r="C10" s="236">
        <v>52</v>
      </c>
      <c r="D10" s="198"/>
      <c r="E10" s="198"/>
    </row>
    <row r="11" spans="1:12" ht="26.25" customHeight="1" x14ac:dyDescent="0.25">
      <c r="A11" s="242" t="s">
        <v>128</v>
      </c>
      <c r="B11" s="265">
        <f>B12+B13+B14</f>
        <v>24073.699999999997</v>
      </c>
      <c r="C11" s="265">
        <f>C12+C13+C14</f>
        <v>21696.5</v>
      </c>
      <c r="D11" s="196"/>
      <c r="E11" s="196"/>
      <c r="H11">
        <v>24073.7</v>
      </c>
      <c r="I11">
        <v>21696.5</v>
      </c>
      <c r="J11" s="63">
        <f>H11-B11</f>
        <v>0</v>
      </c>
      <c r="K11" s="63">
        <f>I11-C11</f>
        <v>0</v>
      </c>
    </row>
    <row r="12" spans="1:12" ht="15.75" customHeight="1" x14ac:dyDescent="0.25">
      <c r="A12" s="141" t="s">
        <v>6</v>
      </c>
      <c r="B12" s="216">
        <f>4782.8</f>
        <v>4782.8</v>
      </c>
      <c r="C12" s="252">
        <f>4782.8</f>
        <v>4782.8</v>
      </c>
      <c r="D12" s="198"/>
      <c r="E12" s="198"/>
    </row>
    <row r="13" spans="1:12" ht="15.75" customHeight="1" x14ac:dyDescent="0.25">
      <c r="A13" s="244" t="s">
        <v>49</v>
      </c>
      <c r="B13" s="218">
        <v>2858.6</v>
      </c>
      <c r="C13" s="255">
        <v>2858.6</v>
      </c>
      <c r="D13" s="198"/>
      <c r="E13" s="198"/>
    </row>
    <row r="14" spans="1:12" ht="15.75" customHeight="1" x14ac:dyDescent="0.25">
      <c r="A14" s="151" t="s">
        <v>154</v>
      </c>
      <c r="B14" s="217">
        <f>8343.1+8089.2</f>
        <v>16432.3</v>
      </c>
      <c r="C14" s="236">
        <f>5965.9+8089.2</f>
        <v>14055.099999999999</v>
      </c>
      <c r="D14" s="198"/>
      <c r="E14" s="198"/>
    </row>
    <row r="15" spans="1:12" ht="24" customHeight="1" x14ac:dyDescent="0.25">
      <c r="A15" s="242" t="s">
        <v>129</v>
      </c>
      <c r="B15" s="265">
        <f t="shared" ref="B15:C15" si="2">SUM(B16)</f>
        <v>300</v>
      </c>
      <c r="C15" s="265">
        <f t="shared" si="2"/>
        <v>300</v>
      </c>
      <c r="D15" s="196"/>
      <c r="E15" s="196"/>
    </row>
    <row r="16" spans="1:12" ht="18" customHeight="1" x14ac:dyDescent="0.25">
      <c r="A16" s="243" t="s">
        <v>7</v>
      </c>
      <c r="B16" s="217">
        <v>300</v>
      </c>
      <c r="C16" s="221">
        <v>300</v>
      </c>
      <c r="D16" s="199"/>
      <c r="E16" s="199"/>
    </row>
    <row r="17" spans="1:12" ht="29.25" customHeight="1" x14ac:dyDescent="0.25">
      <c r="A17" s="242" t="s">
        <v>130</v>
      </c>
      <c r="B17" s="265">
        <f>SUM(B18:B19)</f>
        <v>5451.7000000000007</v>
      </c>
      <c r="C17" s="265">
        <f>SUM(C18:C19)</f>
        <v>5437.1</v>
      </c>
      <c r="D17" s="196"/>
      <c r="E17" s="196"/>
      <c r="H17">
        <v>5451.7</v>
      </c>
      <c r="I17">
        <v>5437.1</v>
      </c>
      <c r="J17" s="63">
        <f>H17-B17</f>
        <v>0</v>
      </c>
      <c r="K17" s="63">
        <f>I17-C17</f>
        <v>0</v>
      </c>
    </row>
    <row r="18" spans="1:12" ht="19.5" customHeight="1" x14ac:dyDescent="0.25">
      <c r="A18" s="141" t="s">
        <v>6</v>
      </c>
      <c r="B18" s="216">
        <f>14.4+29.7</f>
        <v>44.1</v>
      </c>
      <c r="C18" s="216">
        <f>14.4+29.7</f>
        <v>44.1</v>
      </c>
      <c r="D18" s="196"/>
      <c r="E18" s="196"/>
    </row>
    <row r="19" spans="1:12" ht="19.5" customHeight="1" x14ac:dyDescent="0.25">
      <c r="A19" s="243" t="s">
        <v>7</v>
      </c>
      <c r="B19" s="217">
        <f>4311.6+214.5+881.5</f>
        <v>5407.6</v>
      </c>
      <c r="C19" s="221">
        <f>4311.6+199.9+881.5</f>
        <v>5393</v>
      </c>
      <c r="D19" s="199"/>
      <c r="E19" s="199"/>
    </row>
    <row r="20" spans="1:12" s="324" customFormat="1" ht="31.5" customHeight="1" x14ac:dyDescent="0.25">
      <c r="A20" s="178" t="s">
        <v>162</v>
      </c>
      <c r="B20" s="182">
        <f>SUM(B21:B24)</f>
        <v>52401.799999999996</v>
      </c>
      <c r="C20" s="182">
        <f>SUM(C21:C24)</f>
        <v>52126</v>
      </c>
      <c r="D20" s="111">
        <v>35739.599999999999</v>
      </c>
      <c r="E20" s="200">
        <f>D20-C20</f>
        <v>-16386.400000000001</v>
      </c>
      <c r="F20" s="322" t="s">
        <v>92</v>
      </c>
      <c r="G20" s="323">
        <f>G22+G23+G24</f>
        <v>47987.600000000006</v>
      </c>
      <c r="H20" s="324">
        <v>52401.8</v>
      </c>
      <c r="I20" s="324">
        <v>52126</v>
      </c>
      <c r="J20" s="63">
        <f>H20-B20</f>
        <v>0</v>
      </c>
      <c r="K20" s="63">
        <f>I20-C20</f>
        <v>0</v>
      </c>
      <c r="L20" s="324">
        <v>1</v>
      </c>
    </row>
    <row r="21" spans="1:12" s="324" customFormat="1" ht="14.25" customHeight="1" x14ac:dyDescent="0.25">
      <c r="A21" s="41" t="s">
        <v>161</v>
      </c>
      <c r="B21" s="85">
        <f>B34</f>
        <v>292.7</v>
      </c>
      <c r="C21" s="85">
        <f>C34</f>
        <v>292.7</v>
      </c>
      <c r="D21" s="111"/>
      <c r="E21" s="200"/>
      <c r="F21" s="322"/>
      <c r="G21" s="323"/>
      <c r="J21" s="63"/>
      <c r="K21" s="63"/>
    </row>
    <row r="22" spans="1:12" ht="16.5" customHeight="1" x14ac:dyDescent="0.25">
      <c r="A22" s="267" t="s">
        <v>8</v>
      </c>
      <c r="B22" s="264">
        <f t="shared" ref="B22:C24" si="3">B26+B30+B35</f>
        <v>8610.2999999999993</v>
      </c>
      <c r="C22" s="264">
        <f t="shared" si="3"/>
        <v>8373.5</v>
      </c>
      <c r="D22" s="122"/>
      <c r="E22" s="122"/>
      <c r="F22" s="194">
        <f>G22-B22</f>
        <v>-6038.9</v>
      </c>
      <c r="G22" s="188">
        <v>2571.4</v>
      </c>
    </row>
    <row r="23" spans="1:12" ht="18" customHeight="1" x14ac:dyDescent="0.25">
      <c r="A23" s="267" t="s">
        <v>10</v>
      </c>
      <c r="B23" s="264">
        <f t="shared" si="3"/>
        <v>43498.799999999996</v>
      </c>
      <c r="C23" s="264">
        <f t="shared" si="3"/>
        <v>43459.799999999996</v>
      </c>
      <c r="D23" s="125">
        <f>B25+B29+B33</f>
        <v>52401.799999999988</v>
      </c>
      <c r="E23" s="122"/>
      <c r="F23" s="194">
        <f>G23-B23</f>
        <v>860.60000000000582</v>
      </c>
      <c r="G23" s="188">
        <v>44359.4</v>
      </c>
    </row>
    <row r="24" spans="1:12" ht="16.5" customHeight="1" x14ac:dyDescent="0.25">
      <c r="A24" s="267" t="s">
        <v>11</v>
      </c>
      <c r="B24" s="264">
        <f t="shared" si="3"/>
        <v>0</v>
      </c>
      <c r="C24" s="264">
        <f t="shared" si="3"/>
        <v>0</v>
      </c>
      <c r="D24" s="122"/>
      <c r="E24" s="122"/>
      <c r="F24" s="194">
        <f>G24-B24</f>
        <v>1056.8</v>
      </c>
      <c r="G24" s="188">
        <v>1056.8</v>
      </c>
    </row>
    <row r="25" spans="1:12" ht="26.25" customHeight="1" x14ac:dyDescent="0.25">
      <c r="A25" s="269" t="s">
        <v>145</v>
      </c>
      <c r="B25" s="265">
        <f>SUM(B26:B28)</f>
        <v>0</v>
      </c>
      <c r="C25" s="265">
        <f>SUM(C26:C28)</f>
        <v>0</v>
      </c>
      <c r="D25" s="201"/>
      <c r="E25" s="201"/>
    </row>
    <row r="26" spans="1:12" ht="0.75" customHeight="1" x14ac:dyDescent="0.25">
      <c r="A26" s="141" t="s">
        <v>8</v>
      </c>
      <c r="B26" s="216"/>
      <c r="C26" s="252"/>
      <c r="D26" s="198"/>
      <c r="E26" s="198"/>
    </row>
    <row r="27" spans="1:12" ht="17.25" hidden="1" customHeight="1" x14ac:dyDescent="0.25">
      <c r="A27" s="151" t="s">
        <v>10</v>
      </c>
      <c r="B27" s="217"/>
      <c r="C27" s="236"/>
      <c r="D27" s="198"/>
      <c r="E27" s="198"/>
    </row>
    <row r="28" spans="1:12" ht="15" hidden="1" customHeight="1" x14ac:dyDescent="0.25">
      <c r="A28" s="244" t="s">
        <v>11</v>
      </c>
      <c r="B28" s="218"/>
      <c r="C28" s="255"/>
      <c r="D28" s="198"/>
      <c r="E28" s="198"/>
    </row>
    <row r="29" spans="1:12" ht="19.5" customHeight="1" x14ac:dyDescent="0.25">
      <c r="A29" s="269" t="s">
        <v>157</v>
      </c>
      <c r="B29" s="265">
        <f>SUM(B30:B32)</f>
        <v>12265.8</v>
      </c>
      <c r="C29" s="265">
        <f>SUM(C30:C32)</f>
        <v>12226.8</v>
      </c>
      <c r="D29" s="201"/>
      <c r="E29" s="201"/>
      <c r="H29">
        <v>12265.8</v>
      </c>
      <c r="I29">
        <v>12226.8</v>
      </c>
      <c r="J29" s="63">
        <f>H29-B29</f>
        <v>0</v>
      </c>
      <c r="K29" s="63">
        <f>I29-C29</f>
        <v>0</v>
      </c>
    </row>
    <row r="30" spans="1:12" ht="15" customHeight="1" x14ac:dyDescent="0.25">
      <c r="A30" s="141" t="s">
        <v>8</v>
      </c>
      <c r="B30" s="216">
        <f>1136.5</f>
        <v>1136.5</v>
      </c>
      <c r="C30" s="252">
        <f>1136.5</f>
        <v>1136.5</v>
      </c>
      <c r="D30" s="198"/>
      <c r="E30" s="198"/>
    </row>
    <row r="31" spans="1:12" ht="15" customHeight="1" x14ac:dyDescent="0.25">
      <c r="A31" s="151" t="s">
        <v>10</v>
      </c>
      <c r="B31" s="217">
        <f>8811.8+2317.5</f>
        <v>11129.3</v>
      </c>
      <c r="C31" s="236">
        <f>8811.8+2278.5</f>
        <v>11090.3</v>
      </c>
      <c r="D31" s="198"/>
      <c r="E31" s="198"/>
    </row>
    <row r="32" spans="1:12" ht="15" hidden="1" customHeight="1" x14ac:dyDescent="0.25">
      <c r="A32" s="244" t="s">
        <v>11</v>
      </c>
      <c r="B32" s="218">
        <v>0</v>
      </c>
      <c r="C32" s="255"/>
      <c r="D32" s="198"/>
      <c r="E32" s="198"/>
    </row>
    <row r="33" spans="1:12" ht="36" customHeight="1" x14ac:dyDescent="0.25">
      <c r="A33" s="269" t="s">
        <v>156</v>
      </c>
      <c r="B33" s="265">
        <f>SUM(B34:B37)</f>
        <v>40135.999999999993</v>
      </c>
      <c r="C33" s="265">
        <f t="shared" ref="C33:G33" si="4">SUM(C34:C37)</f>
        <v>39899.199999999997</v>
      </c>
      <c r="D33" s="265">
        <f t="shared" si="4"/>
        <v>0</v>
      </c>
      <c r="E33" s="265">
        <f t="shared" si="4"/>
        <v>0</v>
      </c>
      <c r="F33" s="265">
        <f t="shared" si="4"/>
        <v>0</v>
      </c>
      <c r="G33" s="265">
        <f t="shared" si="4"/>
        <v>0</v>
      </c>
      <c r="H33">
        <v>40136</v>
      </c>
      <c r="I33">
        <v>39899.199999999997</v>
      </c>
      <c r="J33" s="63">
        <f>H33-B33</f>
        <v>0</v>
      </c>
      <c r="K33" s="63">
        <f>I33-C33</f>
        <v>0</v>
      </c>
    </row>
    <row r="34" spans="1:12" ht="21.75" customHeight="1" x14ac:dyDescent="0.25">
      <c r="A34" s="330" t="s">
        <v>161</v>
      </c>
      <c r="B34" s="281">
        <f>224.9+67.8</f>
        <v>292.7</v>
      </c>
      <c r="C34" s="281">
        <f>224.9+67.8</f>
        <v>292.7</v>
      </c>
      <c r="D34" s="201"/>
      <c r="E34" s="201"/>
    </row>
    <row r="35" spans="1:12" ht="18.75" customHeight="1" x14ac:dyDescent="0.25">
      <c r="A35" s="141" t="s">
        <v>8</v>
      </c>
      <c r="B35" s="216">
        <f>100+1927.6+111.7+65+1679.8+100+2451.3+1038.4</f>
        <v>7473.7999999999993</v>
      </c>
      <c r="C35" s="252">
        <f>100+1827.5+104.7+65+1588.2+100+2413.2+1038.4</f>
        <v>7237</v>
      </c>
      <c r="D35" s="198"/>
      <c r="E35" s="198"/>
    </row>
    <row r="36" spans="1:12" ht="18.75" customHeight="1" x14ac:dyDescent="0.25">
      <c r="A36" s="151" t="s">
        <v>10</v>
      </c>
      <c r="B36" s="217">
        <f>11217.8+718.4+10082+10351.3</f>
        <v>32369.499999999996</v>
      </c>
      <c r="C36" s="236">
        <f>11217.8+718.4+10082+10351.3</f>
        <v>32369.499999999996</v>
      </c>
      <c r="D36" s="198"/>
      <c r="E36" s="198"/>
    </row>
    <row r="37" spans="1:12" ht="18.75" hidden="1" customHeight="1" x14ac:dyDescent="0.25">
      <c r="A37" s="244" t="s">
        <v>11</v>
      </c>
      <c r="B37" s="218"/>
      <c r="C37" s="255"/>
      <c r="D37" s="198"/>
      <c r="E37" s="198"/>
    </row>
    <row r="38" spans="1:12" s="324" customFormat="1" ht="18.75" customHeight="1" x14ac:dyDescent="0.25">
      <c r="A38" s="181" t="s">
        <v>164</v>
      </c>
      <c r="B38" s="182">
        <f xml:space="preserve"> SUM(B39:B42)</f>
        <v>716590.20000000007</v>
      </c>
      <c r="C38" s="182">
        <f xml:space="preserve"> SUM(C39:C42)</f>
        <v>710268.40000000014</v>
      </c>
      <c r="D38" s="114">
        <v>505930.5</v>
      </c>
      <c r="E38" s="125">
        <f>D38-C38</f>
        <v>-204337.90000000014</v>
      </c>
      <c r="F38" s="323" t="s">
        <v>93</v>
      </c>
      <c r="G38" s="325">
        <f>647740.1-B38</f>
        <v>-68850.100000000093</v>
      </c>
      <c r="H38" s="324">
        <v>716590.2</v>
      </c>
      <c r="I38" s="324">
        <v>710268.4</v>
      </c>
      <c r="J38" s="63">
        <f>H38-B38</f>
        <v>0</v>
      </c>
      <c r="K38" s="63">
        <f>I38-C38</f>
        <v>0</v>
      </c>
      <c r="L38" s="324">
        <v>1</v>
      </c>
    </row>
    <row r="39" spans="1:12" ht="18.75" customHeight="1" x14ac:dyDescent="0.25">
      <c r="A39" s="267" t="s">
        <v>48</v>
      </c>
      <c r="B39" s="264">
        <f>B48</f>
        <v>38367.500000000007</v>
      </c>
      <c r="C39" s="264">
        <f>C48</f>
        <v>37140.200000000004</v>
      </c>
      <c r="D39" s="122"/>
      <c r="E39" s="122"/>
      <c r="F39" s="194">
        <f>G39-B39</f>
        <v>-36795.80000000001</v>
      </c>
      <c r="G39" s="188">
        <v>1571.7</v>
      </c>
    </row>
    <row r="40" spans="1:12" ht="18.75" customHeight="1" x14ac:dyDescent="0.25">
      <c r="A40" s="267" t="s">
        <v>8</v>
      </c>
      <c r="B40" s="264">
        <f>B44+B49+B53+B59+B67+B56</f>
        <v>446693.30000000005</v>
      </c>
      <c r="C40" s="264">
        <f>C44+C49+C53+C59+C67+C56</f>
        <v>445266.3000000001</v>
      </c>
      <c r="D40" s="202">
        <f>B39+B40+B41+B42</f>
        <v>716590.20000000007</v>
      </c>
      <c r="E40" s="202"/>
      <c r="F40" s="194">
        <f>G40-B40</f>
        <v>-101293.20000000007</v>
      </c>
      <c r="G40" s="188">
        <v>345400.1</v>
      </c>
    </row>
    <row r="41" spans="1:12" ht="18.75" customHeight="1" x14ac:dyDescent="0.25">
      <c r="A41" s="267" t="s">
        <v>9</v>
      </c>
      <c r="B41" s="264">
        <f>B45+B50+B54+B60+B63+B65+B68</f>
        <v>231529.4</v>
      </c>
      <c r="C41" s="264">
        <f>C45+C50+C54+C60+C63+C65+C68</f>
        <v>227861.9</v>
      </c>
      <c r="D41" s="202"/>
      <c r="E41" s="202"/>
      <c r="F41" s="194">
        <f>G41-B41</f>
        <v>25777</v>
      </c>
      <c r="G41" s="188">
        <v>257306.4</v>
      </c>
    </row>
    <row r="42" spans="1:12" ht="18.75" customHeight="1" x14ac:dyDescent="0.25">
      <c r="A42" s="267" t="s">
        <v>11</v>
      </c>
      <c r="B42" s="264">
        <f>B46+B51+B61+B69</f>
        <v>0</v>
      </c>
      <c r="C42" s="264">
        <f>C46+C51+C61+C69</f>
        <v>0</v>
      </c>
      <c r="D42" s="202"/>
      <c r="E42" s="202"/>
      <c r="F42" s="194">
        <f>G42-B42</f>
        <v>19650</v>
      </c>
      <c r="G42" s="188">
        <v>19650</v>
      </c>
    </row>
    <row r="43" spans="1:12" ht="27" customHeight="1" x14ac:dyDescent="0.25">
      <c r="A43" s="240" t="s">
        <v>136</v>
      </c>
      <c r="B43" s="265">
        <f>SUM(B44:B46)</f>
        <v>163346.5</v>
      </c>
      <c r="C43" s="265">
        <f>SUM(C44:C46)</f>
        <v>161565.6</v>
      </c>
      <c r="D43" s="203"/>
      <c r="E43" s="203"/>
      <c r="H43">
        <v>163346.5</v>
      </c>
      <c r="I43">
        <v>161565.6</v>
      </c>
      <c r="J43" s="63">
        <f>H43-B43</f>
        <v>0</v>
      </c>
      <c r="K43" s="63">
        <f>I43-C43</f>
        <v>0</v>
      </c>
    </row>
    <row r="44" spans="1:12" ht="18.75" customHeight="1" x14ac:dyDescent="0.25">
      <c r="A44" s="141" t="s">
        <v>8</v>
      </c>
      <c r="B44" s="216">
        <f>89362.7+7200+341.1+9282.7</f>
        <v>106186.5</v>
      </c>
      <c r="C44" s="252">
        <f>89362.7+7200+341.1+9282.7</f>
        <v>106186.5</v>
      </c>
      <c r="D44" s="198"/>
      <c r="E44" s="198"/>
    </row>
    <row r="45" spans="1:12" ht="18.75" customHeight="1" x14ac:dyDescent="0.25">
      <c r="A45" s="151" t="s">
        <v>10</v>
      </c>
      <c r="B45" s="217">
        <f>57160</f>
        <v>57160</v>
      </c>
      <c r="C45" s="236">
        <v>55379.1</v>
      </c>
      <c r="D45" s="198"/>
      <c r="E45" s="198"/>
    </row>
    <row r="46" spans="1:12" ht="0.75" customHeight="1" x14ac:dyDescent="0.25">
      <c r="A46" s="244" t="s">
        <v>11</v>
      </c>
      <c r="B46" s="218"/>
      <c r="C46" s="255"/>
      <c r="D46" s="198"/>
      <c r="E46" s="198"/>
    </row>
    <row r="47" spans="1:12" ht="27.75" customHeight="1" x14ac:dyDescent="0.25">
      <c r="A47" s="240" t="s">
        <v>137</v>
      </c>
      <c r="B47" s="265">
        <f>SUM(B48:B51)</f>
        <v>442291.7</v>
      </c>
      <c r="C47" s="265">
        <f>SUM(C48:C51)</f>
        <v>439467.80000000005</v>
      </c>
      <c r="D47" s="203"/>
      <c r="E47" s="203"/>
      <c r="H47">
        <v>442291.7</v>
      </c>
      <c r="I47">
        <v>439467.8</v>
      </c>
      <c r="J47" s="63">
        <f>H47-B47</f>
        <v>0</v>
      </c>
      <c r="K47" s="63">
        <f>I47-C47</f>
        <v>0</v>
      </c>
    </row>
    <row r="48" spans="1:12" ht="18.75" customHeight="1" x14ac:dyDescent="0.25">
      <c r="A48" s="271" t="s">
        <v>49</v>
      </c>
      <c r="B48" s="219">
        <f>10350.9+16417.9+9542.4+2056.3</f>
        <v>38367.500000000007</v>
      </c>
      <c r="C48" s="256">
        <f>9704.2+16417.9+8961.8+2056.3</f>
        <v>37140.200000000004</v>
      </c>
      <c r="D48" s="204"/>
      <c r="E48" s="204"/>
    </row>
    <row r="49" spans="1:11" ht="18.75" customHeight="1" x14ac:dyDescent="0.25">
      <c r="A49" s="141" t="s">
        <v>8</v>
      </c>
      <c r="B49" s="220">
        <f>1380.1+267782.2+2883.7+16393.7+7385.2</f>
        <v>295824.90000000002</v>
      </c>
      <c r="C49" s="252">
        <f>1293.2+267782.2+2883.7+16393.7+6985.2</f>
        <v>295338.00000000006</v>
      </c>
      <c r="D49" s="198"/>
      <c r="E49" s="198"/>
    </row>
    <row r="50" spans="1:11" ht="15.75" customHeight="1" x14ac:dyDescent="0.25">
      <c r="A50" s="151" t="s">
        <v>10</v>
      </c>
      <c r="B50" s="221">
        <f>108099.3</f>
        <v>108099.3</v>
      </c>
      <c r="C50" s="236">
        <f>106989.6</f>
        <v>106989.6</v>
      </c>
      <c r="D50" s="198"/>
      <c r="E50" s="198"/>
    </row>
    <row r="51" spans="1:11" ht="15.75" hidden="1" customHeight="1" x14ac:dyDescent="0.25">
      <c r="A51" s="244" t="s">
        <v>11</v>
      </c>
      <c r="B51" s="222"/>
      <c r="C51" s="255"/>
      <c r="D51" s="198"/>
      <c r="E51" s="198"/>
    </row>
    <row r="52" spans="1:11" ht="30.75" customHeight="1" x14ac:dyDescent="0.25">
      <c r="A52" s="240" t="s">
        <v>138</v>
      </c>
      <c r="B52" s="272">
        <f xml:space="preserve"> SUM(B53:B54)</f>
        <v>10646.900000000001</v>
      </c>
      <c r="C52" s="272">
        <f xml:space="preserve"> SUM(C53:C54)</f>
        <v>9808.4</v>
      </c>
      <c r="D52" s="205"/>
      <c r="E52" s="205"/>
      <c r="H52">
        <v>10646.9</v>
      </c>
      <c r="I52">
        <v>9808.4</v>
      </c>
      <c r="J52" s="63">
        <f>H52-B52</f>
        <v>0</v>
      </c>
      <c r="K52" s="63">
        <f>I52-C52</f>
        <v>0</v>
      </c>
    </row>
    <row r="53" spans="1:11" ht="15.75" customHeight="1" x14ac:dyDescent="0.25">
      <c r="A53" s="245" t="s">
        <v>12</v>
      </c>
      <c r="B53" s="220">
        <f>99.9+1207.5+3084.3</f>
        <v>4391.7000000000007</v>
      </c>
      <c r="C53" s="252">
        <f>99.9+1164.6+2385.9</f>
        <v>3650.4</v>
      </c>
      <c r="D53" s="198"/>
      <c r="E53" s="198"/>
    </row>
    <row r="54" spans="1:11" ht="12.75" customHeight="1" x14ac:dyDescent="0.25">
      <c r="A54" s="151" t="s">
        <v>10</v>
      </c>
      <c r="B54" s="223">
        <f>6255.2</f>
        <v>6255.2</v>
      </c>
      <c r="C54" s="236">
        <f>6158</f>
        <v>6158</v>
      </c>
      <c r="D54" s="198"/>
      <c r="E54" s="198"/>
    </row>
    <row r="55" spans="1:11" ht="24.75" customHeight="1" x14ac:dyDescent="0.25">
      <c r="A55" s="240" t="s">
        <v>139</v>
      </c>
      <c r="B55" s="265">
        <f>SUM(B56:B57)</f>
        <v>23484.6</v>
      </c>
      <c r="C55" s="265">
        <f>SUM(C56:C57)</f>
        <v>23364</v>
      </c>
      <c r="D55" s="201"/>
      <c r="E55" s="201"/>
      <c r="H55">
        <v>23484.6</v>
      </c>
      <c r="I55">
        <v>23364</v>
      </c>
      <c r="J55" s="63">
        <f>H55-B55</f>
        <v>0</v>
      </c>
      <c r="K55" s="63">
        <f>I55-C55</f>
        <v>0</v>
      </c>
    </row>
    <row r="56" spans="1:11" ht="14.25" customHeight="1" x14ac:dyDescent="0.25">
      <c r="A56" s="141" t="s">
        <v>8</v>
      </c>
      <c r="B56" s="220">
        <f>308.2+325.6+10237+7296+5062.8+191.5+63.5</f>
        <v>23484.6</v>
      </c>
      <c r="C56" s="252">
        <f>308.1+325.6+10148.8+7296+5062.8+166.5+56.2</f>
        <v>23364</v>
      </c>
      <c r="D56" s="198"/>
      <c r="E56" s="198"/>
    </row>
    <row r="57" spans="1:11" ht="14.25" hidden="1" customHeight="1" x14ac:dyDescent="0.25">
      <c r="A57" s="151" t="s">
        <v>9</v>
      </c>
      <c r="B57" s="221"/>
      <c r="C57" s="236"/>
      <c r="D57" s="198"/>
      <c r="E57" s="198"/>
    </row>
    <row r="58" spans="1:11" ht="27" customHeight="1" x14ac:dyDescent="0.25">
      <c r="A58" s="318" t="s">
        <v>140</v>
      </c>
      <c r="B58" s="265">
        <f>SUM(B59:B61)</f>
        <v>3334.8</v>
      </c>
      <c r="C58" s="265">
        <f>SUM(C59:C61)</f>
        <v>3113.3999999999996</v>
      </c>
      <c r="D58" s="201"/>
      <c r="E58" s="201"/>
      <c r="H58">
        <v>3334.8</v>
      </c>
      <c r="I58">
        <v>3113.4</v>
      </c>
      <c r="J58" s="63">
        <f>H58-B58</f>
        <v>0</v>
      </c>
      <c r="K58" s="63">
        <f>I58-C58</f>
        <v>0</v>
      </c>
    </row>
    <row r="59" spans="1:11" ht="14.25" customHeight="1" x14ac:dyDescent="0.25">
      <c r="A59" s="141" t="s">
        <v>8</v>
      </c>
      <c r="B59" s="220">
        <f>1067+469.2</f>
        <v>1536.2</v>
      </c>
      <c r="C59" s="252">
        <f>988.8+469.2</f>
        <v>1458</v>
      </c>
      <c r="D59" s="198"/>
      <c r="E59" s="198"/>
    </row>
    <row r="60" spans="1:11" ht="12.75" customHeight="1" x14ac:dyDescent="0.25">
      <c r="A60" s="151" t="s">
        <v>10</v>
      </c>
      <c r="B60" s="221">
        <f>82.6+1716</f>
        <v>1798.6</v>
      </c>
      <c r="C60" s="236">
        <f>82.6+1572.8</f>
        <v>1655.3999999999999</v>
      </c>
      <c r="D60" s="198"/>
      <c r="E60" s="198"/>
    </row>
    <row r="61" spans="1:11" ht="15.75" hidden="1" customHeight="1" x14ac:dyDescent="0.25">
      <c r="A61" s="244" t="s">
        <v>11</v>
      </c>
      <c r="B61" s="225"/>
      <c r="C61" s="255"/>
      <c r="D61" s="198"/>
      <c r="E61" s="198"/>
    </row>
    <row r="62" spans="1:11" ht="27.75" customHeight="1" x14ac:dyDescent="0.25">
      <c r="A62" s="240" t="s">
        <v>141</v>
      </c>
      <c r="B62" s="265">
        <f xml:space="preserve"> SUM(B63:B63)</f>
        <v>450.9</v>
      </c>
      <c r="C62" s="265">
        <f xml:space="preserve"> SUM(C63:C63)</f>
        <v>450.9</v>
      </c>
      <c r="D62" s="201"/>
      <c r="E62" s="201"/>
      <c r="H62">
        <v>450.9</v>
      </c>
      <c r="I62">
        <v>450.9</v>
      </c>
      <c r="J62" s="63">
        <f>H62-B62</f>
        <v>0</v>
      </c>
      <c r="K62" s="63">
        <f>I62-C62</f>
        <v>0</v>
      </c>
    </row>
    <row r="63" spans="1:11" ht="15.75" customHeight="1" x14ac:dyDescent="0.25">
      <c r="A63" s="151" t="s">
        <v>10</v>
      </c>
      <c r="B63" s="223">
        <f>166.5+284.4</f>
        <v>450.9</v>
      </c>
      <c r="C63" s="236">
        <f>166.5+284.4</f>
        <v>450.9</v>
      </c>
      <c r="D63" s="198"/>
      <c r="E63" s="198"/>
    </row>
    <row r="64" spans="1:11" ht="44.25" customHeight="1" x14ac:dyDescent="0.25">
      <c r="A64" s="240" t="s">
        <v>142</v>
      </c>
      <c r="B64" s="272">
        <f>SUM(B65)</f>
        <v>30</v>
      </c>
      <c r="C64" s="272">
        <f>SUM(C65)</f>
        <v>0</v>
      </c>
      <c r="D64" s="206"/>
      <c r="E64" s="206"/>
      <c r="H64">
        <v>30</v>
      </c>
      <c r="I64">
        <v>0</v>
      </c>
      <c r="J64" s="63">
        <f>H64-B64</f>
        <v>0</v>
      </c>
      <c r="K64" s="63">
        <f>I64-C64</f>
        <v>0</v>
      </c>
    </row>
    <row r="65" spans="1:12" ht="15.75" customHeight="1" x14ac:dyDescent="0.25">
      <c r="A65" s="151" t="s">
        <v>10</v>
      </c>
      <c r="B65" s="223">
        <v>30</v>
      </c>
      <c r="C65" s="236">
        <v>0</v>
      </c>
      <c r="D65" s="198"/>
      <c r="E65" s="198"/>
    </row>
    <row r="66" spans="1:12" ht="30.75" customHeight="1" x14ac:dyDescent="0.25">
      <c r="A66" s="274" t="s">
        <v>143</v>
      </c>
      <c r="B66" s="272">
        <f>SUM(B67,B68,B69)</f>
        <v>73004.799999999988</v>
      </c>
      <c r="C66" s="272">
        <f>SUM(C67,C68,C69)</f>
        <v>72498.3</v>
      </c>
      <c r="D66" s="206"/>
      <c r="E66" s="206"/>
      <c r="H66">
        <v>73004.800000000003</v>
      </c>
      <c r="I66">
        <v>72498.3</v>
      </c>
      <c r="J66" s="63">
        <f>H66-B66</f>
        <v>0</v>
      </c>
      <c r="K66" s="63">
        <f>I66-C66</f>
        <v>0</v>
      </c>
    </row>
    <row r="67" spans="1:12" ht="17.25" customHeight="1" x14ac:dyDescent="0.25">
      <c r="A67" s="141" t="s">
        <v>8</v>
      </c>
      <c r="B67" s="220">
        <f>2790.6+72+5790.5+1064+5552.3</f>
        <v>15269.400000000001</v>
      </c>
      <c r="C67" s="252">
        <f>2790.6+72+5790.5+1064+5552.3</f>
        <v>15269.400000000001</v>
      </c>
      <c r="D67" s="198"/>
      <c r="E67" s="198"/>
    </row>
    <row r="68" spans="1:12" ht="16.5" customHeight="1" x14ac:dyDescent="0.25">
      <c r="A68" s="151" t="s">
        <v>10</v>
      </c>
      <c r="B68" s="221">
        <f>2537.8+20+6886.3+10101.8+262.8+1+37925.7</f>
        <v>57735.399999999994</v>
      </c>
      <c r="C68" s="236">
        <f>2537.8+6607.2+10101.8+176.4+0.2+37805.5</f>
        <v>57228.9</v>
      </c>
      <c r="D68" s="198"/>
      <c r="E68" s="198"/>
    </row>
    <row r="69" spans="1:12" ht="17.25" hidden="1" customHeight="1" x14ac:dyDescent="0.25">
      <c r="A69" s="244" t="s">
        <v>11</v>
      </c>
      <c r="B69" s="225"/>
      <c r="C69" s="255"/>
      <c r="D69" s="198"/>
      <c r="E69" s="198"/>
    </row>
    <row r="70" spans="1:12" s="324" customFormat="1" ht="26.25" customHeight="1" x14ac:dyDescent="0.25">
      <c r="A70" s="178" t="s">
        <v>131</v>
      </c>
      <c r="B70" s="182">
        <f>SUM(B71:B73)</f>
        <v>65157.200000000004</v>
      </c>
      <c r="C70" s="182">
        <f>SUM(C71:C73)</f>
        <v>65139.4</v>
      </c>
      <c r="D70" s="114">
        <v>29743.8</v>
      </c>
      <c r="E70" s="127">
        <f>D70-C70</f>
        <v>-35395.600000000006</v>
      </c>
      <c r="F70" s="326" t="s">
        <v>58</v>
      </c>
      <c r="G70" s="327">
        <f>SUM(G71:G72)-B70</f>
        <v>-27843.000000000007</v>
      </c>
      <c r="J70" s="63">
        <f>H70-B70</f>
        <v>-65157.200000000004</v>
      </c>
      <c r="K70" s="63">
        <f>I70-C70</f>
        <v>-65139.4</v>
      </c>
      <c r="L70" s="324">
        <v>1</v>
      </c>
    </row>
    <row r="71" spans="1:12" ht="15.75" customHeight="1" x14ac:dyDescent="0.25">
      <c r="A71" s="267" t="s">
        <v>8</v>
      </c>
      <c r="B71" s="264">
        <f>B78+B83</f>
        <v>6169.4</v>
      </c>
      <c r="C71" s="264">
        <f>C78+C83</f>
        <v>6169.4</v>
      </c>
      <c r="D71" s="122"/>
      <c r="E71" s="122"/>
      <c r="F71" s="208">
        <f>G71-B71</f>
        <v>-534.29999999999927</v>
      </c>
      <c r="G71" s="209">
        <v>5635.1</v>
      </c>
    </row>
    <row r="72" spans="1:12" ht="15.75" customHeight="1" x14ac:dyDescent="0.25">
      <c r="A72" s="267" t="s">
        <v>10</v>
      </c>
      <c r="B72" s="264">
        <f>B79+B81+B84</f>
        <v>58987.8</v>
      </c>
      <c r="C72" s="264">
        <f>C79+C81+C84</f>
        <v>58970</v>
      </c>
      <c r="D72" s="122"/>
      <c r="E72" s="122"/>
      <c r="F72" s="208">
        <f>G72-B72</f>
        <v>-27308.700000000004</v>
      </c>
      <c r="G72" s="209">
        <v>31679.1</v>
      </c>
    </row>
    <row r="73" spans="1:12" ht="16.5" customHeight="1" x14ac:dyDescent="0.25">
      <c r="A73" s="267" t="s">
        <v>11</v>
      </c>
      <c r="B73" s="275"/>
      <c r="C73" s="275"/>
      <c r="D73" s="210"/>
      <c r="E73" s="210"/>
      <c r="F73" s="208">
        <f>G73-B73</f>
        <v>0</v>
      </c>
      <c r="G73" s="209"/>
    </row>
    <row r="74" spans="1:12" ht="29.25" customHeight="1" x14ac:dyDescent="0.25">
      <c r="A74" s="276" t="s">
        <v>107</v>
      </c>
      <c r="B74" s="265">
        <f>SUM(B75:B76)</f>
        <v>0</v>
      </c>
      <c r="C74" s="265">
        <f>SUM(C75:C76)</f>
        <v>0</v>
      </c>
      <c r="D74" s="201"/>
      <c r="E74" s="201"/>
      <c r="F74" s="194"/>
    </row>
    <row r="75" spans="1:12" ht="12.75" hidden="1" customHeight="1" x14ac:dyDescent="0.25">
      <c r="A75" s="40" t="s">
        <v>8</v>
      </c>
      <c r="B75" s="260"/>
      <c r="C75" s="211"/>
      <c r="D75" s="212"/>
      <c r="E75" s="212"/>
    </row>
    <row r="76" spans="1:12" ht="12.75" hidden="1" customHeight="1" x14ac:dyDescent="0.25">
      <c r="A76" s="151" t="s">
        <v>10</v>
      </c>
      <c r="B76" s="217"/>
      <c r="C76" s="197"/>
      <c r="D76" s="212"/>
      <c r="E76" s="212"/>
    </row>
    <row r="77" spans="1:12" ht="26.25" customHeight="1" x14ac:dyDescent="0.25">
      <c r="A77" s="277" t="s">
        <v>60</v>
      </c>
      <c r="B77" s="265">
        <f>SUM(B78:B79)</f>
        <v>57049.8</v>
      </c>
      <c r="C77" s="265">
        <f>SUM(C78:C79)</f>
        <v>57049.8</v>
      </c>
      <c r="D77" s="201"/>
      <c r="E77" s="201"/>
      <c r="J77" s="63">
        <f>H77-B77</f>
        <v>-57049.8</v>
      </c>
      <c r="K77" s="63">
        <f>I77-C77</f>
        <v>-57049.8</v>
      </c>
    </row>
    <row r="78" spans="1:12" ht="16.5" customHeight="1" x14ac:dyDescent="0.25">
      <c r="A78" s="141" t="s">
        <v>8</v>
      </c>
      <c r="B78" s="216">
        <v>5212</v>
      </c>
      <c r="C78" s="252">
        <v>5212</v>
      </c>
      <c r="D78" s="212"/>
      <c r="E78" s="212"/>
    </row>
    <row r="79" spans="1:12" ht="16.5" customHeight="1" x14ac:dyDescent="0.25">
      <c r="A79" s="151" t="s">
        <v>10</v>
      </c>
      <c r="B79" s="217">
        <f>4840+46997.8</f>
        <v>51837.8</v>
      </c>
      <c r="C79" s="313">
        <f>B79</f>
        <v>51837.8</v>
      </c>
      <c r="D79" s="212"/>
      <c r="E79" s="212"/>
    </row>
    <row r="80" spans="1:12" ht="16.5" customHeight="1" x14ac:dyDescent="0.25">
      <c r="A80" s="276" t="s">
        <v>61</v>
      </c>
      <c r="B80" s="265">
        <f>SUM(B81:B81)</f>
        <v>9.1</v>
      </c>
      <c r="C80" s="265">
        <f>SUM(C81:C81)</f>
        <v>9.1</v>
      </c>
      <c r="D80" s="201"/>
      <c r="E80" s="201"/>
      <c r="J80" s="63">
        <f>H80-B80</f>
        <v>-9.1</v>
      </c>
      <c r="K80" s="63">
        <f>I80-C80</f>
        <v>-9.1</v>
      </c>
    </row>
    <row r="81" spans="1:12" ht="15.75" customHeight="1" x14ac:dyDescent="0.25">
      <c r="A81" s="151" t="s">
        <v>10</v>
      </c>
      <c r="B81" s="217">
        <v>9.1</v>
      </c>
      <c r="C81" s="236">
        <v>9.1</v>
      </c>
      <c r="D81" s="212"/>
      <c r="E81" s="212"/>
    </row>
    <row r="82" spans="1:12" ht="19.5" customHeight="1" x14ac:dyDescent="0.25">
      <c r="A82" s="278" t="s">
        <v>62</v>
      </c>
      <c r="B82" s="265">
        <f>SUM(B83:B84)</f>
        <v>8098.3</v>
      </c>
      <c r="C82" s="265">
        <f>SUM(C83:C84)</f>
        <v>8080.5</v>
      </c>
      <c r="D82" s="201"/>
      <c r="E82" s="201"/>
      <c r="J82" s="63">
        <f>H82-B82</f>
        <v>-8098.3</v>
      </c>
      <c r="K82" s="63">
        <f>I82-C82</f>
        <v>-8080.5</v>
      </c>
    </row>
    <row r="83" spans="1:12" ht="13.5" customHeight="1" x14ac:dyDescent="0.25">
      <c r="A83" s="246" t="s">
        <v>8</v>
      </c>
      <c r="B83" s="216">
        <f>14.4+331.5+1+610.5</f>
        <v>957.4</v>
      </c>
      <c r="C83" s="252">
        <f>14.4+331.5+1+610.5</f>
        <v>957.4</v>
      </c>
      <c r="D83" s="212"/>
      <c r="E83" s="212"/>
    </row>
    <row r="84" spans="1:12" ht="13.5" customHeight="1" x14ac:dyDescent="0.25">
      <c r="A84" s="151" t="s">
        <v>10</v>
      </c>
      <c r="B84" s="217">
        <f>6349.3+441.1+321.5+29</f>
        <v>7140.9000000000005</v>
      </c>
      <c r="C84" s="236">
        <f>6332+441.1+321.5+28.5</f>
        <v>7123.1</v>
      </c>
      <c r="D84" s="212"/>
      <c r="E84" s="212"/>
    </row>
    <row r="85" spans="1:12" s="324" customFormat="1" ht="26.25" customHeight="1" x14ac:dyDescent="0.25">
      <c r="A85" s="178" t="s">
        <v>163</v>
      </c>
      <c r="B85" s="182">
        <f>SUM(B86:B89)</f>
        <v>30145.8</v>
      </c>
      <c r="C85" s="182">
        <f>SUM(C86:C89)</f>
        <v>29482.6</v>
      </c>
      <c r="D85" s="114">
        <v>21399</v>
      </c>
      <c r="E85" s="125">
        <f>D85-C85</f>
        <v>-8083.5999999999985</v>
      </c>
      <c r="F85" s="328" t="s">
        <v>67</v>
      </c>
      <c r="G85" s="316"/>
      <c r="H85" s="324">
        <v>30145.8</v>
      </c>
      <c r="I85" s="324">
        <v>29482.6</v>
      </c>
      <c r="J85" s="63">
        <f>H85-B85</f>
        <v>0</v>
      </c>
      <c r="K85" s="63">
        <f>I85-C85</f>
        <v>0</v>
      </c>
      <c r="L85" s="324">
        <v>1</v>
      </c>
    </row>
    <row r="86" spans="1:12" ht="14.25" customHeight="1" x14ac:dyDescent="0.25">
      <c r="A86" s="235" t="s">
        <v>13</v>
      </c>
      <c r="B86" s="217">
        <f>110.8+71.5</f>
        <v>182.3</v>
      </c>
      <c r="C86" s="236">
        <f>110.8</f>
        <v>110.8</v>
      </c>
      <c r="D86" s="123"/>
      <c r="E86" s="123"/>
      <c r="F86" s="209"/>
      <c r="G86" s="209"/>
    </row>
    <row r="87" spans="1:12" s="50" customFormat="1" ht="14.25" customHeight="1" x14ac:dyDescent="0.2">
      <c r="A87" s="235" t="s">
        <v>36</v>
      </c>
      <c r="B87" s="217">
        <v>350</v>
      </c>
      <c r="C87" s="236">
        <v>0</v>
      </c>
      <c r="D87" s="123"/>
      <c r="E87" s="123"/>
      <c r="F87" s="209"/>
      <c r="G87" s="209"/>
    </row>
    <row r="88" spans="1:12" s="50" customFormat="1" ht="14.25" customHeight="1" x14ac:dyDescent="0.2">
      <c r="A88" s="279" t="s">
        <v>44</v>
      </c>
      <c r="B88" s="217">
        <v>2692.9</v>
      </c>
      <c r="C88" s="236">
        <v>2692.9</v>
      </c>
      <c r="D88" s="123"/>
      <c r="E88" s="123"/>
      <c r="F88" s="209"/>
      <c r="G88" s="209"/>
    </row>
    <row r="89" spans="1:12" s="50" customFormat="1" ht="14.25" customHeight="1" x14ac:dyDescent="0.25">
      <c r="A89" s="279" t="s">
        <v>158</v>
      </c>
      <c r="B89" s="217">
        <f>B90+B91</f>
        <v>26920.6</v>
      </c>
      <c r="C89" s="217">
        <f>C90+C91</f>
        <v>26678.899999999998</v>
      </c>
      <c r="D89" s="123"/>
      <c r="E89" s="123"/>
      <c r="F89" s="209"/>
      <c r="G89" s="209"/>
      <c r="H89" s="50">
        <v>26920.6</v>
      </c>
      <c r="I89" s="50">
        <v>26678.9</v>
      </c>
      <c r="J89" s="63">
        <f>H89-B89</f>
        <v>0</v>
      </c>
      <c r="K89" s="63">
        <f>I89-C89</f>
        <v>0</v>
      </c>
    </row>
    <row r="90" spans="1:12" s="50" customFormat="1" ht="14.25" customHeight="1" x14ac:dyDescent="0.2">
      <c r="A90" s="315" t="s">
        <v>8</v>
      </c>
      <c r="B90" s="216">
        <f>1477.2+3515.7+443.1+0.3+793.1</f>
        <v>6229.4000000000005</v>
      </c>
      <c r="C90" s="252">
        <f>1477.2+3515.7+443.1+0.3+556.4</f>
        <v>5992.7</v>
      </c>
      <c r="D90" s="123"/>
      <c r="E90" s="123"/>
      <c r="F90" s="209"/>
      <c r="G90" s="209"/>
    </row>
    <row r="91" spans="1:12" s="50" customFormat="1" ht="14.25" customHeight="1" x14ac:dyDescent="0.2">
      <c r="A91" s="279" t="s">
        <v>9</v>
      </c>
      <c r="B91" s="217">
        <f>1480.3+8982+4438.9+5790</f>
        <v>20691.199999999997</v>
      </c>
      <c r="C91" s="236">
        <f>1480.3+8977+4438.9+5790</f>
        <v>20686.199999999997</v>
      </c>
      <c r="D91" s="123"/>
      <c r="E91" s="123"/>
      <c r="F91" s="209"/>
      <c r="G91" s="209"/>
    </row>
    <row r="92" spans="1:12" s="317" customFormat="1" ht="28.5" hidden="1" customHeight="1" x14ac:dyDescent="0.25">
      <c r="A92" s="230" t="s">
        <v>95</v>
      </c>
      <c r="B92" s="182">
        <f>B93+B94+B95+B96</f>
        <v>0</v>
      </c>
      <c r="C92" s="182">
        <f>C93+C94+C95+C96</f>
        <v>0</v>
      </c>
      <c r="D92" s="122">
        <v>210</v>
      </c>
      <c r="E92" s="122">
        <f>D92-C92</f>
        <v>210</v>
      </c>
      <c r="F92" s="322" t="s">
        <v>70</v>
      </c>
      <c r="G92" s="323"/>
    </row>
    <row r="93" spans="1:12" ht="0.75" hidden="1" customHeight="1" x14ac:dyDescent="0.25">
      <c r="A93" s="247" t="s">
        <v>19</v>
      </c>
      <c r="B93" s="281"/>
      <c r="C93" s="257">
        <v>0</v>
      </c>
      <c r="D93" s="198"/>
      <c r="E93" s="198"/>
    </row>
    <row r="94" spans="1:12" ht="15.75" hidden="1" customHeight="1" x14ac:dyDescent="0.25">
      <c r="A94" s="248" t="s">
        <v>8</v>
      </c>
      <c r="B94" s="216"/>
      <c r="C94" s="252">
        <v>0</v>
      </c>
      <c r="D94" s="198"/>
      <c r="E94" s="198"/>
    </row>
    <row r="95" spans="1:12" ht="15.75" hidden="1" customHeight="1" x14ac:dyDescent="0.25">
      <c r="A95" s="235" t="s">
        <v>9</v>
      </c>
      <c r="B95" s="217"/>
      <c r="C95" s="236">
        <v>0</v>
      </c>
      <c r="D95" s="198"/>
      <c r="E95" s="198"/>
    </row>
    <row r="96" spans="1:12" ht="15.75" hidden="1" customHeight="1" x14ac:dyDescent="0.25">
      <c r="A96" s="249" t="s">
        <v>69</v>
      </c>
      <c r="B96" s="282"/>
      <c r="C96" s="258"/>
      <c r="D96" s="198"/>
      <c r="E96" s="198"/>
    </row>
    <row r="97" spans="1:12" s="324" customFormat="1" ht="21.75" customHeight="1" x14ac:dyDescent="0.25">
      <c r="A97" s="230" t="s">
        <v>166</v>
      </c>
      <c r="B97" s="182">
        <f>SUM(B98:B98)</f>
        <v>0</v>
      </c>
      <c r="C97" s="182">
        <f>SUM(C98:C98)</f>
        <v>0</v>
      </c>
      <c r="D97" s="122">
        <v>90</v>
      </c>
      <c r="E97" s="125">
        <f>D97-C97</f>
        <v>90</v>
      </c>
      <c r="F97" s="322" t="s">
        <v>65</v>
      </c>
      <c r="G97" s="323"/>
      <c r="L97" s="324">
        <v>1</v>
      </c>
    </row>
    <row r="98" spans="1:12" ht="0.75" customHeight="1" x14ac:dyDescent="0.25">
      <c r="A98" s="235" t="s">
        <v>9</v>
      </c>
      <c r="B98" s="217">
        <v>0</v>
      </c>
      <c r="C98" s="236">
        <v>0</v>
      </c>
      <c r="D98" s="198"/>
      <c r="E98" s="198"/>
    </row>
    <row r="99" spans="1:12" s="324" customFormat="1" ht="26.25" customHeight="1" x14ac:dyDescent="0.25">
      <c r="A99" s="178" t="s">
        <v>167</v>
      </c>
      <c r="B99" s="182">
        <f>SUM(B100:B100)</f>
        <v>0</v>
      </c>
      <c r="C99" s="182">
        <f>SUM(C100:C100)</f>
        <v>0</v>
      </c>
      <c r="D99" s="122"/>
      <c r="E99" s="122"/>
      <c r="F99" s="322" t="s">
        <v>65</v>
      </c>
      <c r="G99" s="323"/>
      <c r="L99" s="324">
        <v>1</v>
      </c>
    </row>
    <row r="100" spans="1:12" ht="14.25" hidden="1" customHeight="1" x14ac:dyDescent="0.25">
      <c r="A100" s="235" t="s">
        <v>9</v>
      </c>
      <c r="B100" s="217">
        <v>0</v>
      </c>
      <c r="C100" s="236"/>
      <c r="D100" s="198"/>
      <c r="E100" s="198"/>
    </row>
    <row r="101" spans="1:12" s="317" customFormat="1" ht="26.25" customHeight="1" x14ac:dyDescent="0.25">
      <c r="A101" s="178" t="s">
        <v>168</v>
      </c>
      <c r="B101" s="182">
        <f>SUM(B102:B103)</f>
        <v>376.7</v>
      </c>
      <c r="C101" s="182">
        <f>SUM(C102)</f>
        <v>255.4</v>
      </c>
      <c r="D101" s="329"/>
      <c r="E101" s="329"/>
      <c r="F101" s="323"/>
      <c r="G101" s="323"/>
      <c r="H101" s="317">
        <v>376.7</v>
      </c>
      <c r="I101" s="317">
        <v>255.4</v>
      </c>
      <c r="J101" s="63">
        <f>H101-B101</f>
        <v>0</v>
      </c>
      <c r="K101" s="63">
        <f>I101-C101</f>
        <v>0</v>
      </c>
      <c r="L101" s="317">
        <v>1</v>
      </c>
    </row>
    <row r="102" spans="1:12" s="50" customFormat="1" ht="15" customHeight="1" x14ac:dyDescent="0.25">
      <c r="A102" s="235" t="s">
        <v>9</v>
      </c>
      <c r="B102" s="217">
        <v>376.7</v>
      </c>
      <c r="C102" s="236">
        <v>255.4</v>
      </c>
      <c r="D102" s="198"/>
      <c r="E102" s="198"/>
      <c r="F102" s="188"/>
      <c r="G102" s="188"/>
    </row>
    <row r="103" spans="1:12" s="50" customFormat="1" ht="14.25" customHeight="1" x14ac:dyDescent="0.25">
      <c r="A103" s="250" t="s">
        <v>18</v>
      </c>
      <c r="B103" s="283"/>
      <c r="C103" s="226"/>
      <c r="D103" s="198"/>
      <c r="E103" s="198"/>
      <c r="F103" s="188"/>
      <c r="G103" s="188"/>
    </row>
    <row r="104" spans="1:12" s="317" customFormat="1" ht="14.25" customHeight="1" x14ac:dyDescent="0.25">
      <c r="A104" s="181" t="s">
        <v>169</v>
      </c>
      <c r="B104" s="182">
        <f>B105</f>
        <v>515.70000000000005</v>
      </c>
      <c r="C104" s="182">
        <f>C105</f>
        <v>515.70000000000005</v>
      </c>
      <c r="D104" s="329"/>
      <c r="E104" s="329"/>
      <c r="F104" s="323"/>
      <c r="G104" s="323"/>
      <c r="H104" s="317">
        <v>515.70000000000005</v>
      </c>
      <c r="I104" s="317">
        <v>515.70000000000005</v>
      </c>
      <c r="J104" s="63">
        <f>H104-B104</f>
        <v>0</v>
      </c>
      <c r="K104" s="63">
        <f>I104-C104</f>
        <v>0</v>
      </c>
      <c r="L104" s="317">
        <v>1</v>
      </c>
    </row>
    <row r="105" spans="1:12" s="50" customFormat="1" ht="14.25" customHeight="1" x14ac:dyDescent="0.25">
      <c r="A105" s="247" t="s">
        <v>155</v>
      </c>
      <c r="B105" s="281">
        <v>515.70000000000005</v>
      </c>
      <c r="C105" s="257">
        <v>515.70000000000005</v>
      </c>
      <c r="D105" s="198"/>
      <c r="E105" s="198"/>
      <c r="F105" s="188"/>
      <c r="G105" s="188"/>
    </row>
    <row r="106" spans="1:12" s="317" customFormat="1" ht="14.25" customHeight="1" x14ac:dyDescent="0.25">
      <c r="A106" s="181" t="s">
        <v>170</v>
      </c>
      <c r="B106" s="182">
        <f>B107</f>
        <v>76.599999999999994</v>
      </c>
      <c r="C106" s="182">
        <f>C107</f>
        <v>26</v>
      </c>
      <c r="D106" s="329"/>
      <c r="E106" s="329"/>
      <c r="F106" s="323"/>
      <c r="G106" s="323"/>
      <c r="H106" s="317">
        <v>76</v>
      </c>
      <c r="I106" s="317">
        <v>26</v>
      </c>
      <c r="J106" s="63">
        <f>H106-B106</f>
        <v>-0.59999999999999432</v>
      </c>
      <c r="K106" s="63">
        <f>I106-C106</f>
        <v>0</v>
      </c>
      <c r="L106" s="317">
        <v>1</v>
      </c>
    </row>
    <row r="107" spans="1:12" s="50" customFormat="1" ht="14.25" customHeight="1" x14ac:dyDescent="0.25">
      <c r="A107" s="319" t="s">
        <v>10</v>
      </c>
      <c r="B107" s="320">
        <v>76.599999999999994</v>
      </c>
      <c r="C107" s="321">
        <v>26</v>
      </c>
      <c r="D107" s="198"/>
      <c r="E107" s="198"/>
      <c r="F107" s="188"/>
      <c r="G107" s="188"/>
    </row>
    <row r="108" spans="1:12" s="317" customFormat="1" ht="27.75" customHeight="1" x14ac:dyDescent="0.25">
      <c r="A108" s="178" t="s">
        <v>171</v>
      </c>
      <c r="B108" s="182">
        <v>0</v>
      </c>
      <c r="C108" s="182">
        <v>0</v>
      </c>
      <c r="D108" s="329"/>
      <c r="E108" s="329"/>
      <c r="F108" s="323"/>
      <c r="G108" s="323"/>
      <c r="L108" s="317">
        <v>1</v>
      </c>
    </row>
    <row r="109" spans="1:12" s="317" customFormat="1" ht="27.75" customHeight="1" x14ac:dyDescent="0.25">
      <c r="A109" s="178" t="s">
        <v>172</v>
      </c>
      <c r="B109" s="182">
        <v>0</v>
      </c>
      <c r="C109" s="182">
        <v>0</v>
      </c>
      <c r="D109" s="329"/>
      <c r="E109" s="329"/>
      <c r="F109" s="323"/>
      <c r="G109" s="323"/>
      <c r="L109" s="317">
        <v>1</v>
      </c>
    </row>
    <row r="110" spans="1:12" s="317" customFormat="1" ht="27.75" customHeight="1" x14ac:dyDescent="0.25">
      <c r="A110" s="178" t="s">
        <v>173</v>
      </c>
      <c r="B110" s="182">
        <v>0</v>
      </c>
      <c r="C110" s="182">
        <v>0</v>
      </c>
      <c r="D110" s="329"/>
      <c r="E110" s="329"/>
      <c r="F110" s="323"/>
      <c r="G110" s="323"/>
      <c r="L110" s="317">
        <v>1</v>
      </c>
    </row>
    <row r="111" spans="1:12" s="324" customFormat="1" ht="18" customHeight="1" x14ac:dyDescent="0.25">
      <c r="A111" s="338" t="s">
        <v>45</v>
      </c>
      <c r="B111" s="83">
        <f>SUM(B112:B117)</f>
        <v>895649.9</v>
      </c>
      <c r="C111" s="83">
        <f>SUM(C112:C116)</f>
        <v>885807.00000000023</v>
      </c>
      <c r="D111" s="214"/>
      <c r="E111" s="214"/>
      <c r="F111" s="323"/>
      <c r="G111" s="323"/>
      <c r="H111" s="324">
        <f>980609-84959.1</f>
        <v>895649.9</v>
      </c>
      <c r="I111" s="324">
        <f>968102-82295</f>
        <v>885807</v>
      </c>
      <c r="J111" s="339">
        <f>H111-B111</f>
        <v>0</v>
      </c>
      <c r="K111" s="339">
        <f>I111-C111</f>
        <v>0</v>
      </c>
      <c r="L111" s="324">
        <f>SUM(L2:L110)</f>
        <v>13</v>
      </c>
    </row>
    <row r="112" spans="1:12" ht="18" customHeight="1" x14ac:dyDescent="0.25">
      <c r="A112" s="247" t="s">
        <v>20</v>
      </c>
      <c r="B112" s="281">
        <f>B93+B48+B105+B34+B4</f>
        <v>42034.5</v>
      </c>
      <c r="C112" s="281">
        <f>C93+C48+C105+C34+C4</f>
        <v>40807.199999999997</v>
      </c>
      <c r="D112" s="214"/>
      <c r="E112" s="214"/>
    </row>
    <row r="113" spans="1:9" s="188" customFormat="1" ht="18" customHeight="1" x14ac:dyDescent="0.25">
      <c r="A113" s="248" t="s">
        <v>8</v>
      </c>
      <c r="B113" s="216">
        <f>B12+B26+B30+B35+B44+B49+B53+B56+B59+B67+B78+B83+B94+B90+B18</f>
        <v>472529.30000000005</v>
      </c>
      <c r="C113" s="216">
        <f>C12+C26+C30+C35+C44+C49+C53+C56+C59+C67+C78+C83+C94+C90+C18</f>
        <v>470628.8000000001</v>
      </c>
      <c r="D113" s="214"/>
      <c r="E113" s="214"/>
      <c r="H113"/>
      <c r="I113"/>
    </row>
    <row r="114" spans="1:9" s="188" customFormat="1" ht="18" customHeight="1" x14ac:dyDescent="0.25">
      <c r="A114" s="235" t="s">
        <v>10</v>
      </c>
      <c r="B114" s="217">
        <f>B6+B23+B41+B72+B86+B87+B88+B91+B102+B107</f>
        <v>381086.1</v>
      </c>
      <c r="C114" s="217">
        <f>C6+C23+C41+C72+C86+C87+C88+C91+C102+C107</f>
        <v>374371.00000000006</v>
      </c>
      <c r="D114" s="214"/>
      <c r="E114" s="214"/>
      <c r="H114"/>
      <c r="I114"/>
    </row>
    <row r="115" spans="1:9" s="188" customFormat="1" ht="18" customHeight="1" x14ac:dyDescent="0.25">
      <c r="A115" s="285" t="s">
        <v>11</v>
      </c>
      <c r="B115" s="218">
        <f>B69+B61+B51+B46+B37+B32+B28</f>
        <v>0</v>
      </c>
      <c r="C115" s="218">
        <f>C69+C61+C51+C46+C37+C32+C28</f>
        <v>0</v>
      </c>
      <c r="D115" s="214"/>
      <c r="E115" s="214"/>
      <c r="H115"/>
      <c r="I115"/>
    </row>
    <row r="116" spans="1:9" s="188" customFormat="1" ht="18" customHeight="1" x14ac:dyDescent="0.25">
      <c r="A116" s="286" t="str">
        <f>A96</f>
        <v>середства участников программы</v>
      </c>
      <c r="B116" s="268">
        <f>B96</f>
        <v>0</v>
      </c>
      <c r="C116" s="268">
        <f>C96</f>
        <v>0</v>
      </c>
      <c r="D116" s="214"/>
      <c r="E116" s="214"/>
      <c r="H116"/>
      <c r="I116"/>
    </row>
    <row r="117" spans="1:9" s="188" customFormat="1" ht="18" customHeight="1" x14ac:dyDescent="0.25">
      <c r="A117" s="250" t="s">
        <v>18</v>
      </c>
      <c r="B117" s="268">
        <f>B103</f>
        <v>0</v>
      </c>
      <c r="C117" s="268">
        <f>C103</f>
        <v>0</v>
      </c>
      <c r="D117" s="214"/>
      <c r="E117" s="214"/>
      <c r="H117"/>
      <c r="I117"/>
    </row>
    <row r="118" spans="1:9" s="188" customFormat="1" ht="13.5" customHeight="1" x14ac:dyDescent="0.25">
      <c r="A118" s="251"/>
      <c r="B118" s="288">
        <f>B119-B111</f>
        <v>0</v>
      </c>
      <c r="C118" s="288">
        <f>C119-C111</f>
        <v>0</v>
      </c>
      <c r="D118" s="187"/>
      <c r="E118" s="187"/>
      <c r="H118"/>
      <c r="I118"/>
    </row>
    <row r="119" spans="1:9" s="188" customFormat="1" ht="13.5" customHeight="1" x14ac:dyDescent="0.25">
      <c r="A119" s="251"/>
      <c r="B119" s="288">
        <f>B101+B99+B97+B92+B85+B70+B38+B20+B3+B104+B106</f>
        <v>895649.90000000014</v>
      </c>
      <c r="C119" s="288">
        <f>C101+C99+C97+C92+C85+C70+C38+C20+C3+C104+C106</f>
        <v>885807.00000000012</v>
      </c>
      <c r="D119" s="187"/>
      <c r="E119" s="187"/>
      <c r="H119"/>
      <c r="I119"/>
    </row>
    <row r="120" spans="1:9" s="188" customFormat="1" ht="13.5" customHeight="1" x14ac:dyDescent="0.25">
      <c r="A120" s="251"/>
      <c r="B120" s="215">
        <f>B121-B119</f>
        <v>0</v>
      </c>
      <c r="C120" s="215">
        <f>C121-C119</f>
        <v>0</v>
      </c>
      <c r="D120" s="187"/>
      <c r="E120" s="187"/>
      <c r="H120"/>
      <c r="I120"/>
    </row>
    <row r="121" spans="1:9" s="188" customFormat="1" ht="13.5" customHeight="1" x14ac:dyDescent="0.25">
      <c r="A121" s="251"/>
      <c r="B121">
        <f>H111</f>
        <v>895649.9</v>
      </c>
      <c r="C121">
        <f>I111</f>
        <v>885807</v>
      </c>
      <c r="D121" s="187"/>
      <c r="E121" s="187"/>
      <c r="H121"/>
      <c r="I121"/>
    </row>
    <row r="122" spans="1:9" s="314" customFormat="1" ht="26.25" customHeight="1" x14ac:dyDescent="0.25">
      <c r="A122" s="310"/>
      <c r="B122" s="312"/>
      <c r="C122" s="312"/>
      <c r="D122" s="290"/>
      <c r="E122" s="290"/>
      <c r="H122" s="3"/>
      <c r="I122" s="3"/>
    </row>
    <row r="123" spans="1:9" s="3" customFormat="1" ht="26.25" customHeight="1" x14ac:dyDescent="0.25">
      <c r="A123" s="310"/>
      <c r="B123" s="312"/>
      <c r="C123" s="290"/>
      <c r="D123" s="290"/>
      <c r="E123" s="290"/>
      <c r="F123" s="314"/>
      <c r="G123" s="314"/>
    </row>
    <row r="124" spans="1:9" s="3" customFormat="1" ht="26.25" customHeight="1" x14ac:dyDescent="0.25">
      <c r="A124" s="310"/>
      <c r="B124" s="312"/>
      <c r="C124" s="290"/>
      <c r="D124" s="290"/>
      <c r="E124" s="290"/>
      <c r="F124" s="314"/>
      <c r="G124" s="314"/>
    </row>
    <row r="125" spans="1:9" s="3" customFormat="1" ht="26.25" customHeight="1" x14ac:dyDescent="0.25">
      <c r="A125" s="310"/>
      <c r="B125" s="312"/>
      <c r="C125" s="290"/>
      <c r="D125" s="290"/>
      <c r="E125" s="290"/>
      <c r="F125" s="314"/>
      <c r="G125" s="314"/>
    </row>
    <row r="126" spans="1:9" s="3" customFormat="1" ht="26.25" customHeight="1" x14ac:dyDescent="0.25">
      <c r="A126" s="310"/>
      <c r="B126" s="312"/>
      <c r="C126" s="290"/>
      <c r="D126" s="290"/>
      <c r="E126" s="290"/>
      <c r="F126" s="314"/>
      <c r="G126" s="314"/>
    </row>
    <row r="127" spans="1:9" s="3" customFormat="1" ht="26.25" customHeight="1" x14ac:dyDescent="0.25">
      <c r="A127" s="310"/>
      <c r="B127" s="312"/>
      <c r="C127" s="290"/>
      <c r="D127" s="290"/>
      <c r="E127" s="290"/>
      <c r="F127" s="314"/>
      <c r="G127" s="314"/>
    </row>
    <row r="128" spans="1:9" s="3" customFormat="1" ht="26.25" customHeight="1" x14ac:dyDescent="0.25">
      <c r="A128" s="310"/>
      <c r="B128" s="312"/>
      <c r="C128" s="290"/>
      <c r="D128" s="290"/>
      <c r="E128" s="290"/>
      <c r="F128" s="314"/>
      <c r="G128" s="314"/>
    </row>
    <row r="129" spans="1:7" s="3" customFormat="1" ht="26.25" customHeight="1" x14ac:dyDescent="0.25">
      <c r="A129" s="310"/>
      <c r="B129" s="312"/>
      <c r="C129" s="290"/>
      <c r="D129" s="290"/>
      <c r="E129" s="290"/>
      <c r="F129" s="314"/>
      <c r="G129" s="314"/>
    </row>
    <row r="130" spans="1:7" s="3" customFormat="1" ht="26.25" customHeight="1" x14ac:dyDescent="0.25">
      <c r="A130" s="310"/>
      <c r="B130" s="312"/>
      <c r="C130" s="290"/>
      <c r="D130" s="290"/>
      <c r="E130" s="290"/>
      <c r="F130" s="314"/>
      <c r="G130" s="314"/>
    </row>
    <row r="131" spans="1:7" s="3" customFormat="1" ht="26.25" customHeight="1" x14ac:dyDescent="0.25">
      <c r="A131" s="310"/>
      <c r="B131" s="312"/>
      <c r="C131" s="290"/>
      <c r="D131" s="290"/>
      <c r="E131" s="290"/>
      <c r="F131" s="314"/>
      <c r="G131" s="314"/>
    </row>
    <row r="132" spans="1:7" s="3" customFormat="1" ht="26.25" customHeight="1" x14ac:dyDescent="0.25">
      <c r="A132" s="310"/>
      <c r="B132" s="312"/>
      <c r="C132" s="290"/>
      <c r="D132" s="290"/>
      <c r="E132" s="290"/>
      <c r="F132" s="314"/>
      <c r="G132" s="314"/>
    </row>
    <row r="133" spans="1:7" s="3" customFormat="1" ht="26.25" customHeight="1" x14ac:dyDescent="0.25">
      <c r="A133" s="310"/>
      <c r="B133" s="312"/>
      <c r="C133" s="290"/>
      <c r="D133" s="290"/>
      <c r="E133" s="290"/>
      <c r="F133" s="314"/>
      <c r="G133" s="314"/>
    </row>
    <row r="134" spans="1:7" s="3" customFormat="1" ht="26.25" customHeight="1" x14ac:dyDescent="0.25">
      <c r="A134" s="310"/>
      <c r="B134" s="312"/>
      <c r="C134" s="290"/>
      <c r="D134" s="290"/>
      <c r="E134" s="290"/>
      <c r="F134" s="314"/>
      <c r="G134" s="314"/>
    </row>
    <row r="135" spans="1:7" s="3" customFormat="1" ht="26.25" customHeight="1" x14ac:dyDescent="0.25">
      <c r="A135" s="310"/>
      <c r="B135" s="312"/>
      <c r="C135" s="290"/>
      <c r="D135" s="290"/>
      <c r="E135" s="290"/>
      <c r="F135" s="314"/>
      <c r="G135" s="314"/>
    </row>
    <row r="136" spans="1:7" s="3" customFormat="1" ht="26.25" customHeight="1" x14ac:dyDescent="0.25">
      <c r="A136" s="310"/>
      <c r="B136" s="312"/>
      <c r="C136" s="290"/>
      <c r="D136" s="290"/>
      <c r="E136" s="290"/>
      <c r="F136" s="314"/>
      <c r="G136" s="314"/>
    </row>
    <row r="137" spans="1:7" s="3" customFormat="1" ht="26.25" customHeight="1" x14ac:dyDescent="0.25">
      <c r="A137" s="310"/>
      <c r="B137" s="312"/>
      <c r="C137" s="290"/>
      <c r="D137" s="290"/>
      <c r="E137" s="290"/>
      <c r="F137" s="314"/>
      <c r="G137" s="314"/>
    </row>
    <row r="138" spans="1:7" s="3" customFormat="1" ht="26.25" customHeight="1" x14ac:dyDescent="0.25">
      <c r="A138" s="310"/>
      <c r="B138" s="312"/>
      <c r="C138" s="290"/>
      <c r="D138" s="290"/>
      <c r="E138" s="290"/>
      <c r="F138" s="314"/>
      <c r="G138" s="314"/>
    </row>
    <row r="139" spans="1:7" s="3" customFormat="1" ht="26.25" customHeight="1" x14ac:dyDescent="0.25">
      <c r="A139" s="310"/>
      <c r="B139" s="312"/>
      <c r="C139" s="290"/>
      <c r="D139" s="290"/>
      <c r="E139" s="290"/>
      <c r="F139" s="314"/>
      <c r="G139" s="314"/>
    </row>
    <row r="140" spans="1:7" s="3" customFormat="1" ht="26.25" customHeight="1" x14ac:dyDescent="0.25">
      <c r="A140" s="310"/>
      <c r="B140" s="312"/>
      <c r="C140" s="290"/>
      <c r="D140" s="290"/>
      <c r="E140" s="290"/>
      <c r="F140" s="314"/>
      <c r="G140" s="314"/>
    </row>
    <row r="141" spans="1:7" s="3" customFormat="1" ht="26.25" customHeight="1" x14ac:dyDescent="0.25">
      <c r="A141" s="310"/>
      <c r="B141" s="312"/>
      <c r="C141" s="290"/>
      <c r="D141" s="290"/>
      <c r="E141" s="290"/>
      <c r="F141" s="314"/>
      <c r="G141" s="314"/>
    </row>
    <row r="142" spans="1:7" s="3" customFormat="1" ht="26.25" customHeight="1" x14ac:dyDescent="0.25">
      <c r="A142" s="310"/>
      <c r="B142" s="312"/>
      <c r="C142" s="290"/>
      <c r="D142" s="290"/>
      <c r="E142" s="290"/>
      <c r="F142" s="314"/>
      <c r="G142" s="314"/>
    </row>
    <row r="143" spans="1:7" s="3" customFormat="1" ht="26.25" customHeight="1" x14ac:dyDescent="0.25">
      <c r="A143" s="310"/>
      <c r="B143" s="312"/>
      <c r="C143" s="290"/>
      <c r="D143" s="290"/>
      <c r="E143" s="290"/>
      <c r="F143" s="314"/>
      <c r="G143" s="314"/>
    </row>
    <row r="144" spans="1:7" s="3" customFormat="1" ht="26.25" customHeight="1" x14ac:dyDescent="0.25">
      <c r="A144" s="310"/>
      <c r="B144" s="312"/>
      <c r="C144" s="290"/>
      <c r="D144" s="290"/>
      <c r="E144" s="290"/>
      <c r="F144" s="314"/>
      <c r="G144" s="314"/>
    </row>
    <row r="145" spans="1:7" s="3" customFormat="1" ht="26.25" customHeight="1" x14ac:dyDescent="0.25">
      <c r="A145" s="310"/>
      <c r="B145" s="312"/>
      <c r="C145" s="290"/>
      <c r="D145" s="290"/>
      <c r="E145" s="290"/>
      <c r="F145" s="314"/>
      <c r="G145" s="314"/>
    </row>
    <row r="146" spans="1:7" s="3" customFormat="1" ht="26.25" customHeight="1" x14ac:dyDescent="0.25">
      <c r="A146" s="310"/>
      <c r="B146" s="312"/>
      <c r="C146" s="290"/>
      <c r="D146" s="290"/>
      <c r="E146" s="290"/>
      <c r="F146" s="314"/>
      <c r="G146" s="314"/>
    </row>
    <row r="147" spans="1:7" s="3" customFormat="1" ht="26.25" customHeight="1" x14ac:dyDescent="0.25">
      <c r="A147" s="310"/>
      <c r="B147" s="312"/>
      <c r="C147" s="290"/>
      <c r="D147" s="290"/>
      <c r="E147" s="290"/>
      <c r="F147" s="314"/>
      <c r="G147" s="314"/>
    </row>
    <row r="148" spans="1:7" s="3" customFormat="1" ht="26.25" customHeight="1" x14ac:dyDescent="0.25">
      <c r="A148" s="310"/>
      <c r="B148" s="312"/>
      <c r="C148" s="290"/>
      <c r="D148" s="290"/>
      <c r="E148" s="290"/>
      <c r="F148" s="314"/>
      <c r="G148" s="314"/>
    </row>
    <row r="149" spans="1:7" s="3" customFormat="1" ht="26.25" customHeight="1" x14ac:dyDescent="0.25">
      <c r="A149" s="310"/>
      <c r="B149" s="312"/>
      <c r="C149" s="290"/>
      <c r="D149" s="290"/>
      <c r="E149" s="290"/>
      <c r="F149" s="314"/>
      <c r="G149" s="314"/>
    </row>
    <row r="150" spans="1:7" s="3" customFormat="1" ht="26.25" customHeight="1" x14ac:dyDescent="0.25">
      <c r="A150" s="310"/>
      <c r="B150" s="312"/>
      <c r="C150" s="290"/>
      <c r="D150" s="290"/>
      <c r="E150" s="290"/>
      <c r="F150" s="314"/>
      <c r="G150" s="314"/>
    </row>
    <row r="151" spans="1:7" s="3" customFormat="1" ht="26.25" customHeight="1" x14ac:dyDescent="0.25">
      <c r="A151" s="310"/>
      <c r="B151" s="312"/>
      <c r="C151" s="290"/>
      <c r="D151" s="290"/>
      <c r="E151" s="290"/>
      <c r="F151" s="314"/>
      <c r="G151" s="314"/>
    </row>
    <row r="152" spans="1:7" s="3" customFormat="1" ht="26.25" customHeight="1" x14ac:dyDescent="0.25">
      <c r="A152" s="310"/>
      <c r="B152" s="312"/>
      <c r="C152" s="290"/>
      <c r="D152" s="290"/>
      <c r="E152" s="290"/>
      <c r="F152" s="314"/>
      <c r="G152" s="314"/>
    </row>
    <row r="153" spans="1:7" s="3" customFormat="1" ht="26.25" customHeight="1" x14ac:dyDescent="0.25">
      <c r="A153" s="310"/>
      <c r="B153" s="312"/>
      <c r="C153" s="290"/>
      <c r="D153" s="290"/>
      <c r="E153" s="290"/>
      <c r="F153" s="314"/>
      <c r="G153" s="314"/>
    </row>
    <row r="154" spans="1:7" s="3" customFormat="1" ht="26.25" customHeight="1" x14ac:dyDescent="0.25">
      <c r="A154" s="310"/>
      <c r="B154" s="312"/>
      <c r="C154" s="290"/>
      <c r="D154" s="290"/>
      <c r="E154" s="290"/>
      <c r="F154" s="314"/>
      <c r="G154" s="314"/>
    </row>
    <row r="155" spans="1:7" s="3" customFormat="1" ht="26.25" customHeight="1" x14ac:dyDescent="0.25">
      <c r="A155" s="310"/>
      <c r="B155" s="312"/>
      <c r="C155" s="290"/>
      <c r="D155" s="290"/>
      <c r="E155" s="290"/>
      <c r="F155" s="314"/>
      <c r="G155" s="314"/>
    </row>
    <row r="156" spans="1:7" s="3" customFormat="1" ht="26.25" customHeight="1" x14ac:dyDescent="0.25">
      <c r="A156" s="310"/>
      <c r="B156" s="312"/>
      <c r="C156" s="290"/>
      <c r="D156" s="290"/>
      <c r="E156" s="290"/>
      <c r="F156" s="314"/>
      <c r="G156" s="314"/>
    </row>
    <row r="157" spans="1:7" s="3" customFormat="1" ht="26.25" customHeight="1" x14ac:dyDescent="0.25">
      <c r="A157" s="310"/>
      <c r="B157" s="312"/>
      <c r="C157" s="290"/>
      <c r="D157" s="290"/>
      <c r="E157" s="290"/>
      <c r="F157" s="314"/>
      <c r="G157" s="314"/>
    </row>
    <row r="158" spans="1:7" s="3" customFormat="1" ht="26.25" customHeight="1" x14ac:dyDescent="0.25">
      <c r="A158" s="310"/>
      <c r="B158" s="312"/>
      <c r="C158" s="290"/>
      <c r="D158" s="290"/>
      <c r="E158" s="290"/>
      <c r="F158" s="314"/>
      <c r="G158" s="314"/>
    </row>
    <row r="159" spans="1:7" s="3" customFormat="1" ht="26.25" customHeight="1" x14ac:dyDescent="0.25">
      <c r="A159" s="310"/>
      <c r="B159" s="312"/>
      <c r="C159" s="290"/>
      <c r="D159" s="290"/>
      <c r="E159" s="290"/>
      <c r="F159" s="314"/>
      <c r="G159" s="314"/>
    </row>
    <row r="160" spans="1:7" s="3" customFormat="1" ht="26.25" customHeight="1" x14ac:dyDescent="0.25">
      <c r="A160" s="310"/>
      <c r="B160" s="312"/>
      <c r="C160" s="290"/>
      <c r="D160" s="290"/>
      <c r="E160" s="290"/>
      <c r="F160" s="314"/>
      <c r="G160" s="314"/>
    </row>
    <row r="161" spans="1:7" s="3" customFormat="1" ht="26.25" customHeight="1" x14ac:dyDescent="0.25">
      <c r="A161" s="310"/>
      <c r="B161" s="312"/>
      <c r="C161" s="290"/>
      <c r="D161" s="290"/>
      <c r="E161" s="290"/>
      <c r="F161" s="314"/>
      <c r="G161" s="314"/>
    </row>
    <row r="162" spans="1:7" s="3" customFormat="1" ht="26.25" customHeight="1" x14ac:dyDescent="0.25">
      <c r="A162" s="310"/>
      <c r="B162" s="312"/>
      <c r="C162" s="290"/>
      <c r="D162" s="290"/>
      <c r="E162" s="290"/>
      <c r="F162" s="314"/>
      <c r="G162" s="314"/>
    </row>
    <row r="163" spans="1:7" s="3" customFormat="1" ht="26.25" customHeight="1" x14ac:dyDescent="0.25">
      <c r="A163" s="310"/>
      <c r="B163" s="312"/>
      <c r="C163" s="290"/>
      <c r="D163" s="290"/>
      <c r="E163" s="290"/>
      <c r="F163" s="314"/>
      <c r="G163" s="314"/>
    </row>
    <row r="164" spans="1:7" s="3" customFormat="1" ht="26.25" customHeight="1" x14ac:dyDescent="0.25">
      <c r="A164" s="310"/>
      <c r="B164" s="312"/>
      <c r="C164" s="290"/>
      <c r="D164" s="290"/>
      <c r="E164" s="290"/>
      <c r="F164" s="314"/>
      <c r="G164" s="314"/>
    </row>
    <row r="165" spans="1:7" s="3" customFormat="1" ht="26.25" customHeight="1" x14ac:dyDescent="0.25">
      <c r="A165" s="310"/>
      <c r="B165" s="312"/>
      <c r="C165" s="290"/>
      <c r="D165" s="290"/>
      <c r="E165" s="290"/>
      <c r="F165" s="314"/>
      <c r="G165" s="314"/>
    </row>
    <row r="166" spans="1:7" s="3" customFormat="1" ht="26.25" customHeight="1" x14ac:dyDescent="0.25">
      <c r="A166" s="310"/>
      <c r="B166" s="312"/>
      <c r="C166" s="290"/>
      <c r="D166" s="290"/>
      <c r="E166" s="290"/>
      <c r="F166" s="314"/>
      <c r="G166" s="314"/>
    </row>
    <row r="167" spans="1:7" s="3" customFormat="1" ht="26.25" customHeight="1" x14ac:dyDescent="0.25">
      <c r="A167" s="310"/>
      <c r="B167" s="312"/>
      <c r="C167" s="290"/>
      <c r="D167" s="290"/>
      <c r="E167" s="290"/>
      <c r="F167" s="314"/>
      <c r="G167" s="314"/>
    </row>
    <row r="168" spans="1:7" s="3" customFormat="1" ht="26.25" customHeight="1" x14ac:dyDescent="0.25">
      <c r="A168" s="310"/>
      <c r="B168" s="312"/>
      <c r="C168" s="290"/>
      <c r="D168" s="290"/>
      <c r="E168" s="290"/>
      <c r="F168" s="314"/>
      <c r="G168" s="314"/>
    </row>
    <row r="169" spans="1:7" s="3" customFormat="1" ht="26.25" customHeight="1" x14ac:dyDescent="0.25">
      <c r="A169" s="310"/>
      <c r="B169" s="312"/>
      <c r="C169" s="290"/>
      <c r="D169" s="290"/>
      <c r="E169" s="290"/>
      <c r="F169" s="314"/>
      <c r="G169" s="314"/>
    </row>
    <row r="170" spans="1:7" s="3" customFormat="1" ht="26.25" customHeight="1" x14ac:dyDescent="0.25">
      <c r="A170" s="310"/>
      <c r="B170" s="312"/>
      <c r="C170" s="290"/>
      <c r="D170" s="290"/>
      <c r="E170" s="290"/>
      <c r="F170" s="314"/>
      <c r="G170" s="314"/>
    </row>
    <row r="171" spans="1:7" s="3" customFormat="1" ht="26.25" customHeight="1" x14ac:dyDescent="0.25">
      <c r="A171" s="310"/>
      <c r="B171" s="312"/>
      <c r="C171" s="290"/>
      <c r="D171" s="290"/>
      <c r="E171" s="290"/>
      <c r="F171" s="314"/>
      <c r="G171" s="314"/>
    </row>
    <row r="172" spans="1:7" s="3" customFormat="1" ht="26.25" customHeight="1" x14ac:dyDescent="0.25">
      <c r="A172" s="310"/>
      <c r="B172" s="312"/>
      <c r="C172" s="290"/>
      <c r="D172" s="290"/>
      <c r="E172" s="290"/>
      <c r="F172" s="314"/>
      <c r="G172" s="314"/>
    </row>
    <row r="173" spans="1:7" s="3" customFormat="1" ht="26.25" customHeight="1" x14ac:dyDescent="0.25">
      <c r="A173" s="310"/>
      <c r="B173" s="312"/>
      <c r="C173" s="290"/>
      <c r="D173" s="290"/>
      <c r="E173" s="290"/>
      <c r="F173" s="314"/>
      <c r="G173" s="314"/>
    </row>
    <row r="174" spans="1:7" s="3" customFormat="1" ht="26.25" customHeight="1" x14ac:dyDescent="0.25">
      <c r="A174" s="310"/>
      <c r="B174" s="312"/>
      <c r="C174" s="290"/>
      <c r="D174" s="290"/>
      <c r="E174" s="290"/>
      <c r="F174" s="314"/>
      <c r="G174" s="314"/>
    </row>
    <row r="175" spans="1:7" s="3" customFormat="1" ht="26.25" customHeight="1" x14ac:dyDescent="0.25">
      <c r="A175" s="310"/>
      <c r="B175" s="312"/>
      <c r="C175" s="290"/>
      <c r="D175" s="290"/>
      <c r="E175" s="290"/>
      <c r="F175" s="314"/>
      <c r="G175" s="314"/>
    </row>
    <row r="176" spans="1:7" s="3" customFormat="1" ht="26.25" customHeight="1" x14ac:dyDescent="0.25">
      <c r="A176" s="310"/>
      <c r="B176" s="312"/>
      <c r="C176" s="290"/>
      <c r="D176" s="290"/>
      <c r="E176" s="290"/>
      <c r="F176" s="314"/>
      <c r="G176" s="314"/>
    </row>
    <row r="177" spans="1:7" s="3" customFormat="1" ht="26.25" customHeight="1" x14ac:dyDescent="0.25">
      <c r="A177" s="310"/>
      <c r="B177" s="312"/>
      <c r="C177" s="290"/>
      <c r="D177" s="290"/>
      <c r="E177" s="290"/>
      <c r="F177" s="314"/>
      <c r="G177" s="314"/>
    </row>
    <row r="178" spans="1:7" s="3" customFormat="1" ht="26.25" customHeight="1" x14ac:dyDescent="0.25">
      <c r="A178" s="310"/>
      <c r="B178" s="312"/>
      <c r="C178" s="290"/>
      <c r="D178" s="290"/>
      <c r="E178" s="290"/>
      <c r="F178" s="314"/>
      <c r="G178" s="314"/>
    </row>
    <row r="179" spans="1:7" s="3" customFormat="1" ht="26.25" customHeight="1" x14ac:dyDescent="0.25">
      <c r="A179" s="310"/>
      <c r="B179" s="312"/>
      <c r="C179" s="290"/>
      <c r="D179" s="290"/>
      <c r="E179" s="290"/>
      <c r="F179" s="314"/>
      <c r="G179" s="314"/>
    </row>
    <row r="180" spans="1:7" s="3" customFormat="1" ht="26.25" customHeight="1" x14ac:dyDescent="0.25">
      <c r="A180" s="310"/>
      <c r="B180" s="312"/>
      <c r="C180" s="290"/>
      <c r="D180" s="290"/>
      <c r="E180" s="290"/>
      <c r="F180" s="314"/>
      <c r="G180" s="314"/>
    </row>
    <row r="181" spans="1:7" s="3" customFormat="1" ht="26.25" customHeight="1" x14ac:dyDescent="0.25">
      <c r="A181" s="310"/>
      <c r="B181" s="312"/>
      <c r="C181" s="290"/>
      <c r="D181" s="290"/>
      <c r="E181" s="290"/>
      <c r="F181" s="314"/>
      <c r="G181" s="314"/>
    </row>
    <row r="182" spans="1:7" s="3" customFormat="1" ht="26.25" customHeight="1" x14ac:dyDescent="0.25">
      <c r="A182" s="310"/>
      <c r="B182" s="312"/>
      <c r="C182" s="290"/>
      <c r="D182" s="290"/>
      <c r="E182" s="290"/>
      <c r="F182" s="314"/>
      <c r="G182" s="314"/>
    </row>
  </sheetData>
  <pageMargins left="0.7" right="0.7" top="0.75" bottom="0.75" header="0.3" footer="0.3"/>
  <pageSetup paperSize="9" scale="70" orientation="portrait" r:id="rId1"/>
  <rowBreaks count="1" manualBreakCount="1">
    <brk id="59" max="5" man="1"/>
  </rowBreaks>
  <colBreaks count="1" manualBreakCount="1">
    <brk id="3" max="10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opLeftCell="A74" zoomScaleNormal="100" workbookViewId="0">
      <selection activeCell="A108" sqref="A108:C114"/>
    </sheetView>
  </sheetViews>
  <sheetFormatPr defaultRowHeight="26.25" customHeight="1" x14ac:dyDescent="0.25"/>
  <cols>
    <col min="1" max="1" width="96.28515625" style="310" customWidth="1"/>
    <col min="2" max="2" width="13" style="312" customWidth="1"/>
    <col min="3" max="3" width="14.28515625" style="290" customWidth="1"/>
    <col min="4" max="4" width="11.85546875" style="187" hidden="1" customWidth="1"/>
    <col min="5" max="5" width="10.7109375" style="187" hidden="1" customWidth="1"/>
    <col min="6" max="7" width="12.42578125" style="188" hidden="1" customWidth="1"/>
    <col min="10" max="10" width="9.5703125" bestFit="1" customWidth="1"/>
  </cols>
  <sheetData>
    <row r="1" spans="1:11" ht="26.25" customHeight="1" x14ac:dyDescent="0.3">
      <c r="A1" s="289" t="s">
        <v>101</v>
      </c>
      <c r="B1" s="227" t="s">
        <v>57</v>
      </c>
      <c r="C1" s="337" t="s">
        <v>153</v>
      </c>
    </row>
    <row r="2" spans="1:11" ht="26.25" customHeight="1" x14ac:dyDescent="0.25">
      <c r="A2" s="291" t="s">
        <v>3</v>
      </c>
      <c r="B2" s="260" t="s">
        <v>34</v>
      </c>
      <c r="C2" s="291" t="s">
        <v>152</v>
      </c>
      <c r="D2" s="189"/>
      <c r="E2" s="189"/>
      <c r="F2" s="190" t="s">
        <v>102</v>
      </c>
    </row>
    <row r="3" spans="1:11" s="324" customFormat="1" ht="26.25" customHeight="1" x14ac:dyDescent="0.25">
      <c r="A3" s="331" t="s">
        <v>133</v>
      </c>
      <c r="B3" s="332">
        <f>B5+B6+B4</f>
        <v>30385.9</v>
      </c>
      <c r="C3" s="332">
        <f>C5+C6+C4</f>
        <v>27993.5</v>
      </c>
      <c r="D3" s="254">
        <v>19621.900000000001</v>
      </c>
      <c r="E3" s="191">
        <f>D3-C3</f>
        <v>-8371.5999999999985</v>
      </c>
      <c r="F3" s="322" t="s">
        <v>103</v>
      </c>
      <c r="G3" s="323"/>
      <c r="H3" s="324">
        <v>30385.9</v>
      </c>
      <c r="I3" s="324">
        <v>27993.5</v>
      </c>
      <c r="J3" s="63">
        <f>H3-B3</f>
        <v>0</v>
      </c>
      <c r="K3" s="63">
        <f>I3-C3</f>
        <v>0</v>
      </c>
    </row>
    <row r="4" spans="1:11" ht="14.25" customHeight="1" x14ac:dyDescent="0.25">
      <c r="A4" s="292" t="s">
        <v>155</v>
      </c>
      <c r="B4" s="260">
        <f>B13</f>
        <v>2858.6</v>
      </c>
      <c r="C4" s="260">
        <f>C13</f>
        <v>2858.6</v>
      </c>
      <c r="D4" s="254"/>
      <c r="E4" s="191"/>
      <c r="F4" s="192"/>
    </row>
    <row r="5" spans="1:11" ht="14.25" customHeight="1" x14ac:dyDescent="0.25">
      <c r="A5" s="292" t="s">
        <v>1</v>
      </c>
      <c r="B5" s="260">
        <f>B12+B18</f>
        <v>4826.9000000000005</v>
      </c>
      <c r="C5" s="260">
        <f>C12+C18</f>
        <v>4826.9000000000005</v>
      </c>
      <c r="D5" s="193"/>
      <c r="E5" s="193"/>
      <c r="F5" s="194">
        <f>G5-B5</f>
        <v>14203.099999999999</v>
      </c>
      <c r="G5" s="194">
        <v>19030</v>
      </c>
    </row>
    <row r="6" spans="1:11" ht="14.25" customHeight="1" x14ac:dyDescent="0.25">
      <c r="A6" s="292" t="s">
        <v>2</v>
      </c>
      <c r="B6" s="260">
        <f>B8+B10+B16+B19+B14</f>
        <v>22700.400000000001</v>
      </c>
      <c r="C6" s="260">
        <f>C8+C10+C16+C19+C14</f>
        <v>20308</v>
      </c>
      <c r="D6" s="193"/>
      <c r="E6" s="193"/>
      <c r="F6" s="194">
        <f>G6-B6</f>
        <v>-13269.340000000002</v>
      </c>
      <c r="G6" s="194">
        <v>9431.06</v>
      </c>
    </row>
    <row r="7" spans="1:11" ht="26.25" customHeight="1" x14ac:dyDescent="0.25">
      <c r="A7" s="293" t="s">
        <v>134</v>
      </c>
      <c r="B7" s="260">
        <f>SUM(B8)</f>
        <v>508.5</v>
      </c>
      <c r="C7" s="260">
        <f t="shared" ref="C7" si="0">SUM(C8)</f>
        <v>507.9</v>
      </c>
      <c r="D7" s="195">
        <f>B7+B9+B11+B15+B17</f>
        <v>30385.899999999998</v>
      </c>
      <c r="E7" s="196"/>
    </row>
    <row r="8" spans="1:11" ht="13.5" customHeight="1" x14ac:dyDescent="0.25">
      <c r="A8" s="293" t="s">
        <v>4</v>
      </c>
      <c r="B8" s="294">
        <v>508.5</v>
      </c>
      <c r="C8" s="295">
        <v>507.9</v>
      </c>
      <c r="D8" s="198"/>
      <c r="E8" s="198"/>
    </row>
    <row r="9" spans="1:11" ht="26.25" customHeight="1" x14ac:dyDescent="0.25">
      <c r="A9" s="296" t="s">
        <v>127</v>
      </c>
      <c r="B9" s="260">
        <f t="shared" ref="B9:C9" si="1">SUM(B10)</f>
        <v>52</v>
      </c>
      <c r="C9" s="260">
        <f t="shared" si="1"/>
        <v>52</v>
      </c>
      <c r="D9" s="196"/>
      <c r="E9" s="196"/>
    </row>
    <row r="10" spans="1:11" ht="17.25" customHeight="1" x14ac:dyDescent="0.25">
      <c r="A10" s="297" t="s">
        <v>7</v>
      </c>
      <c r="B10" s="260">
        <v>52</v>
      </c>
      <c r="C10" s="295">
        <v>52</v>
      </c>
      <c r="D10" s="198"/>
      <c r="E10" s="198"/>
    </row>
    <row r="11" spans="1:11" ht="26.25" customHeight="1" x14ac:dyDescent="0.25">
      <c r="A11" s="296" t="s">
        <v>128</v>
      </c>
      <c r="B11" s="260">
        <f>B12+B13+B14</f>
        <v>24073.699999999997</v>
      </c>
      <c r="C11" s="260">
        <f>C12+C13+C14</f>
        <v>21696.5</v>
      </c>
      <c r="D11" s="196"/>
      <c r="E11" s="196"/>
      <c r="H11">
        <v>24073.7</v>
      </c>
      <c r="I11">
        <v>21696.5</v>
      </c>
      <c r="J11" s="63">
        <f>H11-B11</f>
        <v>0</v>
      </c>
      <c r="K11" s="63">
        <f>I11-C11</f>
        <v>0</v>
      </c>
    </row>
    <row r="12" spans="1:11" ht="15.75" customHeight="1" x14ac:dyDescent="0.25">
      <c r="A12" s="40" t="s">
        <v>6</v>
      </c>
      <c r="B12" s="260">
        <f>4782.8</f>
        <v>4782.8</v>
      </c>
      <c r="C12" s="295">
        <f>4782.8</f>
        <v>4782.8</v>
      </c>
      <c r="D12" s="198"/>
      <c r="E12" s="198"/>
    </row>
    <row r="13" spans="1:11" ht="15.75" customHeight="1" x14ac:dyDescent="0.25">
      <c r="A13" s="40" t="s">
        <v>49</v>
      </c>
      <c r="B13" s="260">
        <v>2858.6</v>
      </c>
      <c r="C13" s="295">
        <v>2858.6</v>
      </c>
      <c r="D13" s="198"/>
      <c r="E13" s="198"/>
    </row>
    <row r="14" spans="1:11" ht="15.75" customHeight="1" x14ac:dyDescent="0.25">
      <c r="A14" s="40" t="s">
        <v>154</v>
      </c>
      <c r="B14" s="260">
        <f>8343.1+8089.2</f>
        <v>16432.3</v>
      </c>
      <c r="C14" s="295">
        <f>5965.9+8089.2</f>
        <v>14055.099999999999</v>
      </c>
      <c r="D14" s="198"/>
      <c r="E14" s="198"/>
    </row>
    <row r="15" spans="1:11" ht="24" customHeight="1" x14ac:dyDescent="0.25">
      <c r="A15" s="296" t="s">
        <v>129</v>
      </c>
      <c r="B15" s="260">
        <f t="shared" ref="B15:C15" si="2">SUM(B16)</f>
        <v>300</v>
      </c>
      <c r="C15" s="260">
        <f t="shared" si="2"/>
        <v>300</v>
      </c>
      <c r="D15" s="196"/>
      <c r="E15" s="196"/>
    </row>
    <row r="16" spans="1:11" ht="18" customHeight="1" x14ac:dyDescent="0.25">
      <c r="A16" s="297" t="s">
        <v>7</v>
      </c>
      <c r="B16" s="260">
        <v>300</v>
      </c>
      <c r="C16" s="291">
        <v>300</v>
      </c>
      <c r="D16" s="199"/>
      <c r="E16" s="199"/>
    </row>
    <row r="17" spans="1:11" ht="29.25" customHeight="1" x14ac:dyDescent="0.25">
      <c r="A17" s="296" t="s">
        <v>130</v>
      </c>
      <c r="B17" s="260">
        <f>SUM(B18:B19)</f>
        <v>5451.7000000000007</v>
      </c>
      <c r="C17" s="260">
        <f>SUM(C18:C19)</f>
        <v>5437.1</v>
      </c>
      <c r="D17" s="196"/>
      <c r="E17" s="196"/>
      <c r="H17">
        <v>5451.7</v>
      </c>
      <c r="I17">
        <v>5437.1</v>
      </c>
      <c r="J17" s="63">
        <f>H17-B17</f>
        <v>0</v>
      </c>
      <c r="K17" s="63">
        <f>I17-C17</f>
        <v>0</v>
      </c>
    </row>
    <row r="18" spans="1:11" ht="19.5" customHeight="1" x14ac:dyDescent="0.25">
      <c r="A18" s="40" t="s">
        <v>6</v>
      </c>
      <c r="B18" s="260">
        <f>14.4+29.7</f>
        <v>44.1</v>
      </c>
      <c r="C18" s="260">
        <f>14.4+29.7</f>
        <v>44.1</v>
      </c>
      <c r="D18" s="196"/>
      <c r="E18" s="196"/>
    </row>
    <row r="19" spans="1:11" ht="19.5" customHeight="1" x14ac:dyDescent="0.25">
      <c r="A19" s="297" t="s">
        <v>7</v>
      </c>
      <c r="B19" s="260">
        <f>4311.6+214.5+881.5</f>
        <v>5407.6</v>
      </c>
      <c r="C19" s="291">
        <f>4311.6+199.9+881.5</f>
        <v>5393</v>
      </c>
      <c r="D19" s="199"/>
      <c r="E19" s="199"/>
    </row>
    <row r="20" spans="1:11" s="324" customFormat="1" ht="31.5" customHeight="1" x14ac:dyDescent="0.25">
      <c r="A20" s="331" t="s">
        <v>144</v>
      </c>
      <c r="B20" s="332">
        <f>SUM(B21:B24)</f>
        <v>52401.799999999996</v>
      </c>
      <c r="C20" s="332">
        <f>SUM(C21:C24)</f>
        <v>52126</v>
      </c>
      <c r="D20" s="111">
        <v>35739.599999999999</v>
      </c>
      <c r="E20" s="200">
        <f>D20-C20</f>
        <v>-16386.400000000001</v>
      </c>
      <c r="F20" s="322" t="s">
        <v>92</v>
      </c>
      <c r="G20" s="323">
        <f>G22+G23+G24</f>
        <v>47987.600000000006</v>
      </c>
      <c r="H20" s="324">
        <v>52401.8</v>
      </c>
      <c r="I20" s="324">
        <v>52126</v>
      </c>
      <c r="J20" s="63">
        <f>H20-B20</f>
        <v>0</v>
      </c>
      <c r="K20" s="63">
        <f>I20-C20</f>
        <v>0</v>
      </c>
    </row>
    <row r="21" spans="1:11" s="324" customFormat="1" ht="14.25" customHeight="1" x14ac:dyDescent="0.25">
      <c r="A21" s="331" t="s">
        <v>161</v>
      </c>
      <c r="B21" s="332">
        <f>B34</f>
        <v>292.7</v>
      </c>
      <c r="C21" s="332">
        <f>C34</f>
        <v>292.7</v>
      </c>
      <c r="D21" s="111"/>
      <c r="E21" s="200"/>
      <c r="F21" s="322"/>
      <c r="G21" s="323"/>
      <c r="J21" s="63"/>
      <c r="K21" s="63"/>
    </row>
    <row r="22" spans="1:11" ht="16.5" customHeight="1" x14ac:dyDescent="0.25">
      <c r="A22" s="298" t="s">
        <v>8</v>
      </c>
      <c r="B22" s="260">
        <f t="shared" ref="B22:C24" si="3">B26+B30+B35</f>
        <v>8610.2999999999993</v>
      </c>
      <c r="C22" s="260">
        <f t="shared" si="3"/>
        <v>8373.5</v>
      </c>
      <c r="D22" s="122"/>
      <c r="E22" s="122"/>
      <c r="F22" s="194">
        <f>G22-B22</f>
        <v>-6038.9</v>
      </c>
      <c r="G22" s="188">
        <v>2571.4</v>
      </c>
    </row>
    <row r="23" spans="1:11" ht="18" customHeight="1" x14ac:dyDescent="0.25">
      <c r="A23" s="298" t="s">
        <v>10</v>
      </c>
      <c r="B23" s="260">
        <f t="shared" si="3"/>
        <v>43498.799999999996</v>
      </c>
      <c r="C23" s="260">
        <f t="shared" si="3"/>
        <v>43459.799999999996</v>
      </c>
      <c r="D23" s="125">
        <f>B25+B29+B33</f>
        <v>52401.799999999988</v>
      </c>
      <c r="E23" s="122"/>
      <c r="F23" s="194">
        <f>G23-B23</f>
        <v>860.60000000000582</v>
      </c>
      <c r="G23" s="188">
        <v>44359.4</v>
      </c>
    </row>
    <row r="24" spans="1:11" ht="0.75" customHeight="1" x14ac:dyDescent="0.25">
      <c r="A24" s="298" t="s">
        <v>11</v>
      </c>
      <c r="B24" s="260">
        <f t="shared" si="3"/>
        <v>0</v>
      </c>
      <c r="C24" s="260">
        <f t="shared" si="3"/>
        <v>0</v>
      </c>
      <c r="D24" s="122"/>
      <c r="E24" s="122"/>
      <c r="F24" s="194">
        <f>G24-B24</f>
        <v>1056.8</v>
      </c>
      <c r="G24" s="188">
        <v>1056.8</v>
      </c>
    </row>
    <row r="25" spans="1:11" ht="26.25" customHeight="1" x14ac:dyDescent="0.25">
      <c r="A25" s="299" t="s">
        <v>145</v>
      </c>
      <c r="B25" s="260">
        <f>SUM(B26:B28)</f>
        <v>0</v>
      </c>
      <c r="C25" s="260">
        <f>SUM(C26:C28)</f>
        <v>0</v>
      </c>
      <c r="D25" s="201"/>
      <c r="E25" s="201"/>
    </row>
    <row r="26" spans="1:11" ht="16.5" hidden="1" customHeight="1" x14ac:dyDescent="0.25">
      <c r="A26" s="40" t="s">
        <v>8</v>
      </c>
      <c r="B26" s="260"/>
      <c r="C26" s="295"/>
      <c r="D26" s="198"/>
      <c r="E26" s="198"/>
    </row>
    <row r="27" spans="1:11" ht="17.25" hidden="1" customHeight="1" x14ac:dyDescent="0.25">
      <c r="A27" s="40" t="s">
        <v>10</v>
      </c>
      <c r="B27" s="260"/>
      <c r="C27" s="295"/>
      <c r="D27" s="198"/>
      <c r="E27" s="198"/>
    </row>
    <row r="28" spans="1:11" ht="15" hidden="1" customHeight="1" x14ac:dyDescent="0.25">
      <c r="A28" s="40" t="s">
        <v>11</v>
      </c>
      <c r="B28" s="260"/>
      <c r="C28" s="295"/>
      <c r="D28" s="198"/>
      <c r="E28" s="198"/>
    </row>
    <row r="29" spans="1:11" ht="19.5" customHeight="1" x14ac:dyDescent="0.25">
      <c r="A29" s="299" t="s">
        <v>157</v>
      </c>
      <c r="B29" s="260">
        <f>SUM(B30:B32)</f>
        <v>12265.8</v>
      </c>
      <c r="C29" s="260">
        <f>SUM(C30:C32)</f>
        <v>12226.8</v>
      </c>
      <c r="D29" s="201"/>
      <c r="E29" s="201"/>
      <c r="H29">
        <v>12265.8</v>
      </c>
      <c r="I29">
        <v>12226.8</v>
      </c>
      <c r="J29" s="63">
        <f>H29-B29</f>
        <v>0</v>
      </c>
      <c r="K29" s="63">
        <f>I29-C29</f>
        <v>0</v>
      </c>
    </row>
    <row r="30" spans="1:11" ht="15" customHeight="1" x14ac:dyDescent="0.25">
      <c r="A30" s="40" t="s">
        <v>8</v>
      </c>
      <c r="B30" s="260">
        <f>1136.5</f>
        <v>1136.5</v>
      </c>
      <c r="C30" s="295">
        <f>1136.5</f>
        <v>1136.5</v>
      </c>
      <c r="D30" s="198"/>
      <c r="E30" s="198"/>
    </row>
    <row r="31" spans="1:11" ht="15" customHeight="1" x14ac:dyDescent="0.25">
      <c r="A31" s="40" t="s">
        <v>10</v>
      </c>
      <c r="B31" s="260">
        <f>8811.8+2317.5</f>
        <v>11129.3</v>
      </c>
      <c r="C31" s="295">
        <f>8811.8+2278.5</f>
        <v>11090.3</v>
      </c>
      <c r="D31" s="198"/>
      <c r="E31" s="198"/>
    </row>
    <row r="32" spans="1:11" ht="15" hidden="1" customHeight="1" x14ac:dyDescent="0.25">
      <c r="A32" s="40" t="s">
        <v>11</v>
      </c>
      <c r="B32" s="260">
        <v>0</v>
      </c>
      <c r="C32" s="295"/>
      <c r="D32" s="198"/>
      <c r="E32" s="198"/>
    </row>
    <row r="33" spans="1:11" ht="36" customHeight="1" x14ac:dyDescent="0.25">
      <c r="A33" s="299" t="s">
        <v>156</v>
      </c>
      <c r="B33" s="260">
        <f>SUM(B34:B37)</f>
        <v>40135.999999999993</v>
      </c>
      <c r="C33" s="260">
        <f t="shared" ref="C33:G33" si="4">SUM(C34:C37)</f>
        <v>39899.199999999997</v>
      </c>
      <c r="D33" s="265">
        <f t="shared" si="4"/>
        <v>0</v>
      </c>
      <c r="E33" s="265">
        <f t="shared" si="4"/>
        <v>0</v>
      </c>
      <c r="F33" s="265">
        <f t="shared" si="4"/>
        <v>0</v>
      </c>
      <c r="G33" s="265">
        <f t="shared" si="4"/>
        <v>0</v>
      </c>
      <c r="H33">
        <v>40136</v>
      </c>
      <c r="I33">
        <v>39899.199999999997</v>
      </c>
      <c r="J33" s="63">
        <f>H33-B33</f>
        <v>0</v>
      </c>
      <c r="K33" s="63">
        <f>I33-C33</f>
        <v>0</v>
      </c>
    </row>
    <row r="34" spans="1:11" ht="21.75" customHeight="1" x14ac:dyDescent="0.25">
      <c r="A34" s="331" t="s">
        <v>161</v>
      </c>
      <c r="B34" s="260">
        <f>224.9+67.8</f>
        <v>292.7</v>
      </c>
      <c r="C34" s="260">
        <f>224.9+67.8</f>
        <v>292.7</v>
      </c>
      <c r="D34" s="201"/>
      <c r="E34" s="201"/>
    </row>
    <row r="35" spans="1:11" ht="18.75" customHeight="1" x14ac:dyDescent="0.25">
      <c r="A35" s="40" t="s">
        <v>8</v>
      </c>
      <c r="B35" s="260">
        <f>100+1927.6+111.7+65+1679.8+100+2451.3+1038.4</f>
        <v>7473.7999999999993</v>
      </c>
      <c r="C35" s="295">
        <f>100+1827.5+104.7+65+1588.2+100+2413.2+1038.4</f>
        <v>7237</v>
      </c>
      <c r="D35" s="198"/>
      <c r="E35" s="198"/>
    </row>
    <row r="36" spans="1:11" ht="18.75" customHeight="1" x14ac:dyDescent="0.25">
      <c r="A36" s="40" t="s">
        <v>10</v>
      </c>
      <c r="B36" s="260">
        <f>11217.8+718.4+10082+10351.3</f>
        <v>32369.499999999996</v>
      </c>
      <c r="C36" s="295">
        <f>11217.8+718.4+10082+10351.3</f>
        <v>32369.499999999996</v>
      </c>
      <c r="D36" s="198"/>
      <c r="E36" s="198"/>
    </row>
    <row r="37" spans="1:11" ht="0.75" customHeight="1" x14ac:dyDescent="0.25">
      <c r="A37" s="40" t="s">
        <v>11</v>
      </c>
      <c r="B37" s="260"/>
      <c r="C37" s="295"/>
      <c r="D37" s="198"/>
      <c r="E37" s="198"/>
    </row>
    <row r="38" spans="1:11" s="324" customFormat="1" ht="18.75" customHeight="1" x14ac:dyDescent="0.25">
      <c r="A38" s="333" t="s">
        <v>135</v>
      </c>
      <c r="B38" s="332">
        <f xml:space="preserve"> SUM(B39:B42)</f>
        <v>716590.20000000007</v>
      </c>
      <c r="C38" s="332">
        <f xml:space="preserve"> SUM(C39:C42)</f>
        <v>710268.40000000014</v>
      </c>
      <c r="D38" s="114">
        <v>505930.5</v>
      </c>
      <c r="E38" s="125">
        <f>D38-C38</f>
        <v>-204337.90000000014</v>
      </c>
      <c r="F38" s="323" t="s">
        <v>93</v>
      </c>
      <c r="G38" s="325">
        <f>647740.1-B38</f>
        <v>-68850.100000000093</v>
      </c>
      <c r="H38" s="324">
        <v>716590.2</v>
      </c>
      <c r="I38" s="324">
        <v>710268.4</v>
      </c>
      <c r="J38" s="63">
        <f>H38-B38</f>
        <v>0</v>
      </c>
      <c r="K38" s="63">
        <f>I38-C38</f>
        <v>0</v>
      </c>
    </row>
    <row r="39" spans="1:11" ht="18.75" customHeight="1" x14ac:dyDescent="0.25">
      <c r="A39" s="298" t="s">
        <v>48</v>
      </c>
      <c r="B39" s="260">
        <f>B48</f>
        <v>38367.500000000007</v>
      </c>
      <c r="C39" s="260">
        <f>C48</f>
        <v>37140.200000000004</v>
      </c>
      <c r="D39" s="122"/>
      <c r="E39" s="122"/>
      <c r="F39" s="194">
        <f>G39-B39</f>
        <v>-36795.80000000001</v>
      </c>
      <c r="G39" s="188">
        <v>1571.7</v>
      </c>
    </row>
    <row r="40" spans="1:11" ht="18.75" customHeight="1" x14ac:dyDescent="0.25">
      <c r="A40" s="298" t="s">
        <v>8</v>
      </c>
      <c r="B40" s="260">
        <f>B44+B49+B53+B59+B67+B56</f>
        <v>446693.30000000005</v>
      </c>
      <c r="C40" s="260">
        <f>C44+C49+C53+C59+C67+C56</f>
        <v>445266.3000000001</v>
      </c>
      <c r="D40" s="202">
        <f>B39+B40+B41+B42</f>
        <v>716590.20000000007</v>
      </c>
      <c r="E40" s="202"/>
      <c r="F40" s="194">
        <f>G40-B40</f>
        <v>-101293.20000000007</v>
      </c>
      <c r="G40" s="188">
        <v>345400.1</v>
      </c>
    </row>
    <row r="41" spans="1:11" ht="18.75" customHeight="1" x14ac:dyDescent="0.25">
      <c r="A41" s="298" t="s">
        <v>9</v>
      </c>
      <c r="B41" s="260">
        <f>B45+B50+B54+B60+B63+B65+B68</f>
        <v>231529.4</v>
      </c>
      <c r="C41" s="260">
        <f>C45+C50+C54+C60+C63+C65+C68</f>
        <v>227861.9</v>
      </c>
      <c r="D41" s="202"/>
      <c r="E41" s="202"/>
      <c r="F41" s="194">
        <f>G41-B41</f>
        <v>25777</v>
      </c>
      <c r="G41" s="188">
        <v>257306.4</v>
      </c>
    </row>
    <row r="42" spans="1:11" ht="18.75" hidden="1" customHeight="1" x14ac:dyDescent="0.25">
      <c r="A42" s="298" t="s">
        <v>11</v>
      </c>
      <c r="B42" s="260">
        <f>B46+B51+B61+B69</f>
        <v>0</v>
      </c>
      <c r="C42" s="260">
        <f>C46+C51+C61+C69</f>
        <v>0</v>
      </c>
      <c r="D42" s="202"/>
      <c r="E42" s="202"/>
      <c r="F42" s="194">
        <f>G42-B42</f>
        <v>19650</v>
      </c>
      <c r="G42" s="188">
        <v>19650</v>
      </c>
    </row>
    <row r="43" spans="1:11" ht="27" customHeight="1" x14ac:dyDescent="0.25">
      <c r="A43" s="293" t="s">
        <v>136</v>
      </c>
      <c r="B43" s="260">
        <f>SUM(B44:B46)</f>
        <v>163346.5</v>
      </c>
      <c r="C43" s="260">
        <f>SUM(C44:C46)</f>
        <v>161565.6</v>
      </c>
      <c r="D43" s="203"/>
      <c r="E43" s="203"/>
      <c r="H43">
        <v>163346.5</v>
      </c>
      <c r="I43">
        <v>161565.6</v>
      </c>
      <c r="J43" s="63">
        <f>H43-B43</f>
        <v>0</v>
      </c>
      <c r="K43" s="63">
        <f>I43-C43</f>
        <v>0</v>
      </c>
    </row>
    <row r="44" spans="1:11" ht="18.75" customHeight="1" x14ac:dyDescent="0.25">
      <c r="A44" s="40" t="s">
        <v>8</v>
      </c>
      <c r="B44" s="260">
        <f>89362.7+7200+341.1+9282.7</f>
        <v>106186.5</v>
      </c>
      <c r="C44" s="295">
        <f>89362.7+7200+341.1+9282.7</f>
        <v>106186.5</v>
      </c>
      <c r="D44" s="198"/>
      <c r="E44" s="198"/>
    </row>
    <row r="45" spans="1:11" ht="18.75" customHeight="1" x14ac:dyDescent="0.25">
      <c r="A45" s="40" t="s">
        <v>10</v>
      </c>
      <c r="B45" s="260">
        <f>57160</f>
        <v>57160</v>
      </c>
      <c r="C45" s="295">
        <v>55379.1</v>
      </c>
      <c r="D45" s="198"/>
      <c r="E45" s="198"/>
    </row>
    <row r="46" spans="1:11" ht="0.75" customHeight="1" x14ac:dyDescent="0.25">
      <c r="A46" s="40" t="s">
        <v>11</v>
      </c>
      <c r="B46" s="260"/>
      <c r="C46" s="295"/>
      <c r="D46" s="198"/>
      <c r="E46" s="198"/>
    </row>
    <row r="47" spans="1:11" ht="27.75" customHeight="1" x14ac:dyDescent="0.25">
      <c r="A47" s="293" t="s">
        <v>137</v>
      </c>
      <c r="B47" s="260">
        <f>SUM(B48:B51)</f>
        <v>442291.7</v>
      </c>
      <c r="C47" s="260">
        <f>SUM(C48:C51)</f>
        <v>439467.80000000005</v>
      </c>
      <c r="D47" s="203"/>
      <c r="E47" s="203"/>
      <c r="H47">
        <v>442291.7</v>
      </c>
      <c r="I47">
        <v>439467.8</v>
      </c>
      <c r="J47" s="63">
        <f>H47-B47</f>
        <v>0</v>
      </c>
      <c r="K47" s="63">
        <f>I47-C47</f>
        <v>0</v>
      </c>
    </row>
    <row r="48" spans="1:11" ht="18.75" customHeight="1" x14ac:dyDescent="0.25">
      <c r="A48" s="293" t="s">
        <v>49</v>
      </c>
      <c r="B48" s="291">
        <f>10350.9+16417.9+9542.4+2056.3</f>
        <v>38367.500000000007</v>
      </c>
      <c r="C48" s="300">
        <f>9704.2+16417.9+8961.8+2056.3</f>
        <v>37140.200000000004</v>
      </c>
      <c r="D48" s="204"/>
      <c r="E48" s="204"/>
    </row>
    <row r="49" spans="1:11" ht="18.75" customHeight="1" x14ac:dyDescent="0.25">
      <c r="A49" s="40" t="s">
        <v>8</v>
      </c>
      <c r="B49" s="291">
        <f>1380.1+267782.2+2883.7+16393.7+7385.2</f>
        <v>295824.90000000002</v>
      </c>
      <c r="C49" s="295">
        <f>1293.2+267782.2+2883.7+16393.7+6985.2</f>
        <v>295338.00000000006</v>
      </c>
      <c r="D49" s="198"/>
      <c r="E49" s="198"/>
    </row>
    <row r="50" spans="1:11" ht="15.75" customHeight="1" x14ac:dyDescent="0.25">
      <c r="A50" s="40" t="s">
        <v>10</v>
      </c>
      <c r="B50" s="291">
        <f>108099.3</f>
        <v>108099.3</v>
      </c>
      <c r="C50" s="295">
        <f>106989.6</f>
        <v>106989.6</v>
      </c>
      <c r="D50" s="198"/>
      <c r="E50" s="198"/>
    </row>
    <row r="51" spans="1:11" ht="15.75" hidden="1" customHeight="1" x14ac:dyDescent="0.25">
      <c r="A51" s="40" t="s">
        <v>11</v>
      </c>
      <c r="B51" s="301"/>
      <c r="C51" s="295"/>
      <c r="D51" s="198"/>
      <c r="E51" s="198"/>
    </row>
    <row r="52" spans="1:11" ht="30.75" customHeight="1" x14ac:dyDescent="0.25">
      <c r="A52" s="293" t="s">
        <v>138</v>
      </c>
      <c r="B52" s="302">
        <f xml:space="preserve"> SUM(B53:B54)</f>
        <v>10646.900000000001</v>
      </c>
      <c r="C52" s="302">
        <f xml:space="preserve"> SUM(C53:C54)</f>
        <v>9808.4</v>
      </c>
      <c r="D52" s="205"/>
      <c r="E52" s="205"/>
      <c r="H52">
        <v>10646.9</v>
      </c>
      <c r="I52">
        <v>9808.4</v>
      </c>
      <c r="J52" s="63">
        <f>H52-B52</f>
        <v>0</v>
      </c>
      <c r="K52" s="63">
        <f>I52-C52</f>
        <v>0</v>
      </c>
    </row>
    <row r="53" spans="1:11" ht="15.75" customHeight="1" x14ac:dyDescent="0.25">
      <c r="A53" s="297" t="s">
        <v>12</v>
      </c>
      <c r="B53" s="291">
        <f>99.9+1207.5+3084.3</f>
        <v>4391.7000000000007</v>
      </c>
      <c r="C53" s="295">
        <f>99.9+1164.6+2385.9</f>
        <v>3650.4</v>
      </c>
      <c r="D53" s="198"/>
      <c r="E53" s="198"/>
    </row>
    <row r="54" spans="1:11" ht="12.75" customHeight="1" x14ac:dyDescent="0.25">
      <c r="A54" s="40" t="s">
        <v>10</v>
      </c>
      <c r="B54" s="301">
        <f>6255.2</f>
        <v>6255.2</v>
      </c>
      <c r="C54" s="295">
        <f>6158</f>
        <v>6158</v>
      </c>
      <c r="D54" s="198"/>
      <c r="E54" s="198"/>
    </row>
    <row r="55" spans="1:11" ht="24.75" customHeight="1" x14ac:dyDescent="0.25">
      <c r="A55" s="293" t="s">
        <v>139</v>
      </c>
      <c r="B55" s="260">
        <f>SUM(B56:B57)</f>
        <v>23484.6</v>
      </c>
      <c r="C55" s="260">
        <f>SUM(C56:C57)</f>
        <v>23364</v>
      </c>
      <c r="D55" s="201"/>
      <c r="E55" s="201"/>
      <c r="H55">
        <v>23484.6</v>
      </c>
      <c r="I55">
        <v>23364</v>
      </c>
      <c r="J55" s="63">
        <f>H55-B55</f>
        <v>0</v>
      </c>
      <c r="K55" s="63">
        <f>I55-C55</f>
        <v>0</v>
      </c>
    </row>
    <row r="56" spans="1:11" ht="13.5" customHeight="1" x14ac:dyDescent="0.25">
      <c r="A56" s="40" t="s">
        <v>8</v>
      </c>
      <c r="B56" s="291">
        <f>308.2+325.6+10237+7296+5062.8+191.5+63.5</f>
        <v>23484.6</v>
      </c>
      <c r="C56" s="295">
        <f>308.1+325.6+10148.8+7296+5062.8+166.5+56.2</f>
        <v>23364</v>
      </c>
      <c r="D56" s="198"/>
      <c r="E56" s="198"/>
    </row>
    <row r="57" spans="1:11" ht="14.25" hidden="1" customHeight="1" x14ac:dyDescent="0.25">
      <c r="A57" s="40" t="s">
        <v>9</v>
      </c>
      <c r="B57" s="291"/>
      <c r="C57" s="295"/>
      <c r="D57" s="198"/>
      <c r="E57" s="198"/>
    </row>
    <row r="58" spans="1:11" ht="27" customHeight="1" x14ac:dyDescent="0.25">
      <c r="A58" s="334" t="s">
        <v>140</v>
      </c>
      <c r="B58" s="260">
        <f>SUM(B59:B61)</f>
        <v>3334.8</v>
      </c>
      <c r="C58" s="260">
        <f>SUM(C59:C61)</f>
        <v>3113.3999999999996</v>
      </c>
      <c r="D58" s="201"/>
      <c r="E58" s="201"/>
      <c r="H58">
        <v>3334.8</v>
      </c>
      <c r="I58">
        <v>3113.4</v>
      </c>
      <c r="J58" s="63">
        <f>H58-B58</f>
        <v>0</v>
      </c>
      <c r="K58" s="63">
        <f>I58-C58</f>
        <v>0</v>
      </c>
    </row>
    <row r="59" spans="1:11" ht="14.25" customHeight="1" x14ac:dyDescent="0.25">
      <c r="A59" s="40" t="s">
        <v>8</v>
      </c>
      <c r="B59" s="291">
        <f>1067+469.2</f>
        <v>1536.2</v>
      </c>
      <c r="C59" s="295">
        <f>988.8+469.2</f>
        <v>1458</v>
      </c>
      <c r="D59" s="198"/>
      <c r="E59" s="198"/>
    </row>
    <row r="60" spans="1:11" ht="12.75" customHeight="1" x14ac:dyDescent="0.25">
      <c r="A60" s="40" t="s">
        <v>10</v>
      </c>
      <c r="B60" s="291">
        <f>82.6+1716</f>
        <v>1798.6</v>
      </c>
      <c r="C60" s="295">
        <f>82.6+1572.8</f>
        <v>1655.3999999999999</v>
      </c>
      <c r="D60" s="198"/>
      <c r="E60" s="198"/>
    </row>
    <row r="61" spans="1:11" ht="0.75" customHeight="1" x14ac:dyDescent="0.25">
      <c r="A61" s="40" t="s">
        <v>11</v>
      </c>
      <c r="B61" s="291"/>
      <c r="C61" s="295"/>
      <c r="D61" s="198"/>
      <c r="E61" s="198"/>
    </row>
    <row r="62" spans="1:11" ht="27.75" customHeight="1" x14ac:dyDescent="0.25">
      <c r="A62" s="293" t="s">
        <v>141</v>
      </c>
      <c r="B62" s="260">
        <f xml:space="preserve"> SUM(B63:B63)</f>
        <v>450.9</v>
      </c>
      <c r="C62" s="260">
        <f xml:space="preserve"> SUM(C63:C63)</f>
        <v>450.9</v>
      </c>
      <c r="D62" s="201"/>
      <c r="E62" s="201"/>
      <c r="H62">
        <v>450.9</v>
      </c>
      <c r="I62">
        <v>450.9</v>
      </c>
      <c r="J62" s="63">
        <f>H62-B62</f>
        <v>0</v>
      </c>
      <c r="K62" s="63">
        <f>I62-C62</f>
        <v>0</v>
      </c>
    </row>
    <row r="63" spans="1:11" ht="15.75" customHeight="1" x14ac:dyDescent="0.25">
      <c r="A63" s="40" t="s">
        <v>10</v>
      </c>
      <c r="B63" s="301">
        <f>166.5+284.4</f>
        <v>450.9</v>
      </c>
      <c r="C63" s="295">
        <f>166.5+284.4</f>
        <v>450.9</v>
      </c>
      <c r="D63" s="198"/>
      <c r="E63" s="198"/>
    </row>
    <row r="64" spans="1:11" ht="44.25" customHeight="1" x14ac:dyDescent="0.25">
      <c r="A64" s="293" t="s">
        <v>142</v>
      </c>
      <c r="B64" s="302">
        <f>SUM(B65)</f>
        <v>30</v>
      </c>
      <c r="C64" s="302">
        <f>SUM(C65)</f>
        <v>0</v>
      </c>
      <c r="D64" s="206"/>
      <c r="E64" s="206"/>
      <c r="H64">
        <v>30</v>
      </c>
      <c r="I64">
        <v>0</v>
      </c>
      <c r="J64" s="63">
        <f>H64-B64</f>
        <v>0</v>
      </c>
      <c r="K64" s="63">
        <f>I64-C64</f>
        <v>0</v>
      </c>
    </row>
    <row r="65" spans="1:11" ht="15.75" customHeight="1" x14ac:dyDescent="0.25">
      <c r="A65" s="40" t="s">
        <v>10</v>
      </c>
      <c r="B65" s="301">
        <v>30</v>
      </c>
      <c r="C65" s="295">
        <v>0</v>
      </c>
      <c r="D65" s="198"/>
      <c r="E65" s="198"/>
    </row>
    <row r="66" spans="1:11" ht="30.75" customHeight="1" x14ac:dyDescent="0.25">
      <c r="A66" s="304" t="s">
        <v>143</v>
      </c>
      <c r="B66" s="302">
        <f>SUM(B67,B68,B69)</f>
        <v>73004.799999999988</v>
      </c>
      <c r="C66" s="302">
        <f>SUM(C67,C68,C69)</f>
        <v>72498.3</v>
      </c>
      <c r="D66" s="206"/>
      <c r="E66" s="206"/>
      <c r="H66">
        <v>73004.800000000003</v>
      </c>
      <c r="I66">
        <v>72498.3</v>
      </c>
      <c r="J66" s="63">
        <f>H66-B66</f>
        <v>0</v>
      </c>
      <c r="K66" s="63">
        <f>I66-C66</f>
        <v>0</v>
      </c>
    </row>
    <row r="67" spans="1:11" ht="17.25" customHeight="1" x14ac:dyDescent="0.25">
      <c r="A67" s="40" t="s">
        <v>8</v>
      </c>
      <c r="B67" s="291">
        <f>2790.6+72+5790.5+1064+5552.3</f>
        <v>15269.400000000001</v>
      </c>
      <c r="C67" s="295">
        <f>2790.6+72+5790.5+1064+5552.3</f>
        <v>15269.400000000001</v>
      </c>
      <c r="D67" s="198"/>
      <c r="E67" s="198"/>
    </row>
    <row r="68" spans="1:11" ht="17.25" customHeight="1" x14ac:dyDescent="0.25">
      <c r="A68" s="40" t="s">
        <v>10</v>
      </c>
      <c r="B68" s="291">
        <f>2537.8+20+6886.3+10101.8+262.8+1+37925.7</f>
        <v>57735.399999999994</v>
      </c>
      <c r="C68" s="295">
        <f>2537.8+6607.2+10101.8+176.4+0.2+37805.5</f>
        <v>57228.9</v>
      </c>
      <c r="D68" s="198"/>
      <c r="E68" s="198"/>
    </row>
    <row r="69" spans="1:11" ht="17.25" hidden="1" customHeight="1" x14ac:dyDescent="0.25">
      <c r="A69" s="40" t="s">
        <v>11</v>
      </c>
      <c r="B69" s="291"/>
      <c r="C69" s="295"/>
      <c r="D69" s="198"/>
      <c r="E69" s="198"/>
    </row>
    <row r="70" spans="1:11" s="324" customFormat="1" ht="26.25" customHeight="1" x14ac:dyDescent="0.25">
      <c r="A70" s="331" t="s">
        <v>131</v>
      </c>
      <c r="B70" s="332">
        <f>SUM(B71:B73)</f>
        <v>65157.200000000004</v>
      </c>
      <c r="C70" s="332">
        <f>SUM(C71:C73)</f>
        <v>65139.4</v>
      </c>
      <c r="D70" s="114">
        <v>29743.8</v>
      </c>
      <c r="E70" s="127">
        <f>D70-C70</f>
        <v>-35395.600000000006</v>
      </c>
      <c r="F70" s="326" t="s">
        <v>58</v>
      </c>
      <c r="G70" s="327">
        <f>SUM(G71:G72)-B70</f>
        <v>-27843.000000000007</v>
      </c>
      <c r="J70" s="63">
        <f>H70-B70</f>
        <v>-65157.200000000004</v>
      </c>
      <c r="K70" s="63">
        <f>I70-C70</f>
        <v>-65139.4</v>
      </c>
    </row>
    <row r="71" spans="1:11" ht="15.75" customHeight="1" x14ac:dyDescent="0.25">
      <c r="A71" s="298" t="s">
        <v>8</v>
      </c>
      <c r="B71" s="260">
        <f>B78+B83</f>
        <v>6169.4</v>
      </c>
      <c r="C71" s="260">
        <f>C78+C83</f>
        <v>6169.4</v>
      </c>
      <c r="D71" s="122"/>
      <c r="E71" s="122"/>
      <c r="F71" s="208">
        <f>G71-B71</f>
        <v>-534.29999999999927</v>
      </c>
      <c r="G71" s="209">
        <v>5635.1</v>
      </c>
    </row>
    <row r="72" spans="1:11" ht="15.75" customHeight="1" x14ac:dyDescent="0.25">
      <c r="A72" s="298" t="s">
        <v>10</v>
      </c>
      <c r="B72" s="260">
        <f>B79+B81+B84</f>
        <v>58987.8</v>
      </c>
      <c r="C72" s="260">
        <f>C79+C81+C84</f>
        <v>58970</v>
      </c>
      <c r="D72" s="122"/>
      <c r="E72" s="122"/>
      <c r="F72" s="208">
        <f>G72-B72</f>
        <v>-27308.700000000004</v>
      </c>
      <c r="G72" s="209">
        <v>31679.1</v>
      </c>
    </row>
    <row r="73" spans="1:11" ht="0.75" customHeight="1" x14ac:dyDescent="0.25">
      <c r="A73" s="298" t="s">
        <v>11</v>
      </c>
      <c r="B73" s="305"/>
      <c r="C73" s="305"/>
      <c r="D73" s="210"/>
      <c r="E73" s="210"/>
      <c r="F73" s="208">
        <f>G73-B73</f>
        <v>0</v>
      </c>
      <c r="G73" s="209"/>
    </row>
    <row r="74" spans="1:11" ht="29.25" customHeight="1" x14ac:dyDescent="0.25">
      <c r="A74" s="292" t="s">
        <v>107</v>
      </c>
      <c r="B74" s="260">
        <f>SUM(B75:B76)</f>
        <v>0</v>
      </c>
      <c r="C74" s="260">
        <f>SUM(C75:C76)</f>
        <v>0</v>
      </c>
      <c r="D74" s="201"/>
      <c r="E74" s="201"/>
      <c r="F74" s="194"/>
    </row>
    <row r="75" spans="1:11" ht="12.75" hidden="1" customHeight="1" x14ac:dyDescent="0.25">
      <c r="A75" s="40" t="s">
        <v>8</v>
      </c>
      <c r="B75" s="260"/>
      <c r="C75" s="211"/>
      <c r="D75" s="212"/>
      <c r="E75" s="212"/>
    </row>
    <row r="76" spans="1:11" ht="12.75" hidden="1" customHeight="1" x14ac:dyDescent="0.25">
      <c r="A76" s="40" t="s">
        <v>10</v>
      </c>
      <c r="B76" s="260"/>
      <c r="C76" s="211"/>
      <c r="D76" s="212"/>
      <c r="E76" s="212"/>
    </row>
    <row r="77" spans="1:11" ht="26.25" customHeight="1" x14ac:dyDescent="0.25">
      <c r="A77" s="308" t="s">
        <v>60</v>
      </c>
      <c r="B77" s="260">
        <f>SUM(B78:B79)</f>
        <v>57049.8</v>
      </c>
      <c r="C77" s="260">
        <f>SUM(C78:C79)</f>
        <v>57049.8</v>
      </c>
      <c r="D77" s="201"/>
      <c r="E77" s="201"/>
      <c r="J77" s="63">
        <f>H77-B77</f>
        <v>-57049.8</v>
      </c>
      <c r="K77" s="63">
        <f>I77-C77</f>
        <v>-57049.8</v>
      </c>
    </row>
    <row r="78" spans="1:11" ht="16.5" customHeight="1" x14ac:dyDescent="0.25">
      <c r="A78" s="40" t="s">
        <v>8</v>
      </c>
      <c r="B78" s="260">
        <v>5212</v>
      </c>
      <c r="C78" s="295">
        <v>5212</v>
      </c>
      <c r="D78" s="212"/>
      <c r="E78" s="212"/>
    </row>
    <row r="79" spans="1:11" ht="16.5" customHeight="1" x14ac:dyDescent="0.25">
      <c r="A79" s="40" t="s">
        <v>10</v>
      </c>
      <c r="B79" s="260">
        <f>4840+46997.8</f>
        <v>51837.8</v>
      </c>
      <c r="C79" s="335">
        <f>B79</f>
        <v>51837.8</v>
      </c>
      <c r="D79" s="212"/>
      <c r="E79" s="212"/>
    </row>
    <row r="80" spans="1:11" ht="26.25" customHeight="1" x14ac:dyDescent="0.25">
      <c r="A80" s="306" t="s">
        <v>61</v>
      </c>
      <c r="B80" s="260">
        <f>SUM(B81:B81)</f>
        <v>9.1</v>
      </c>
      <c r="C80" s="260">
        <f>SUM(C81:C81)</f>
        <v>9.1</v>
      </c>
      <c r="D80" s="201"/>
      <c r="E80" s="201"/>
      <c r="J80" s="63">
        <f>H80-B80</f>
        <v>-9.1</v>
      </c>
      <c r="K80" s="63">
        <f>I80-C80</f>
        <v>-9.1</v>
      </c>
    </row>
    <row r="81" spans="1:11" ht="15.75" customHeight="1" x14ac:dyDescent="0.25">
      <c r="A81" s="40" t="s">
        <v>10</v>
      </c>
      <c r="B81" s="260">
        <v>9.1</v>
      </c>
      <c r="C81" s="295">
        <v>9.1</v>
      </c>
      <c r="D81" s="212"/>
      <c r="E81" s="212"/>
    </row>
    <row r="82" spans="1:11" ht="26.25" customHeight="1" x14ac:dyDescent="0.25">
      <c r="A82" s="308" t="s">
        <v>62</v>
      </c>
      <c r="B82" s="260">
        <f>SUM(B83:B84)</f>
        <v>8098.3</v>
      </c>
      <c r="C82" s="260">
        <f>SUM(C83:C84)</f>
        <v>8080.5</v>
      </c>
      <c r="D82" s="201"/>
      <c r="E82" s="201"/>
      <c r="J82" s="63">
        <f>H82-B82</f>
        <v>-8098.3</v>
      </c>
      <c r="K82" s="63">
        <f>I82-C82</f>
        <v>-8080.5</v>
      </c>
    </row>
    <row r="83" spans="1:11" ht="13.5" customHeight="1" x14ac:dyDescent="0.25">
      <c r="A83" s="308" t="s">
        <v>8</v>
      </c>
      <c r="B83" s="260">
        <f>14.4+331.5+1+610.5</f>
        <v>957.4</v>
      </c>
      <c r="C83" s="295">
        <f>14.4+331.5+1+610.5</f>
        <v>957.4</v>
      </c>
      <c r="D83" s="212"/>
      <c r="E83" s="212"/>
    </row>
    <row r="84" spans="1:11" ht="13.5" customHeight="1" x14ac:dyDescent="0.25">
      <c r="A84" s="40" t="s">
        <v>10</v>
      </c>
      <c r="B84" s="260">
        <f>6349.3+441.1+321.5+29</f>
        <v>7140.9000000000005</v>
      </c>
      <c r="C84" s="295">
        <f>6332+441.1+321.5+28.5</f>
        <v>7123.1</v>
      </c>
      <c r="D84" s="212"/>
      <c r="E84" s="212"/>
    </row>
    <row r="85" spans="1:11" s="324" customFormat="1" ht="26.25" customHeight="1" x14ac:dyDescent="0.25">
      <c r="A85" s="331" t="s">
        <v>29</v>
      </c>
      <c r="B85" s="332">
        <f>SUM(B86:B89)</f>
        <v>30145.8</v>
      </c>
      <c r="C85" s="332">
        <f>SUM(C86:C89)</f>
        <v>29482.6</v>
      </c>
      <c r="D85" s="114">
        <v>21399</v>
      </c>
      <c r="E85" s="125">
        <f>D85-C85</f>
        <v>-8083.5999999999985</v>
      </c>
      <c r="F85" s="328" t="s">
        <v>67</v>
      </c>
      <c r="G85" s="316"/>
      <c r="H85" s="324">
        <v>30145.8</v>
      </c>
      <c r="I85" s="324">
        <v>29482.6</v>
      </c>
      <c r="J85" s="63">
        <f>H85-B85</f>
        <v>0</v>
      </c>
      <c r="K85" s="63">
        <f>I85-C85</f>
        <v>0</v>
      </c>
    </row>
    <row r="86" spans="1:11" ht="14.25" customHeight="1" x14ac:dyDescent="0.25">
      <c r="A86" s="298" t="s">
        <v>13</v>
      </c>
      <c r="B86" s="260">
        <f>110.8+71.5</f>
        <v>182.3</v>
      </c>
      <c r="C86" s="295">
        <f>110.8</f>
        <v>110.8</v>
      </c>
      <c r="D86" s="123"/>
      <c r="E86" s="123"/>
      <c r="F86" s="209"/>
      <c r="G86" s="209"/>
    </row>
    <row r="87" spans="1:11" s="50" customFormat="1" ht="14.25" customHeight="1" x14ac:dyDescent="0.2">
      <c r="A87" s="298" t="s">
        <v>36</v>
      </c>
      <c r="B87" s="260">
        <v>350</v>
      </c>
      <c r="C87" s="295">
        <v>0</v>
      </c>
      <c r="D87" s="123"/>
      <c r="E87" s="123"/>
      <c r="F87" s="209"/>
      <c r="G87" s="209"/>
    </row>
    <row r="88" spans="1:11" s="50" customFormat="1" ht="14.25" customHeight="1" x14ac:dyDescent="0.2">
      <c r="A88" s="292" t="s">
        <v>44</v>
      </c>
      <c r="B88" s="260">
        <v>2692.9</v>
      </c>
      <c r="C88" s="295">
        <v>2692.9</v>
      </c>
      <c r="D88" s="123"/>
      <c r="E88" s="123"/>
      <c r="F88" s="209"/>
      <c r="G88" s="209"/>
    </row>
    <row r="89" spans="1:11" s="50" customFormat="1" ht="14.25" customHeight="1" x14ac:dyDescent="0.25">
      <c r="A89" s="292" t="s">
        <v>158</v>
      </c>
      <c r="B89" s="260">
        <f>B90+B91</f>
        <v>26920.6</v>
      </c>
      <c r="C89" s="260">
        <f>C90+C91</f>
        <v>26678.899999999998</v>
      </c>
      <c r="D89" s="123"/>
      <c r="E89" s="123"/>
      <c r="F89" s="209"/>
      <c r="G89" s="209"/>
      <c r="H89" s="50">
        <v>26920.6</v>
      </c>
      <c r="I89" s="50">
        <v>26678.9</v>
      </c>
      <c r="J89" s="63">
        <f>H89-B89</f>
        <v>0</v>
      </c>
      <c r="K89" s="63">
        <f>I89-C89</f>
        <v>0</v>
      </c>
    </row>
    <row r="90" spans="1:11" s="50" customFormat="1" ht="14.25" customHeight="1" x14ac:dyDescent="0.2">
      <c r="A90" s="292" t="s">
        <v>8</v>
      </c>
      <c r="B90" s="260">
        <f>1477.2+3515.7+443.1+0.3+793.1</f>
        <v>6229.4000000000005</v>
      </c>
      <c r="C90" s="295">
        <f>1477.2+3515.7+443.1+0.3+556.4</f>
        <v>5992.7</v>
      </c>
      <c r="D90" s="123"/>
      <c r="E90" s="123"/>
      <c r="F90" s="209"/>
      <c r="G90" s="209"/>
    </row>
    <row r="91" spans="1:11" s="50" customFormat="1" ht="14.25" customHeight="1" x14ac:dyDescent="0.2">
      <c r="A91" s="292" t="s">
        <v>9</v>
      </c>
      <c r="B91" s="260">
        <f>1480.3+8982+4438.9+5790</f>
        <v>20691.199999999997</v>
      </c>
      <c r="C91" s="295">
        <f>1480.3+8977+4438.9+5790</f>
        <v>20686.199999999997</v>
      </c>
      <c r="D91" s="123"/>
      <c r="E91" s="123"/>
      <c r="F91" s="209"/>
      <c r="G91" s="209"/>
    </row>
    <row r="92" spans="1:11" s="317" customFormat="1" ht="28.5" customHeight="1" x14ac:dyDescent="0.25">
      <c r="A92" s="336" t="s">
        <v>95</v>
      </c>
      <c r="B92" s="332">
        <f>B93+B94+B95+B96</f>
        <v>0</v>
      </c>
      <c r="C92" s="332">
        <f>C93+C94+C95+C96</f>
        <v>0</v>
      </c>
      <c r="D92" s="122">
        <v>210</v>
      </c>
      <c r="E92" s="122">
        <f>D92-C92</f>
        <v>210</v>
      </c>
      <c r="F92" s="322" t="s">
        <v>70</v>
      </c>
      <c r="G92" s="323"/>
    </row>
    <row r="93" spans="1:11" ht="15.75" hidden="1" customHeight="1" x14ac:dyDescent="0.25">
      <c r="A93" s="298" t="s">
        <v>19</v>
      </c>
      <c r="B93" s="260"/>
      <c r="C93" s="295">
        <v>0</v>
      </c>
      <c r="D93" s="198"/>
      <c r="E93" s="198"/>
    </row>
    <row r="94" spans="1:11" ht="15.75" hidden="1" customHeight="1" x14ac:dyDescent="0.25">
      <c r="A94" s="298" t="s">
        <v>8</v>
      </c>
      <c r="B94" s="260"/>
      <c r="C94" s="295">
        <v>0</v>
      </c>
      <c r="D94" s="198"/>
      <c r="E94" s="198"/>
    </row>
    <row r="95" spans="1:11" ht="15.75" hidden="1" customHeight="1" x14ac:dyDescent="0.25">
      <c r="A95" s="298" t="s">
        <v>9</v>
      </c>
      <c r="B95" s="260"/>
      <c r="C95" s="295">
        <v>0</v>
      </c>
      <c r="D95" s="198"/>
      <c r="E95" s="198"/>
    </row>
    <row r="96" spans="1:11" ht="15.75" hidden="1" customHeight="1" x14ac:dyDescent="0.25">
      <c r="A96" s="249" t="s">
        <v>69</v>
      </c>
      <c r="B96" s="260"/>
      <c r="C96" s="295"/>
      <c r="D96" s="198"/>
      <c r="E96" s="198"/>
    </row>
    <row r="97" spans="1:11" s="324" customFormat="1" ht="16.5" customHeight="1" x14ac:dyDescent="0.25">
      <c r="A97" s="336" t="s">
        <v>148</v>
      </c>
      <c r="B97" s="332">
        <f>SUM(B98:B98)</f>
        <v>0</v>
      </c>
      <c r="C97" s="332">
        <f>SUM(C98:C98)</f>
        <v>0</v>
      </c>
      <c r="D97" s="122">
        <v>90</v>
      </c>
      <c r="E97" s="125">
        <f>D97-C97</f>
        <v>90</v>
      </c>
      <c r="F97" s="322" t="s">
        <v>65</v>
      </c>
      <c r="G97" s="323"/>
    </row>
    <row r="98" spans="1:11" ht="17.25" hidden="1" customHeight="1" x14ac:dyDescent="0.25">
      <c r="A98" s="298" t="s">
        <v>9</v>
      </c>
      <c r="B98" s="260">
        <v>0</v>
      </c>
      <c r="C98" s="295">
        <v>0</v>
      </c>
      <c r="D98" s="198"/>
      <c r="E98" s="198"/>
    </row>
    <row r="99" spans="1:11" s="324" customFormat="1" ht="26.25" customHeight="1" x14ac:dyDescent="0.25">
      <c r="A99" s="331" t="s">
        <v>149</v>
      </c>
      <c r="B99" s="332">
        <f>SUM(B100:B100)</f>
        <v>0</v>
      </c>
      <c r="C99" s="332">
        <f>SUM(C100:C100)</f>
        <v>0</v>
      </c>
      <c r="D99" s="122"/>
      <c r="E99" s="122"/>
      <c r="F99" s="322" t="s">
        <v>65</v>
      </c>
      <c r="G99" s="323"/>
    </row>
    <row r="100" spans="1:11" ht="14.25" hidden="1" customHeight="1" x14ac:dyDescent="0.25">
      <c r="A100" s="298" t="s">
        <v>9</v>
      </c>
      <c r="B100" s="260">
        <v>0</v>
      </c>
      <c r="C100" s="295"/>
      <c r="D100" s="198"/>
      <c r="E100" s="198"/>
    </row>
    <row r="101" spans="1:11" s="317" customFormat="1" ht="26.25" customHeight="1" x14ac:dyDescent="0.25">
      <c r="A101" s="331" t="s">
        <v>150</v>
      </c>
      <c r="B101" s="332">
        <f>SUM(B102:B103)</f>
        <v>376.7</v>
      </c>
      <c r="C101" s="332">
        <f>SUM(C102)</f>
        <v>255.4</v>
      </c>
      <c r="D101" s="329"/>
      <c r="E101" s="329"/>
      <c r="F101" s="323"/>
      <c r="G101" s="323"/>
      <c r="H101" s="317">
        <v>376.7</v>
      </c>
      <c r="I101" s="317">
        <v>255.4</v>
      </c>
      <c r="J101" s="63">
        <f>H101-B101</f>
        <v>0</v>
      </c>
      <c r="K101" s="63">
        <f>I101-C101</f>
        <v>0</v>
      </c>
    </row>
    <row r="102" spans="1:11" s="50" customFormat="1" ht="15" customHeight="1" x14ac:dyDescent="0.25">
      <c r="A102" s="298" t="s">
        <v>9</v>
      </c>
      <c r="B102" s="260">
        <v>376.7</v>
      </c>
      <c r="C102" s="295">
        <v>255.4</v>
      </c>
      <c r="D102" s="198"/>
      <c r="E102" s="198"/>
      <c r="F102" s="188"/>
      <c r="G102" s="188"/>
    </row>
    <row r="103" spans="1:11" s="50" customFormat="1" ht="14.25" hidden="1" customHeight="1" x14ac:dyDescent="0.25">
      <c r="A103" s="298" t="s">
        <v>18</v>
      </c>
      <c r="B103" s="260"/>
      <c r="C103" s="211"/>
      <c r="D103" s="198"/>
      <c r="E103" s="198"/>
      <c r="F103" s="188"/>
      <c r="G103" s="188"/>
    </row>
    <row r="104" spans="1:11" s="317" customFormat="1" ht="14.25" customHeight="1" x14ac:dyDescent="0.25">
      <c r="A104" s="333" t="s">
        <v>159</v>
      </c>
      <c r="B104" s="332">
        <f>B105</f>
        <v>515.70000000000005</v>
      </c>
      <c r="C104" s="332">
        <f>C105</f>
        <v>515.70000000000005</v>
      </c>
      <c r="D104" s="329"/>
      <c r="E104" s="329"/>
      <c r="F104" s="323"/>
      <c r="G104" s="323"/>
      <c r="H104" s="317">
        <v>515.70000000000005</v>
      </c>
      <c r="I104" s="317">
        <v>515.70000000000005</v>
      </c>
      <c r="J104" s="63">
        <f>H104-B104</f>
        <v>0</v>
      </c>
      <c r="K104" s="63">
        <f>I104-C104</f>
        <v>0</v>
      </c>
    </row>
    <row r="105" spans="1:11" s="50" customFormat="1" ht="14.25" customHeight="1" x14ac:dyDescent="0.25">
      <c r="A105" s="298" t="s">
        <v>155</v>
      </c>
      <c r="B105" s="260">
        <v>515.70000000000005</v>
      </c>
      <c r="C105" s="295">
        <v>515.70000000000005</v>
      </c>
      <c r="D105" s="198"/>
      <c r="E105" s="198"/>
      <c r="F105" s="188"/>
      <c r="G105" s="188"/>
    </row>
    <row r="106" spans="1:11" s="317" customFormat="1" ht="14.25" customHeight="1" x14ac:dyDescent="0.25">
      <c r="A106" s="333" t="s">
        <v>160</v>
      </c>
      <c r="B106" s="332">
        <f>B107</f>
        <v>76.599999999999994</v>
      </c>
      <c r="C106" s="332">
        <f>C107</f>
        <v>26</v>
      </c>
      <c r="D106" s="329"/>
      <c r="E106" s="329"/>
      <c r="F106" s="323"/>
      <c r="G106" s="323"/>
      <c r="H106" s="317">
        <v>76</v>
      </c>
      <c r="I106" s="317">
        <v>26</v>
      </c>
      <c r="J106" s="63">
        <f>H106-B106</f>
        <v>-0.59999999999999432</v>
      </c>
      <c r="K106" s="63">
        <f>I106-C106</f>
        <v>0</v>
      </c>
    </row>
    <row r="107" spans="1:11" s="50" customFormat="1" ht="14.25" customHeight="1" x14ac:dyDescent="0.25">
      <c r="A107" s="298" t="s">
        <v>10</v>
      </c>
      <c r="B107" s="260">
        <v>76.599999999999994</v>
      </c>
      <c r="C107" s="295">
        <v>26</v>
      </c>
      <c r="D107" s="198"/>
      <c r="E107" s="198"/>
      <c r="F107" s="188"/>
      <c r="G107" s="188"/>
    </row>
    <row r="108" spans="1:11" ht="18" customHeight="1" x14ac:dyDescent="0.25">
      <c r="A108" s="331" t="s">
        <v>45</v>
      </c>
      <c r="B108" s="332">
        <f>SUM(B109:B114)</f>
        <v>895649.9</v>
      </c>
      <c r="C108" s="332">
        <f>SUM(C109:C113)</f>
        <v>885807.00000000023</v>
      </c>
      <c r="D108" s="214"/>
      <c r="E108" s="214"/>
      <c r="H108">
        <f>980609-84959.1</f>
        <v>895649.9</v>
      </c>
      <c r="I108">
        <f>968102-82295</f>
        <v>885807</v>
      </c>
      <c r="J108" s="63">
        <f>H108-B108</f>
        <v>0</v>
      </c>
      <c r="K108" s="63">
        <f>I108-C108</f>
        <v>0</v>
      </c>
    </row>
    <row r="109" spans="1:11" ht="18" customHeight="1" x14ac:dyDescent="0.25">
      <c r="A109" s="333" t="s">
        <v>20</v>
      </c>
      <c r="B109" s="332">
        <f>B93+B48+B105+B34+B4</f>
        <v>42034.5</v>
      </c>
      <c r="C109" s="332">
        <f>C93+C48+C105+C34+C4</f>
        <v>40807.199999999997</v>
      </c>
      <c r="D109" s="214"/>
      <c r="E109" s="214"/>
    </row>
    <row r="110" spans="1:11" s="188" customFormat="1" ht="18" customHeight="1" x14ac:dyDescent="0.25">
      <c r="A110" s="333" t="s">
        <v>8</v>
      </c>
      <c r="B110" s="332">
        <f>B12+B26+B30+B35+B44+B49+B53+B56+B59+B67+B78+B83+B94+B90+B18</f>
        <v>472529.30000000005</v>
      </c>
      <c r="C110" s="332">
        <f>C12+C26+C30+C35+C44+C49+C53+C56+C59+C67+C78+C83+C94+C90+C18</f>
        <v>470628.8000000001</v>
      </c>
      <c r="D110" s="214"/>
      <c r="E110" s="214"/>
      <c r="H110"/>
      <c r="I110"/>
    </row>
    <row r="111" spans="1:11" s="188" customFormat="1" ht="18" customHeight="1" x14ac:dyDescent="0.25">
      <c r="A111" s="333" t="s">
        <v>10</v>
      </c>
      <c r="B111" s="332">
        <f>B6+B23+B41+B72+B86+B87+B88+B91+B102+B107</f>
        <v>381086.1</v>
      </c>
      <c r="C111" s="332">
        <f>C6+C23+C41+C72+C86+C87+C88+C91+C102+C107</f>
        <v>374371.00000000006</v>
      </c>
      <c r="D111" s="214"/>
      <c r="E111" s="214"/>
      <c r="H111"/>
      <c r="I111"/>
    </row>
    <row r="112" spans="1:11" s="188" customFormat="1" ht="18" customHeight="1" x14ac:dyDescent="0.25">
      <c r="A112" s="333" t="s">
        <v>11</v>
      </c>
      <c r="B112" s="332">
        <f>B69+B61+B51+B46+B37+B32+B28</f>
        <v>0</v>
      </c>
      <c r="C112" s="332">
        <f>C69+C61+C51+C46+C37+C32+C28</f>
        <v>0</v>
      </c>
      <c r="D112" s="214"/>
      <c r="E112" s="214"/>
      <c r="H112"/>
      <c r="I112"/>
    </row>
    <row r="113" spans="1:9" s="188" customFormat="1" ht="18" customHeight="1" x14ac:dyDescent="0.25">
      <c r="A113" s="333" t="str">
        <f>A96</f>
        <v>середства участников программы</v>
      </c>
      <c r="B113" s="332">
        <f>B96</f>
        <v>0</v>
      </c>
      <c r="C113" s="332">
        <f>C96</f>
        <v>0</v>
      </c>
      <c r="D113" s="214"/>
      <c r="E113" s="214"/>
      <c r="H113"/>
      <c r="I113"/>
    </row>
    <row r="114" spans="1:9" s="188" customFormat="1" ht="17.25" customHeight="1" x14ac:dyDescent="0.25">
      <c r="A114" s="333" t="s">
        <v>18</v>
      </c>
      <c r="B114" s="332">
        <f>B103</f>
        <v>0</v>
      </c>
      <c r="C114" s="332">
        <f>C103</f>
        <v>0</v>
      </c>
      <c r="D114" s="214"/>
      <c r="E114" s="214"/>
      <c r="H114"/>
      <c r="I114"/>
    </row>
    <row r="115" spans="1:9" s="188" customFormat="1" ht="13.5" customHeight="1" x14ac:dyDescent="0.25">
      <c r="A115" s="310"/>
      <c r="B115" s="311">
        <f>B116-B108</f>
        <v>0</v>
      </c>
      <c r="C115" s="311">
        <f>C116-C108</f>
        <v>0</v>
      </c>
      <c r="D115" s="187"/>
      <c r="E115" s="187"/>
      <c r="H115"/>
      <c r="I115"/>
    </row>
    <row r="116" spans="1:9" s="188" customFormat="1" ht="13.5" customHeight="1" x14ac:dyDescent="0.25">
      <c r="A116" s="310"/>
      <c r="B116" s="311">
        <f>B101+B99+B97+B92+B85+B70+B38+B20+B3+B104+B106</f>
        <v>895649.90000000014</v>
      </c>
      <c r="C116" s="311">
        <f>C101+C99+C97+C92+C85+C70+C38+C20+C3+C104+C106</f>
        <v>885807.00000000012</v>
      </c>
      <c r="D116" s="187"/>
      <c r="E116" s="187"/>
      <c r="H116"/>
      <c r="I116"/>
    </row>
    <row r="117" spans="1:9" s="188" customFormat="1" ht="13.5" customHeight="1" x14ac:dyDescent="0.25">
      <c r="A117" s="310"/>
      <c r="B117" s="312">
        <f>B118-B116</f>
        <v>0</v>
      </c>
      <c r="C117" s="312">
        <f>C118-C116</f>
        <v>0</v>
      </c>
      <c r="D117" s="187"/>
      <c r="E117" s="187"/>
      <c r="H117"/>
      <c r="I117"/>
    </row>
    <row r="118" spans="1:9" s="188" customFormat="1" ht="13.5" customHeight="1" x14ac:dyDescent="0.25">
      <c r="A118" s="310"/>
      <c r="B118" s="3">
        <f>H108</f>
        <v>895649.9</v>
      </c>
      <c r="C118" s="3">
        <f>I108</f>
        <v>885807</v>
      </c>
      <c r="D118" s="187"/>
      <c r="E118" s="187"/>
      <c r="H118"/>
      <c r="I118"/>
    </row>
    <row r="119" spans="1:9" s="314" customFormat="1" ht="26.25" customHeight="1" x14ac:dyDescent="0.25">
      <c r="A119" s="310"/>
      <c r="B119" s="312"/>
      <c r="C119" s="312"/>
      <c r="D119" s="290"/>
      <c r="E119" s="290"/>
      <c r="H119" s="3"/>
      <c r="I119" s="3"/>
    </row>
    <row r="120" spans="1:9" s="3" customFormat="1" ht="26.25" customHeight="1" x14ac:dyDescent="0.25">
      <c r="A120" s="310"/>
      <c r="B120" s="312"/>
      <c r="C120" s="290"/>
      <c r="D120" s="290"/>
      <c r="E120" s="290"/>
      <c r="F120" s="314"/>
      <c r="G120" s="314"/>
    </row>
    <row r="121" spans="1:9" s="3" customFormat="1" ht="26.25" customHeight="1" x14ac:dyDescent="0.25">
      <c r="A121" s="310"/>
      <c r="B121" s="312"/>
      <c r="C121" s="290"/>
      <c r="D121" s="290"/>
      <c r="E121" s="290"/>
      <c r="F121" s="314"/>
      <c r="G121" s="314"/>
    </row>
    <row r="122" spans="1:9" s="3" customFormat="1" ht="26.25" customHeight="1" x14ac:dyDescent="0.25">
      <c r="A122" s="310"/>
      <c r="B122" s="312"/>
      <c r="C122" s="290"/>
      <c r="D122" s="290"/>
      <c r="E122" s="290"/>
      <c r="F122" s="314"/>
      <c r="G122" s="314"/>
    </row>
    <row r="123" spans="1:9" s="3" customFormat="1" ht="26.25" customHeight="1" x14ac:dyDescent="0.25">
      <c r="A123" s="310"/>
      <c r="B123" s="312"/>
      <c r="C123" s="290"/>
      <c r="D123" s="290"/>
      <c r="E123" s="290"/>
      <c r="F123" s="314"/>
      <c r="G123" s="314"/>
    </row>
    <row r="124" spans="1:9" s="3" customFormat="1" ht="26.25" customHeight="1" x14ac:dyDescent="0.25">
      <c r="A124" s="310"/>
      <c r="B124" s="312"/>
      <c r="C124" s="290"/>
      <c r="D124" s="290"/>
      <c r="E124" s="290"/>
      <c r="F124" s="314"/>
      <c r="G124" s="314"/>
    </row>
    <row r="125" spans="1:9" s="3" customFormat="1" ht="26.25" customHeight="1" x14ac:dyDescent="0.25">
      <c r="A125" s="310"/>
      <c r="B125" s="312"/>
      <c r="C125" s="290"/>
      <c r="D125" s="290"/>
      <c r="E125" s="290"/>
      <c r="F125" s="314"/>
      <c r="G125" s="314"/>
    </row>
    <row r="126" spans="1:9" s="3" customFormat="1" ht="26.25" customHeight="1" x14ac:dyDescent="0.25">
      <c r="A126" s="310"/>
      <c r="B126" s="312"/>
      <c r="C126" s="290"/>
      <c r="D126" s="290"/>
      <c r="E126" s="290"/>
      <c r="F126" s="314"/>
      <c r="G126" s="314"/>
    </row>
    <row r="127" spans="1:9" s="3" customFormat="1" ht="26.25" customHeight="1" x14ac:dyDescent="0.25">
      <c r="A127" s="310"/>
      <c r="B127" s="312"/>
      <c r="C127" s="290"/>
      <c r="D127" s="290"/>
      <c r="E127" s="290"/>
      <c r="F127" s="314"/>
      <c r="G127" s="314"/>
    </row>
    <row r="128" spans="1:9" s="3" customFormat="1" ht="26.25" customHeight="1" x14ac:dyDescent="0.25">
      <c r="A128" s="310"/>
      <c r="B128" s="312"/>
      <c r="C128" s="290"/>
      <c r="D128" s="290"/>
      <c r="E128" s="290"/>
      <c r="F128" s="314"/>
      <c r="G128" s="314"/>
    </row>
    <row r="129" spans="1:7" s="3" customFormat="1" ht="26.25" customHeight="1" x14ac:dyDescent="0.25">
      <c r="A129" s="310"/>
      <c r="B129" s="312"/>
      <c r="C129" s="290"/>
      <c r="D129" s="290"/>
      <c r="E129" s="290"/>
      <c r="F129" s="314"/>
      <c r="G129" s="314"/>
    </row>
    <row r="130" spans="1:7" s="3" customFormat="1" ht="26.25" customHeight="1" x14ac:dyDescent="0.25">
      <c r="A130" s="310"/>
      <c r="B130" s="312"/>
      <c r="C130" s="290"/>
      <c r="D130" s="290"/>
      <c r="E130" s="290"/>
      <c r="F130" s="314"/>
      <c r="G130" s="314"/>
    </row>
    <row r="131" spans="1:7" s="3" customFormat="1" ht="26.25" customHeight="1" x14ac:dyDescent="0.25">
      <c r="A131" s="310"/>
      <c r="B131" s="312"/>
      <c r="C131" s="290"/>
      <c r="D131" s="290"/>
      <c r="E131" s="290"/>
      <c r="F131" s="314"/>
      <c r="G131" s="314"/>
    </row>
    <row r="132" spans="1:7" s="3" customFormat="1" ht="26.25" customHeight="1" x14ac:dyDescent="0.25">
      <c r="A132" s="310"/>
      <c r="B132" s="312"/>
      <c r="C132" s="290"/>
      <c r="D132" s="290"/>
      <c r="E132" s="290"/>
      <c r="F132" s="314"/>
      <c r="G132" s="314"/>
    </row>
    <row r="133" spans="1:7" s="3" customFormat="1" ht="26.25" customHeight="1" x14ac:dyDescent="0.25">
      <c r="A133" s="310"/>
      <c r="B133" s="312"/>
      <c r="C133" s="290"/>
      <c r="D133" s="290"/>
      <c r="E133" s="290"/>
      <c r="F133" s="314"/>
      <c r="G133" s="314"/>
    </row>
    <row r="134" spans="1:7" s="3" customFormat="1" ht="26.25" customHeight="1" x14ac:dyDescent="0.25">
      <c r="A134" s="310"/>
      <c r="B134" s="312"/>
      <c r="C134" s="290"/>
      <c r="D134" s="290"/>
      <c r="E134" s="290"/>
      <c r="F134" s="314"/>
      <c r="G134" s="314"/>
    </row>
    <row r="135" spans="1:7" s="3" customFormat="1" ht="26.25" customHeight="1" x14ac:dyDescent="0.25">
      <c r="A135" s="310"/>
      <c r="B135" s="312"/>
      <c r="C135" s="290"/>
      <c r="D135" s="290"/>
      <c r="E135" s="290"/>
      <c r="F135" s="314"/>
      <c r="G135" s="314"/>
    </row>
    <row r="136" spans="1:7" s="3" customFormat="1" ht="26.25" customHeight="1" x14ac:dyDescent="0.25">
      <c r="A136" s="310"/>
      <c r="B136" s="312"/>
      <c r="C136" s="290"/>
      <c r="D136" s="290"/>
      <c r="E136" s="290"/>
      <c r="F136" s="314"/>
      <c r="G136" s="314"/>
    </row>
    <row r="137" spans="1:7" s="3" customFormat="1" ht="26.25" customHeight="1" x14ac:dyDescent="0.25">
      <c r="A137" s="310"/>
      <c r="B137" s="312"/>
      <c r="C137" s="290"/>
      <c r="D137" s="290"/>
      <c r="E137" s="290"/>
      <c r="F137" s="314"/>
      <c r="G137" s="314"/>
    </row>
    <row r="138" spans="1:7" s="3" customFormat="1" ht="26.25" customHeight="1" x14ac:dyDescent="0.25">
      <c r="A138" s="310"/>
      <c r="B138" s="312"/>
      <c r="C138" s="290"/>
      <c r="D138" s="290"/>
      <c r="E138" s="290"/>
      <c r="F138" s="314"/>
      <c r="G138" s="314"/>
    </row>
    <row r="139" spans="1:7" s="3" customFormat="1" ht="26.25" customHeight="1" x14ac:dyDescent="0.25">
      <c r="A139" s="310"/>
      <c r="B139" s="312"/>
      <c r="C139" s="290"/>
      <c r="D139" s="290"/>
      <c r="E139" s="290"/>
      <c r="F139" s="314"/>
      <c r="G139" s="314"/>
    </row>
    <row r="140" spans="1:7" s="3" customFormat="1" ht="26.25" customHeight="1" x14ac:dyDescent="0.25">
      <c r="A140" s="310"/>
      <c r="B140" s="312"/>
      <c r="C140" s="290"/>
      <c r="D140" s="290"/>
      <c r="E140" s="290"/>
      <c r="F140" s="314"/>
      <c r="G140" s="314"/>
    </row>
    <row r="141" spans="1:7" s="3" customFormat="1" ht="26.25" customHeight="1" x14ac:dyDescent="0.25">
      <c r="A141" s="310"/>
      <c r="B141" s="312"/>
      <c r="C141" s="290"/>
      <c r="D141" s="290"/>
      <c r="E141" s="290"/>
      <c r="F141" s="314"/>
      <c r="G141" s="314"/>
    </row>
    <row r="142" spans="1:7" s="3" customFormat="1" ht="26.25" customHeight="1" x14ac:dyDescent="0.25">
      <c r="A142" s="310"/>
      <c r="B142" s="312"/>
      <c r="C142" s="290"/>
      <c r="D142" s="290"/>
      <c r="E142" s="290"/>
      <c r="F142" s="314"/>
      <c r="G142" s="314"/>
    </row>
    <row r="143" spans="1:7" s="3" customFormat="1" ht="26.25" customHeight="1" x14ac:dyDescent="0.25">
      <c r="A143" s="310"/>
      <c r="B143" s="312"/>
      <c r="C143" s="290"/>
      <c r="D143" s="290"/>
      <c r="E143" s="290"/>
      <c r="F143" s="314"/>
      <c r="G143" s="314"/>
    </row>
    <row r="144" spans="1:7" s="3" customFormat="1" ht="26.25" customHeight="1" x14ac:dyDescent="0.25">
      <c r="A144" s="310"/>
      <c r="B144" s="312"/>
      <c r="C144" s="290"/>
      <c r="D144" s="290"/>
      <c r="E144" s="290"/>
      <c r="F144" s="314"/>
      <c r="G144" s="314"/>
    </row>
    <row r="145" spans="1:7" s="3" customFormat="1" ht="26.25" customHeight="1" x14ac:dyDescent="0.25">
      <c r="A145" s="310"/>
      <c r="B145" s="312"/>
      <c r="C145" s="290"/>
      <c r="D145" s="290"/>
      <c r="E145" s="290"/>
      <c r="F145" s="314"/>
      <c r="G145" s="314"/>
    </row>
    <row r="146" spans="1:7" s="3" customFormat="1" ht="26.25" customHeight="1" x14ac:dyDescent="0.25">
      <c r="A146" s="310"/>
      <c r="B146" s="312"/>
      <c r="C146" s="290"/>
      <c r="D146" s="290"/>
      <c r="E146" s="290"/>
      <c r="F146" s="314"/>
      <c r="G146" s="314"/>
    </row>
    <row r="147" spans="1:7" s="3" customFormat="1" ht="26.25" customHeight="1" x14ac:dyDescent="0.25">
      <c r="A147" s="310"/>
      <c r="B147" s="312"/>
      <c r="C147" s="290"/>
      <c r="D147" s="290"/>
      <c r="E147" s="290"/>
      <c r="F147" s="314"/>
      <c r="G147" s="314"/>
    </row>
    <row r="148" spans="1:7" s="3" customFormat="1" ht="26.25" customHeight="1" x14ac:dyDescent="0.25">
      <c r="A148" s="310"/>
      <c r="B148" s="312"/>
      <c r="C148" s="290"/>
      <c r="D148" s="290"/>
      <c r="E148" s="290"/>
      <c r="F148" s="314"/>
      <c r="G148" s="314"/>
    </row>
    <row r="149" spans="1:7" s="3" customFormat="1" ht="26.25" customHeight="1" x14ac:dyDescent="0.25">
      <c r="A149" s="310"/>
      <c r="B149" s="312"/>
      <c r="C149" s="290"/>
      <c r="D149" s="290"/>
      <c r="E149" s="290"/>
      <c r="F149" s="314"/>
      <c r="G149" s="314"/>
    </row>
    <row r="150" spans="1:7" s="3" customFormat="1" ht="26.25" customHeight="1" x14ac:dyDescent="0.25">
      <c r="A150" s="310"/>
      <c r="B150" s="312"/>
      <c r="C150" s="290"/>
      <c r="D150" s="290"/>
      <c r="E150" s="290"/>
      <c r="F150" s="314"/>
      <c r="G150" s="314"/>
    </row>
    <row r="151" spans="1:7" s="3" customFormat="1" ht="26.25" customHeight="1" x14ac:dyDescent="0.25">
      <c r="A151" s="310"/>
      <c r="B151" s="312"/>
      <c r="C151" s="290"/>
      <c r="D151" s="290"/>
      <c r="E151" s="290"/>
      <c r="F151" s="314"/>
      <c r="G151" s="314"/>
    </row>
    <row r="152" spans="1:7" s="3" customFormat="1" ht="26.25" customHeight="1" x14ac:dyDescent="0.25">
      <c r="A152" s="310"/>
      <c r="B152" s="312"/>
      <c r="C152" s="290"/>
      <c r="D152" s="290"/>
      <c r="E152" s="290"/>
      <c r="F152" s="314"/>
      <c r="G152" s="314"/>
    </row>
    <row r="153" spans="1:7" s="3" customFormat="1" ht="26.25" customHeight="1" x14ac:dyDescent="0.25">
      <c r="A153" s="310"/>
      <c r="B153" s="312"/>
      <c r="C153" s="290"/>
      <c r="D153" s="290"/>
      <c r="E153" s="290"/>
      <c r="F153" s="314"/>
      <c r="G153" s="314"/>
    </row>
    <row r="154" spans="1:7" s="3" customFormat="1" ht="26.25" customHeight="1" x14ac:dyDescent="0.25">
      <c r="A154" s="310"/>
      <c r="B154" s="312"/>
      <c r="C154" s="290"/>
      <c r="D154" s="290"/>
      <c r="E154" s="290"/>
      <c r="F154" s="314"/>
      <c r="G154" s="314"/>
    </row>
    <row r="155" spans="1:7" s="3" customFormat="1" ht="26.25" customHeight="1" x14ac:dyDescent="0.25">
      <c r="A155" s="310"/>
      <c r="B155" s="312"/>
      <c r="C155" s="290"/>
      <c r="D155" s="290"/>
      <c r="E155" s="290"/>
      <c r="F155" s="314"/>
      <c r="G155" s="314"/>
    </row>
    <row r="156" spans="1:7" s="3" customFormat="1" ht="26.25" customHeight="1" x14ac:dyDescent="0.25">
      <c r="A156" s="310"/>
      <c r="B156" s="312"/>
      <c r="C156" s="290"/>
      <c r="D156" s="290"/>
      <c r="E156" s="290"/>
      <c r="F156" s="314"/>
      <c r="G156" s="314"/>
    </row>
    <row r="157" spans="1:7" s="3" customFormat="1" ht="26.25" customHeight="1" x14ac:dyDescent="0.25">
      <c r="A157" s="310"/>
      <c r="B157" s="312"/>
      <c r="C157" s="290"/>
      <c r="D157" s="290"/>
      <c r="E157" s="290"/>
      <c r="F157" s="314"/>
      <c r="G157" s="314"/>
    </row>
    <row r="158" spans="1:7" s="3" customFormat="1" ht="26.25" customHeight="1" x14ac:dyDescent="0.25">
      <c r="A158" s="310"/>
      <c r="B158" s="312"/>
      <c r="C158" s="290"/>
      <c r="D158" s="290"/>
      <c r="E158" s="290"/>
      <c r="F158" s="314"/>
      <c r="G158" s="314"/>
    </row>
    <row r="159" spans="1:7" s="3" customFormat="1" ht="26.25" customHeight="1" x14ac:dyDescent="0.25">
      <c r="A159" s="310"/>
      <c r="B159" s="312"/>
      <c r="C159" s="290"/>
      <c r="D159" s="290"/>
      <c r="E159" s="290"/>
      <c r="F159" s="314"/>
      <c r="G159" s="314"/>
    </row>
    <row r="160" spans="1:7" s="3" customFormat="1" ht="26.25" customHeight="1" x14ac:dyDescent="0.25">
      <c r="A160" s="310"/>
      <c r="B160" s="312"/>
      <c r="C160" s="290"/>
      <c r="D160" s="290"/>
      <c r="E160" s="290"/>
      <c r="F160" s="314"/>
      <c r="G160" s="314"/>
    </row>
    <row r="161" spans="1:7" s="3" customFormat="1" ht="26.25" customHeight="1" x14ac:dyDescent="0.25">
      <c r="A161" s="310"/>
      <c r="B161" s="312"/>
      <c r="C161" s="290"/>
      <c r="D161" s="290"/>
      <c r="E161" s="290"/>
      <c r="F161" s="314"/>
      <c r="G161" s="314"/>
    </row>
    <row r="162" spans="1:7" s="3" customFormat="1" ht="26.25" customHeight="1" x14ac:dyDescent="0.25">
      <c r="A162" s="310"/>
      <c r="B162" s="312"/>
      <c r="C162" s="290"/>
      <c r="D162" s="290"/>
      <c r="E162" s="290"/>
      <c r="F162" s="314"/>
      <c r="G162" s="314"/>
    </row>
    <row r="163" spans="1:7" s="3" customFormat="1" ht="26.25" customHeight="1" x14ac:dyDescent="0.25">
      <c r="A163" s="310"/>
      <c r="B163" s="312"/>
      <c r="C163" s="290"/>
      <c r="D163" s="290"/>
      <c r="E163" s="290"/>
      <c r="F163" s="314"/>
      <c r="G163" s="314"/>
    </row>
    <row r="164" spans="1:7" s="3" customFormat="1" ht="26.25" customHeight="1" x14ac:dyDescent="0.25">
      <c r="A164" s="310"/>
      <c r="B164" s="312"/>
      <c r="C164" s="290"/>
      <c r="D164" s="290"/>
      <c r="E164" s="290"/>
      <c r="F164" s="314"/>
      <c r="G164" s="314"/>
    </row>
    <row r="165" spans="1:7" s="3" customFormat="1" ht="26.25" customHeight="1" x14ac:dyDescent="0.25">
      <c r="A165" s="310"/>
      <c r="B165" s="312"/>
      <c r="C165" s="290"/>
      <c r="D165" s="290"/>
      <c r="E165" s="290"/>
      <c r="F165" s="314"/>
      <c r="G165" s="314"/>
    </row>
    <row r="166" spans="1:7" s="3" customFormat="1" ht="26.25" customHeight="1" x14ac:dyDescent="0.25">
      <c r="A166" s="310"/>
      <c r="B166" s="312"/>
      <c r="C166" s="290"/>
      <c r="D166" s="290"/>
      <c r="E166" s="290"/>
      <c r="F166" s="314"/>
      <c r="G166" s="314"/>
    </row>
    <row r="167" spans="1:7" s="3" customFormat="1" ht="26.25" customHeight="1" x14ac:dyDescent="0.25">
      <c r="A167" s="310"/>
      <c r="B167" s="312"/>
      <c r="C167" s="290"/>
      <c r="D167" s="290"/>
      <c r="E167" s="290"/>
      <c r="F167" s="314"/>
      <c r="G167" s="314"/>
    </row>
    <row r="168" spans="1:7" s="3" customFormat="1" ht="26.25" customHeight="1" x14ac:dyDescent="0.25">
      <c r="A168" s="310"/>
      <c r="B168" s="312"/>
      <c r="C168" s="290"/>
      <c r="D168" s="290"/>
      <c r="E168" s="290"/>
      <c r="F168" s="314"/>
      <c r="G168" s="314"/>
    </row>
    <row r="169" spans="1:7" s="3" customFormat="1" ht="26.25" customHeight="1" x14ac:dyDescent="0.25">
      <c r="A169" s="310"/>
      <c r="B169" s="312"/>
      <c r="C169" s="290"/>
      <c r="D169" s="290"/>
      <c r="E169" s="290"/>
      <c r="F169" s="314"/>
      <c r="G169" s="314"/>
    </row>
    <row r="170" spans="1:7" s="3" customFormat="1" ht="26.25" customHeight="1" x14ac:dyDescent="0.25">
      <c r="A170" s="310"/>
      <c r="B170" s="312"/>
      <c r="C170" s="290"/>
      <c r="D170" s="290"/>
      <c r="E170" s="290"/>
      <c r="F170" s="314"/>
      <c r="G170" s="314"/>
    </row>
    <row r="171" spans="1:7" s="3" customFormat="1" ht="26.25" customHeight="1" x14ac:dyDescent="0.25">
      <c r="A171" s="310"/>
      <c r="B171" s="312"/>
      <c r="C171" s="290"/>
      <c r="D171" s="290"/>
      <c r="E171" s="290"/>
      <c r="F171" s="314"/>
      <c r="G171" s="314"/>
    </row>
    <row r="172" spans="1:7" s="3" customFormat="1" ht="26.25" customHeight="1" x14ac:dyDescent="0.25">
      <c r="A172" s="310"/>
      <c r="B172" s="312"/>
      <c r="C172" s="290"/>
      <c r="D172" s="290"/>
      <c r="E172" s="290"/>
      <c r="F172" s="314"/>
      <c r="G172" s="314"/>
    </row>
    <row r="173" spans="1:7" s="3" customFormat="1" ht="26.25" customHeight="1" x14ac:dyDescent="0.25">
      <c r="A173" s="310"/>
      <c r="B173" s="312"/>
      <c r="C173" s="290"/>
      <c r="D173" s="290"/>
      <c r="E173" s="290"/>
      <c r="F173" s="314"/>
      <c r="G173" s="314"/>
    </row>
    <row r="174" spans="1:7" s="3" customFormat="1" ht="26.25" customHeight="1" x14ac:dyDescent="0.25">
      <c r="A174" s="310"/>
      <c r="B174" s="312"/>
      <c r="C174" s="290"/>
      <c r="D174" s="290"/>
      <c r="E174" s="290"/>
      <c r="F174" s="314"/>
      <c r="G174" s="314"/>
    </row>
    <row r="175" spans="1:7" s="3" customFormat="1" ht="26.25" customHeight="1" x14ac:dyDescent="0.25">
      <c r="A175" s="310"/>
      <c r="B175" s="312"/>
      <c r="C175" s="290"/>
      <c r="D175" s="290"/>
      <c r="E175" s="290"/>
      <c r="F175" s="314"/>
      <c r="G175" s="314"/>
    </row>
    <row r="176" spans="1:7" s="3" customFormat="1" ht="26.25" customHeight="1" x14ac:dyDescent="0.25">
      <c r="A176" s="310"/>
      <c r="B176" s="312"/>
      <c r="C176" s="290"/>
      <c r="D176" s="290"/>
      <c r="E176" s="290"/>
      <c r="F176" s="314"/>
      <c r="G176" s="314"/>
    </row>
    <row r="177" spans="1:7" s="3" customFormat="1" ht="26.25" customHeight="1" x14ac:dyDescent="0.25">
      <c r="A177" s="310"/>
      <c r="B177" s="312"/>
      <c r="C177" s="290"/>
      <c r="D177" s="290"/>
      <c r="E177" s="290"/>
      <c r="F177" s="314"/>
      <c r="G177" s="314"/>
    </row>
    <row r="178" spans="1:7" s="3" customFormat="1" ht="26.25" customHeight="1" x14ac:dyDescent="0.25">
      <c r="A178" s="310"/>
      <c r="B178" s="312"/>
      <c r="C178" s="290"/>
      <c r="D178" s="290"/>
      <c r="E178" s="290"/>
      <c r="F178" s="314"/>
      <c r="G178" s="314"/>
    </row>
    <row r="179" spans="1:7" s="3" customFormat="1" ht="26.25" customHeight="1" x14ac:dyDescent="0.25">
      <c r="A179" s="310"/>
      <c r="B179" s="312"/>
      <c r="C179" s="290"/>
      <c r="D179" s="290"/>
      <c r="E179" s="290"/>
      <c r="F179" s="314"/>
      <c r="G179" s="314"/>
    </row>
  </sheetData>
  <pageMargins left="0.7" right="0.7" top="0.75" bottom="0.75" header="0.3" footer="0.3"/>
  <pageSetup paperSize="9" scale="70" orientation="portrait" r:id="rId1"/>
  <rowBreaks count="1" manualBreakCount="1">
    <brk id="59" max="5" man="1"/>
  </rowBreaks>
  <colBreaks count="1" manualBreakCount="1">
    <brk id="3" max="10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view="pageBreakPreview" zoomScaleNormal="100" zoomScaleSheetLayoutView="100" workbookViewId="0">
      <selection sqref="A1:C1"/>
    </sheetView>
  </sheetViews>
  <sheetFormatPr defaultRowHeight="21.75" customHeight="1" x14ac:dyDescent="0.25"/>
  <cols>
    <col min="1" max="1" width="134.85546875" style="310" customWidth="1"/>
    <col min="2" max="2" width="15.42578125" style="312" customWidth="1"/>
    <col min="3" max="3" width="15.7109375" style="290" customWidth="1"/>
    <col min="4" max="4" width="11.85546875" style="187" hidden="1" customWidth="1"/>
    <col min="5" max="5" width="10.7109375" style="187" hidden="1" customWidth="1"/>
    <col min="6" max="7" width="12.42578125" style="188" hidden="1" customWidth="1"/>
    <col min="8" max="8" width="9.5703125" bestFit="1" customWidth="1"/>
    <col min="10" max="10" width="5" customWidth="1"/>
    <col min="11" max="11" width="4.42578125" customWidth="1"/>
  </cols>
  <sheetData>
    <row r="1" spans="1:11" ht="38.25" customHeight="1" x14ac:dyDescent="0.25">
      <c r="A1" s="376" t="s">
        <v>192</v>
      </c>
      <c r="B1" s="377"/>
      <c r="C1" s="377"/>
    </row>
    <row r="2" spans="1:11" ht="21.75" customHeight="1" x14ac:dyDescent="0.25">
      <c r="A2" s="341" t="s">
        <v>175</v>
      </c>
      <c r="B2" s="227" t="s">
        <v>57</v>
      </c>
      <c r="C2" s="337" t="s">
        <v>153</v>
      </c>
    </row>
    <row r="3" spans="1:11" ht="16.5" customHeight="1" x14ac:dyDescent="0.25">
      <c r="A3" s="342" t="s">
        <v>3</v>
      </c>
      <c r="B3" s="343" t="s">
        <v>186</v>
      </c>
      <c r="C3" s="342" t="s">
        <v>174</v>
      </c>
      <c r="D3" s="189"/>
      <c r="E3" s="189"/>
      <c r="F3" s="190" t="s">
        <v>102</v>
      </c>
    </row>
    <row r="4" spans="1:11" s="324" customFormat="1" ht="26.25" customHeight="1" x14ac:dyDescent="0.25">
      <c r="A4" s="344" t="s">
        <v>177</v>
      </c>
      <c r="B4" s="345">
        <f>B8+B10+B12+B16+B18</f>
        <v>45792.4</v>
      </c>
      <c r="C4" s="345">
        <f>C8+C10+C12+C16+C18</f>
        <v>44563.899999999994</v>
      </c>
      <c r="D4" s="254">
        <v>19621.900000000001</v>
      </c>
      <c r="E4" s="191">
        <f>D4-C4</f>
        <v>-24941.999999999993</v>
      </c>
      <c r="F4" s="322" t="s">
        <v>103</v>
      </c>
      <c r="G4" s="323"/>
      <c r="H4" s="324">
        <v>45792.4</v>
      </c>
      <c r="I4" s="324">
        <v>44563.9</v>
      </c>
      <c r="J4" s="63">
        <f>B4-H4</f>
        <v>0</v>
      </c>
      <c r="K4" s="63">
        <f>C4-I4</f>
        <v>0</v>
      </c>
    </row>
    <row r="5" spans="1:11" ht="13.5" customHeight="1" x14ac:dyDescent="0.25">
      <c r="A5" s="346" t="s">
        <v>155</v>
      </c>
      <c r="B5" s="343">
        <f>B14</f>
        <v>6469.9</v>
      </c>
      <c r="C5" s="343">
        <f>C14</f>
        <v>6469.9</v>
      </c>
      <c r="D5" s="254"/>
      <c r="E5" s="191"/>
      <c r="F5" s="192"/>
      <c r="H5" s="63"/>
    </row>
    <row r="6" spans="1:11" ht="12" customHeight="1" x14ac:dyDescent="0.25">
      <c r="A6" s="346" t="s">
        <v>1</v>
      </c>
      <c r="B6" s="343">
        <f>B13+B19</f>
        <v>15007.699999999999</v>
      </c>
      <c r="C6" s="343">
        <f>C13+C19</f>
        <v>15007.699999999999</v>
      </c>
      <c r="D6" s="193"/>
      <c r="E6" s="193"/>
      <c r="F6" s="194">
        <f>G6-B6</f>
        <v>4022.3000000000011</v>
      </c>
      <c r="G6" s="194">
        <v>19030</v>
      </c>
    </row>
    <row r="7" spans="1:11" ht="13.5" customHeight="1" x14ac:dyDescent="0.25">
      <c r="A7" s="346" t="s">
        <v>2</v>
      </c>
      <c r="B7" s="343">
        <f>B9+B11+B15+B17+B20</f>
        <v>24314.799999999999</v>
      </c>
      <c r="C7" s="343">
        <f>C9+C11+C15+C17+C20</f>
        <v>23086.3</v>
      </c>
      <c r="D7" s="193"/>
      <c r="E7" s="193"/>
      <c r="F7" s="194">
        <f>G7-B7</f>
        <v>-14883.74</v>
      </c>
      <c r="G7" s="194">
        <v>9431.06</v>
      </c>
    </row>
    <row r="8" spans="1:11" ht="25.5" customHeight="1" x14ac:dyDescent="0.25">
      <c r="A8" s="347" t="s">
        <v>134</v>
      </c>
      <c r="B8" s="343">
        <v>503.2</v>
      </c>
      <c r="C8" s="343">
        <v>503.2</v>
      </c>
      <c r="D8" s="195">
        <f>B8+B10+B12+B16+B18</f>
        <v>45792.4</v>
      </c>
      <c r="E8" s="196"/>
    </row>
    <row r="9" spans="1:11" ht="12.75" customHeight="1" x14ac:dyDescent="0.25">
      <c r="A9" s="347" t="s">
        <v>4</v>
      </c>
      <c r="B9" s="348">
        <v>503.2</v>
      </c>
      <c r="C9" s="349">
        <v>503.2</v>
      </c>
      <c r="D9" s="198"/>
      <c r="E9" s="198"/>
    </row>
    <row r="10" spans="1:11" ht="24.75" customHeight="1" x14ac:dyDescent="0.25">
      <c r="A10" s="350" t="s">
        <v>127</v>
      </c>
      <c r="B10" s="343">
        <v>45</v>
      </c>
      <c r="C10" s="343">
        <v>45</v>
      </c>
      <c r="D10" s="196"/>
      <c r="E10" s="196"/>
    </row>
    <row r="11" spans="1:11" ht="12.75" customHeight="1" x14ac:dyDescent="0.25">
      <c r="A11" s="351" t="s">
        <v>7</v>
      </c>
      <c r="B11" s="343">
        <v>45</v>
      </c>
      <c r="C11" s="349">
        <v>45</v>
      </c>
      <c r="D11" s="198"/>
      <c r="E11" s="198"/>
    </row>
    <row r="12" spans="1:11" ht="21.75" customHeight="1" x14ac:dyDescent="0.25">
      <c r="A12" s="350" t="s">
        <v>128</v>
      </c>
      <c r="B12" s="345">
        <v>38020.9</v>
      </c>
      <c r="C12" s="345">
        <v>37148.6</v>
      </c>
      <c r="D12" s="196"/>
      <c r="E12" s="196"/>
      <c r="J12" s="63"/>
      <c r="K12" s="63"/>
    </row>
    <row r="13" spans="1:11" ht="15" customHeight="1" x14ac:dyDescent="0.25">
      <c r="A13" s="352" t="s">
        <v>6</v>
      </c>
      <c r="B13" s="343">
        <v>14021.9</v>
      </c>
      <c r="C13" s="349">
        <v>14021.9</v>
      </c>
      <c r="D13" s="198"/>
      <c r="E13" s="198"/>
    </row>
    <row r="14" spans="1:11" ht="13.5" customHeight="1" x14ac:dyDescent="0.25">
      <c r="A14" s="352" t="s">
        <v>49</v>
      </c>
      <c r="B14" s="343">
        <v>6469.9</v>
      </c>
      <c r="C14" s="349">
        <v>6469.9</v>
      </c>
      <c r="D14" s="198"/>
      <c r="E14" s="198"/>
    </row>
    <row r="15" spans="1:11" ht="10.5" customHeight="1" x14ac:dyDescent="0.25">
      <c r="A15" s="352" t="s">
        <v>154</v>
      </c>
      <c r="B15" s="343">
        <v>17529.099999999999</v>
      </c>
      <c r="C15" s="343">
        <v>16656.8</v>
      </c>
      <c r="D15" s="198"/>
      <c r="E15" s="198"/>
    </row>
    <row r="16" spans="1:11" ht="15.75" customHeight="1" x14ac:dyDescent="0.25">
      <c r="A16" s="350" t="s">
        <v>129</v>
      </c>
      <c r="B16" s="343">
        <v>1300</v>
      </c>
      <c r="C16" s="343">
        <v>950</v>
      </c>
      <c r="D16" s="196"/>
      <c r="E16" s="196"/>
    </row>
    <row r="17" spans="1:11" ht="13.5" customHeight="1" x14ac:dyDescent="0.25">
      <c r="A17" s="351" t="s">
        <v>7</v>
      </c>
      <c r="B17" s="343">
        <v>1300</v>
      </c>
      <c r="C17" s="342">
        <v>950</v>
      </c>
      <c r="D17" s="199"/>
      <c r="E17" s="199"/>
    </row>
    <row r="18" spans="1:11" ht="15.75" customHeight="1" x14ac:dyDescent="0.25">
      <c r="A18" s="350" t="s">
        <v>189</v>
      </c>
      <c r="B18" s="343">
        <v>5923.3</v>
      </c>
      <c r="C18" s="343">
        <v>5917.1</v>
      </c>
      <c r="D18" s="196"/>
      <c r="E18" s="196"/>
      <c r="J18" s="63"/>
      <c r="K18" s="63"/>
    </row>
    <row r="19" spans="1:11" ht="12.75" customHeight="1" x14ac:dyDescent="0.25">
      <c r="A19" s="352" t="s">
        <v>6</v>
      </c>
      <c r="B19" s="343">
        <v>985.8</v>
      </c>
      <c r="C19" s="343">
        <v>985.8</v>
      </c>
      <c r="D19" s="196"/>
      <c r="E19" s="196"/>
    </row>
    <row r="20" spans="1:11" ht="12.75" customHeight="1" x14ac:dyDescent="0.25">
      <c r="A20" s="351" t="s">
        <v>7</v>
      </c>
      <c r="B20" s="343">
        <v>4937.5</v>
      </c>
      <c r="C20" s="342">
        <v>4931.3</v>
      </c>
      <c r="D20" s="199"/>
      <c r="E20" s="199"/>
    </row>
    <row r="21" spans="1:11" s="324" customFormat="1" ht="13.5" customHeight="1" x14ac:dyDescent="0.25">
      <c r="A21" s="344" t="s">
        <v>162</v>
      </c>
      <c r="B21" s="345">
        <f>B26+B30+B34</f>
        <v>58408.2</v>
      </c>
      <c r="C21" s="345">
        <f>C26+C30+C34</f>
        <v>58408.2</v>
      </c>
      <c r="D21" s="111">
        <v>35739.599999999999</v>
      </c>
      <c r="E21" s="200">
        <f>D21-C21</f>
        <v>-22668.6</v>
      </c>
      <c r="F21" s="322" t="s">
        <v>92</v>
      </c>
      <c r="G21" s="323">
        <f>G23+G24+G25</f>
        <v>47987.600000000006</v>
      </c>
      <c r="H21" s="324">
        <v>58408.2</v>
      </c>
      <c r="I21" s="324">
        <v>58408.2</v>
      </c>
      <c r="J21" s="63">
        <f>B21-H21</f>
        <v>0</v>
      </c>
      <c r="K21" s="63">
        <f>C21-I21</f>
        <v>0</v>
      </c>
    </row>
    <row r="22" spans="1:11" s="324" customFormat="1" ht="12" customHeight="1" x14ac:dyDescent="0.25">
      <c r="A22" s="344" t="s">
        <v>161</v>
      </c>
      <c r="B22" s="345">
        <f>B35</f>
        <v>1240.1400000000001</v>
      </c>
      <c r="C22" s="345">
        <f>C35</f>
        <v>1240.1400000000001</v>
      </c>
      <c r="D22" s="111"/>
      <c r="E22" s="200"/>
      <c r="F22" s="322"/>
      <c r="G22" s="323"/>
      <c r="J22" s="63"/>
      <c r="K22" s="63"/>
    </row>
    <row r="23" spans="1:11" ht="12" customHeight="1" x14ac:dyDescent="0.25">
      <c r="A23" s="353" t="s">
        <v>8</v>
      </c>
      <c r="B23" s="345">
        <f>B31+B36</f>
        <v>12204.6</v>
      </c>
      <c r="C23" s="345">
        <f>C31+C36</f>
        <v>13190.4</v>
      </c>
      <c r="D23" s="122"/>
      <c r="E23" s="122"/>
      <c r="F23" s="194">
        <f>G23-B23</f>
        <v>-9633.2000000000007</v>
      </c>
      <c r="G23" s="188">
        <v>2571.4</v>
      </c>
    </row>
    <row r="24" spans="1:11" ht="15" customHeight="1" x14ac:dyDescent="0.25">
      <c r="A24" s="353" t="s">
        <v>10</v>
      </c>
      <c r="B24" s="345">
        <f>B32+B37</f>
        <v>44963.5</v>
      </c>
      <c r="C24" s="345">
        <f>C32+C37</f>
        <v>43977.7</v>
      </c>
      <c r="D24" s="125">
        <f>B26+B30+B34</f>
        <v>58408.2</v>
      </c>
      <c r="E24" s="122"/>
      <c r="F24" s="194">
        <f>G24-B24</f>
        <v>-604.09999999999854</v>
      </c>
      <c r="G24" s="188">
        <v>44359.4</v>
      </c>
    </row>
    <row r="25" spans="1:11" ht="21.75" hidden="1" customHeight="1" x14ac:dyDescent="0.25">
      <c r="A25" s="353" t="s">
        <v>11</v>
      </c>
      <c r="B25" s="343">
        <f t="shared" ref="B25:C25" si="0">B29+B33+B38</f>
        <v>0</v>
      </c>
      <c r="C25" s="343">
        <f t="shared" si="0"/>
        <v>0</v>
      </c>
      <c r="D25" s="122"/>
      <c r="E25" s="122"/>
      <c r="F25" s="194">
        <f>G25-B25</f>
        <v>1056.8</v>
      </c>
      <c r="G25" s="188">
        <v>1056.8</v>
      </c>
    </row>
    <row r="26" spans="1:11" ht="15.75" customHeight="1" x14ac:dyDescent="0.25">
      <c r="A26" s="354" t="s">
        <v>145</v>
      </c>
      <c r="B26" s="343">
        <f>SUM(B27:B29)</f>
        <v>0</v>
      </c>
      <c r="C26" s="343">
        <f>SUM(C27:C29)</f>
        <v>0</v>
      </c>
      <c r="D26" s="201"/>
      <c r="E26" s="201"/>
    </row>
    <row r="27" spans="1:11" ht="21.75" hidden="1" customHeight="1" x14ac:dyDescent="0.25">
      <c r="A27" s="352" t="s">
        <v>8</v>
      </c>
      <c r="B27" s="343">
        <v>0</v>
      </c>
      <c r="C27" s="349">
        <v>0</v>
      </c>
      <c r="D27" s="198"/>
      <c r="E27" s="198"/>
    </row>
    <row r="28" spans="1:11" ht="21.75" hidden="1" customHeight="1" x14ac:dyDescent="0.25">
      <c r="A28" s="352" t="s">
        <v>10</v>
      </c>
      <c r="B28" s="343">
        <v>0</v>
      </c>
      <c r="C28" s="349">
        <v>0</v>
      </c>
      <c r="D28" s="198"/>
      <c r="E28" s="198"/>
    </row>
    <row r="29" spans="1:11" ht="21.75" hidden="1" customHeight="1" x14ac:dyDescent="0.25">
      <c r="A29" s="352" t="s">
        <v>11</v>
      </c>
      <c r="B29" s="343">
        <v>0</v>
      </c>
      <c r="C29" s="349">
        <v>0</v>
      </c>
      <c r="D29" s="198"/>
      <c r="E29" s="198"/>
    </row>
    <row r="30" spans="1:11" ht="14.25" customHeight="1" x14ac:dyDescent="0.25">
      <c r="A30" s="354" t="s">
        <v>157</v>
      </c>
      <c r="B30" s="343">
        <v>11965.6</v>
      </c>
      <c r="C30" s="343">
        <v>11965.6</v>
      </c>
      <c r="D30" s="201"/>
      <c r="E30" s="201"/>
      <c r="J30" s="63"/>
      <c r="K30" s="63"/>
    </row>
    <row r="31" spans="1:11" ht="15" customHeight="1" x14ac:dyDescent="0.25">
      <c r="A31" s="352" t="s">
        <v>8</v>
      </c>
      <c r="B31" s="343">
        <v>2053</v>
      </c>
      <c r="C31" s="349">
        <v>2053</v>
      </c>
      <c r="D31" s="198"/>
      <c r="E31" s="198"/>
    </row>
    <row r="32" spans="1:11" ht="13.5" customHeight="1" x14ac:dyDescent="0.25">
      <c r="A32" s="352" t="s">
        <v>10</v>
      </c>
      <c r="B32" s="343">
        <v>9912.6</v>
      </c>
      <c r="C32" s="349">
        <v>9912.6</v>
      </c>
      <c r="D32" s="198"/>
      <c r="E32" s="198"/>
    </row>
    <row r="33" spans="1:11" ht="21.75" hidden="1" customHeight="1" x14ac:dyDescent="0.25">
      <c r="A33" s="352" t="s">
        <v>11</v>
      </c>
      <c r="B33" s="343">
        <v>0</v>
      </c>
      <c r="C33" s="349">
        <v>0</v>
      </c>
      <c r="D33" s="198"/>
      <c r="E33" s="198"/>
    </row>
    <row r="34" spans="1:11" ht="21.75" customHeight="1" x14ac:dyDescent="0.25">
      <c r="A34" s="354" t="s">
        <v>178</v>
      </c>
      <c r="B34" s="343">
        <v>46442.6</v>
      </c>
      <c r="C34" s="343">
        <v>46442.6</v>
      </c>
      <c r="D34" s="265">
        <f t="shared" ref="D34:G34" si="1">SUM(D35:D38)</f>
        <v>0</v>
      </c>
      <c r="E34" s="265">
        <f t="shared" si="1"/>
        <v>0</v>
      </c>
      <c r="F34" s="265">
        <f t="shared" si="1"/>
        <v>0</v>
      </c>
      <c r="G34" s="265">
        <f t="shared" si="1"/>
        <v>0</v>
      </c>
      <c r="J34" s="63"/>
      <c r="K34" s="63"/>
    </row>
    <row r="35" spans="1:11" ht="13.5" customHeight="1" x14ac:dyDescent="0.25">
      <c r="A35" s="344" t="s">
        <v>161</v>
      </c>
      <c r="B35" s="343">
        <v>1240.1400000000001</v>
      </c>
      <c r="C35" s="343">
        <v>1240.1400000000001</v>
      </c>
      <c r="D35" s="201"/>
      <c r="E35" s="201"/>
    </row>
    <row r="36" spans="1:11" ht="12.75" customHeight="1" x14ac:dyDescent="0.25">
      <c r="A36" s="352" t="s">
        <v>8</v>
      </c>
      <c r="B36" s="343">
        <v>10151.6</v>
      </c>
      <c r="C36" s="349">
        <v>11137.4</v>
      </c>
      <c r="D36" s="198"/>
      <c r="E36" s="198"/>
    </row>
    <row r="37" spans="1:11" ht="11.25" customHeight="1" x14ac:dyDescent="0.25">
      <c r="A37" s="352" t="s">
        <v>10</v>
      </c>
      <c r="B37" s="343">
        <v>35050.9</v>
      </c>
      <c r="C37" s="349">
        <v>34065.1</v>
      </c>
      <c r="D37" s="198"/>
      <c r="E37" s="198"/>
    </row>
    <row r="38" spans="1:11" ht="21.75" hidden="1" customHeight="1" x14ac:dyDescent="0.25">
      <c r="A38" s="352" t="s">
        <v>11</v>
      </c>
      <c r="B38" s="343">
        <v>0</v>
      </c>
      <c r="C38" s="349">
        <v>0</v>
      </c>
      <c r="D38" s="198"/>
      <c r="E38" s="198"/>
    </row>
    <row r="39" spans="1:11" s="324" customFormat="1" ht="12" customHeight="1" x14ac:dyDescent="0.25">
      <c r="A39" s="355" t="s">
        <v>182</v>
      </c>
      <c r="B39" s="345">
        <f>B44+B48+B53+B56+B59+B63+B65+B67</f>
        <v>766392.79999999993</v>
      </c>
      <c r="C39" s="345">
        <f>C44+C48+C53+C56+C59+C63+C65+C67</f>
        <v>761538.20000000019</v>
      </c>
      <c r="D39" s="114">
        <v>505930.5</v>
      </c>
      <c r="E39" s="125">
        <f>D39-C39</f>
        <v>-255607.70000000019</v>
      </c>
      <c r="F39" s="323" t="s">
        <v>93</v>
      </c>
      <c r="G39" s="325">
        <f>647740.1-B39</f>
        <v>-118652.69999999995</v>
      </c>
      <c r="H39" s="324">
        <v>766392.8</v>
      </c>
      <c r="I39" s="324">
        <v>761538.2</v>
      </c>
      <c r="J39" s="63">
        <f>H39-B39</f>
        <v>0</v>
      </c>
      <c r="K39" s="63">
        <f>I39-C39</f>
        <v>0</v>
      </c>
    </row>
    <row r="40" spans="1:11" ht="13.5" customHeight="1" x14ac:dyDescent="0.25">
      <c r="A40" s="353" t="s">
        <v>48</v>
      </c>
      <c r="B40" s="343">
        <f>B49</f>
        <v>51530.8</v>
      </c>
      <c r="C40" s="343">
        <f>C49</f>
        <v>49445.1</v>
      </c>
      <c r="D40" s="122"/>
      <c r="E40" s="122"/>
      <c r="F40" s="194">
        <f>G40-B40</f>
        <v>-49959.100000000006</v>
      </c>
      <c r="G40" s="188">
        <v>1571.7</v>
      </c>
    </row>
    <row r="41" spans="1:11" ht="12.75" customHeight="1" x14ac:dyDescent="0.25">
      <c r="A41" s="353" t="s">
        <v>8</v>
      </c>
      <c r="B41" s="343">
        <f>B45+B50+B54+B57+B60+B68</f>
        <v>458227.62999999995</v>
      </c>
      <c r="C41" s="343">
        <f>C45+C50+C54+C57+C60+C68</f>
        <v>457611.13</v>
      </c>
      <c r="D41" s="202">
        <f>B40+B41+B42+B43</f>
        <v>766392.83</v>
      </c>
      <c r="E41" s="202"/>
      <c r="F41" s="194">
        <f>G41-B41</f>
        <v>-112827.52999999997</v>
      </c>
      <c r="G41" s="188">
        <v>345400.1</v>
      </c>
    </row>
    <row r="42" spans="1:11" ht="13.5" customHeight="1" x14ac:dyDescent="0.25">
      <c r="A42" s="353" t="s">
        <v>9</v>
      </c>
      <c r="B42" s="343">
        <f>B46+B51+B55+B61+B64+B69</f>
        <v>256634.4</v>
      </c>
      <c r="C42" s="343">
        <f>C46+C51+C55+C61+C64+C69</f>
        <v>254482</v>
      </c>
      <c r="D42" s="202"/>
      <c r="E42" s="202"/>
      <c r="F42" s="194">
        <f>G42-B42</f>
        <v>672</v>
      </c>
      <c r="G42" s="188">
        <v>257306.4</v>
      </c>
    </row>
    <row r="43" spans="1:11" ht="12" customHeight="1" x14ac:dyDescent="0.25">
      <c r="A43" s="353" t="s">
        <v>11</v>
      </c>
      <c r="B43" s="343">
        <f>B47+B52+B62+B70</f>
        <v>0</v>
      </c>
      <c r="C43" s="343">
        <f>C47+C52+C62+C70</f>
        <v>0</v>
      </c>
      <c r="D43" s="202"/>
      <c r="E43" s="202"/>
      <c r="F43" s="194">
        <f>G43-B43</f>
        <v>19650</v>
      </c>
      <c r="G43" s="188">
        <v>19650</v>
      </c>
    </row>
    <row r="44" spans="1:11" ht="12.75" customHeight="1" x14ac:dyDescent="0.25">
      <c r="A44" s="347" t="s">
        <v>136</v>
      </c>
      <c r="B44" s="343">
        <v>167774.3</v>
      </c>
      <c r="C44" s="343">
        <v>167656.79999999999</v>
      </c>
      <c r="D44" s="203"/>
      <c r="E44" s="203"/>
      <c r="J44" s="63"/>
      <c r="K44" s="63"/>
    </row>
    <row r="45" spans="1:11" ht="13.5" customHeight="1" x14ac:dyDescent="0.25">
      <c r="A45" s="352" t="s">
        <v>8</v>
      </c>
      <c r="B45" s="343">
        <v>104959.5</v>
      </c>
      <c r="C45" s="349">
        <v>104959.5</v>
      </c>
      <c r="D45" s="198"/>
      <c r="E45" s="198"/>
      <c r="H45" s="63"/>
    </row>
    <row r="46" spans="1:11" ht="13.5" customHeight="1" x14ac:dyDescent="0.25">
      <c r="A46" s="352" t="s">
        <v>10</v>
      </c>
      <c r="B46" s="343">
        <v>62814.8</v>
      </c>
      <c r="C46" s="349">
        <v>62697.3</v>
      </c>
      <c r="D46" s="198"/>
      <c r="E46" s="198"/>
    </row>
    <row r="47" spans="1:11" ht="11.25" customHeight="1" x14ac:dyDescent="0.25">
      <c r="A47" s="352" t="s">
        <v>11</v>
      </c>
      <c r="B47" s="343">
        <v>0</v>
      </c>
      <c r="C47" s="349">
        <v>0</v>
      </c>
      <c r="D47" s="198"/>
      <c r="E47" s="198"/>
    </row>
    <row r="48" spans="1:11" ht="13.5" customHeight="1" x14ac:dyDescent="0.25">
      <c r="A48" s="347" t="s">
        <v>137</v>
      </c>
      <c r="B48" s="343">
        <v>474733.2</v>
      </c>
      <c r="C48" s="343">
        <v>470456.5</v>
      </c>
      <c r="D48" s="203"/>
      <c r="E48" s="203"/>
      <c r="J48" s="63"/>
      <c r="K48" s="63"/>
    </row>
    <row r="49" spans="1:11" ht="12.75" customHeight="1" x14ac:dyDescent="0.25">
      <c r="A49" s="347" t="s">
        <v>49</v>
      </c>
      <c r="B49" s="342">
        <v>51530.8</v>
      </c>
      <c r="C49" s="356">
        <v>49445.1</v>
      </c>
      <c r="D49" s="204"/>
      <c r="E49" s="204"/>
    </row>
    <row r="50" spans="1:11" ht="13.5" customHeight="1" x14ac:dyDescent="0.25">
      <c r="A50" s="352" t="s">
        <v>8</v>
      </c>
      <c r="B50" s="342">
        <v>302266.7</v>
      </c>
      <c r="C50" s="349">
        <v>301942.90000000002</v>
      </c>
      <c r="D50" s="198"/>
      <c r="E50" s="198"/>
      <c r="I50" s="340"/>
    </row>
    <row r="51" spans="1:11" ht="12" customHeight="1" x14ac:dyDescent="0.25">
      <c r="A51" s="352" t="s">
        <v>10</v>
      </c>
      <c r="B51" s="342">
        <v>120935.7</v>
      </c>
      <c r="C51" s="349">
        <v>119068.5</v>
      </c>
      <c r="D51" s="198"/>
      <c r="E51" s="198"/>
    </row>
    <row r="52" spans="1:11" ht="21.75" hidden="1" customHeight="1" x14ac:dyDescent="0.25">
      <c r="A52" s="352" t="s">
        <v>11</v>
      </c>
      <c r="B52" s="357"/>
      <c r="C52" s="349"/>
      <c r="D52" s="198"/>
      <c r="E52" s="198"/>
    </row>
    <row r="53" spans="1:11" ht="12.75" customHeight="1" x14ac:dyDescent="0.25">
      <c r="A53" s="347" t="s">
        <v>138</v>
      </c>
      <c r="B53" s="358">
        <v>11677.6</v>
      </c>
      <c r="C53" s="358">
        <v>11572.3</v>
      </c>
      <c r="D53" s="205"/>
      <c r="E53" s="205"/>
      <c r="J53" s="63"/>
      <c r="K53" s="63"/>
    </row>
    <row r="54" spans="1:11" ht="12.75" customHeight="1" x14ac:dyDescent="0.25">
      <c r="A54" s="351" t="s">
        <v>12</v>
      </c>
      <c r="B54" s="342">
        <v>3635.13</v>
      </c>
      <c r="C54" s="349">
        <v>3635.13</v>
      </c>
      <c r="D54" s="198"/>
      <c r="E54" s="198"/>
    </row>
    <row r="55" spans="1:11" ht="11.25" customHeight="1" x14ac:dyDescent="0.25">
      <c r="A55" s="352" t="s">
        <v>10</v>
      </c>
      <c r="B55" s="357">
        <v>8042.5</v>
      </c>
      <c r="C55" s="349">
        <v>7937.2</v>
      </c>
      <c r="D55" s="198"/>
      <c r="E55" s="198"/>
    </row>
    <row r="56" spans="1:11" ht="26.25" customHeight="1" x14ac:dyDescent="0.25">
      <c r="A56" s="347" t="s">
        <v>139</v>
      </c>
      <c r="B56" s="343">
        <v>23420.1</v>
      </c>
      <c r="C56" s="343">
        <v>23202.799999999999</v>
      </c>
      <c r="D56" s="201"/>
      <c r="E56" s="201"/>
      <c r="J56" s="63"/>
      <c r="K56" s="63"/>
    </row>
    <row r="57" spans="1:11" ht="11.25" customHeight="1" x14ac:dyDescent="0.25">
      <c r="A57" s="352" t="s">
        <v>8</v>
      </c>
      <c r="B57" s="342">
        <v>23420.1</v>
      </c>
      <c r="C57" s="349">
        <v>23202.799999999999</v>
      </c>
      <c r="D57" s="198"/>
      <c r="E57" s="198"/>
    </row>
    <row r="58" spans="1:11" ht="21.75" hidden="1" customHeight="1" x14ac:dyDescent="0.25">
      <c r="A58" s="352" t="s">
        <v>9</v>
      </c>
      <c r="B58" s="342">
        <v>0</v>
      </c>
      <c r="C58" s="349">
        <v>0</v>
      </c>
      <c r="D58" s="198"/>
      <c r="E58" s="198"/>
    </row>
    <row r="59" spans="1:11" ht="13.5" customHeight="1" x14ac:dyDescent="0.25">
      <c r="A59" s="359" t="s">
        <v>190</v>
      </c>
      <c r="B59" s="343">
        <v>5984.1</v>
      </c>
      <c r="C59" s="343">
        <v>5949.3</v>
      </c>
      <c r="D59" s="201"/>
      <c r="E59" s="201"/>
      <c r="J59" s="63"/>
      <c r="K59" s="63"/>
    </row>
    <row r="60" spans="1:11" ht="12.75" customHeight="1" x14ac:dyDescent="0.25">
      <c r="A60" s="352" t="s">
        <v>8</v>
      </c>
      <c r="B60" s="342">
        <v>3644.6</v>
      </c>
      <c r="C60" s="349">
        <v>3609.8</v>
      </c>
      <c r="D60" s="198"/>
      <c r="E60" s="198"/>
    </row>
    <row r="61" spans="1:11" ht="13.5" customHeight="1" x14ac:dyDescent="0.25">
      <c r="A61" s="352" t="s">
        <v>10</v>
      </c>
      <c r="B61" s="342">
        <v>2339.5</v>
      </c>
      <c r="C61" s="349">
        <v>2339.5</v>
      </c>
      <c r="D61" s="198"/>
      <c r="E61" s="198"/>
    </row>
    <row r="62" spans="1:11" ht="21.75" hidden="1" customHeight="1" x14ac:dyDescent="0.25">
      <c r="A62" s="352" t="s">
        <v>11</v>
      </c>
      <c r="B62" s="342">
        <v>0</v>
      </c>
      <c r="C62" s="349">
        <v>0</v>
      </c>
      <c r="D62" s="198"/>
      <c r="E62" s="198"/>
    </row>
    <row r="63" spans="1:11" ht="12.75" customHeight="1" x14ac:dyDescent="0.25">
      <c r="A63" s="347" t="s">
        <v>141</v>
      </c>
      <c r="B63" s="343">
        <v>195.5</v>
      </c>
      <c r="C63" s="343">
        <v>195.5</v>
      </c>
      <c r="D63" s="201"/>
      <c r="E63" s="201"/>
      <c r="J63" s="63"/>
      <c r="K63" s="63"/>
    </row>
    <row r="64" spans="1:11" ht="13.5" customHeight="1" x14ac:dyDescent="0.25">
      <c r="A64" s="352" t="s">
        <v>10</v>
      </c>
      <c r="B64" s="357">
        <v>195.5</v>
      </c>
      <c r="C64" s="349">
        <v>195.5</v>
      </c>
      <c r="D64" s="198"/>
      <c r="E64" s="198"/>
    </row>
    <row r="65" spans="1:11" ht="26.25" customHeight="1" x14ac:dyDescent="0.25">
      <c r="A65" s="347" t="s">
        <v>142</v>
      </c>
      <c r="B65" s="358">
        <f>SUM(B66)</f>
        <v>0</v>
      </c>
      <c r="C65" s="358">
        <f>SUM(C66)</f>
        <v>0</v>
      </c>
      <c r="D65" s="206"/>
      <c r="E65" s="206"/>
      <c r="J65" s="63"/>
      <c r="K65" s="63"/>
    </row>
    <row r="66" spans="1:11" ht="21.75" hidden="1" customHeight="1" x14ac:dyDescent="0.25">
      <c r="A66" s="352" t="s">
        <v>10</v>
      </c>
      <c r="B66" s="357">
        <v>0</v>
      </c>
      <c r="C66" s="349">
        <v>0</v>
      </c>
      <c r="D66" s="198"/>
      <c r="E66" s="198"/>
    </row>
    <row r="67" spans="1:11" ht="13.5" customHeight="1" x14ac:dyDescent="0.25">
      <c r="A67" s="360" t="s">
        <v>143</v>
      </c>
      <c r="B67" s="358">
        <v>82608</v>
      </c>
      <c r="C67" s="358">
        <v>82505</v>
      </c>
      <c r="D67" s="206"/>
      <c r="E67" s="206"/>
      <c r="J67" s="63"/>
      <c r="K67" s="63"/>
    </row>
    <row r="68" spans="1:11" ht="12.75" customHeight="1" x14ac:dyDescent="0.25">
      <c r="A68" s="352" t="s">
        <v>8</v>
      </c>
      <c r="B68" s="342">
        <v>20301.599999999999</v>
      </c>
      <c r="C68" s="349">
        <v>20261</v>
      </c>
      <c r="D68" s="198"/>
      <c r="E68" s="198"/>
    </row>
    <row r="69" spans="1:11" ht="13.5" customHeight="1" x14ac:dyDescent="0.25">
      <c r="A69" s="352" t="s">
        <v>10</v>
      </c>
      <c r="B69" s="342">
        <v>62306.400000000001</v>
      </c>
      <c r="C69" s="349">
        <v>62244</v>
      </c>
      <c r="D69" s="198"/>
      <c r="E69" s="198"/>
    </row>
    <row r="70" spans="1:11" ht="21.75" hidden="1" customHeight="1" x14ac:dyDescent="0.25">
      <c r="A70" s="352" t="s">
        <v>11</v>
      </c>
      <c r="B70" s="342">
        <v>0</v>
      </c>
      <c r="C70" s="349">
        <v>0</v>
      </c>
      <c r="D70" s="198"/>
      <c r="E70" s="198"/>
    </row>
    <row r="71" spans="1:11" s="324" customFormat="1" ht="14.25" customHeight="1" x14ac:dyDescent="0.25">
      <c r="A71" s="344" t="s">
        <v>176</v>
      </c>
      <c r="B71" s="345">
        <f>B75+B78+B81+B83</f>
        <v>56862.399999999994</v>
      </c>
      <c r="C71" s="345">
        <f>C75+C78+C81+C83</f>
        <v>54098.7</v>
      </c>
      <c r="D71" s="114">
        <v>29743.8</v>
      </c>
      <c r="E71" s="127">
        <f>D71-C71</f>
        <v>-24354.899999999998</v>
      </c>
      <c r="F71" s="326" t="s">
        <v>58</v>
      </c>
      <c r="G71" s="327">
        <f>SUM(G72:G73)-B71</f>
        <v>-19548.199999999997</v>
      </c>
      <c r="H71" s="324">
        <v>56862.400000000001</v>
      </c>
      <c r="I71" s="324">
        <v>54098.7</v>
      </c>
      <c r="J71" s="63">
        <f>B71-H71</f>
        <v>0</v>
      </c>
      <c r="K71" s="63">
        <f>C71-I71</f>
        <v>0</v>
      </c>
    </row>
    <row r="72" spans="1:11" ht="12.75" customHeight="1" x14ac:dyDescent="0.25">
      <c r="A72" s="353" t="s">
        <v>8</v>
      </c>
      <c r="B72" s="343">
        <f>B79+B84</f>
        <v>1925.0360000000001</v>
      </c>
      <c r="C72" s="343">
        <f>C79+C82+C84</f>
        <v>1933.1360000000002</v>
      </c>
      <c r="D72" s="122"/>
      <c r="E72" s="122"/>
      <c r="F72" s="208">
        <f>G72-B72</f>
        <v>3710.0640000000003</v>
      </c>
      <c r="G72" s="209">
        <v>5635.1</v>
      </c>
    </row>
    <row r="73" spans="1:11" ht="11.25" customHeight="1" x14ac:dyDescent="0.25">
      <c r="A73" s="353" t="s">
        <v>10</v>
      </c>
      <c r="B73" s="343">
        <f>B80+B82+B85</f>
        <v>54937.4</v>
      </c>
      <c r="C73" s="343">
        <f>C80+C82+C85</f>
        <v>52173.7</v>
      </c>
      <c r="D73" s="122"/>
      <c r="E73" s="122"/>
      <c r="F73" s="208">
        <f>G73-B73</f>
        <v>-23258.300000000003</v>
      </c>
      <c r="G73" s="209">
        <v>31679.1</v>
      </c>
    </row>
    <row r="74" spans="1:11" ht="21.75" hidden="1" customHeight="1" x14ac:dyDescent="0.25">
      <c r="A74" s="353" t="s">
        <v>11</v>
      </c>
      <c r="B74" s="361">
        <v>0</v>
      </c>
      <c r="C74" s="361">
        <v>0</v>
      </c>
      <c r="D74" s="210"/>
      <c r="E74" s="210"/>
      <c r="F74" s="208">
        <f>G74-B74</f>
        <v>0</v>
      </c>
      <c r="G74" s="209"/>
    </row>
    <row r="75" spans="1:11" ht="16.5" customHeight="1" x14ac:dyDescent="0.25">
      <c r="A75" s="346" t="s">
        <v>107</v>
      </c>
      <c r="B75" s="343">
        <f>SUM(B76:B77)</f>
        <v>0</v>
      </c>
      <c r="C75" s="343">
        <f>SUM(C76:C77)</f>
        <v>0</v>
      </c>
      <c r="D75" s="201"/>
      <c r="E75" s="201"/>
      <c r="F75" s="194"/>
    </row>
    <row r="76" spans="1:11" ht="21.75" hidden="1" customHeight="1" x14ac:dyDescent="0.25">
      <c r="A76" s="352" t="s">
        <v>8</v>
      </c>
      <c r="B76" s="343">
        <v>0</v>
      </c>
      <c r="C76" s="362">
        <v>0</v>
      </c>
      <c r="D76" s="212"/>
      <c r="E76" s="212"/>
    </row>
    <row r="77" spans="1:11" ht="21.75" hidden="1" customHeight="1" x14ac:dyDescent="0.25">
      <c r="A77" s="352" t="s">
        <v>10</v>
      </c>
      <c r="B77" s="343">
        <v>0</v>
      </c>
      <c r="C77" s="362">
        <v>0</v>
      </c>
      <c r="D77" s="212"/>
      <c r="E77" s="212"/>
    </row>
    <row r="78" spans="1:11" ht="13.5" customHeight="1" x14ac:dyDescent="0.25">
      <c r="A78" s="363" t="s">
        <v>60</v>
      </c>
      <c r="B78" s="343">
        <v>48126.6</v>
      </c>
      <c r="C78" s="343">
        <v>45374.3</v>
      </c>
      <c r="D78" s="201"/>
      <c r="E78" s="201"/>
      <c r="J78" s="63"/>
      <c r="K78" s="63"/>
    </row>
    <row r="79" spans="1:11" ht="11.25" customHeight="1" x14ac:dyDescent="0.25">
      <c r="A79" s="352" t="s">
        <v>8</v>
      </c>
      <c r="B79" s="343">
        <v>5.1360000000000001</v>
      </c>
      <c r="C79" s="349">
        <v>5.1360000000000001</v>
      </c>
      <c r="D79" s="212"/>
      <c r="E79" s="212"/>
    </row>
    <row r="80" spans="1:11" ht="10.5" customHeight="1" x14ac:dyDescent="0.25">
      <c r="A80" s="352" t="s">
        <v>10</v>
      </c>
      <c r="B80" s="343">
        <v>48121.5</v>
      </c>
      <c r="C80" s="364">
        <v>45369.2</v>
      </c>
      <c r="D80" s="212"/>
      <c r="E80" s="212"/>
    </row>
    <row r="81" spans="1:11" ht="15" customHeight="1" x14ac:dyDescent="0.25">
      <c r="A81" s="365" t="s">
        <v>61</v>
      </c>
      <c r="B81" s="343">
        <v>8.1</v>
      </c>
      <c r="C81" s="343">
        <v>8.1</v>
      </c>
      <c r="D81" s="201"/>
      <c r="E81" s="201"/>
      <c r="J81" s="63"/>
      <c r="K81" s="63"/>
    </row>
    <row r="82" spans="1:11" ht="12" customHeight="1" x14ac:dyDescent="0.25">
      <c r="A82" s="352" t="s">
        <v>10</v>
      </c>
      <c r="B82" s="343">
        <v>8.1</v>
      </c>
      <c r="C82" s="349">
        <v>8.1</v>
      </c>
      <c r="D82" s="212"/>
      <c r="E82" s="212"/>
    </row>
    <row r="83" spans="1:11" ht="11.25" customHeight="1" x14ac:dyDescent="0.25">
      <c r="A83" s="363" t="s">
        <v>62</v>
      </c>
      <c r="B83" s="343">
        <v>8727.7000000000007</v>
      </c>
      <c r="C83" s="343">
        <v>8716.2999999999993</v>
      </c>
      <c r="D83" s="201"/>
      <c r="E83" s="201"/>
      <c r="J83" s="63"/>
      <c r="K83" s="63"/>
    </row>
    <row r="84" spans="1:11" ht="12.75" customHeight="1" x14ac:dyDescent="0.25">
      <c r="A84" s="363" t="s">
        <v>8</v>
      </c>
      <c r="B84" s="343">
        <v>1919.9</v>
      </c>
      <c r="C84" s="349">
        <v>1919.9</v>
      </c>
      <c r="D84" s="212"/>
      <c r="E84" s="212"/>
    </row>
    <row r="85" spans="1:11" ht="12" customHeight="1" x14ac:dyDescent="0.25">
      <c r="A85" s="352" t="s">
        <v>10</v>
      </c>
      <c r="B85" s="343">
        <v>6807.8</v>
      </c>
      <c r="C85" s="349">
        <v>6796.4</v>
      </c>
      <c r="D85" s="212"/>
      <c r="E85" s="212"/>
    </row>
    <row r="86" spans="1:11" s="324" customFormat="1" ht="13.5" customHeight="1" x14ac:dyDescent="0.25">
      <c r="A86" s="344" t="s">
        <v>191</v>
      </c>
      <c r="B86" s="345">
        <f>SUM(B87:B90)</f>
        <v>35526.699999999997</v>
      </c>
      <c r="C86" s="345">
        <f>SUM(C87:C90)</f>
        <v>34609.699999999997</v>
      </c>
      <c r="D86" s="114">
        <v>21399</v>
      </c>
      <c r="E86" s="125">
        <f>D86-C86</f>
        <v>-13210.699999999997</v>
      </c>
      <c r="F86" s="328" t="s">
        <v>67</v>
      </c>
      <c r="G86" s="316"/>
      <c r="H86" s="324">
        <v>35526.699999999997</v>
      </c>
      <c r="I86" s="324">
        <v>34609.699999999997</v>
      </c>
      <c r="J86" s="63">
        <f>B86-H86</f>
        <v>0</v>
      </c>
      <c r="K86" s="63">
        <f>C86-I86</f>
        <v>0</v>
      </c>
    </row>
    <row r="87" spans="1:11" ht="15" customHeight="1" x14ac:dyDescent="0.25">
      <c r="A87" s="353" t="s">
        <v>13</v>
      </c>
      <c r="B87" s="343">
        <v>350</v>
      </c>
      <c r="C87" s="364">
        <v>337</v>
      </c>
      <c r="D87" s="123"/>
      <c r="E87" s="123"/>
      <c r="F87" s="209"/>
      <c r="G87" s="209"/>
    </row>
    <row r="88" spans="1:11" s="50" customFormat="1" ht="15" customHeight="1" x14ac:dyDescent="0.2">
      <c r="A88" s="353" t="s">
        <v>36</v>
      </c>
      <c r="B88" s="343">
        <v>350</v>
      </c>
      <c r="C88" s="364">
        <v>0</v>
      </c>
      <c r="D88" s="123"/>
      <c r="E88" s="123"/>
      <c r="F88" s="209"/>
      <c r="G88" s="209"/>
    </row>
    <row r="89" spans="1:11" s="50" customFormat="1" ht="12.75" customHeight="1" x14ac:dyDescent="0.2">
      <c r="A89" s="346" t="s">
        <v>44</v>
      </c>
      <c r="B89" s="343">
        <v>2787.1</v>
      </c>
      <c r="C89" s="349">
        <v>2787.1</v>
      </c>
      <c r="D89" s="123"/>
      <c r="E89" s="123"/>
      <c r="F89" s="209"/>
      <c r="G89" s="209"/>
    </row>
    <row r="90" spans="1:11" s="50" customFormat="1" ht="13.5" customHeight="1" x14ac:dyDescent="0.25">
      <c r="A90" s="346" t="s">
        <v>158</v>
      </c>
      <c r="B90" s="343">
        <v>32039.599999999999</v>
      </c>
      <c r="C90" s="343">
        <v>31485.599999999999</v>
      </c>
      <c r="D90" s="123"/>
      <c r="E90" s="123"/>
      <c r="F90" s="209"/>
      <c r="G90" s="209"/>
      <c r="J90" s="63"/>
      <c r="K90" s="63"/>
    </row>
    <row r="91" spans="1:11" s="50" customFormat="1" ht="21.75" hidden="1" customHeight="1" x14ac:dyDescent="0.2">
      <c r="A91" s="346" t="s">
        <v>8</v>
      </c>
      <c r="B91" s="343"/>
      <c r="C91" s="349"/>
      <c r="D91" s="123"/>
      <c r="E91" s="123"/>
      <c r="F91" s="209"/>
      <c r="G91" s="209"/>
    </row>
    <row r="92" spans="1:11" s="50" customFormat="1" ht="21.75" hidden="1" customHeight="1" x14ac:dyDescent="0.2">
      <c r="A92" s="346" t="s">
        <v>9</v>
      </c>
      <c r="B92" s="343"/>
      <c r="C92" s="349"/>
      <c r="D92" s="123"/>
      <c r="E92" s="123"/>
      <c r="F92" s="209"/>
      <c r="G92" s="209"/>
    </row>
    <row r="93" spans="1:11" s="317" customFormat="1" ht="14.25" customHeight="1" x14ac:dyDescent="0.25">
      <c r="A93" s="366" t="s">
        <v>188</v>
      </c>
      <c r="B93" s="345">
        <v>1326</v>
      </c>
      <c r="C93" s="345">
        <v>1317.9</v>
      </c>
      <c r="D93" s="122">
        <v>210</v>
      </c>
      <c r="E93" s="122">
        <f>D93-C93</f>
        <v>-1107.9000000000001</v>
      </c>
      <c r="F93" s="322" t="s">
        <v>70</v>
      </c>
      <c r="G93" s="323"/>
      <c r="H93" s="317">
        <v>1326</v>
      </c>
      <c r="I93" s="317">
        <v>1317.9</v>
      </c>
      <c r="J93" s="104">
        <f>B93-H93</f>
        <v>0</v>
      </c>
      <c r="K93" s="104">
        <f>C93-I93</f>
        <v>0</v>
      </c>
    </row>
    <row r="94" spans="1:11" ht="15" customHeight="1" x14ac:dyDescent="0.25">
      <c r="A94" s="353" t="s">
        <v>19</v>
      </c>
      <c r="B94" s="343">
        <v>1250.4000000000001</v>
      </c>
      <c r="C94" s="349">
        <v>1250.4000000000001</v>
      </c>
      <c r="D94" s="198"/>
      <c r="E94" s="198"/>
    </row>
    <row r="95" spans="1:11" ht="11.25" customHeight="1" x14ac:dyDescent="0.25">
      <c r="A95" s="353" t="s">
        <v>8</v>
      </c>
      <c r="B95" s="343">
        <v>25.5</v>
      </c>
      <c r="C95" s="349">
        <v>25.5</v>
      </c>
      <c r="D95" s="198"/>
      <c r="E95" s="198"/>
    </row>
    <row r="96" spans="1:11" ht="9.75" customHeight="1" x14ac:dyDescent="0.25">
      <c r="A96" s="353" t="s">
        <v>9</v>
      </c>
      <c r="B96" s="343"/>
      <c r="C96" s="349">
        <v>42</v>
      </c>
      <c r="D96" s="198"/>
      <c r="E96" s="198"/>
    </row>
    <row r="97" spans="1:11" ht="21.75" hidden="1" customHeight="1" x14ac:dyDescent="0.25">
      <c r="A97" s="367" t="s">
        <v>69</v>
      </c>
      <c r="B97" s="343"/>
      <c r="C97" s="349"/>
      <c r="D97" s="198"/>
      <c r="E97" s="198"/>
    </row>
    <row r="98" spans="1:11" s="324" customFormat="1" ht="21.75" hidden="1" customHeight="1" x14ac:dyDescent="0.25">
      <c r="A98" s="366" t="s">
        <v>125</v>
      </c>
      <c r="B98" s="345">
        <f>SUM(B99:B99)</f>
        <v>0</v>
      </c>
      <c r="C98" s="345">
        <f>SUM(C99:C99)</f>
        <v>0</v>
      </c>
      <c r="D98" s="122">
        <v>90</v>
      </c>
      <c r="E98" s="125">
        <f>D98-C98</f>
        <v>90</v>
      </c>
      <c r="F98" s="322" t="s">
        <v>65</v>
      </c>
      <c r="G98" s="323"/>
    </row>
    <row r="99" spans="1:11" ht="21.75" hidden="1" customHeight="1" x14ac:dyDescent="0.25">
      <c r="A99" s="353" t="s">
        <v>9</v>
      </c>
      <c r="B99" s="343">
        <v>0</v>
      </c>
      <c r="C99" s="349">
        <v>0</v>
      </c>
      <c r="D99" s="198"/>
      <c r="E99" s="198"/>
    </row>
    <row r="100" spans="1:11" s="324" customFormat="1" ht="21.75" hidden="1" customHeight="1" x14ac:dyDescent="0.25">
      <c r="A100" s="344" t="s">
        <v>149</v>
      </c>
      <c r="B100" s="345">
        <f>SUM(B101:B101)</f>
        <v>0</v>
      </c>
      <c r="C100" s="345">
        <f>SUM(C101:C101)</f>
        <v>0</v>
      </c>
      <c r="D100" s="122"/>
      <c r="E100" s="122"/>
      <c r="F100" s="322" t="s">
        <v>65</v>
      </c>
      <c r="G100" s="323"/>
    </row>
    <row r="101" spans="1:11" ht="21.75" hidden="1" customHeight="1" x14ac:dyDescent="0.25">
      <c r="A101" s="353" t="s">
        <v>9</v>
      </c>
      <c r="B101" s="343">
        <v>0</v>
      </c>
      <c r="C101" s="349"/>
      <c r="D101" s="198"/>
      <c r="E101" s="198"/>
    </row>
    <row r="102" spans="1:11" s="317" customFormat="1" ht="21.75" hidden="1" customHeight="1" x14ac:dyDescent="0.25">
      <c r="A102" s="344" t="s">
        <v>150</v>
      </c>
      <c r="B102" s="345">
        <f>SUM(B103:B104)</f>
        <v>0</v>
      </c>
      <c r="C102" s="345">
        <f>SUM(C103)</f>
        <v>0</v>
      </c>
      <c r="D102" s="329"/>
      <c r="E102" s="329"/>
      <c r="F102" s="323"/>
      <c r="G102" s="323"/>
      <c r="J102" s="63"/>
      <c r="K102" s="63"/>
    </row>
    <row r="103" spans="1:11" s="50" customFormat="1" ht="21.75" hidden="1" customHeight="1" x14ac:dyDescent="0.25">
      <c r="A103" s="353" t="s">
        <v>9</v>
      </c>
      <c r="B103" s="343"/>
      <c r="C103" s="349"/>
      <c r="D103" s="198"/>
      <c r="E103" s="198"/>
      <c r="F103" s="188"/>
      <c r="G103" s="188"/>
    </row>
    <row r="104" spans="1:11" s="50" customFormat="1" ht="21.75" hidden="1" customHeight="1" x14ac:dyDescent="0.25">
      <c r="A104" s="353" t="s">
        <v>18</v>
      </c>
      <c r="B104" s="343"/>
      <c r="C104" s="362"/>
      <c r="D104" s="198"/>
      <c r="E104" s="198"/>
      <c r="F104" s="188"/>
      <c r="G104" s="188"/>
    </row>
    <row r="105" spans="1:11" s="317" customFormat="1" ht="21.75" hidden="1" customHeight="1" x14ac:dyDescent="0.25">
      <c r="A105" s="355" t="s">
        <v>159</v>
      </c>
      <c r="B105" s="345">
        <f>B106</f>
        <v>0</v>
      </c>
      <c r="C105" s="345">
        <f>C106</f>
        <v>0</v>
      </c>
      <c r="D105" s="329"/>
      <c r="E105" s="329"/>
      <c r="F105" s="323"/>
      <c r="G105" s="323"/>
      <c r="J105" s="63"/>
      <c r="K105" s="63"/>
    </row>
    <row r="106" spans="1:11" s="50" customFormat="1" ht="21.75" hidden="1" customHeight="1" x14ac:dyDescent="0.25">
      <c r="A106" s="353" t="s">
        <v>155</v>
      </c>
      <c r="B106" s="343"/>
      <c r="C106" s="349"/>
      <c r="D106" s="198"/>
      <c r="E106" s="198"/>
      <c r="F106" s="188"/>
      <c r="G106" s="188"/>
    </row>
    <row r="107" spans="1:11" s="317" customFormat="1" ht="21.75" hidden="1" customHeight="1" x14ac:dyDescent="0.25">
      <c r="A107" s="355" t="s">
        <v>179</v>
      </c>
      <c r="B107" s="345">
        <f>B108</f>
        <v>0</v>
      </c>
      <c r="C107" s="345">
        <f>C108</f>
        <v>0</v>
      </c>
      <c r="D107" s="329"/>
      <c r="E107" s="329"/>
      <c r="F107" s="323"/>
      <c r="G107" s="323"/>
      <c r="J107" s="63"/>
      <c r="K107" s="63"/>
    </row>
    <row r="108" spans="1:11" s="50" customFormat="1" ht="21.75" hidden="1" customHeight="1" x14ac:dyDescent="0.25">
      <c r="A108" s="353" t="s">
        <v>10</v>
      </c>
      <c r="B108" s="343"/>
      <c r="C108" s="349"/>
      <c r="D108" s="198"/>
      <c r="E108" s="198"/>
      <c r="F108" s="188"/>
      <c r="G108" s="188"/>
    </row>
    <row r="109" spans="1:11" s="317" customFormat="1" ht="27.75" customHeight="1" x14ac:dyDescent="0.25">
      <c r="A109" s="344" t="s">
        <v>187</v>
      </c>
      <c r="B109" s="345">
        <v>27.5</v>
      </c>
      <c r="C109" s="368">
        <v>27.5</v>
      </c>
      <c r="D109" s="329"/>
      <c r="E109" s="329"/>
      <c r="F109" s="323"/>
      <c r="G109" s="323"/>
      <c r="H109" s="317">
        <v>27.5</v>
      </c>
      <c r="I109" s="317">
        <v>27.5</v>
      </c>
      <c r="J109" s="104">
        <f>B109-H109</f>
        <v>0</v>
      </c>
      <c r="K109" s="104">
        <f>C109-I109</f>
        <v>0</v>
      </c>
    </row>
    <row r="110" spans="1:11" s="317" customFormat="1" ht="21.75" hidden="1" customHeight="1" x14ac:dyDescent="0.25">
      <c r="A110" s="344" t="s">
        <v>183</v>
      </c>
      <c r="B110" s="345">
        <v>0</v>
      </c>
      <c r="C110" s="369">
        <v>0</v>
      </c>
      <c r="D110" s="329"/>
      <c r="E110" s="329"/>
      <c r="F110" s="323"/>
      <c r="G110" s="323"/>
    </row>
    <row r="111" spans="1:11" s="317" customFormat="1" ht="21.75" hidden="1" customHeight="1" x14ac:dyDescent="0.25">
      <c r="A111" s="344" t="s">
        <v>181</v>
      </c>
      <c r="B111" s="345">
        <v>0</v>
      </c>
      <c r="C111" s="369">
        <v>0</v>
      </c>
      <c r="D111" s="329"/>
      <c r="E111" s="329"/>
      <c r="F111" s="323"/>
      <c r="G111" s="323"/>
    </row>
    <row r="112" spans="1:11" s="317" customFormat="1" ht="21.75" hidden="1" customHeight="1" x14ac:dyDescent="0.25">
      <c r="A112" s="344" t="s">
        <v>180</v>
      </c>
      <c r="B112" s="345">
        <v>0</v>
      </c>
      <c r="C112" s="370">
        <v>0</v>
      </c>
      <c r="D112" s="329"/>
      <c r="E112" s="329"/>
      <c r="F112" s="323"/>
      <c r="G112" s="323"/>
    </row>
    <row r="113" spans="1:11" s="317" customFormat="1" ht="21.75" hidden="1" customHeight="1" x14ac:dyDescent="0.25">
      <c r="A113" s="344" t="s">
        <v>184</v>
      </c>
      <c r="B113" s="345">
        <v>0</v>
      </c>
      <c r="C113" s="369">
        <v>0</v>
      </c>
      <c r="D113" s="329"/>
      <c r="E113" s="329"/>
      <c r="F113" s="323"/>
      <c r="G113" s="323"/>
    </row>
    <row r="114" spans="1:11" s="317" customFormat="1" ht="21.75" hidden="1" customHeight="1" x14ac:dyDescent="0.25">
      <c r="A114" s="344" t="s">
        <v>185</v>
      </c>
      <c r="B114" s="345">
        <v>0</v>
      </c>
      <c r="C114" s="369">
        <v>0</v>
      </c>
      <c r="D114" s="329"/>
      <c r="E114" s="329"/>
      <c r="F114" s="323"/>
      <c r="G114" s="323"/>
    </row>
    <row r="115" spans="1:11" ht="18" customHeight="1" x14ac:dyDescent="0.25">
      <c r="A115" s="344" t="s">
        <v>45</v>
      </c>
      <c r="B115" s="345">
        <f>B114+B113+B112+B111+B110+B109+B107+B105+B102+B100+B98+B93+B86+B71+B39+B21+B4</f>
        <v>964335.99999999988</v>
      </c>
      <c r="C115" s="345">
        <f>C114+C113+C112+C111+C110+C109+C107+C105+C102+C100+C98+C93+C86+C71+C39+C21+C4</f>
        <v>954564.10000000021</v>
      </c>
      <c r="D115" s="214"/>
      <c r="E115" s="214"/>
      <c r="J115" s="63"/>
      <c r="K115" s="63"/>
    </row>
    <row r="116" spans="1:11" s="188" customFormat="1" ht="21.75" customHeight="1" x14ac:dyDescent="0.25">
      <c r="A116" s="371"/>
      <c r="B116" s="372">
        <f>B117-B115</f>
        <v>0</v>
      </c>
      <c r="C116" s="372">
        <f>C117-C115</f>
        <v>0</v>
      </c>
      <c r="D116" s="187"/>
      <c r="E116" s="187"/>
      <c r="H116"/>
      <c r="I116"/>
    </row>
    <row r="117" spans="1:11" s="188" customFormat="1" ht="21.75" customHeight="1" x14ac:dyDescent="0.25">
      <c r="A117" s="371"/>
      <c r="B117" s="372">
        <f>56862.4+45792.4+58408.2+35526.7+766392.8+1326+27.5</f>
        <v>964336</v>
      </c>
      <c r="C117" s="372">
        <f>54098.7+44563.9+58408.2+34609.7+761538.2+1317.9+27.5</f>
        <v>954564.1</v>
      </c>
      <c r="D117" s="187"/>
      <c r="E117" s="187"/>
      <c r="H117"/>
      <c r="I117"/>
    </row>
    <row r="118" spans="1:11" s="188" customFormat="1" ht="21.75" customHeight="1" x14ac:dyDescent="0.25">
      <c r="A118" s="371"/>
      <c r="B118" s="373">
        <f>1041386.2-77050.2</f>
        <v>964336</v>
      </c>
      <c r="C118" s="373">
        <f>1031461-76896.9</f>
        <v>954564.1</v>
      </c>
      <c r="D118" s="187"/>
      <c r="E118" s="187"/>
      <c r="H118"/>
      <c r="I118"/>
    </row>
    <row r="119" spans="1:11" s="188" customFormat="1" ht="21.75" customHeight="1" x14ac:dyDescent="0.25">
      <c r="A119" s="371"/>
      <c r="B119" s="374">
        <f>H115</f>
        <v>0</v>
      </c>
      <c r="C119" s="374">
        <f>I115</f>
        <v>0</v>
      </c>
      <c r="D119" s="187"/>
      <c r="E119" s="187"/>
      <c r="H119"/>
      <c r="I119"/>
    </row>
    <row r="120" spans="1:11" s="314" customFormat="1" ht="21.75" customHeight="1" x14ac:dyDescent="0.25">
      <c r="A120" s="310"/>
      <c r="B120" s="312"/>
      <c r="C120" s="312"/>
      <c r="D120" s="290"/>
      <c r="E120" s="290"/>
      <c r="H120" s="3"/>
      <c r="I120" s="3"/>
    </row>
    <row r="121" spans="1:11" s="3" customFormat="1" ht="21.75" customHeight="1" x14ac:dyDescent="0.25">
      <c r="A121" s="310"/>
      <c r="B121" s="312"/>
      <c r="C121" s="290"/>
      <c r="D121" s="290"/>
      <c r="E121" s="290"/>
      <c r="F121" s="314"/>
      <c r="G121" s="314"/>
    </row>
    <row r="122" spans="1:11" s="3" customFormat="1" ht="21.75" customHeight="1" x14ac:dyDescent="0.25">
      <c r="A122" s="310"/>
      <c r="B122" s="312"/>
      <c r="C122" s="290"/>
      <c r="D122" s="290"/>
      <c r="E122" s="290"/>
      <c r="F122" s="314"/>
      <c r="G122" s="314"/>
    </row>
    <row r="123" spans="1:11" s="3" customFormat="1" ht="21.75" customHeight="1" x14ac:dyDescent="0.25">
      <c r="A123" s="310"/>
      <c r="B123" s="312"/>
      <c r="C123" s="290"/>
      <c r="D123" s="290"/>
      <c r="E123" s="290"/>
      <c r="F123" s="314"/>
      <c r="G123" s="314"/>
    </row>
    <row r="124" spans="1:11" s="3" customFormat="1" ht="21.75" customHeight="1" x14ac:dyDescent="0.25">
      <c r="A124" s="310"/>
      <c r="B124" s="312"/>
      <c r="C124" s="290"/>
      <c r="D124" s="290"/>
      <c r="E124" s="290"/>
      <c r="F124" s="314"/>
      <c r="G124" s="314"/>
    </row>
    <row r="125" spans="1:11" s="3" customFormat="1" ht="21.75" customHeight="1" x14ac:dyDescent="0.25">
      <c r="A125" s="310"/>
      <c r="B125" s="312"/>
      <c r="C125" s="290"/>
      <c r="D125" s="290"/>
      <c r="E125" s="290"/>
      <c r="F125" s="314"/>
      <c r="G125" s="314"/>
    </row>
    <row r="126" spans="1:11" s="3" customFormat="1" ht="21.75" customHeight="1" x14ac:dyDescent="0.25">
      <c r="A126" s="310"/>
      <c r="B126" s="312"/>
      <c r="C126" s="290"/>
      <c r="D126" s="290"/>
      <c r="E126" s="290"/>
      <c r="F126" s="314"/>
      <c r="G126" s="314"/>
    </row>
    <row r="127" spans="1:11" s="3" customFormat="1" ht="21.75" customHeight="1" x14ac:dyDescent="0.25">
      <c r="A127" s="310"/>
      <c r="B127" s="312"/>
      <c r="C127" s="290"/>
      <c r="D127" s="290"/>
      <c r="E127" s="290"/>
      <c r="F127" s="314"/>
      <c r="G127" s="314"/>
    </row>
    <row r="128" spans="1:11" s="3" customFormat="1" ht="21.75" customHeight="1" x14ac:dyDescent="0.25">
      <c r="A128" s="310"/>
      <c r="B128" s="312"/>
      <c r="C128" s="290"/>
      <c r="D128" s="290"/>
      <c r="E128" s="290"/>
      <c r="F128" s="314"/>
      <c r="G128" s="314"/>
    </row>
    <row r="129" spans="1:7" s="3" customFormat="1" ht="21.75" customHeight="1" x14ac:dyDescent="0.25">
      <c r="A129" s="310"/>
      <c r="B129" s="312"/>
      <c r="C129" s="290"/>
      <c r="D129" s="290"/>
      <c r="E129" s="290"/>
      <c r="F129" s="314"/>
      <c r="G129" s="314"/>
    </row>
    <row r="130" spans="1:7" s="3" customFormat="1" ht="21.75" customHeight="1" x14ac:dyDescent="0.25">
      <c r="A130" s="310"/>
      <c r="B130" s="312"/>
      <c r="C130" s="290"/>
      <c r="D130" s="290"/>
      <c r="E130" s="290"/>
      <c r="F130" s="314"/>
      <c r="G130" s="314"/>
    </row>
    <row r="131" spans="1:7" s="3" customFormat="1" ht="21.75" customHeight="1" x14ac:dyDescent="0.25">
      <c r="A131" s="310"/>
      <c r="B131" s="312"/>
      <c r="C131" s="290"/>
      <c r="D131" s="290"/>
      <c r="E131" s="290"/>
      <c r="F131" s="314"/>
      <c r="G131" s="314"/>
    </row>
    <row r="132" spans="1:7" s="3" customFormat="1" ht="21.75" customHeight="1" x14ac:dyDescent="0.25">
      <c r="A132" s="310"/>
      <c r="B132" s="312"/>
      <c r="C132" s="290"/>
      <c r="D132" s="290"/>
      <c r="E132" s="290"/>
      <c r="F132" s="314"/>
      <c r="G132" s="314"/>
    </row>
    <row r="133" spans="1:7" s="3" customFormat="1" ht="21.75" customHeight="1" x14ac:dyDescent="0.25">
      <c r="A133" s="310"/>
      <c r="B133" s="312"/>
      <c r="C133" s="290"/>
      <c r="D133" s="290"/>
      <c r="E133" s="290"/>
      <c r="F133" s="314"/>
      <c r="G133" s="314"/>
    </row>
    <row r="134" spans="1:7" s="3" customFormat="1" ht="21.75" customHeight="1" x14ac:dyDescent="0.25">
      <c r="A134" s="310"/>
      <c r="B134" s="312"/>
      <c r="C134" s="290"/>
      <c r="D134" s="290"/>
      <c r="E134" s="290"/>
      <c r="F134" s="314"/>
      <c r="G134" s="314"/>
    </row>
    <row r="135" spans="1:7" s="3" customFormat="1" ht="21.75" customHeight="1" x14ac:dyDescent="0.25">
      <c r="A135" s="310"/>
      <c r="B135" s="312"/>
      <c r="C135" s="290"/>
      <c r="D135" s="290"/>
      <c r="E135" s="290"/>
      <c r="F135" s="314"/>
      <c r="G135" s="314"/>
    </row>
    <row r="136" spans="1:7" s="3" customFormat="1" ht="21.75" customHeight="1" x14ac:dyDescent="0.25">
      <c r="A136" s="310"/>
      <c r="B136" s="312"/>
      <c r="C136" s="290"/>
      <c r="D136" s="290"/>
      <c r="E136" s="290"/>
      <c r="F136" s="314"/>
      <c r="G136" s="314"/>
    </row>
    <row r="137" spans="1:7" s="3" customFormat="1" ht="21.75" customHeight="1" x14ac:dyDescent="0.25">
      <c r="A137" s="310"/>
      <c r="B137" s="312"/>
      <c r="C137" s="290"/>
      <c r="D137" s="290"/>
      <c r="E137" s="290"/>
      <c r="F137" s="314"/>
      <c r="G137" s="314"/>
    </row>
    <row r="138" spans="1:7" s="3" customFormat="1" ht="21.75" customHeight="1" x14ac:dyDescent="0.25">
      <c r="A138" s="310"/>
      <c r="B138" s="312"/>
      <c r="C138" s="290"/>
      <c r="D138" s="290"/>
      <c r="E138" s="290"/>
      <c r="F138" s="314"/>
      <c r="G138" s="314"/>
    </row>
    <row r="139" spans="1:7" s="3" customFormat="1" ht="21.75" customHeight="1" x14ac:dyDescent="0.25">
      <c r="A139" s="310"/>
      <c r="B139" s="312"/>
      <c r="C139" s="290"/>
      <c r="D139" s="290"/>
      <c r="E139" s="290"/>
      <c r="F139" s="314"/>
      <c r="G139" s="314"/>
    </row>
    <row r="140" spans="1:7" s="3" customFormat="1" ht="21.75" customHeight="1" x14ac:dyDescent="0.25">
      <c r="A140" s="310"/>
      <c r="B140" s="312"/>
      <c r="C140" s="290"/>
      <c r="D140" s="290"/>
      <c r="E140" s="290"/>
      <c r="F140" s="314"/>
      <c r="G140" s="314"/>
    </row>
    <row r="141" spans="1:7" s="3" customFormat="1" ht="21.75" customHeight="1" x14ac:dyDescent="0.25">
      <c r="A141" s="310"/>
      <c r="B141" s="312"/>
      <c r="C141" s="290"/>
      <c r="D141" s="290"/>
      <c r="E141" s="290"/>
      <c r="F141" s="314"/>
      <c r="G141" s="314"/>
    </row>
    <row r="142" spans="1:7" s="3" customFormat="1" ht="21.75" customHeight="1" x14ac:dyDescent="0.25">
      <c r="A142" s="310"/>
      <c r="B142" s="312"/>
      <c r="C142" s="290"/>
      <c r="D142" s="290"/>
      <c r="E142" s="290"/>
      <c r="F142" s="314"/>
      <c r="G142" s="314"/>
    </row>
    <row r="143" spans="1:7" s="3" customFormat="1" ht="21.75" customHeight="1" x14ac:dyDescent="0.25">
      <c r="A143" s="310"/>
      <c r="B143" s="312"/>
      <c r="C143" s="290"/>
      <c r="D143" s="290"/>
      <c r="E143" s="290"/>
      <c r="F143" s="314"/>
      <c r="G143" s="314"/>
    </row>
    <row r="144" spans="1:7" s="3" customFormat="1" ht="21.75" customHeight="1" x14ac:dyDescent="0.25">
      <c r="A144" s="310"/>
      <c r="B144" s="312"/>
      <c r="C144" s="290"/>
      <c r="D144" s="290"/>
      <c r="E144" s="290"/>
      <c r="F144" s="314"/>
      <c r="G144" s="314"/>
    </row>
    <row r="145" spans="1:7" s="3" customFormat="1" ht="21.75" customHeight="1" x14ac:dyDescent="0.25">
      <c r="A145" s="310"/>
      <c r="B145" s="312"/>
      <c r="C145" s="290"/>
      <c r="D145" s="290"/>
      <c r="E145" s="290"/>
      <c r="F145" s="314"/>
      <c r="G145" s="314"/>
    </row>
    <row r="146" spans="1:7" s="3" customFormat="1" ht="21.75" customHeight="1" x14ac:dyDescent="0.25">
      <c r="A146" s="310"/>
      <c r="B146" s="312"/>
      <c r="C146" s="290"/>
      <c r="D146" s="290"/>
      <c r="E146" s="290"/>
      <c r="F146" s="314"/>
      <c r="G146" s="314"/>
    </row>
    <row r="147" spans="1:7" s="3" customFormat="1" ht="21.75" customHeight="1" x14ac:dyDescent="0.25">
      <c r="A147" s="310"/>
      <c r="B147" s="312"/>
      <c r="C147" s="290"/>
      <c r="D147" s="290"/>
      <c r="E147" s="290"/>
      <c r="F147" s="314"/>
      <c r="G147" s="314"/>
    </row>
    <row r="148" spans="1:7" s="3" customFormat="1" ht="21.75" customHeight="1" x14ac:dyDescent="0.25">
      <c r="A148" s="310"/>
      <c r="B148" s="312"/>
      <c r="C148" s="290"/>
      <c r="D148" s="290"/>
      <c r="E148" s="290"/>
      <c r="F148" s="314"/>
      <c r="G148" s="314"/>
    </row>
    <row r="149" spans="1:7" s="3" customFormat="1" ht="21.75" customHeight="1" x14ac:dyDescent="0.25">
      <c r="A149" s="310"/>
      <c r="B149" s="312"/>
      <c r="C149" s="290"/>
      <c r="D149" s="290"/>
      <c r="E149" s="290"/>
      <c r="F149" s="314"/>
      <c r="G149" s="314"/>
    </row>
    <row r="150" spans="1:7" s="3" customFormat="1" ht="21.75" customHeight="1" x14ac:dyDescent="0.25">
      <c r="A150" s="310"/>
      <c r="B150" s="312"/>
      <c r="C150" s="290"/>
      <c r="D150" s="290"/>
      <c r="E150" s="290"/>
      <c r="F150" s="314"/>
      <c r="G150" s="314"/>
    </row>
    <row r="151" spans="1:7" s="3" customFormat="1" ht="21.75" customHeight="1" x14ac:dyDescent="0.25">
      <c r="A151" s="310"/>
      <c r="B151" s="312"/>
      <c r="C151" s="290"/>
      <c r="D151" s="290"/>
      <c r="E151" s="290"/>
      <c r="F151" s="314"/>
      <c r="G151" s="314"/>
    </row>
    <row r="152" spans="1:7" s="3" customFormat="1" ht="21.75" customHeight="1" x14ac:dyDescent="0.25">
      <c r="A152" s="310"/>
      <c r="B152" s="312"/>
      <c r="C152" s="290"/>
      <c r="D152" s="290"/>
      <c r="E152" s="290"/>
      <c r="F152" s="314"/>
      <c r="G152" s="314"/>
    </row>
    <row r="153" spans="1:7" s="3" customFormat="1" ht="21.75" customHeight="1" x14ac:dyDescent="0.25">
      <c r="A153" s="310"/>
      <c r="B153" s="312"/>
      <c r="C153" s="290"/>
      <c r="D153" s="290"/>
      <c r="E153" s="290"/>
      <c r="F153" s="314"/>
      <c r="G153" s="314"/>
    </row>
    <row r="154" spans="1:7" s="3" customFormat="1" ht="21.75" customHeight="1" x14ac:dyDescent="0.25">
      <c r="A154" s="310"/>
      <c r="B154" s="312"/>
      <c r="C154" s="290"/>
      <c r="D154" s="290"/>
      <c r="E154" s="290"/>
      <c r="F154" s="314"/>
      <c r="G154" s="314"/>
    </row>
    <row r="155" spans="1:7" s="3" customFormat="1" ht="21.75" customHeight="1" x14ac:dyDescent="0.25">
      <c r="A155" s="310"/>
      <c r="B155" s="312"/>
      <c r="C155" s="290"/>
      <c r="D155" s="290"/>
      <c r="E155" s="290"/>
      <c r="F155" s="314"/>
      <c r="G155" s="314"/>
    </row>
    <row r="156" spans="1:7" s="3" customFormat="1" ht="21.75" customHeight="1" x14ac:dyDescent="0.25">
      <c r="A156" s="310"/>
      <c r="B156" s="312"/>
      <c r="C156" s="290"/>
      <c r="D156" s="290"/>
      <c r="E156" s="290"/>
      <c r="F156" s="314"/>
      <c r="G156" s="314"/>
    </row>
    <row r="157" spans="1:7" s="3" customFormat="1" ht="21.75" customHeight="1" x14ac:dyDescent="0.25">
      <c r="A157" s="310"/>
      <c r="B157" s="312"/>
      <c r="C157" s="290"/>
      <c r="D157" s="290"/>
      <c r="E157" s="290"/>
      <c r="F157" s="314"/>
      <c r="G157" s="314"/>
    </row>
    <row r="158" spans="1:7" s="3" customFormat="1" ht="21.75" customHeight="1" x14ac:dyDescent="0.25">
      <c r="A158" s="310"/>
      <c r="B158" s="312"/>
      <c r="C158" s="290"/>
      <c r="D158" s="290"/>
      <c r="E158" s="290"/>
      <c r="F158" s="314"/>
      <c r="G158" s="314"/>
    </row>
    <row r="159" spans="1:7" s="3" customFormat="1" ht="21.75" customHeight="1" x14ac:dyDescent="0.25">
      <c r="A159" s="310"/>
      <c r="B159" s="312"/>
      <c r="C159" s="290"/>
      <c r="D159" s="290"/>
      <c r="E159" s="290"/>
      <c r="F159" s="314"/>
      <c r="G159" s="314"/>
    </row>
    <row r="160" spans="1:7" s="3" customFormat="1" ht="21.75" customHeight="1" x14ac:dyDescent="0.25">
      <c r="A160" s="310"/>
      <c r="B160" s="312"/>
      <c r="C160" s="290"/>
      <c r="D160" s="290"/>
      <c r="E160" s="290"/>
      <c r="F160" s="314"/>
      <c r="G160" s="314"/>
    </row>
    <row r="161" spans="1:7" s="3" customFormat="1" ht="21.75" customHeight="1" x14ac:dyDescent="0.25">
      <c r="A161" s="310"/>
      <c r="B161" s="312"/>
      <c r="C161" s="290"/>
      <c r="D161" s="290"/>
      <c r="E161" s="290"/>
      <c r="F161" s="314"/>
      <c r="G161" s="314"/>
    </row>
    <row r="162" spans="1:7" s="3" customFormat="1" ht="21.75" customHeight="1" x14ac:dyDescent="0.25">
      <c r="A162" s="310"/>
      <c r="B162" s="312"/>
      <c r="C162" s="290"/>
      <c r="D162" s="290"/>
      <c r="E162" s="290"/>
      <c r="F162" s="314"/>
      <c r="G162" s="314"/>
    </row>
    <row r="163" spans="1:7" s="3" customFormat="1" ht="21.75" customHeight="1" x14ac:dyDescent="0.25">
      <c r="A163" s="310"/>
      <c r="B163" s="312"/>
      <c r="C163" s="290"/>
      <c r="D163" s="290"/>
      <c r="E163" s="290"/>
      <c r="F163" s="314"/>
      <c r="G163" s="314"/>
    </row>
    <row r="164" spans="1:7" s="3" customFormat="1" ht="21.75" customHeight="1" x14ac:dyDescent="0.25">
      <c r="A164" s="310"/>
      <c r="B164" s="312"/>
      <c r="C164" s="290"/>
      <c r="D164" s="290"/>
      <c r="E164" s="290"/>
      <c r="F164" s="314"/>
      <c r="G164" s="314"/>
    </row>
    <row r="165" spans="1:7" s="3" customFormat="1" ht="21.75" customHeight="1" x14ac:dyDescent="0.25">
      <c r="A165" s="310"/>
      <c r="B165" s="312"/>
      <c r="C165" s="290"/>
      <c r="D165" s="290"/>
      <c r="E165" s="290"/>
      <c r="F165" s="314"/>
      <c r="G165" s="314"/>
    </row>
    <row r="166" spans="1:7" s="3" customFormat="1" ht="21.75" customHeight="1" x14ac:dyDescent="0.25">
      <c r="A166" s="310"/>
      <c r="B166" s="312"/>
      <c r="C166" s="290"/>
      <c r="D166" s="290"/>
      <c r="E166" s="290"/>
      <c r="F166" s="314"/>
      <c r="G166" s="314"/>
    </row>
    <row r="167" spans="1:7" s="3" customFormat="1" ht="21.75" customHeight="1" x14ac:dyDescent="0.25">
      <c r="A167" s="310"/>
      <c r="B167" s="312"/>
      <c r="C167" s="290"/>
      <c r="D167" s="290"/>
      <c r="E167" s="290"/>
      <c r="F167" s="314"/>
      <c r="G167" s="314"/>
    </row>
    <row r="168" spans="1:7" s="3" customFormat="1" ht="21.75" customHeight="1" x14ac:dyDescent="0.25">
      <c r="A168" s="310"/>
      <c r="B168" s="312"/>
      <c r="C168" s="290"/>
      <c r="D168" s="290"/>
      <c r="E168" s="290"/>
      <c r="F168" s="314"/>
      <c r="G168" s="314"/>
    </row>
    <row r="169" spans="1:7" s="3" customFormat="1" ht="21.75" customHeight="1" x14ac:dyDescent="0.25">
      <c r="A169" s="310"/>
      <c r="B169" s="312"/>
      <c r="C169" s="290"/>
      <c r="D169" s="290"/>
      <c r="E169" s="290"/>
      <c r="F169" s="314"/>
      <c r="G169" s="314"/>
    </row>
    <row r="170" spans="1:7" s="3" customFormat="1" ht="21.75" customHeight="1" x14ac:dyDescent="0.25">
      <c r="A170" s="310"/>
      <c r="B170" s="312"/>
      <c r="C170" s="290"/>
      <c r="D170" s="290"/>
      <c r="E170" s="290"/>
      <c r="F170" s="314"/>
      <c r="G170" s="314"/>
    </row>
    <row r="171" spans="1:7" s="3" customFormat="1" ht="21.75" customHeight="1" x14ac:dyDescent="0.25">
      <c r="A171" s="310"/>
      <c r="B171" s="312"/>
      <c r="C171" s="290"/>
      <c r="D171" s="290"/>
      <c r="E171" s="290"/>
      <c r="F171" s="314"/>
      <c r="G171" s="314"/>
    </row>
    <row r="172" spans="1:7" s="3" customFormat="1" ht="21.75" customHeight="1" x14ac:dyDescent="0.25">
      <c r="A172" s="310"/>
      <c r="B172" s="312"/>
      <c r="C172" s="290"/>
      <c r="D172" s="290"/>
      <c r="E172" s="290"/>
      <c r="F172" s="314"/>
      <c r="G172" s="314"/>
    </row>
    <row r="173" spans="1:7" s="3" customFormat="1" ht="21.75" customHeight="1" x14ac:dyDescent="0.25">
      <c r="A173" s="310"/>
      <c r="B173" s="312"/>
      <c r="C173" s="290"/>
      <c r="D173" s="290"/>
      <c r="E173" s="290"/>
      <c r="F173" s="314"/>
      <c r="G173" s="314"/>
    </row>
    <row r="174" spans="1:7" s="3" customFormat="1" ht="21.75" customHeight="1" x14ac:dyDescent="0.25">
      <c r="A174" s="310"/>
      <c r="B174" s="312"/>
      <c r="C174" s="290"/>
      <c r="D174" s="290"/>
      <c r="E174" s="290"/>
      <c r="F174" s="314"/>
      <c r="G174" s="314"/>
    </row>
    <row r="175" spans="1:7" s="3" customFormat="1" ht="21.75" customHeight="1" x14ac:dyDescent="0.25">
      <c r="A175" s="310"/>
      <c r="B175" s="312"/>
      <c r="C175" s="290"/>
      <c r="D175" s="290"/>
      <c r="E175" s="290"/>
      <c r="F175" s="314"/>
      <c r="G175" s="314"/>
    </row>
    <row r="176" spans="1:7" s="3" customFormat="1" ht="21.75" customHeight="1" x14ac:dyDescent="0.25">
      <c r="A176" s="310"/>
      <c r="B176" s="312"/>
      <c r="C176" s="290"/>
      <c r="D176" s="290"/>
      <c r="E176" s="290"/>
      <c r="F176" s="314"/>
      <c r="G176" s="314"/>
    </row>
    <row r="177" spans="1:7" s="3" customFormat="1" ht="21.75" customHeight="1" x14ac:dyDescent="0.25">
      <c r="A177" s="310"/>
      <c r="B177" s="312"/>
      <c r="C177" s="290"/>
      <c r="D177" s="290"/>
      <c r="E177" s="290"/>
      <c r="F177" s="314"/>
      <c r="G177" s="314"/>
    </row>
    <row r="178" spans="1:7" s="3" customFormat="1" ht="21.75" customHeight="1" x14ac:dyDescent="0.25">
      <c r="A178" s="310"/>
      <c r="B178" s="312"/>
      <c r="C178" s="290"/>
      <c r="D178" s="290"/>
      <c r="E178" s="290"/>
      <c r="F178" s="314"/>
      <c r="G178" s="314"/>
    </row>
    <row r="179" spans="1:7" s="3" customFormat="1" ht="21.75" customHeight="1" x14ac:dyDescent="0.25">
      <c r="A179" s="310"/>
      <c r="B179" s="312"/>
      <c r="C179" s="290"/>
      <c r="D179" s="290"/>
      <c r="E179" s="290"/>
      <c r="F179" s="314"/>
      <c r="G179" s="314"/>
    </row>
    <row r="180" spans="1:7" s="3" customFormat="1" ht="21.75" customHeight="1" x14ac:dyDescent="0.25">
      <c r="A180" s="310"/>
      <c r="B180" s="312"/>
      <c r="C180" s="290"/>
      <c r="D180" s="290"/>
      <c r="E180" s="290"/>
      <c r="F180" s="314"/>
      <c r="G180" s="314"/>
    </row>
  </sheetData>
  <mergeCells count="1">
    <mergeCell ref="A1:C1"/>
  </mergeCells>
  <pageMargins left="0.25" right="0.25" top="0.75" bottom="0.75" header="0.3" footer="0.3"/>
  <pageSetup paperSize="9" scale="5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2018</vt:lpstr>
      <vt:lpstr>2019</vt:lpstr>
      <vt:lpstr>2019 (2)</vt:lpstr>
      <vt:lpstr>2020</vt:lpstr>
      <vt:lpstr>моя форма</vt:lpstr>
      <vt:lpstr>моя форма за 2020</vt:lpstr>
      <vt:lpstr>за 2020 год </vt:lpstr>
      <vt:lpstr>за 2021 год </vt:lpstr>
      <vt:lpstr>'2019'!Область_печати</vt:lpstr>
      <vt:lpstr>'2019 (2)'!Область_печати</vt:lpstr>
      <vt:lpstr>'2020'!Область_печати</vt:lpstr>
      <vt:lpstr>'за 2020 год '!Область_печати</vt:lpstr>
      <vt:lpstr>'за 2021 год '!Область_печати</vt:lpstr>
      <vt:lpstr>'моя форма'!Область_печати</vt:lpstr>
      <vt:lpstr>'моя форма за 2020'!Область_печати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MATRIX</cp:lastModifiedBy>
  <cp:lastPrinted>2022-09-21T07:19:55Z</cp:lastPrinted>
  <dcterms:created xsi:type="dcterms:W3CDTF">2016-11-17T07:19:09Z</dcterms:created>
  <dcterms:modified xsi:type="dcterms:W3CDTF">2022-09-21T07:20:14Z</dcterms:modified>
</cp:coreProperties>
</file>