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440" windowHeight="9615" activeTab="3"/>
  </bookViews>
  <sheets>
    <sheet name="РАСЧЕТ ИНП" sheetId="1" r:id="rId1"/>
    <sheet name="РАСЧЕТ ИБР" sheetId="2" r:id="rId2"/>
    <sheet name="РАСЧЕТ ДОТАЦИИ" sheetId="3" r:id="rId3"/>
    <sheet name="Анализ" sheetId="4" r:id="rId4"/>
    <sheet name="Лист1" sheetId="5" r:id="rId5"/>
  </sheets>
  <externalReferences>
    <externalReference r:id="rId8"/>
  </externalReferences>
  <definedNames>
    <definedName name="_xlnm.Print_Titles" localSheetId="2">'РАСЧЕТ ДОТАЦИИ'!$A:$B</definedName>
    <definedName name="_xlnm.Print_Titles" localSheetId="0">'РАСЧЕТ ИНП'!$A:$B,'РАСЧЕТ ИНП'!$3:$7</definedName>
    <definedName name="_xlnm.Print_Area" localSheetId="3">'Анализ'!$A$1:$M$64</definedName>
    <definedName name="_xlnm.Print_Area" localSheetId="2">'РАСЧЕТ ДОТАЦИИ'!$A$1:$M$29</definedName>
    <definedName name="_xlnm.Print_Area" localSheetId="1">'РАСЧЕТ ИБР'!$A$1:$O$30</definedName>
    <definedName name="_xlnm.Print_Area" localSheetId="0">'РАСЧЕТ ИНП'!$A$1:$Q$24</definedName>
  </definedNames>
  <calcPr fullCalcOnLoad="1" fullPrecision="0"/>
</workbook>
</file>

<file path=xl/comments1.xml><?xml version="1.0" encoding="utf-8"?>
<comments xmlns="http://schemas.openxmlformats.org/spreadsheetml/2006/main">
  <authors>
    <author>new</author>
    <author>Десятова ЕН</author>
  </authors>
  <commentList>
    <comment ref="I9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
</t>
        </r>
      </text>
    </comment>
    <comment ref="F10" authorId="1">
      <text>
        <r>
          <rPr>
            <b/>
            <sz val="9"/>
            <rFont val="Tahoma"/>
            <family val="2"/>
          </rPr>
          <t>Десятова ЕН:</t>
        </r>
        <r>
          <rPr>
            <sz val="9"/>
            <rFont val="Tahoma"/>
            <family val="2"/>
          </rPr>
          <t xml:space="preserve">
данные брали у Иры
</t>
        </r>
      </text>
    </comment>
  </commentList>
</comments>
</file>

<file path=xl/sharedStrings.xml><?xml version="1.0" encoding="utf-8"?>
<sst xmlns="http://schemas.openxmlformats.org/spreadsheetml/2006/main" count="176" uniqueCount="126">
  <si>
    <t>налоговый потенциал (НП)</t>
  </si>
  <si>
    <t>7=4*5*(6/6итог)</t>
  </si>
  <si>
    <t xml:space="preserve">Налог на доходы физических лиц </t>
  </si>
  <si>
    <t>№</t>
  </si>
  <si>
    <t>№ п/п</t>
  </si>
  <si>
    <t>ИНП</t>
  </si>
  <si>
    <t>Численность</t>
  </si>
  <si>
    <t>Наименование коэффициента</t>
  </si>
  <si>
    <t>Формула</t>
  </si>
  <si>
    <t>Показатели для расчета</t>
  </si>
  <si>
    <t>ВСЕГО</t>
  </si>
  <si>
    <t>Коэффициент дифференциации заработной платы</t>
  </si>
  <si>
    <t xml:space="preserve">1. </t>
  </si>
  <si>
    <t>Коэффициент дифференциации прочих расходов</t>
  </si>
  <si>
    <t>ИБР</t>
  </si>
  <si>
    <t>БО</t>
  </si>
  <si>
    <t>1 этап</t>
  </si>
  <si>
    <t>2 этап</t>
  </si>
  <si>
    <t>Наименование муниципального образования</t>
  </si>
  <si>
    <t>У(1)</t>
  </si>
  <si>
    <t>БОn</t>
  </si>
  <si>
    <t>Размер Тn</t>
  </si>
  <si>
    <t xml:space="preserve"> </t>
  </si>
  <si>
    <t xml:space="preserve">Индекс налогового потенциала (ИНП) </t>
  </si>
  <si>
    <t>1а</t>
  </si>
  <si>
    <t>Всего по поселениям</t>
  </si>
  <si>
    <t>Наименование поселения</t>
  </si>
  <si>
    <t>Налог на имущество физических лиц</t>
  </si>
  <si>
    <t>Земельный налог</t>
  </si>
  <si>
    <t>Удельный вес расходов поселений на заработную плату с начисленими в общем объеме расходов поселений (доля)</t>
  </si>
  <si>
    <t>Удельный вес прочих расходов поселений в общем объеме расходов поселений (доля)</t>
  </si>
  <si>
    <t>Кзпj = 1+ Ксм</t>
  </si>
  <si>
    <t>Кзпj- коэффициент дифференциации заработной платы  j-го поселения</t>
  </si>
  <si>
    <t>КМ - коэффициент масштаба КМj = (0,6*Нj+0,4*Нсрj)/Нj</t>
  </si>
  <si>
    <t>Нj - численность постоянного населения j- го поселения</t>
  </si>
  <si>
    <t>Нсрj - средняя численность постоянного населения  j- го поселения</t>
  </si>
  <si>
    <t>КД- коэффициент дисперсности расселения в j- ом поселении КДj=1+УВj</t>
  </si>
  <si>
    <t>УВj -  удельный вес постоянного населения j-го поселения, проживающего в населенных пунктах с численностью населения менее 500 человек</t>
  </si>
  <si>
    <t>Численность населения j-го поселения, проживающего в населенных пунктах с численностью населения менее 500 человек</t>
  </si>
  <si>
    <t>Rj - расстояние от администратиного центра j- го поселения до административного центра муниципального района</t>
  </si>
  <si>
    <t>Коэффициент транспортной доступности КТДj = 1+Rj / Rср+Кj / К</t>
  </si>
  <si>
    <t>Rср - среднее расстояние от административных центров поселений до административного центра муниципального района</t>
  </si>
  <si>
    <t>К - количество населенных пунктов всех поселений, входящих в состав муниципального района</t>
  </si>
  <si>
    <t>Итого по поселениям</t>
  </si>
  <si>
    <t>Размер дотации на выравнивание бюджетной обеспеченности</t>
  </si>
  <si>
    <t>Размер подушевой дотации</t>
  </si>
  <si>
    <t>Объем дотации на выравнивание</t>
  </si>
  <si>
    <t>ПДкбмр - прогноз доходов консолидированного бюджета муниципального района</t>
  </si>
  <si>
    <t>ДПрасх - доля расходов бюджетов поселений в расходах консолидированного бюджета муниципального района</t>
  </si>
  <si>
    <t>ОДП - оценка объема налоговых и неналоговых доходов бюджетов поселений, вхлодящих в состав муниципального района в планируемом году</t>
  </si>
  <si>
    <t>Объем дотации подушевой</t>
  </si>
  <si>
    <t>Всего финансовой помощи поселениям</t>
  </si>
  <si>
    <t>Всего финансовой помощи</t>
  </si>
  <si>
    <t>Наименование поселений</t>
  </si>
  <si>
    <t>в том числе:</t>
  </si>
  <si>
    <t>Остаток средств после оплаты первоочередных расходов</t>
  </si>
  <si>
    <t>ВСЕГО:</t>
  </si>
  <si>
    <t>Дотация на выравниванеи</t>
  </si>
  <si>
    <t>Подушевая дотация</t>
  </si>
  <si>
    <t>1б</t>
  </si>
  <si>
    <t>3=1+2</t>
  </si>
  <si>
    <t>6=3-4-5</t>
  </si>
  <si>
    <t>КУj - коэффициент уровня урбанизации j-го поселения КУj = 1+УВГj</t>
  </si>
  <si>
    <t>УВГj - удельный вес городского населения j-го поселения</t>
  </si>
  <si>
    <t>Численность городского населения поселения</t>
  </si>
  <si>
    <t>Кj - количество населенных пунктов в j-ом поселении</t>
  </si>
  <si>
    <t>Кпрn=(КМj*КДj*КУj*КТДj)/   (КМср*КДср*КУср*КТДср)</t>
  </si>
  <si>
    <t>Внимание: заполнять только ячейки, выделенные желтым цветом!!!!!!!!</t>
  </si>
  <si>
    <t>Итого</t>
  </si>
  <si>
    <t>Баляга-катангарское</t>
  </si>
  <si>
    <t>Сбаласированность</t>
  </si>
  <si>
    <t>Сбаласированность на прочие расходы</t>
  </si>
  <si>
    <t>Сбалансированность на первоочередные</t>
  </si>
  <si>
    <t>СБАЛАНСИРОВАННОСТЬ ВСЕГО</t>
  </si>
  <si>
    <t>ФОТ на 2015 год</t>
  </si>
  <si>
    <t>Расходы на ЖКУ на 2015 год</t>
  </si>
  <si>
    <t>Всего источников на 2015 год</t>
  </si>
  <si>
    <t>итого дотации</t>
  </si>
  <si>
    <t>на выравнивание 36729</t>
  </si>
  <si>
    <t>Зугмарское</t>
  </si>
  <si>
    <t>Катаевское</t>
  </si>
  <si>
    <t>Катангарское</t>
  </si>
  <si>
    <t>Малетинское</t>
  </si>
  <si>
    <t>Песчанское</t>
  </si>
  <si>
    <t>Толбагинское</t>
  </si>
  <si>
    <t>Хараузское</t>
  </si>
  <si>
    <t>Хохотуйское</t>
  </si>
  <si>
    <t>Усть-Оборское</t>
  </si>
  <si>
    <t>Справочно: всего финансовой помощи в 2015 году</t>
  </si>
  <si>
    <t>Налоговые и неналоговые доходы на 2015 г. (ожидаемая).</t>
  </si>
  <si>
    <t xml:space="preserve">подушевая </t>
  </si>
  <si>
    <t xml:space="preserve">итого район </t>
  </si>
  <si>
    <t xml:space="preserve">сбалансиров. </t>
  </si>
  <si>
    <r>
      <t>прогноз поступлений в КБ края (ПД</t>
    </r>
    <r>
      <rPr>
        <b/>
        <vertAlign val="subscript"/>
        <sz val="8"/>
        <rFont val="Times New Roman Cyr"/>
        <family val="1"/>
      </rPr>
      <t>к)</t>
    </r>
  </si>
  <si>
    <r>
      <t>норматив отчисления в бюджеты муници-пальных районов (Норм</t>
    </r>
    <r>
      <rPr>
        <b/>
        <vertAlign val="subscript"/>
        <sz val="8"/>
        <rFont val="Times New Roman Cyr"/>
        <family val="1"/>
      </rPr>
      <t>к)</t>
    </r>
  </si>
  <si>
    <r>
      <t>база налого-обложения (БН</t>
    </r>
    <r>
      <rPr>
        <b/>
        <vertAlign val="subscript"/>
        <sz val="8"/>
        <rFont val="Times New Roman Cyr"/>
        <family val="1"/>
      </rPr>
      <t>nk)</t>
    </r>
    <r>
      <rPr>
        <b/>
        <sz val="8"/>
        <rFont val="Times New Roman Cyr"/>
        <family val="1"/>
      </rPr>
      <t>*</t>
    </r>
  </si>
  <si>
    <r>
      <t>налоговый потенциал (НП</t>
    </r>
    <r>
      <rPr>
        <b/>
        <vertAlign val="subscript"/>
        <sz val="8"/>
        <rFont val="Times New Roman Cyr"/>
        <family val="1"/>
      </rPr>
      <t>k</t>
    </r>
    <r>
      <rPr>
        <b/>
        <sz val="8"/>
        <rFont val="Times New Roman Cyr"/>
        <family val="1"/>
      </rPr>
      <t>)</t>
    </r>
  </si>
  <si>
    <r>
      <t>норматив отчисления в бюджеты муниципальных районов (Норм</t>
    </r>
    <r>
      <rPr>
        <b/>
        <vertAlign val="subscript"/>
        <sz val="8"/>
        <rFont val="Times New Roman Cyr"/>
        <family val="1"/>
      </rPr>
      <t>к)</t>
    </r>
    <r>
      <rPr>
        <b/>
        <sz val="8"/>
        <rFont val="Times New Roman Cyr"/>
        <family val="1"/>
      </rPr>
      <t>**</t>
    </r>
  </si>
  <si>
    <r>
      <t>база налого-обложения (БН</t>
    </r>
    <r>
      <rPr>
        <b/>
        <vertAlign val="subscript"/>
        <sz val="8"/>
        <rFont val="Times New Roman Cyr"/>
        <family val="1"/>
      </rPr>
      <t>nk)</t>
    </r>
  </si>
  <si>
    <r>
      <t>Расчет налогового потенциала  (НП</t>
    </r>
    <r>
      <rPr>
        <b/>
        <vertAlign val="subscript"/>
        <sz val="10"/>
        <rFont val="Times New Roman Cyr"/>
        <family val="1"/>
      </rPr>
      <t>k</t>
    </r>
    <r>
      <rPr>
        <b/>
        <sz val="10"/>
        <rFont val="Times New Roman Cyr"/>
        <family val="1"/>
      </rPr>
      <t>=ПД</t>
    </r>
    <r>
      <rPr>
        <b/>
        <vertAlign val="subscript"/>
        <sz val="10"/>
        <rFont val="Times New Roman Cyr"/>
        <family val="1"/>
      </rPr>
      <t>к</t>
    </r>
    <r>
      <rPr>
        <b/>
        <sz val="10"/>
        <rFont val="Times New Roman Cyr"/>
        <family val="1"/>
      </rPr>
      <t>*Норм</t>
    </r>
    <r>
      <rPr>
        <b/>
        <vertAlign val="subscript"/>
        <sz val="10"/>
        <rFont val="Times New Roman Cyr"/>
        <family val="1"/>
      </rPr>
      <t>к</t>
    </r>
    <r>
      <rPr>
        <b/>
        <sz val="10"/>
        <rFont val="Times New Roman Cyr"/>
        <family val="1"/>
      </rPr>
      <t>*(БН</t>
    </r>
    <r>
      <rPr>
        <b/>
        <vertAlign val="subscript"/>
        <sz val="10"/>
        <rFont val="Times New Roman Cyr"/>
        <family val="1"/>
      </rPr>
      <t>nk</t>
    </r>
    <r>
      <rPr>
        <b/>
        <sz val="10"/>
        <rFont val="Times New Roman Cyr"/>
        <family val="1"/>
      </rPr>
      <t>/БН</t>
    </r>
    <r>
      <rPr>
        <b/>
        <vertAlign val="subscript"/>
        <sz val="10"/>
        <rFont val="Times New Roman Cyr"/>
        <family val="1"/>
      </rPr>
      <t>k</t>
    </r>
    <r>
      <rPr>
        <b/>
        <sz val="10"/>
        <rFont val="Times New Roman Cyr"/>
        <family val="1"/>
      </rPr>
      <t>), НП=НП</t>
    </r>
    <r>
      <rPr>
        <b/>
        <vertAlign val="subscript"/>
        <sz val="10"/>
        <rFont val="Times New Roman Cyr"/>
        <family val="1"/>
      </rPr>
      <t>кn</t>
    </r>
    <r>
      <rPr>
        <b/>
        <sz val="10"/>
        <rFont val="Times New Roman Cyr"/>
        <family val="1"/>
      </rPr>
      <t>)</t>
    </r>
  </si>
  <si>
    <r>
      <t>Налоговый потенциал (НП</t>
    </r>
    <r>
      <rPr>
        <b/>
        <vertAlign val="subscript"/>
        <sz val="10"/>
        <rFont val="Times New Roman Cyr"/>
        <family val="1"/>
      </rPr>
      <t>nk)</t>
    </r>
  </si>
  <si>
    <r>
      <t>прогноз поступлений в КБ края(ПД</t>
    </r>
    <r>
      <rPr>
        <b/>
        <vertAlign val="subscript"/>
        <sz val="8"/>
        <rFont val="Times New Roman Cyr"/>
        <family val="1"/>
      </rPr>
      <t>к)</t>
    </r>
  </si>
  <si>
    <r>
      <t>норматив отчисления в бюджеты муниципаль-ных районов (Норм</t>
    </r>
    <r>
      <rPr>
        <b/>
        <vertAlign val="subscript"/>
        <sz val="9"/>
        <rFont val="Times New Roman Cyr"/>
        <family val="1"/>
      </rPr>
      <t>к)</t>
    </r>
  </si>
  <si>
    <r>
      <t>Расчет индекса налогового потенциала (ИНП</t>
    </r>
    <r>
      <rPr>
        <b/>
        <vertAlign val="subscript"/>
        <sz val="10"/>
        <rFont val="Times New Roman Cyr"/>
        <family val="1"/>
      </rPr>
      <t>n</t>
    </r>
    <r>
      <rPr>
        <b/>
        <sz val="10"/>
        <rFont val="Times New Roman Cyr"/>
        <family val="1"/>
      </rPr>
      <t>=(НП</t>
    </r>
    <r>
      <rPr>
        <b/>
        <vertAlign val="subscript"/>
        <sz val="10"/>
        <rFont val="Times New Roman Cyr"/>
        <family val="1"/>
      </rPr>
      <t>n</t>
    </r>
    <r>
      <rPr>
        <b/>
        <sz val="10"/>
        <rFont val="Times New Roman Cyr"/>
        <family val="1"/>
      </rPr>
      <t>/Н</t>
    </r>
    <r>
      <rPr>
        <b/>
        <vertAlign val="subscript"/>
        <sz val="10"/>
        <rFont val="Times New Roman Cyr"/>
        <family val="1"/>
      </rPr>
      <t>n</t>
    </r>
    <r>
      <rPr>
        <b/>
        <sz val="10"/>
        <rFont val="Times New Roman Cyr"/>
        <family val="1"/>
      </rPr>
      <t>)/(НП/Н)</t>
    </r>
  </si>
  <si>
    <t>Баляга-Катангарское</t>
  </si>
  <si>
    <r>
      <t>Ксм</t>
    </r>
    <r>
      <rPr>
        <b/>
        <i/>
        <sz val="12"/>
        <rFont val="Times New Roman"/>
        <family val="1"/>
      </rPr>
      <t>- повышающий коэффициент к окладам и тарифным ставкам специалистам бюджетной сферы за работу в сельской местности</t>
    </r>
  </si>
  <si>
    <t>Балягинское</t>
  </si>
  <si>
    <t>Тарбагатайское</t>
  </si>
  <si>
    <t>22</t>
  </si>
  <si>
    <t>Численность постоянного населения по состоянию на 1.01.2020 года</t>
  </si>
  <si>
    <t>Численность населения по состоянию на 1.01.2020г.</t>
  </si>
  <si>
    <t>Собственные доходы (налоговые, неналоговые) на 2021 год</t>
  </si>
  <si>
    <t>Справочно: всего финансовой помощи в 2021году</t>
  </si>
  <si>
    <t>Налоговые и неналоговые доходы на 2021 г. (прогноз).</t>
  </si>
  <si>
    <t>Всего источников на 2021 год</t>
  </si>
  <si>
    <t>ФОТ на 2021 год</t>
  </si>
  <si>
    <t>Расходы на ЖКУ на 2021 год</t>
  </si>
  <si>
    <t>Аналитическая таблица по формированию финансовой помощи бюджетам поселений муниципального района " район" на 2021 -  2022годы</t>
  </si>
  <si>
    <t>Справочно: всего финансовой помощи в 2022году</t>
  </si>
  <si>
    <t>Налоговые и неналоговые доходы на 2022 г. (прогноз).</t>
  </si>
  <si>
    <t>Всего источников на 2022 год</t>
  </si>
  <si>
    <t>ФОТ на 2022 год</t>
  </si>
  <si>
    <t>Расходы на ЖКУ на 2022 год</t>
  </si>
  <si>
    <t>Расчет дотации на выравнивание бюджетной обеспеченности поселений на 2022 год</t>
  </si>
  <si>
    <t>Показатели используемые в расчете распределения средств финансовой помощи из фонда выравнивания на 2022 год</t>
  </si>
  <si>
    <t>Расчет индекса налогового потенциала для расчета дотации на выравнивание бюджетной обеспеченности поселений на 2022 год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</si>
</sst>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\$#,##0\ ;\(\$#,##0\)"/>
    <numFmt numFmtId="177" formatCode="#,##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00"/>
    <numFmt numFmtId="185" formatCode="0.0"/>
    <numFmt numFmtId="186" formatCode="#,##0.0000"/>
    <numFmt numFmtId="187" formatCode="_-* #,##0.0_р_._-;\-* #,##0.0_р_._-;_-* &quot;-&quot;?_р_._-;_-@_-"/>
    <numFmt numFmtId="188" formatCode="_-* #,##0.000_р_._-;\-* #,##0.000_р_._-;_-* &quot;-&quot;???_р_._-;_-@_-"/>
    <numFmt numFmtId="189" formatCode="0.0%"/>
    <numFmt numFmtId="190" formatCode="#,##0.00000"/>
    <numFmt numFmtId="191" formatCode="_-* #,##0.00_р_._-;\-* #,##0.00_р_._-;_-* &quot;-&quot;???_р_._-;_-@_-"/>
    <numFmt numFmtId="192" formatCode="_-* #,##0.00_р_._-;\-* #,##0.00_р_._-;_-* &quot;-&quot;?_р_._-;_-@_-"/>
    <numFmt numFmtId="193" formatCode="_-* #,##0_р_._-;\-* #,##0_р_._-;_-* &quot;-&quot;?_р_._-;_-@_-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0.000%"/>
    <numFmt numFmtId="198" formatCode="_-* #,##0.0000_р_._-;\-* #,##0.0000_р_._-;_-* &quot;-&quot;???_р_._-;_-@_-"/>
    <numFmt numFmtId="199" formatCode="#,##0.000000"/>
    <numFmt numFmtId="200" formatCode="#,##0.0000000"/>
    <numFmt numFmtId="201" formatCode="0.0000%"/>
    <numFmt numFmtId="202" formatCode="0.00000%"/>
    <numFmt numFmtId="203" formatCode="_-* #,##0.0_р_._-;\-* #,##0.0_р_._-;_-* &quot;-&quot;???_р_._-;_-@_-"/>
    <numFmt numFmtId="204" formatCode="_-* #,##0_р_._-;\-* #,##0_р_._-;_-* &quot;-&quot;???_р_._-;_-@_-"/>
    <numFmt numFmtId="205" formatCode="0.000000%"/>
    <numFmt numFmtId="206" formatCode="_-* #,##0.000_р_._-;\-* #,##0.000_р_._-;_-* &quot;-&quot;?_р_._-;_-@_-"/>
    <numFmt numFmtId="207" formatCode="_-* #,##0.000000_р_._-;\-* #,##0.000000_р_._-;_-* &quot;-&quot;??????_р_._-;_-@_-"/>
    <numFmt numFmtId="208" formatCode="_-* #,##0.0000_р_._-;\-* #,##0.0000_р_._-;_-* &quot;-&quot;????_р_._-;_-@_-"/>
    <numFmt numFmtId="209" formatCode="#,##0.0_ ;\-#,##0.0\ "/>
    <numFmt numFmtId="210" formatCode="[$-FC19]d\ mmmm\ yyyy\ &quot;г.&quot;"/>
    <numFmt numFmtId="211" formatCode="0.000000000"/>
    <numFmt numFmtId="212" formatCode="0.0000000000"/>
    <numFmt numFmtId="213" formatCode="#,##0.0&quot;р.&quot;"/>
    <numFmt numFmtId="214" formatCode="_-* #,##0.000\ _₽_-;\-* #,##0.000\ _₽_-;_-* &quot;-&quot;???\ _₽_-;_-@_-"/>
    <numFmt numFmtId="215" formatCode="_-* #,##0.0\ _₽_-;\-* #,##0.0\ _₽_-;_-* &quot;-&quot;?\ _₽_-;_-@_-"/>
    <numFmt numFmtId="216" formatCode="#,##0.00000_ ;\-#,##0.00000\ 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</numFmts>
  <fonts count="99">
    <font>
      <sz val="10"/>
      <name val="Arial Cyr"/>
      <family val="0"/>
    </font>
    <font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name val="Times New Roman Cyr"/>
      <family val="1"/>
    </font>
    <font>
      <sz val="10"/>
      <name val="Times New Roman Cyr"/>
      <family val="1"/>
    </font>
    <font>
      <sz val="12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8"/>
      <name val="Times New Roman Cyr"/>
      <family val="1"/>
    </font>
    <font>
      <b/>
      <vertAlign val="subscript"/>
      <sz val="8"/>
      <name val="Times New Roman Cyr"/>
      <family val="1"/>
    </font>
    <font>
      <b/>
      <i/>
      <sz val="8"/>
      <name val="Times New Roman Cyr"/>
      <family val="0"/>
    </font>
    <font>
      <b/>
      <vertAlign val="subscript"/>
      <sz val="10"/>
      <name val="Times New Roman Cyr"/>
      <family val="1"/>
    </font>
    <font>
      <b/>
      <vertAlign val="subscript"/>
      <sz val="9"/>
      <name val="Times New Roman Cyr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9"/>
      <name val="Times New Roman Cyr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b/>
      <sz val="16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7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Arial Cyr"/>
      <family val="0"/>
    </font>
    <font>
      <sz val="8"/>
      <color indexed="10"/>
      <name val="Times New Roman Cyr"/>
      <family val="1"/>
    </font>
    <font>
      <b/>
      <i/>
      <sz val="8"/>
      <color indexed="10"/>
      <name val="Times New Roman Cyr"/>
      <family val="0"/>
    </font>
    <font>
      <b/>
      <i/>
      <sz val="14"/>
      <color indexed="10"/>
      <name val="Times New Roman"/>
      <family val="1"/>
    </font>
    <font>
      <b/>
      <i/>
      <sz val="8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b/>
      <sz val="16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7"/>
      <color rgb="FFFF0000"/>
      <name val="Times New Roman"/>
      <family val="1"/>
    </font>
    <font>
      <b/>
      <i/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0"/>
      <color rgb="FFFF0000"/>
      <name val="Arial Cyr"/>
      <family val="0"/>
    </font>
    <font>
      <sz val="8"/>
      <color rgb="FFFF0000"/>
      <name val="Times New Roman Cyr"/>
      <family val="1"/>
    </font>
    <font>
      <b/>
      <i/>
      <sz val="8"/>
      <color rgb="FFFF0000"/>
      <name val="Times New Roman Cyr"/>
      <family val="0"/>
    </font>
    <font>
      <b/>
      <i/>
      <sz val="14"/>
      <color rgb="FFFF0000"/>
      <name val="Times New Roman"/>
      <family val="1"/>
    </font>
    <font>
      <b/>
      <i/>
      <sz val="8"/>
      <color rgb="FF00B0F0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3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1" applyNumberFormat="0" applyFont="0" applyFill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2" applyNumberFormat="0" applyAlignment="0" applyProtection="0"/>
    <xf numFmtId="0" fontId="72" fillId="26" borderId="3" applyNumberFormat="0" applyAlignment="0" applyProtection="0"/>
    <xf numFmtId="0" fontId="73" fillId="26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78" fillId="27" borderId="8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8" fillId="0" borderId="0">
      <alignment/>
      <protection/>
    </xf>
    <xf numFmtId="0" fontId="15" fillId="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83" fillId="0" borderId="10" applyNumberFormat="0" applyFill="0" applyAlignment="0" applyProtection="0"/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228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0" xfId="0" applyFont="1" applyFill="1" applyAlignment="1">
      <alignment/>
    </xf>
    <xf numFmtId="0" fontId="4" fillId="0" borderId="0" xfId="0" applyFont="1" applyAlignment="1">
      <alignment/>
    </xf>
    <xf numFmtId="187" fontId="9" fillId="0" borderId="0" xfId="0" applyNumberFormat="1" applyFont="1" applyFill="1" applyAlignment="1">
      <alignment/>
    </xf>
    <xf numFmtId="171" fontId="9" fillId="0" borderId="0" xfId="0" applyNumberFormat="1" applyFont="1" applyFill="1" applyAlignment="1">
      <alignment/>
    </xf>
    <xf numFmtId="169" fontId="4" fillId="32" borderId="0" xfId="0" applyNumberFormat="1" applyFont="1" applyFill="1" applyAlignment="1">
      <alignment/>
    </xf>
    <xf numFmtId="0" fontId="9" fillId="32" borderId="0" xfId="0" applyFont="1" applyFill="1" applyAlignment="1">
      <alignment/>
    </xf>
    <xf numFmtId="187" fontId="9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0" fontId="10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169" fontId="4" fillId="33" borderId="0" xfId="0" applyNumberFormat="1" applyFont="1" applyFill="1" applyAlignment="1">
      <alignment horizontal="center" vertical="center" wrapText="1"/>
    </xf>
    <xf numFmtId="169" fontId="4" fillId="33" borderId="0" xfId="0" applyNumberFormat="1" applyFont="1" applyFill="1" applyAlignment="1">
      <alignment/>
    </xf>
    <xf numFmtId="0" fontId="4" fillId="4" borderId="11" xfId="0" applyFont="1" applyFill="1" applyBorder="1" applyAlignment="1">
      <alignment horizontal="center" vertical="center" wrapText="1"/>
    </xf>
    <xf numFmtId="0" fontId="19" fillId="0" borderId="0" xfId="40" applyFont="1" applyFill="1" applyBorder="1">
      <alignment/>
      <protection/>
    </xf>
    <xf numFmtId="0" fontId="19" fillId="0" borderId="0" xfId="40" applyFont="1" applyFill="1" applyBorder="1" applyAlignment="1">
      <alignment horizontal="center" vertical="center" wrapText="1"/>
      <protection/>
    </xf>
    <xf numFmtId="0" fontId="18" fillId="0" borderId="11" xfId="40" applyFont="1" applyFill="1" applyBorder="1" applyAlignment="1">
      <alignment horizontal="center"/>
      <protection/>
    </xf>
    <xf numFmtId="0" fontId="18" fillId="0" borderId="0" xfId="40" applyFont="1" applyFill="1" applyBorder="1" applyAlignment="1">
      <alignment horizontal="center"/>
      <protection/>
    </xf>
    <xf numFmtId="0" fontId="20" fillId="0" borderId="0" xfId="0" applyFont="1" applyAlignment="1">
      <alignment/>
    </xf>
    <xf numFmtId="0" fontId="21" fillId="0" borderId="0" xfId="40" applyFont="1" applyFill="1" applyBorder="1">
      <alignment/>
      <protection/>
    </xf>
    <xf numFmtId="0" fontId="18" fillId="32" borderId="11" xfId="40" applyFont="1" applyFill="1" applyBorder="1" applyAlignment="1">
      <alignment horizontal="center" vertical="center" wrapText="1"/>
      <protection/>
    </xf>
    <xf numFmtId="0" fontId="21" fillId="32" borderId="11" xfId="40" applyFont="1" applyFill="1" applyBorder="1" applyAlignment="1">
      <alignment horizontal="center" vertical="center" wrapText="1"/>
      <protection/>
    </xf>
    <xf numFmtId="0" fontId="21" fillId="0" borderId="0" xfId="40" applyFont="1" applyFill="1" applyBorder="1" applyAlignment="1">
      <alignment horizontal="center" vertical="center" wrapText="1"/>
      <protection/>
    </xf>
    <xf numFmtId="0" fontId="21" fillId="32" borderId="11" xfId="39" applyFont="1" applyFill="1" applyBorder="1" applyAlignment="1">
      <alignment horizontal="center" vertical="center" wrapText="1"/>
      <protection/>
    </xf>
    <xf numFmtId="0" fontId="18" fillId="32" borderId="11" xfId="40" applyFont="1" applyFill="1" applyBorder="1" applyAlignment="1">
      <alignment horizontal="center" vertical="center" wrapText="1"/>
      <protection/>
    </xf>
    <xf numFmtId="0" fontId="18" fillId="32" borderId="11" xfId="0" applyFont="1" applyFill="1" applyBorder="1" applyAlignment="1">
      <alignment horizontal="center"/>
    </xf>
    <xf numFmtId="0" fontId="21" fillId="0" borderId="11" xfId="41" applyFont="1" applyFill="1" applyBorder="1">
      <alignment/>
      <protection/>
    </xf>
    <xf numFmtId="3" fontId="21" fillId="32" borderId="11" xfId="40" applyNumberFormat="1" applyFont="1" applyFill="1" applyBorder="1" applyAlignment="1">
      <alignment horizontal="right" vertical="center" wrapText="1"/>
      <protection/>
    </xf>
    <xf numFmtId="0" fontId="18" fillId="0" borderId="11" xfId="41" applyFont="1" applyFill="1" applyBorder="1">
      <alignment/>
      <protection/>
    </xf>
    <xf numFmtId="0" fontId="21" fillId="0" borderId="11" xfId="40" applyFont="1" applyFill="1" applyBorder="1" applyAlignment="1">
      <alignment horizontal="center" vertical="center" wrapText="1"/>
      <protection/>
    </xf>
    <xf numFmtId="0" fontId="18" fillId="0" borderId="11" xfId="0" applyFont="1" applyFill="1" applyBorder="1" applyAlignment="1">
      <alignment horizontal="center"/>
    </xf>
    <xf numFmtId="177" fontId="21" fillId="32" borderId="11" xfId="40" applyNumberFormat="1" applyFont="1" applyFill="1" applyBorder="1" applyAlignment="1">
      <alignment horizontal="right" vertical="center" wrapText="1"/>
      <protection/>
    </xf>
    <xf numFmtId="1" fontId="21" fillId="32" borderId="11" xfId="40" applyNumberFormat="1" applyFont="1" applyFill="1" applyBorder="1" applyAlignment="1">
      <alignment horizontal="right" vertical="center" wrapText="1"/>
      <protection/>
    </xf>
    <xf numFmtId="1" fontId="20" fillId="34" borderId="11" xfId="0" applyNumberFormat="1" applyFont="1" applyFill="1" applyBorder="1" applyAlignment="1">
      <alignment/>
    </xf>
    <xf numFmtId="1" fontId="21" fillId="34" borderId="11" xfId="40" applyNumberFormat="1" applyFont="1" applyFill="1" applyBorder="1">
      <alignment/>
      <protection/>
    </xf>
    <xf numFmtId="1" fontId="21" fillId="32" borderId="11" xfId="40" applyNumberFormat="1" applyFont="1" applyFill="1" applyBorder="1">
      <alignment/>
      <protection/>
    </xf>
    <xf numFmtId="1" fontId="20" fillId="34" borderId="11" xfId="0" applyNumberFormat="1" applyFont="1" applyFill="1" applyBorder="1" applyAlignment="1">
      <alignment horizontal="right"/>
    </xf>
    <xf numFmtId="177" fontId="21" fillId="32" borderId="11" xfId="40" applyNumberFormat="1" applyFont="1" applyFill="1" applyBorder="1">
      <alignment/>
      <protection/>
    </xf>
    <xf numFmtId="1" fontId="19" fillId="0" borderId="0" xfId="40" applyNumberFormat="1" applyFont="1" applyFill="1" applyBorder="1">
      <alignment/>
      <protection/>
    </xf>
    <xf numFmtId="169" fontId="21" fillId="34" borderId="11" xfId="40" applyNumberFormat="1" applyFont="1" applyFill="1" applyBorder="1" applyAlignment="1">
      <alignment horizontal="right" vertical="center" wrapText="1"/>
      <protection/>
    </xf>
    <xf numFmtId="0" fontId="22" fillId="34" borderId="11" xfId="40" applyFont="1" applyFill="1" applyBorder="1" applyAlignment="1">
      <alignment horizontal="right" vertical="center" wrapText="1"/>
      <protection/>
    </xf>
    <xf numFmtId="0" fontId="21" fillId="34" borderId="11" xfId="40" applyFont="1" applyFill="1" applyBorder="1" applyAlignment="1">
      <alignment horizontal="right" vertical="center" wrapText="1"/>
      <protection/>
    </xf>
    <xf numFmtId="0" fontId="19" fillId="0" borderId="11" xfId="40" applyFont="1" applyFill="1" applyBorder="1">
      <alignment/>
      <protection/>
    </xf>
    <xf numFmtId="0" fontId="18" fillId="32" borderId="12" xfId="40" applyFont="1" applyFill="1" applyBorder="1" applyAlignment="1">
      <alignment horizontal="center" vertical="center" wrapText="1"/>
      <protection/>
    </xf>
    <xf numFmtId="1" fontId="21" fillId="32" borderId="12" xfId="40" applyNumberFormat="1" applyFont="1" applyFill="1" applyBorder="1" applyAlignment="1">
      <alignment horizontal="right" vertical="center" wrapText="1"/>
      <protection/>
    </xf>
    <xf numFmtId="1" fontId="19" fillId="0" borderId="11" xfId="40" applyNumberFormat="1" applyFont="1" applyFill="1" applyBorder="1">
      <alignment/>
      <protection/>
    </xf>
    <xf numFmtId="177" fontId="19" fillId="0" borderId="0" xfId="40" applyNumberFormat="1" applyFont="1" applyFill="1" applyBorder="1">
      <alignment/>
      <protection/>
    </xf>
    <xf numFmtId="0" fontId="19" fillId="0" borderId="0" xfId="40" applyFont="1" applyFill="1" applyBorder="1" applyAlignment="1">
      <alignment vertical="top" wrapText="1"/>
      <protection/>
    </xf>
    <xf numFmtId="1" fontId="19" fillId="0" borderId="12" xfId="40" applyNumberFormat="1" applyFont="1" applyFill="1" applyBorder="1">
      <alignment/>
      <protection/>
    </xf>
    <xf numFmtId="169" fontId="19" fillId="0" borderId="0" xfId="40" applyNumberFormat="1" applyFont="1" applyFill="1" applyBorder="1">
      <alignment/>
      <protection/>
    </xf>
    <xf numFmtId="169" fontId="0" fillId="32" borderId="11" xfId="0" applyNumberFormat="1" applyFont="1" applyFill="1" applyBorder="1" applyAlignment="1">
      <alignment/>
    </xf>
    <xf numFmtId="0" fontId="86" fillId="0" borderId="0" xfId="40" applyFont="1" applyFill="1" applyBorder="1">
      <alignment/>
      <protection/>
    </xf>
    <xf numFmtId="169" fontId="87" fillId="33" borderId="0" xfId="0" applyNumberFormat="1" applyFont="1" applyFill="1" applyAlignment="1">
      <alignment/>
    </xf>
    <xf numFmtId="0" fontId="88" fillId="0" borderId="0" xfId="0" applyFont="1" applyFill="1" applyAlignment="1">
      <alignment vertical="center" wrapText="1"/>
    </xf>
    <xf numFmtId="0" fontId="89" fillId="0" borderId="0" xfId="0" applyFont="1" applyAlignment="1">
      <alignment horizontal="center" vertical="center" wrapText="1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11" xfId="0" applyFont="1" applyFill="1" applyBorder="1" applyAlignment="1">
      <alignment horizontal="center" vertical="center" wrapText="1"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169" fontId="89" fillId="33" borderId="0" xfId="0" applyNumberFormat="1" applyFont="1" applyFill="1" applyAlignment="1">
      <alignment/>
    </xf>
    <xf numFmtId="169" fontId="89" fillId="32" borderId="0" xfId="0" applyNumberFormat="1" applyFont="1" applyFill="1" applyAlignment="1">
      <alignment/>
    </xf>
    <xf numFmtId="0" fontId="93" fillId="32" borderId="0" xfId="0" applyFont="1" applyFill="1" applyAlignment="1">
      <alignment/>
    </xf>
    <xf numFmtId="0" fontId="93" fillId="0" borderId="0" xfId="0" applyFont="1" applyFill="1" applyAlignment="1">
      <alignment/>
    </xf>
    <xf numFmtId="187" fontId="93" fillId="32" borderId="0" xfId="0" applyNumberFormat="1" applyFont="1" applyFill="1" applyAlignment="1">
      <alignment/>
    </xf>
    <xf numFmtId="187" fontId="93" fillId="0" borderId="0" xfId="0" applyNumberFormat="1" applyFont="1" applyFill="1" applyAlignment="1">
      <alignment/>
    </xf>
    <xf numFmtId="171" fontId="93" fillId="0" borderId="0" xfId="0" applyNumberFormat="1" applyFont="1" applyFill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32" borderId="11" xfId="0" applyFont="1" applyFill="1" applyBorder="1" applyAlignment="1">
      <alignment horizontal="center" vertical="center" wrapText="1"/>
    </xf>
    <xf numFmtId="169" fontId="24" fillId="32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6" fillId="34" borderId="11" xfId="41" applyFont="1" applyFill="1" applyBorder="1">
      <alignment/>
      <protection/>
    </xf>
    <xf numFmtId="169" fontId="14" fillId="33" borderId="0" xfId="0" applyNumberFormat="1" applyFont="1" applyFill="1" applyAlignment="1">
      <alignment/>
    </xf>
    <xf numFmtId="0" fontId="28" fillId="32" borderId="11" xfId="65" applyFont="1" applyFill="1" applyBorder="1" applyAlignment="1">
      <alignment horizontal="center" vertical="center" wrapText="1"/>
      <protection/>
    </xf>
    <xf numFmtId="9" fontId="30" fillId="34" borderId="11" xfId="65" applyNumberFormat="1" applyFont="1" applyFill="1" applyBorder="1" applyAlignment="1">
      <alignment wrapText="1"/>
      <protection/>
    </xf>
    <xf numFmtId="3" fontId="30" fillId="32" borderId="11" xfId="65" applyNumberFormat="1" applyFont="1" applyFill="1" applyBorder="1" applyAlignment="1">
      <alignment wrapText="1"/>
      <protection/>
    </xf>
    <xf numFmtId="0" fontId="25" fillId="32" borderId="11" xfId="0" applyFont="1" applyFill="1" applyBorder="1" applyAlignment="1">
      <alignment/>
    </xf>
    <xf numFmtId="177" fontId="25" fillId="32" borderId="11" xfId="65" applyNumberFormat="1" applyFont="1" applyFill="1" applyBorder="1" applyAlignment="1">
      <alignment wrapText="1"/>
      <protection/>
    </xf>
    <xf numFmtId="0" fontId="28" fillId="35" borderId="11" xfId="65" applyFont="1" applyFill="1" applyBorder="1" applyAlignment="1">
      <alignment horizontal="center" vertical="center" wrapText="1"/>
      <protection/>
    </xf>
    <xf numFmtId="187" fontId="28" fillId="35" borderId="11" xfId="65" applyNumberFormat="1" applyFont="1" applyFill="1" applyBorder="1" applyAlignment="1">
      <alignment horizontal="center" vertical="center" wrapText="1"/>
      <protection/>
    </xf>
    <xf numFmtId="0" fontId="23" fillId="35" borderId="11" xfId="0" applyFont="1" applyFill="1" applyBorder="1" applyAlignment="1">
      <alignment horizontal="center" vertical="center" wrapText="1"/>
    </xf>
    <xf numFmtId="9" fontId="30" fillId="34" borderId="11" xfId="65" applyNumberFormat="1" applyFont="1" applyFill="1" applyBorder="1" applyAlignment="1">
      <alignment wrapText="1"/>
      <protection/>
    </xf>
    <xf numFmtId="193" fontId="30" fillId="35" borderId="11" xfId="65" applyNumberFormat="1" applyFont="1" applyFill="1" applyBorder="1" applyAlignment="1">
      <alignment horizontal="center" wrapText="1"/>
      <protection/>
    </xf>
    <xf numFmtId="3" fontId="25" fillId="35" borderId="11" xfId="65" applyNumberFormat="1" applyFont="1" applyFill="1" applyBorder="1" applyAlignment="1">
      <alignment wrapText="1"/>
      <protection/>
    </xf>
    <xf numFmtId="193" fontId="25" fillId="35" borderId="11" xfId="65" applyNumberFormat="1" applyFont="1" applyFill="1" applyBorder="1" applyAlignment="1">
      <alignment wrapText="1"/>
      <protection/>
    </xf>
    <xf numFmtId="0" fontId="23" fillId="32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93" fontId="25" fillId="32" borderId="11" xfId="65" applyNumberFormat="1" applyFont="1" applyFill="1" applyBorder="1" applyAlignment="1">
      <alignment wrapText="1"/>
      <protection/>
    </xf>
    <xf numFmtId="0" fontId="25" fillId="32" borderId="12" xfId="65" applyNumberFormat="1" applyFont="1" applyFill="1" applyBorder="1" applyAlignment="1">
      <alignment wrapText="1"/>
      <protection/>
    </xf>
    <xf numFmtId="188" fontId="24" fillId="0" borderId="11" xfId="0" applyNumberFormat="1" applyFont="1" applyFill="1" applyBorder="1" applyAlignment="1">
      <alignment/>
    </xf>
    <xf numFmtId="0" fontId="10" fillId="32" borderId="11" xfId="64" applyFont="1" applyFill="1" applyBorder="1" applyProtection="1">
      <alignment/>
      <protection hidden="1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3" fontId="10" fillId="32" borderId="11" xfId="0" applyNumberFormat="1" applyFont="1" applyFill="1" applyBorder="1" applyAlignment="1">
      <alignment horizontal="center" vertical="center" wrapText="1"/>
    </xf>
    <xf numFmtId="0" fontId="34" fillId="36" borderId="11" xfId="0" applyFont="1" applyFill="1" applyBorder="1" applyAlignment="1">
      <alignment vertical="center" wrapText="1"/>
    </xf>
    <xf numFmtId="188" fontId="10" fillId="36" borderId="11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5" fillId="32" borderId="11" xfId="0" applyFont="1" applyFill="1" applyBorder="1" applyAlignment="1">
      <alignment horizontal="left" vertical="center" wrapText="1"/>
    </xf>
    <xf numFmtId="183" fontId="10" fillId="0" borderId="11" xfId="0" applyNumberFormat="1" applyFont="1" applyFill="1" applyBorder="1" applyAlignment="1">
      <alignment vertical="center" wrapText="1"/>
    </xf>
    <xf numFmtId="10" fontId="10" fillId="34" borderId="11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188" fontId="34" fillId="36" borderId="11" xfId="0" applyNumberFormat="1" applyFont="1" applyFill="1" applyBorder="1" applyAlignment="1">
      <alignment vertical="center" wrapText="1"/>
    </xf>
    <xf numFmtId="0" fontId="10" fillId="36" borderId="11" xfId="0" applyFont="1" applyFill="1" applyBorder="1" applyAlignment="1">
      <alignment vertical="center" wrapText="1"/>
    </xf>
    <xf numFmtId="0" fontId="34" fillId="36" borderId="11" xfId="0" applyNumberFormat="1" applyFont="1" applyFill="1" applyBorder="1" applyAlignment="1">
      <alignment vertical="center" wrapText="1"/>
    </xf>
    <xf numFmtId="0" fontId="34" fillId="32" borderId="11" xfId="0" applyFont="1" applyFill="1" applyBorder="1" applyAlignment="1">
      <alignment vertical="center" wrapText="1"/>
    </xf>
    <xf numFmtId="188" fontId="34" fillId="32" borderId="11" xfId="0" applyNumberFormat="1" applyFont="1" applyFill="1" applyBorder="1" applyAlignment="1">
      <alignment vertical="center" wrapText="1"/>
    </xf>
    <xf numFmtId="188" fontId="34" fillId="34" borderId="11" xfId="0" applyNumberFormat="1" applyFont="1" applyFill="1" applyBorder="1" applyAlignment="1">
      <alignment vertical="center" wrapText="1"/>
    </xf>
    <xf numFmtId="0" fontId="34" fillId="32" borderId="11" xfId="0" applyNumberFormat="1" applyFont="1" applyFill="1" applyBorder="1" applyAlignment="1">
      <alignment vertical="center" wrapText="1"/>
    </xf>
    <xf numFmtId="0" fontId="36" fillId="36" borderId="11" xfId="0" applyFont="1" applyFill="1" applyBorder="1" applyAlignment="1">
      <alignment vertical="center" wrapText="1"/>
    </xf>
    <xf numFmtId="0" fontId="10" fillId="37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vertical="center" wrapText="1"/>
    </xf>
    <xf numFmtId="49" fontId="10" fillId="34" borderId="11" xfId="0" applyNumberFormat="1" applyFont="1" applyFill="1" applyBorder="1" applyAlignment="1">
      <alignment horizontal="right" vertical="top" wrapText="1"/>
    </xf>
    <xf numFmtId="0" fontId="10" fillId="4" borderId="11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vertical="center" wrapText="1"/>
    </xf>
    <xf numFmtId="184" fontId="10" fillId="32" borderId="11" xfId="0" applyNumberFormat="1" applyFont="1" applyFill="1" applyBorder="1" applyAlignment="1">
      <alignment/>
    </xf>
    <xf numFmtId="0" fontId="37" fillId="32" borderId="11" xfId="63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/>
    </xf>
    <xf numFmtId="0" fontId="37" fillId="32" borderId="11" xfId="63" applyFont="1" applyFill="1" applyBorder="1" applyAlignment="1" applyProtection="1">
      <alignment horizontal="center" vertical="top"/>
      <protection hidden="1"/>
    </xf>
    <xf numFmtId="0" fontId="37" fillId="32" borderId="11" xfId="63" applyFont="1" applyFill="1" applyBorder="1" applyAlignment="1" applyProtection="1">
      <alignment horizontal="center"/>
      <protection hidden="1"/>
    </xf>
    <xf numFmtId="187" fontId="0" fillId="32" borderId="11" xfId="0" applyNumberFormat="1" applyFont="1" applyFill="1" applyBorder="1" applyAlignment="1">
      <alignment horizontal="center" vertical="center" wrapText="1"/>
    </xf>
    <xf numFmtId="188" fontId="0" fillId="32" borderId="11" xfId="0" applyNumberFormat="1" applyFont="1" applyFill="1" applyBorder="1" applyAlignment="1">
      <alignment horizontal="center" vertical="center" wrapText="1"/>
    </xf>
    <xf numFmtId="169" fontId="0" fillId="32" borderId="11" xfId="0" applyNumberFormat="1" applyFont="1" applyFill="1" applyBorder="1" applyAlignment="1">
      <alignment horizontal="center" vertical="center" wrapText="1"/>
    </xf>
    <xf numFmtId="187" fontId="0" fillId="32" borderId="11" xfId="0" applyNumberFormat="1" applyFont="1" applyFill="1" applyBorder="1" applyAlignment="1">
      <alignment/>
    </xf>
    <xf numFmtId="187" fontId="0" fillId="0" borderId="11" xfId="0" applyNumberFormat="1" applyFont="1" applyFill="1" applyBorder="1" applyAlignment="1">
      <alignment horizontal="center" vertical="center" wrapText="1"/>
    </xf>
    <xf numFmtId="185" fontId="0" fillId="32" borderId="11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169" fontId="24" fillId="32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88" fontId="24" fillId="34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1" fontId="0" fillId="0" borderId="0" xfId="0" applyNumberFormat="1" applyFont="1" applyAlignment="1">
      <alignment/>
    </xf>
    <xf numFmtId="185" fontId="0" fillId="34" borderId="11" xfId="0" applyNumberFormat="1" applyFont="1" applyFill="1" applyBorder="1" applyAlignment="1">
      <alignment/>
    </xf>
    <xf numFmtId="169" fontId="0" fillId="36" borderId="11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26" fillId="34" borderId="0" xfId="41" applyFont="1" applyFill="1" applyBorder="1">
      <alignment/>
      <protection/>
    </xf>
    <xf numFmtId="3" fontId="26" fillId="34" borderId="0" xfId="0" applyNumberFormat="1" applyFont="1" applyFill="1" applyBorder="1" applyAlignment="1">
      <alignment wrapText="1"/>
    </xf>
    <xf numFmtId="0" fontId="25" fillId="32" borderId="0" xfId="0" applyFont="1" applyFill="1" applyBorder="1" applyAlignment="1">
      <alignment/>
    </xf>
    <xf numFmtId="177" fontId="25" fillId="34" borderId="0" xfId="65" applyNumberFormat="1" applyFont="1" applyFill="1" applyBorder="1" applyAlignment="1">
      <alignment wrapText="1"/>
      <protection/>
    </xf>
    <xf numFmtId="177" fontId="25" fillId="32" borderId="0" xfId="65" applyNumberFormat="1" applyFont="1" applyFill="1" applyBorder="1" applyAlignment="1">
      <alignment wrapText="1"/>
      <protection/>
    </xf>
    <xf numFmtId="3" fontId="25" fillId="35" borderId="0" xfId="65" applyNumberFormat="1" applyFont="1" applyFill="1" applyBorder="1" applyAlignment="1">
      <alignment wrapText="1"/>
      <protection/>
    </xf>
    <xf numFmtId="209" fontId="25" fillId="34" borderId="0" xfId="65" applyNumberFormat="1" applyFont="1" applyFill="1" applyBorder="1" applyAlignment="1">
      <alignment horizontal="center" wrapText="1"/>
      <protection/>
    </xf>
    <xf numFmtId="193" fontId="25" fillId="35" borderId="0" xfId="65" applyNumberFormat="1" applyFont="1" applyFill="1" applyBorder="1" applyAlignment="1">
      <alignment wrapText="1"/>
      <protection/>
    </xf>
    <xf numFmtId="193" fontId="25" fillId="32" borderId="0" xfId="65" applyNumberFormat="1" applyFont="1" applyFill="1" applyBorder="1" applyAlignment="1">
      <alignment wrapText="1"/>
      <protection/>
    </xf>
    <xf numFmtId="0" fontId="25" fillId="32" borderId="0" xfId="65" applyNumberFormat="1" applyFont="1" applyFill="1" applyBorder="1" applyAlignment="1">
      <alignment wrapText="1"/>
      <protection/>
    </xf>
    <xf numFmtId="188" fontId="24" fillId="0" borderId="0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horizontal="center" vertical="center" wrapText="1"/>
    </xf>
    <xf numFmtId="187" fontId="10" fillId="32" borderId="11" xfId="64" applyNumberFormat="1" applyFont="1" applyFill="1" applyBorder="1" applyProtection="1">
      <alignment/>
      <protection hidden="1"/>
    </xf>
    <xf numFmtId="169" fontId="91" fillId="34" borderId="11" xfId="0" applyNumberFormat="1" applyFont="1" applyFill="1" applyBorder="1" applyAlignment="1">
      <alignment/>
    </xf>
    <xf numFmtId="3" fontId="94" fillId="34" borderId="11" xfId="0" applyNumberFormat="1" applyFont="1" applyFill="1" applyBorder="1" applyAlignment="1">
      <alignment wrapText="1"/>
    </xf>
    <xf numFmtId="3" fontId="91" fillId="34" borderId="11" xfId="0" applyNumberFormat="1" applyFont="1" applyFill="1" applyBorder="1" applyAlignment="1">
      <alignment/>
    </xf>
    <xf numFmtId="177" fontId="92" fillId="34" borderId="11" xfId="65" applyNumberFormat="1" applyFont="1" applyFill="1" applyBorder="1" applyAlignment="1">
      <alignment wrapText="1"/>
      <protection/>
    </xf>
    <xf numFmtId="209" fontId="92" fillId="34" borderId="11" xfId="65" applyNumberFormat="1" applyFont="1" applyFill="1" applyBorder="1" applyAlignment="1">
      <alignment horizontal="center" wrapText="1"/>
      <protection/>
    </xf>
    <xf numFmtId="177" fontId="91" fillId="34" borderId="11" xfId="0" applyNumberFormat="1" applyFont="1" applyFill="1" applyBorder="1" applyAlignment="1">
      <alignment/>
    </xf>
    <xf numFmtId="177" fontId="95" fillId="34" borderId="11" xfId="65" applyNumberFormat="1" applyFont="1" applyFill="1" applyBorder="1" applyAlignment="1">
      <alignment wrapText="1"/>
      <protection/>
    </xf>
    <xf numFmtId="188" fontId="96" fillId="34" borderId="11" xfId="0" applyNumberFormat="1" applyFont="1" applyFill="1" applyBorder="1" applyAlignment="1">
      <alignment vertical="center" wrapText="1"/>
    </xf>
    <xf numFmtId="2" fontId="88" fillId="34" borderId="11" xfId="64" applyNumberFormat="1" applyFont="1" applyFill="1" applyBorder="1" applyAlignment="1" applyProtection="1">
      <alignment horizontal="right"/>
      <protection hidden="1"/>
    </xf>
    <xf numFmtId="209" fontId="97" fillId="34" borderId="11" xfId="0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10" fillId="34" borderId="11" xfId="64" applyFont="1" applyFill="1" applyBorder="1" applyProtection="1">
      <alignment/>
      <protection hidden="1"/>
    </xf>
    <xf numFmtId="185" fontId="10" fillId="34" borderId="11" xfId="64" applyNumberFormat="1" applyFont="1" applyFill="1" applyBorder="1" applyProtection="1">
      <alignment/>
      <protection hidden="1"/>
    </xf>
    <xf numFmtId="169" fontId="4" fillId="0" borderId="11" xfId="0" applyNumberFormat="1" applyFont="1" applyBorder="1" applyAlignment="1">
      <alignment horizontal="center" vertical="center" wrapText="1"/>
    </xf>
    <xf numFmtId="169" fontId="4" fillId="32" borderId="11" xfId="0" applyNumberFormat="1" applyFont="1" applyFill="1" applyBorder="1" applyAlignment="1">
      <alignment horizontal="center" vertical="center" wrapText="1"/>
    </xf>
    <xf numFmtId="0" fontId="27" fillId="32" borderId="11" xfId="65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27" fillId="35" borderId="11" xfId="65" applyFont="1" applyFill="1" applyBorder="1" applyAlignment="1">
      <alignment horizontal="center" vertical="center" wrapText="1"/>
      <protection/>
    </xf>
    <xf numFmtId="0" fontId="27" fillId="32" borderId="12" xfId="65" applyFont="1" applyFill="1" applyBorder="1" applyAlignment="1">
      <alignment horizontal="center" vertical="center" wrapText="1"/>
      <protection/>
    </xf>
    <xf numFmtId="0" fontId="27" fillId="0" borderId="13" xfId="65" applyFont="1" applyFill="1" applyBorder="1" applyAlignment="1">
      <alignment horizontal="center" vertical="center" wrapText="1"/>
      <protection/>
    </xf>
    <xf numFmtId="0" fontId="27" fillId="0" borderId="16" xfId="65" applyFont="1" applyFill="1" applyBorder="1" applyAlignment="1">
      <alignment horizontal="center" vertical="center" wrapText="1"/>
      <protection/>
    </xf>
    <xf numFmtId="0" fontId="27" fillId="0" borderId="11" xfId="65" applyFont="1" applyFill="1" applyBorder="1" applyAlignment="1">
      <alignment horizontal="center" vertical="center" wrapText="1"/>
      <protection/>
    </xf>
    <xf numFmtId="0" fontId="27" fillId="0" borderId="12" xfId="65" applyFont="1" applyFill="1" applyBorder="1" applyAlignment="1">
      <alignment horizontal="center" vertical="center" wrapText="1"/>
      <protection/>
    </xf>
    <xf numFmtId="171" fontId="27" fillId="0" borderId="11" xfId="65" applyNumberFormat="1" applyFont="1" applyFill="1" applyBorder="1" applyAlignment="1">
      <alignment horizontal="center" vertical="center" wrapText="1"/>
      <protection/>
    </xf>
    <xf numFmtId="0" fontId="17" fillId="32" borderId="0" xfId="0" applyFont="1" applyFill="1" applyAlignment="1">
      <alignment horizontal="center"/>
    </xf>
    <xf numFmtId="0" fontId="10" fillId="36" borderId="11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7" fillId="32" borderId="11" xfId="63" applyFont="1" applyFill="1" applyBorder="1" applyAlignment="1" applyProtection="1">
      <alignment horizontal="center" vertical="center" wrapText="1"/>
      <protection hidden="1"/>
    </xf>
    <xf numFmtId="0" fontId="0" fillId="32" borderId="11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left"/>
    </xf>
    <xf numFmtId="0" fontId="9" fillId="36" borderId="12" xfId="0" applyFont="1" applyFill="1" applyBorder="1" applyAlignment="1">
      <alignment horizontal="left"/>
    </xf>
    <xf numFmtId="0" fontId="9" fillId="36" borderId="17" xfId="0" applyFont="1" applyFill="1" applyBorder="1" applyAlignment="1">
      <alignment horizontal="left"/>
    </xf>
    <xf numFmtId="0" fontId="9" fillId="36" borderId="11" xfId="0" applyFont="1" applyFill="1" applyBorder="1" applyAlignment="1">
      <alignment horizontal="left" wrapText="1"/>
    </xf>
    <xf numFmtId="0" fontId="0" fillId="32" borderId="11" xfId="0" applyFont="1" applyFill="1" applyBorder="1" applyAlignment="1">
      <alignment wrapText="1"/>
    </xf>
    <xf numFmtId="0" fontId="37" fillId="32" borderId="13" xfId="63" applyFont="1" applyFill="1" applyBorder="1" applyAlignment="1" applyProtection="1">
      <alignment horizontal="center" vertical="center" wrapText="1"/>
      <protection hidden="1"/>
    </xf>
    <xf numFmtId="0" fontId="37" fillId="32" borderId="14" xfId="63" applyFont="1" applyFill="1" applyBorder="1" applyAlignment="1" applyProtection="1">
      <alignment horizontal="center" vertical="center" wrapText="1"/>
      <protection hidden="1"/>
    </xf>
    <xf numFmtId="0" fontId="37" fillId="32" borderId="18" xfId="63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horizontal="center"/>
    </xf>
    <xf numFmtId="171" fontId="0" fillId="34" borderId="11" xfId="0" applyNumberFormat="1" applyFont="1" applyFill="1" applyBorder="1" applyAlignment="1">
      <alignment horizontal="center" vertical="center" wrapText="1"/>
    </xf>
    <xf numFmtId="3" fontId="18" fillId="32" borderId="11" xfId="40" applyNumberFormat="1" applyFont="1" applyFill="1" applyBorder="1" applyAlignment="1">
      <alignment horizontal="center" vertical="center" wrapText="1"/>
      <protection/>
    </xf>
    <xf numFmtId="0" fontId="18" fillId="32" borderId="11" xfId="40" applyFont="1" applyFill="1" applyBorder="1" applyAlignment="1">
      <alignment horizontal="center" vertical="center" wrapText="1"/>
      <protection/>
    </xf>
    <xf numFmtId="0" fontId="18" fillId="32" borderId="13" xfId="40" applyFont="1" applyFill="1" applyBorder="1" applyAlignment="1">
      <alignment horizontal="center" vertical="center" wrapText="1"/>
      <protection/>
    </xf>
    <xf numFmtId="0" fontId="18" fillId="32" borderId="14" xfId="40" applyFont="1" applyFill="1" applyBorder="1" applyAlignment="1">
      <alignment horizontal="center" vertical="center" wrapText="1"/>
      <protection/>
    </xf>
    <xf numFmtId="0" fontId="18" fillId="32" borderId="18" xfId="40" applyFont="1" applyFill="1" applyBorder="1" applyAlignment="1">
      <alignment horizontal="center" vertical="center" wrapText="1"/>
      <protection/>
    </xf>
    <xf numFmtId="3" fontId="18" fillId="32" borderId="16" xfId="40" applyNumberFormat="1" applyFont="1" applyFill="1" applyBorder="1" applyAlignment="1">
      <alignment horizontal="center" vertical="center" wrapText="1"/>
      <protection/>
    </xf>
    <xf numFmtId="3" fontId="18" fillId="32" borderId="19" xfId="40" applyNumberFormat="1" applyFont="1" applyFill="1" applyBorder="1" applyAlignment="1">
      <alignment horizontal="center" vertical="center" wrapText="1"/>
      <protection/>
    </xf>
    <xf numFmtId="3" fontId="18" fillId="32" borderId="20" xfId="40" applyNumberFormat="1" applyFont="1" applyFill="1" applyBorder="1" applyAlignment="1">
      <alignment horizontal="center" vertical="center" wrapText="1"/>
      <protection/>
    </xf>
    <xf numFmtId="3" fontId="18" fillId="32" borderId="13" xfId="40" applyNumberFormat="1" applyFont="1" applyFill="1" applyBorder="1" applyAlignment="1">
      <alignment horizontal="center" vertical="center" wrapText="1"/>
      <protection/>
    </xf>
    <xf numFmtId="3" fontId="18" fillId="32" borderId="14" xfId="40" applyNumberFormat="1" applyFont="1" applyFill="1" applyBorder="1" applyAlignment="1">
      <alignment horizontal="center" vertical="center" wrapText="1"/>
      <protection/>
    </xf>
    <xf numFmtId="3" fontId="18" fillId="32" borderId="18" xfId="40" applyNumberFormat="1" applyFont="1" applyFill="1" applyBorder="1" applyAlignment="1">
      <alignment horizontal="center" vertical="center" wrapText="1"/>
      <protection/>
    </xf>
    <xf numFmtId="3" fontId="18" fillId="32" borderId="12" xfId="40" applyNumberFormat="1" applyFont="1" applyFill="1" applyBorder="1" applyAlignment="1">
      <alignment horizontal="center" vertical="center" wrapText="1"/>
      <protection/>
    </xf>
    <xf numFmtId="0" fontId="18" fillId="32" borderId="13" xfId="40" applyFont="1" applyFill="1" applyBorder="1" applyAlignment="1">
      <alignment horizontal="center" vertical="center" wrapText="1"/>
      <protection/>
    </xf>
    <xf numFmtId="0" fontId="18" fillId="32" borderId="14" xfId="40" applyFont="1" applyFill="1" applyBorder="1" applyAlignment="1">
      <alignment horizontal="center" vertical="center" wrapText="1"/>
      <protection/>
    </xf>
    <xf numFmtId="0" fontId="18" fillId="32" borderId="18" xfId="40" applyFont="1" applyFill="1" applyBorder="1" applyAlignment="1">
      <alignment horizontal="center" vertical="center" wrapText="1"/>
      <protection/>
    </xf>
    <xf numFmtId="0" fontId="18" fillId="32" borderId="13" xfId="39" applyFont="1" applyFill="1" applyBorder="1" applyAlignment="1">
      <alignment horizontal="center" vertical="center" wrapText="1"/>
      <protection/>
    </xf>
    <xf numFmtId="0" fontId="18" fillId="32" borderId="14" xfId="39" applyFont="1" applyFill="1" applyBorder="1" applyAlignment="1">
      <alignment horizontal="center" vertical="center" wrapText="1"/>
      <protection/>
    </xf>
    <xf numFmtId="0" fontId="18" fillId="32" borderId="18" xfId="39" applyFont="1" applyFill="1" applyBorder="1" applyAlignment="1">
      <alignment horizontal="center" vertical="center" wrapText="1"/>
      <protection/>
    </xf>
    <xf numFmtId="0" fontId="18" fillId="32" borderId="12" xfId="40" applyFont="1" applyFill="1" applyBorder="1" applyAlignment="1">
      <alignment horizontal="center" vertical="center" wrapText="1"/>
      <protection/>
    </xf>
    <xf numFmtId="0" fontId="18" fillId="32" borderId="17" xfId="40" applyFont="1" applyFill="1" applyBorder="1" applyAlignment="1">
      <alignment horizontal="center" vertical="center" wrapText="1"/>
      <protection/>
    </xf>
    <xf numFmtId="0" fontId="18" fillId="0" borderId="21" xfId="40" applyFont="1" applyFill="1" applyBorder="1" applyAlignment="1">
      <alignment horizontal="center" wrapText="1"/>
      <protection/>
    </xf>
    <xf numFmtId="0" fontId="18" fillId="0" borderId="0" xfId="40" applyFont="1" applyFill="1" applyBorder="1" applyAlignment="1">
      <alignment horizont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_002-rev-wod" xfId="39"/>
    <cellStyle name="Normal_own-reg-rev" xfId="40"/>
    <cellStyle name="Normal_Regional Data for IGR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_Лист1" xfId="63"/>
    <cellStyle name="Обычный_Лист2" xfId="64"/>
    <cellStyle name="Обычный_пр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c\&#1087;&#1086;&#1095;&#1090;&#1072;\DOCUME~1\USER\LOCALS~1\Temp\Rar$DI01.047\&#1041;&#1072;&#1083;&#1077;&#1081;&#1089;&#1082;&#1080;&#1081;_&#1088;&#1072;&#1081;&#1086;&#1085;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"/>
      <sheetName val="Ввод"/>
      <sheetName val="Данные"/>
      <sheetName val="Базы"/>
      <sheetName val="НП поселений"/>
      <sheetName val="РАСЧЕТ"/>
      <sheetName val="РЕЗУЛЬТАТ"/>
      <sheetName val="Диаграммы"/>
      <sheetName val="Рис 1"/>
      <sheetName val="Рис 2"/>
      <sheetName val="Рис 3"/>
    </sheetNames>
    <sheetDataSet>
      <sheetData sheetId="2">
        <row r="5">
          <cell r="A5">
            <v>1</v>
          </cell>
        </row>
        <row r="6">
          <cell r="A6">
            <v>2</v>
          </cell>
        </row>
        <row r="7">
          <cell r="A7">
            <v>3</v>
          </cell>
        </row>
        <row r="8">
          <cell r="A8">
            <v>4</v>
          </cell>
        </row>
        <row r="9">
          <cell r="A9">
            <v>5</v>
          </cell>
        </row>
        <row r="10">
          <cell r="A10">
            <v>6</v>
          </cell>
        </row>
        <row r="11">
          <cell r="A11">
            <v>7</v>
          </cell>
        </row>
        <row r="12">
          <cell r="A12">
            <v>8</v>
          </cell>
        </row>
        <row r="13">
          <cell r="A13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Q25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M9" sqref="M9"/>
    </sheetView>
  </sheetViews>
  <sheetFormatPr defaultColWidth="9.00390625" defaultRowHeight="12.75"/>
  <cols>
    <col min="1" max="1" width="5.00390625" style="1" customWidth="1"/>
    <col min="2" max="2" width="20.375" style="13" customWidth="1"/>
    <col min="3" max="3" width="12.25390625" style="6" customWidth="1"/>
    <col min="4" max="4" width="10.75390625" style="7" customWidth="1"/>
    <col min="5" max="5" width="9.25390625" style="7" customWidth="1"/>
    <col min="6" max="6" width="13.375" style="7" customWidth="1"/>
    <col min="7" max="7" width="13.00390625" style="7" customWidth="1"/>
    <col min="8" max="8" width="13.00390625" style="2" customWidth="1"/>
    <col min="9" max="9" width="9.875" style="2" customWidth="1"/>
    <col min="10" max="10" width="13.875" style="8" customWidth="1"/>
    <col min="11" max="11" width="11.00390625" style="4" customWidth="1"/>
    <col min="12" max="12" width="10.25390625" style="2" customWidth="1"/>
    <col min="13" max="13" width="9.625" style="2" customWidth="1"/>
    <col min="14" max="14" width="13.625" style="7" customWidth="1"/>
    <col min="15" max="15" width="12.00390625" style="2" customWidth="1"/>
    <col min="16" max="16" width="11.25390625" style="7" customWidth="1"/>
    <col min="17" max="17" width="10.375" style="5" customWidth="1"/>
    <col min="18" max="16384" width="9.125" style="3" customWidth="1"/>
  </cols>
  <sheetData>
    <row r="1" spans="16:17" ht="15.75">
      <c r="P1" s="183"/>
      <c r="Q1" s="183"/>
    </row>
    <row r="2" spans="2:17" s="1" customFormat="1" ht="44.25" customHeight="1">
      <c r="B2" s="12"/>
      <c r="C2" s="175" t="s">
        <v>125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1:17" s="55" customFormat="1" ht="12.75" customHeight="1">
      <c r="A3" s="172"/>
      <c r="B3" s="173" t="s">
        <v>26</v>
      </c>
      <c r="C3" s="173" t="s">
        <v>110</v>
      </c>
      <c r="D3" s="178" t="s">
        <v>103</v>
      </c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9"/>
    </row>
    <row r="4" spans="1:17" s="55" customFormat="1" ht="12.75" customHeight="1">
      <c r="A4" s="172"/>
      <c r="B4" s="173"/>
      <c r="C4" s="173"/>
      <c r="D4" s="180" t="s">
        <v>99</v>
      </c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1"/>
      <c r="Q4" s="182" t="s">
        <v>23</v>
      </c>
    </row>
    <row r="5" spans="1:17" s="55" customFormat="1" ht="15" customHeight="1">
      <c r="A5" s="172"/>
      <c r="B5" s="173"/>
      <c r="C5" s="173"/>
      <c r="D5" s="174" t="s">
        <v>2</v>
      </c>
      <c r="E5" s="174"/>
      <c r="F5" s="174"/>
      <c r="G5" s="174"/>
      <c r="H5" s="176" t="s">
        <v>27</v>
      </c>
      <c r="I5" s="176"/>
      <c r="J5" s="176"/>
      <c r="K5" s="176"/>
      <c r="L5" s="174" t="s">
        <v>28</v>
      </c>
      <c r="M5" s="174"/>
      <c r="N5" s="174"/>
      <c r="O5" s="174"/>
      <c r="P5" s="177" t="s">
        <v>100</v>
      </c>
      <c r="Q5" s="182"/>
    </row>
    <row r="6" spans="1:17" s="55" customFormat="1" ht="14.25" customHeight="1">
      <c r="A6" s="172"/>
      <c r="B6" s="173"/>
      <c r="C6" s="173"/>
      <c r="D6" s="174"/>
      <c r="E6" s="174"/>
      <c r="F6" s="174"/>
      <c r="G6" s="174"/>
      <c r="H6" s="176"/>
      <c r="I6" s="176"/>
      <c r="J6" s="176"/>
      <c r="K6" s="176"/>
      <c r="L6" s="174"/>
      <c r="M6" s="174"/>
      <c r="N6" s="174"/>
      <c r="O6" s="174"/>
      <c r="P6" s="177"/>
      <c r="Q6" s="182"/>
    </row>
    <row r="7" spans="1:17" s="56" customFormat="1" ht="87" customHeight="1">
      <c r="A7" s="172"/>
      <c r="B7" s="173"/>
      <c r="C7" s="173"/>
      <c r="D7" s="74" t="s">
        <v>93</v>
      </c>
      <c r="E7" s="74" t="s">
        <v>94</v>
      </c>
      <c r="F7" s="74" t="s">
        <v>95</v>
      </c>
      <c r="G7" s="74" t="s">
        <v>96</v>
      </c>
      <c r="H7" s="79" t="s">
        <v>93</v>
      </c>
      <c r="I7" s="79" t="s">
        <v>97</v>
      </c>
      <c r="J7" s="80" t="s">
        <v>98</v>
      </c>
      <c r="K7" s="80" t="s">
        <v>0</v>
      </c>
      <c r="L7" s="74" t="s">
        <v>101</v>
      </c>
      <c r="M7" s="74" t="s">
        <v>102</v>
      </c>
      <c r="N7" s="74" t="s">
        <v>98</v>
      </c>
      <c r="O7" s="74" t="s">
        <v>0</v>
      </c>
      <c r="P7" s="177"/>
      <c r="Q7" s="182"/>
    </row>
    <row r="8" spans="1:17" s="57" customFormat="1" ht="17.25" customHeight="1">
      <c r="A8" s="68">
        <v>1</v>
      </c>
      <c r="B8" s="69">
        <v>2</v>
      </c>
      <c r="C8" s="69">
        <v>3</v>
      </c>
      <c r="D8" s="69">
        <v>4</v>
      </c>
      <c r="E8" s="69">
        <v>5</v>
      </c>
      <c r="F8" s="69">
        <v>6</v>
      </c>
      <c r="G8" s="69" t="s">
        <v>1</v>
      </c>
      <c r="H8" s="81">
        <v>7</v>
      </c>
      <c r="I8" s="81">
        <v>8</v>
      </c>
      <c r="J8" s="81">
        <v>9</v>
      </c>
      <c r="K8" s="81">
        <v>9</v>
      </c>
      <c r="L8" s="69">
        <v>10</v>
      </c>
      <c r="M8" s="69">
        <v>11</v>
      </c>
      <c r="N8" s="69">
        <v>13</v>
      </c>
      <c r="O8" s="69">
        <v>12</v>
      </c>
      <c r="P8" s="86">
        <v>13</v>
      </c>
      <c r="Q8" s="87">
        <v>14</v>
      </c>
    </row>
    <row r="9" spans="1:17" s="59" customFormat="1" ht="27.75" customHeight="1">
      <c r="A9" s="58"/>
      <c r="B9" s="70" t="s">
        <v>25</v>
      </c>
      <c r="C9" s="156">
        <f>SUM(C10:C21)</f>
        <v>13047</v>
      </c>
      <c r="D9" s="158">
        <v>3680</v>
      </c>
      <c r="E9" s="75">
        <v>0.02</v>
      </c>
      <c r="F9" s="76">
        <f>SUM(F10:F21)</f>
        <v>1439624</v>
      </c>
      <c r="G9" s="76">
        <f>SUM(G10:G19)</f>
        <v>56</v>
      </c>
      <c r="H9" s="161">
        <v>923.1</v>
      </c>
      <c r="I9" s="82">
        <v>1</v>
      </c>
      <c r="J9" s="83">
        <f>SUM(J10:J21)</f>
        <v>575894</v>
      </c>
      <c r="K9" s="83">
        <f>SUM(K10:K19)</f>
        <v>374</v>
      </c>
      <c r="L9" s="162">
        <v>5554</v>
      </c>
      <c r="M9" s="82">
        <v>1</v>
      </c>
      <c r="N9" s="76">
        <f>SUM(N10:N21)</f>
        <v>1041015</v>
      </c>
      <c r="O9" s="76">
        <f>SUM(O10:O19)</f>
        <v>3745</v>
      </c>
      <c r="P9" s="76">
        <f>SUM(P10:P19)</f>
        <v>4175</v>
      </c>
      <c r="Q9" s="76"/>
    </row>
    <row r="10" spans="1:17" s="60" customFormat="1" ht="14.25" customHeight="1">
      <c r="A10" s="71">
        <v>1</v>
      </c>
      <c r="B10" s="72" t="s">
        <v>69</v>
      </c>
      <c r="C10" s="157">
        <v>43</v>
      </c>
      <c r="D10" s="77"/>
      <c r="E10" s="77"/>
      <c r="F10" s="159">
        <v>1705.1</v>
      </c>
      <c r="G10" s="78">
        <f>$D$9*$E$9*F10/$F$9</f>
        <v>0.1</v>
      </c>
      <c r="H10" s="84"/>
      <c r="I10" s="84"/>
      <c r="J10" s="160">
        <v>382</v>
      </c>
      <c r="K10" s="85">
        <f>$H$9*$I$9*J10/$J$9</f>
        <v>1</v>
      </c>
      <c r="L10" s="77"/>
      <c r="M10" s="77"/>
      <c r="N10" s="159">
        <v>3589</v>
      </c>
      <c r="O10" s="88">
        <f>$L$9*$M$9*N10/$N$9</f>
        <v>19</v>
      </c>
      <c r="P10" s="89">
        <f>G10+K10+O10</f>
        <v>20.1</v>
      </c>
      <c r="Q10" s="90">
        <f>(P10/C10)/($P$9/$C$9)</f>
        <v>1.461</v>
      </c>
    </row>
    <row r="11" spans="1:17" s="60" customFormat="1" ht="14.25" customHeight="1">
      <c r="A11" s="71">
        <v>2</v>
      </c>
      <c r="B11" s="72" t="s">
        <v>79</v>
      </c>
      <c r="C11" s="157">
        <v>224</v>
      </c>
      <c r="D11" s="77"/>
      <c r="E11" s="77"/>
      <c r="F11" s="159">
        <v>5804</v>
      </c>
      <c r="G11" s="78">
        <f aca="true" t="shared" si="0" ref="G11:G21">$D$9*$E$9*F11/$F$9</f>
        <v>0.3</v>
      </c>
      <c r="H11" s="84"/>
      <c r="I11" s="84"/>
      <c r="J11" s="160">
        <v>5039</v>
      </c>
      <c r="K11" s="85">
        <f aca="true" t="shared" si="1" ref="K11:K21">$H$9*$I$9*J11/$J$9</f>
        <v>8</v>
      </c>
      <c r="L11" s="77"/>
      <c r="M11" s="77"/>
      <c r="N11" s="159">
        <v>16550</v>
      </c>
      <c r="O11" s="88">
        <f aca="true" t="shared" si="2" ref="O11:O21">$L$9*$M$9*N11/$N$9</f>
        <v>88</v>
      </c>
      <c r="P11" s="89">
        <f aca="true" t="shared" si="3" ref="P11:P21">G11+K11+O11</f>
        <v>96.3</v>
      </c>
      <c r="Q11" s="90">
        <f aca="true" t="shared" si="4" ref="Q11:Q21">(P11/C11)/($P$9/$C$9)</f>
        <v>1.343</v>
      </c>
    </row>
    <row r="12" spans="1:17" s="60" customFormat="1" ht="14.25" customHeight="1">
      <c r="A12" s="71">
        <v>3</v>
      </c>
      <c r="B12" s="72" t="s">
        <v>80</v>
      </c>
      <c r="C12" s="157">
        <v>726</v>
      </c>
      <c r="D12" s="77"/>
      <c r="E12" s="77"/>
      <c r="F12" s="159">
        <v>23388.2</v>
      </c>
      <c r="G12" s="78">
        <f t="shared" si="0"/>
        <v>1.2</v>
      </c>
      <c r="H12" s="84"/>
      <c r="I12" s="84"/>
      <c r="J12" s="160">
        <v>14512</v>
      </c>
      <c r="K12" s="85">
        <f t="shared" si="1"/>
        <v>23</v>
      </c>
      <c r="L12" s="77"/>
      <c r="M12" s="77"/>
      <c r="N12" s="159">
        <v>123601</v>
      </c>
      <c r="O12" s="88">
        <f t="shared" si="2"/>
        <v>659</v>
      </c>
      <c r="P12" s="89">
        <f t="shared" si="3"/>
        <v>683.2</v>
      </c>
      <c r="Q12" s="90">
        <f t="shared" si="4"/>
        <v>2.941</v>
      </c>
    </row>
    <row r="13" spans="1:17" s="60" customFormat="1" ht="14.25" customHeight="1">
      <c r="A13" s="71">
        <v>4</v>
      </c>
      <c r="B13" s="72" t="s">
        <v>81</v>
      </c>
      <c r="C13" s="157">
        <v>548</v>
      </c>
      <c r="D13" s="77"/>
      <c r="E13" s="77"/>
      <c r="F13" s="159">
        <v>21667.4</v>
      </c>
      <c r="G13" s="78">
        <f t="shared" si="0"/>
        <v>1.1</v>
      </c>
      <c r="H13" s="84"/>
      <c r="I13" s="84"/>
      <c r="J13" s="160">
        <v>4386</v>
      </c>
      <c r="K13" s="85">
        <f t="shared" si="1"/>
        <v>7</v>
      </c>
      <c r="L13" s="77"/>
      <c r="M13" s="77"/>
      <c r="N13" s="159">
        <v>20494</v>
      </c>
      <c r="O13" s="88">
        <f t="shared" si="2"/>
        <v>109</v>
      </c>
      <c r="P13" s="89">
        <f t="shared" si="3"/>
        <v>117.1</v>
      </c>
      <c r="Q13" s="90">
        <f t="shared" si="4"/>
        <v>0.668</v>
      </c>
    </row>
    <row r="14" spans="1:17" s="60" customFormat="1" ht="14.25" customHeight="1">
      <c r="A14" s="71">
        <v>5</v>
      </c>
      <c r="B14" s="72" t="s">
        <v>82</v>
      </c>
      <c r="C14" s="157">
        <v>2678</v>
      </c>
      <c r="D14" s="77"/>
      <c r="E14" s="77"/>
      <c r="F14" s="159">
        <v>142748.3</v>
      </c>
      <c r="G14" s="78">
        <f t="shared" si="0"/>
        <v>7.3</v>
      </c>
      <c r="H14" s="84"/>
      <c r="I14" s="84"/>
      <c r="J14" s="160">
        <v>107720</v>
      </c>
      <c r="K14" s="85">
        <f t="shared" si="1"/>
        <v>173</v>
      </c>
      <c r="L14" s="77"/>
      <c r="M14" s="77"/>
      <c r="N14" s="159">
        <v>194273</v>
      </c>
      <c r="O14" s="88">
        <f t="shared" si="2"/>
        <v>1036</v>
      </c>
      <c r="P14" s="89">
        <f t="shared" si="3"/>
        <v>1216.3</v>
      </c>
      <c r="Q14" s="90">
        <f t="shared" si="4"/>
        <v>1.419</v>
      </c>
    </row>
    <row r="15" spans="1:17" s="60" customFormat="1" ht="14.25" customHeight="1">
      <c r="A15" s="71">
        <v>6</v>
      </c>
      <c r="B15" s="72" t="s">
        <v>83</v>
      </c>
      <c r="C15" s="157">
        <v>673</v>
      </c>
      <c r="D15" s="77"/>
      <c r="E15" s="77"/>
      <c r="F15" s="159">
        <v>20875.3</v>
      </c>
      <c r="G15" s="78">
        <f t="shared" si="0"/>
        <v>1.1</v>
      </c>
      <c r="H15" s="84"/>
      <c r="I15" s="84"/>
      <c r="J15" s="160">
        <v>12674</v>
      </c>
      <c r="K15" s="85">
        <f t="shared" si="1"/>
        <v>20</v>
      </c>
      <c r="L15" s="77"/>
      <c r="M15" s="77"/>
      <c r="N15" s="159">
        <v>76736</v>
      </c>
      <c r="O15" s="88">
        <f t="shared" si="2"/>
        <v>409</v>
      </c>
      <c r="P15" s="89">
        <f t="shared" si="3"/>
        <v>430.1</v>
      </c>
      <c r="Q15" s="90">
        <f t="shared" si="4"/>
        <v>1.997</v>
      </c>
    </row>
    <row r="16" spans="1:17" s="60" customFormat="1" ht="14.25" customHeight="1">
      <c r="A16" s="71">
        <v>7</v>
      </c>
      <c r="B16" s="72" t="s">
        <v>84</v>
      </c>
      <c r="C16" s="157">
        <v>462</v>
      </c>
      <c r="D16" s="77"/>
      <c r="E16" s="77"/>
      <c r="F16" s="159">
        <v>32071.6</v>
      </c>
      <c r="G16" s="78">
        <f t="shared" si="0"/>
        <v>1.6</v>
      </c>
      <c r="H16" s="84"/>
      <c r="I16" s="84"/>
      <c r="J16" s="160">
        <v>4725</v>
      </c>
      <c r="K16" s="85">
        <f t="shared" si="1"/>
        <v>8</v>
      </c>
      <c r="L16" s="77"/>
      <c r="M16" s="77"/>
      <c r="N16" s="159">
        <v>34279</v>
      </c>
      <c r="O16" s="88">
        <f t="shared" si="2"/>
        <v>183</v>
      </c>
      <c r="P16" s="89">
        <f t="shared" si="3"/>
        <v>192.6</v>
      </c>
      <c r="Q16" s="90">
        <f t="shared" si="4"/>
        <v>1.303</v>
      </c>
    </row>
    <row r="17" spans="1:17" s="60" customFormat="1" ht="14.25" customHeight="1">
      <c r="A17" s="71">
        <v>8</v>
      </c>
      <c r="B17" s="72" t="s">
        <v>87</v>
      </c>
      <c r="C17" s="157">
        <v>682</v>
      </c>
      <c r="D17" s="77"/>
      <c r="E17" s="77"/>
      <c r="F17" s="159">
        <v>16987.5</v>
      </c>
      <c r="G17" s="78">
        <f t="shared" si="0"/>
        <v>0.9</v>
      </c>
      <c r="H17" s="84"/>
      <c r="I17" s="84"/>
      <c r="J17" s="160">
        <v>23784</v>
      </c>
      <c r="K17" s="85">
        <f t="shared" si="1"/>
        <v>38</v>
      </c>
      <c r="L17" s="77"/>
      <c r="M17" s="77"/>
      <c r="N17" s="159">
        <v>50786</v>
      </c>
      <c r="O17" s="88">
        <f t="shared" si="2"/>
        <v>271</v>
      </c>
      <c r="P17" s="89">
        <f t="shared" si="3"/>
        <v>309.9</v>
      </c>
      <c r="Q17" s="90">
        <f t="shared" si="4"/>
        <v>1.42</v>
      </c>
    </row>
    <row r="18" spans="1:17" s="60" customFormat="1" ht="14.25" customHeight="1">
      <c r="A18" s="71">
        <v>9</v>
      </c>
      <c r="B18" s="72" t="s">
        <v>85</v>
      </c>
      <c r="C18" s="157">
        <v>753</v>
      </c>
      <c r="D18" s="77"/>
      <c r="E18" s="77"/>
      <c r="F18" s="159">
        <v>715516</v>
      </c>
      <c r="G18" s="78">
        <f t="shared" si="0"/>
        <v>36.6</v>
      </c>
      <c r="H18" s="84"/>
      <c r="I18" s="84"/>
      <c r="J18" s="160">
        <v>21279</v>
      </c>
      <c r="K18" s="85">
        <f t="shared" si="1"/>
        <v>34</v>
      </c>
      <c r="L18" s="77"/>
      <c r="M18" s="77"/>
      <c r="N18" s="159">
        <v>114597</v>
      </c>
      <c r="O18" s="88">
        <f t="shared" si="2"/>
        <v>611</v>
      </c>
      <c r="P18" s="89">
        <f t="shared" si="3"/>
        <v>681.6</v>
      </c>
      <c r="Q18" s="90">
        <f t="shared" si="4"/>
        <v>2.829</v>
      </c>
    </row>
    <row r="19" spans="1:17" s="60" customFormat="1" ht="14.25" customHeight="1">
      <c r="A19" s="71">
        <v>10</v>
      </c>
      <c r="B19" s="72" t="s">
        <v>86</v>
      </c>
      <c r="C19" s="157">
        <v>1398</v>
      </c>
      <c r="D19" s="77"/>
      <c r="E19" s="77"/>
      <c r="F19" s="159">
        <v>114437.2</v>
      </c>
      <c r="G19" s="78">
        <f t="shared" si="0"/>
        <v>5.9</v>
      </c>
      <c r="H19" s="84"/>
      <c r="I19" s="84"/>
      <c r="J19" s="160">
        <v>38626</v>
      </c>
      <c r="K19" s="85">
        <f t="shared" si="1"/>
        <v>62</v>
      </c>
      <c r="L19" s="77"/>
      <c r="M19" s="77"/>
      <c r="N19" s="159">
        <v>67566</v>
      </c>
      <c r="O19" s="88">
        <f t="shared" si="2"/>
        <v>360</v>
      </c>
      <c r="P19" s="89">
        <f t="shared" si="3"/>
        <v>427.9</v>
      </c>
      <c r="Q19" s="90">
        <f t="shared" si="4"/>
        <v>0.957</v>
      </c>
    </row>
    <row r="20" spans="1:17" s="60" customFormat="1" ht="14.25" customHeight="1">
      <c r="A20" s="71">
        <v>11</v>
      </c>
      <c r="B20" s="72" t="s">
        <v>106</v>
      </c>
      <c r="C20" s="157">
        <v>2910</v>
      </c>
      <c r="D20" s="77"/>
      <c r="E20" s="77"/>
      <c r="F20" s="159">
        <v>232679.6</v>
      </c>
      <c r="G20" s="78">
        <f t="shared" si="0"/>
        <v>11.9</v>
      </c>
      <c r="H20" s="84"/>
      <c r="I20" s="84"/>
      <c r="J20" s="160">
        <v>211245</v>
      </c>
      <c r="K20" s="85">
        <f t="shared" si="1"/>
        <v>339</v>
      </c>
      <c r="L20" s="77"/>
      <c r="M20" s="77"/>
      <c r="N20" s="159">
        <v>188986</v>
      </c>
      <c r="O20" s="88">
        <f t="shared" si="2"/>
        <v>1008</v>
      </c>
      <c r="P20" s="89">
        <f t="shared" si="3"/>
        <v>1358.9</v>
      </c>
      <c r="Q20" s="90">
        <f t="shared" si="4"/>
        <v>1.459</v>
      </c>
    </row>
    <row r="21" spans="1:17" s="60" customFormat="1" ht="14.25" customHeight="1">
      <c r="A21" s="71">
        <v>12</v>
      </c>
      <c r="B21" s="72" t="s">
        <v>107</v>
      </c>
      <c r="C21" s="157">
        <v>1950</v>
      </c>
      <c r="D21" s="77"/>
      <c r="E21" s="77"/>
      <c r="F21" s="159">
        <v>111744.1</v>
      </c>
      <c r="G21" s="78">
        <f t="shared" si="0"/>
        <v>5.7</v>
      </c>
      <c r="H21" s="84"/>
      <c r="I21" s="84"/>
      <c r="J21" s="160">
        <v>131522</v>
      </c>
      <c r="K21" s="85">
        <f t="shared" si="1"/>
        <v>211</v>
      </c>
      <c r="L21" s="77"/>
      <c r="M21" s="77"/>
      <c r="N21" s="159">
        <v>149558</v>
      </c>
      <c r="O21" s="88">
        <f t="shared" si="2"/>
        <v>798</v>
      </c>
      <c r="P21" s="89">
        <f t="shared" si="3"/>
        <v>1014.7</v>
      </c>
      <c r="Q21" s="90">
        <f t="shared" si="4"/>
        <v>1.626</v>
      </c>
    </row>
    <row r="22" spans="1:17" s="60" customFormat="1" ht="14.25" customHeight="1">
      <c r="A22" s="142"/>
      <c r="B22" s="143"/>
      <c r="C22" s="144"/>
      <c r="D22" s="145"/>
      <c r="E22" s="145"/>
      <c r="F22" s="146"/>
      <c r="G22" s="147"/>
      <c r="H22" s="148"/>
      <c r="I22" s="148"/>
      <c r="J22" s="149"/>
      <c r="K22" s="150"/>
      <c r="L22" s="145"/>
      <c r="M22" s="145"/>
      <c r="N22" s="146"/>
      <c r="O22" s="151"/>
      <c r="P22" s="152"/>
      <c r="Q22" s="153"/>
    </row>
    <row r="23" spans="1:17" s="56" customFormat="1" ht="12.75">
      <c r="A23" s="55"/>
      <c r="B23" s="61"/>
      <c r="C23" s="62"/>
      <c r="D23" s="7"/>
      <c r="E23" s="7"/>
      <c r="F23" s="7"/>
      <c r="G23" s="7"/>
      <c r="H23" s="64"/>
      <c r="I23" s="64"/>
      <c r="J23" s="65"/>
      <c r="K23" s="66"/>
      <c r="L23" s="64"/>
      <c r="M23" s="64"/>
      <c r="N23" s="63"/>
      <c r="O23" s="64"/>
      <c r="P23" s="63"/>
      <c r="Q23" s="67"/>
    </row>
    <row r="24" ht="20.25">
      <c r="B24" s="73" t="s">
        <v>67</v>
      </c>
    </row>
    <row r="25" spans="1:17" s="56" customFormat="1" ht="12.75">
      <c r="A25" s="55"/>
      <c r="B25" s="61"/>
      <c r="C25" s="62"/>
      <c r="D25" s="63"/>
      <c r="E25" s="63"/>
      <c r="F25" s="63"/>
      <c r="G25" s="63"/>
      <c r="H25" s="64"/>
      <c r="I25" s="64"/>
      <c r="J25" s="65"/>
      <c r="K25" s="66"/>
      <c r="L25" s="64"/>
      <c r="M25" s="64"/>
      <c r="N25" s="63"/>
      <c r="O25" s="64"/>
      <c r="P25" s="63"/>
      <c r="Q25" s="67"/>
    </row>
  </sheetData>
  <sheetProtection/>
  <mergeCells count="12">
    <mergeCell ref="P1:Q1"/>
    <mergeCell ref="B3:B7"/>
    <mergeCell ref="A3:A7"/>
    <mergeCell ref="C3:C7"/>
    <mergeCell ref="D5:G6"/>
    <mergeCell ref="C2:Q2"/>
    <mergeCell ref="H5:K6"/>
    <mergeCell ref="L5:O6"/>
    <mergeCell ref="P5:P7"/>
    <mergeCell ref="D3:Q3"/>
    <mergeCell ref="D4:P4"/>
    <mergeCell ref="Q4:Q7"/>
  </mergeCells>
  <printOptions horizontalCentered="1"/>
  <pageMargins left="0.1968503937007874" right="0.1968503937007874" top="0.17" bottom="0.4724409448818898" header="0.17" footer="0.1968503937007874"/>
  <pageSetup fitToHeight="0" fitToWidth="1"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Q31"/>
  <sheetViews>
    <sheetView zoomScale="78" zoomScaleNormal="78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14" sqref="F14"/>
    </sheetView>
  </sheetViews>
  <sheetFormatPr defaultColWidth="9.00390625" defaultRowHeight="12.75"/>
  <cols>
    <col min="1" max="1" width="4.625" style="10" customWidth="1"/>
    <col min="2" max="2" width="16.875" style="10" customWidth="1"/>
    <col min="3" max="3" width="30.875" style="10" customWidth="1"/>
    <col min="4" max="4" width="46.375" style="10" customWidth="1"/>
    <col min="5" max="5" width="10.875" style="10" customWidth="1"/>
    <col min="6" max="6" width="19.125" style="10" customWidth="1"/>
    <col min="7" max="7" width="20.00390625" style="10" customWidth="1"/>
    <col min="8" max="11" width="17.25390625" style="10" bestFit="1" customWidth="1"/>
    <col min="12" max="12" width="18.125" style="10" bestFit="1" customWidth="1"/>
    <col min="13" max="15" width="17.25390625" style="10" bestFit="1" customWidth="1"/>
    <col min="16" max="16" width="17.875" style="10" customWidth="1"/>
    <col min="17" max="17" width="16.00390625" style="10" customWidth="1"/>
    <col min="18" max="16384" width="9.125" style="10" customWidth="1"/>
  </cols>
  <sheetData>
    <row r="2" spans="4:15" ht="38.25" customHeight="1">
      <c r="D2" s="11"/>
      <c r="E2" s="189" t="s">
        <v>124</v>
      </c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6:17" ht="18" customHeight="1">
      <c r="F3" s="14">
        <v>1</v>
      </c>
      <c r="G3" s="14">
        <v>2</v>
      </c>
      <c r="H3" s="14">
        <v>3</v>
      </c>
      <c r="I3" s="14">
        <v>4</v>
      </c>
      <c r="J3" s="14">
        <v>5</v>
      </c>
      <c r="K3" s="14">
        <v>6</v>
      </c>
      <c r="L3" s="14">
        <v>7</v>
      </c>
      <c r="M3" s="14">
        <v>8</v>
      </c>
      <c r="N3" s="14">
        <v>9</v>
      </c>
      <c r="O3" s="14">
        <v>10</v>
      </c>
      <c r="P3" s="14">
        <v>11</v>
      </c>
      <c r="Q3" s="14">
        <v>12</v>
      </c>
    </row>
    <row r="4" spans="1:17" s="98" customFormat="1" ht="56.25" customHeight="1">
      <c r="A4" s="96" t="s">
        <v>4</v>
      </c>
      <c r="B4" s="96" t="s">
        <v>7</v>
      </c>
      <c r="C4" s="96" t="s">
        <v>8</v>
      </c>
      <c r="D4" s="96" t="s">
        <v>9</v>
      </c>
      <c r="E4" s="96" t="s">
        <v>10</v>
      </c>
      <c r="F4" s="97" t="str">
        <f>'РАСЧЕТ ИНП'!B10</f>
        <v>Баляга-катангарское</v>
      </c>
      <c r="G4" s="97" t="str">
        <f>'РАСЧЕТ ИНП'!B11</f>
        <v>Зугмарское</v>
      </c>
      <c r="H4" s="97" t="str">
        <f>'РАСЧЕТ ИНП'!B12</f>
        <v>Катаевское</v>
      </c>
      <c r="I4" s="97" t="str">
        <f>'РАСЧЕТ ИНП'!B13</f>
        <v>Катангарское</v>
      </c>
      <c r="J4" s="97" t="str">
        <f>'РАСЧЕТ ИНП'!B14</f>
        <v>Малетинское</v>
      </c>
      <c r="K4" s="97" t="str">
        <f>'РАСЧЕТ ИНП'!B15</f>
        <v>Песчанское</v>
      </c>
      <c r="L4" s="97" t="str">
        <f>'РАСЧЕТ ИНП'!B16</f>
        <v>Толбагинское</v>
      </c>
      <c r="M4" s="97" t="str">
        <f>'РАСЧЕТ ИНП'!B17</f>
        <v>Усть-Оборское</v>
      </c>
      <c r="N4" s="97" t="str">
        <f>'РАСЧЕТ ИНП'!B18</f>
        <v>Хараузское</v>
      </c>
      <c r="O4" s="97" t="str">
        <f>'РАСЧЕТ ИНП'!B19</f>
        <v>Хохотуйское</v>
      </c>
      <c r="P4" s="97" t="s">
        <v>106</v>
      </c>
      <c r="Q4" s="97" t="s">
        <v>107</v>
      </c>
    </row>
    <row r="5" spans="1:17" s="98" customFormat="1" ht="33" customHeight="1">
      <c r="A5" s="99"/>
      <c r="B5" s="99"/>
      <c r="C5" s="99"/>
      <c r="D5" s="97" t="s">
        <v>109</v>
      </c>
      <c r="E5" s="154">
        <f>SUM(F5:Q5)</f>
        <v>13047</v>
      </c>
      <c r="F5" s="100">
        <f>'РАСЧЕТ ИНП'!C10</f>
        <v>43</v>
      </c>
      <c r="G5" s="100">
        <f>'РАСЧЕТ ИНП'!C11</f>
        <v>224</v>
      </c>
      <c r="H5" s="100">
        <f>'РАСЧЕТ ИНП'!C12</f>
        <v>726</v>
      </c>
      <c r="I5" s="100">
        <f>'РАСЧЕТ ИНП'!C13</f>
        <v>548</v>
      </c>
      <c r="J5" s="100">
        <f>'РАСЧЕТ ИНП'!C14</f>
        <v>2678</v>
      </c>
      <c r="K5" s="100">
        <f>'РАСЧЕТ ИНП'!C15</f>
        <v>673</v>
      </c>
      <c r="L5" s="100">
        <f>'РАСЧЕТ ИНП'!C16</f>
        <v>462</v>
      </c>
      <c r="M5" s="100">
        <f>'РАСЧЕТ ИНП'!C17</f>
        <v>682</v>
      </c>
      <c r="N5" s="100">
        <f>'РАСЧЕТ ИНП'!C18</f>
        <v>753</v>
      </c>
      <c r="O5" s="100">
        <f>'РАСЧЕТ ИНП'!C19</f>
        <v>1398</v>
      </c>
      <c r="P5" s="100">
        <f>'РАСЧЕТ ИНП'!C20</f>
        <v>2910</v>
      </c>
      <c r="Q5" s="100">
        <f>'РАСЧЕТ ИНП'!C21</f>
        <v>1950</v>
      </c>
    </row>
    <row r="6" spans="1:17" s="98" customFormat="1" ht="33" customHeight="1">
      <c r="A6" s="187" t="s">
        <v>12</v>
      </c>
      <c r="B6" s="190" t="s">
        <v>11</v>
      </c>
      <c r="C6" s="192" t="s">
        <v>31</v>
      </c>
      <c r="D6" s="101" t="s">
        <v>32</v>
      </c>
      <c r="E6" s="96"/>
      <c r="F6" s="102">
        <f>1+F7</f>
        <v>1.25</v>
      </c>
      <c r="G6" s="102">
        <f aca="true" t="shared" si="0" ref="G6:Q6">1+G7</f>
        <v>1.25</v>
      </c>
      <c r="H6" s="102">
        <f t="shared" si="0"/>
        <v>1.25</v>
      </c>
      <c r="I6" s="102">
        <f t="shared" si="0"/>
        <v>1.25</v>
      </c>
      <c r="J6" s="102">
        <f t="shared" si="0"/>
        <v>1.25</v>
      </c>
      <c r="K6" s="102">
        <f t="shared" si="0"/>
        <v>1.25</v>
      </c>
      <c r="L6" s="102">
        <f t="shared" si="0"/>
        <v>1.25</v>
      </c>
      <c r="M6" s="102">
        <f t="shared" si="0"/>
        <v>1.25</v>
      </c>
      <c r="N6" s="102">
        <f t="shared" si="0"/>
        <v>1.25</v>
      </c>
      <c r="O6" s="102">
        <f t="shared" si="0"/>
        <v>1.25</v>
      </c>
      <c r="P6" s="102">
        <f t="shared" si="0"/>
        <v>1.25</v>
      </c>
      <c r="Q6" s="102">
        <f t="shared" si="0"/>
        <v>1.25</v>
      </c>
    </row>
    <row r="7" spans="1:17" s="98" customFormat="1" ht="66.75" customHeight="1">
      <c r="A7" s="188"/>
      <c r="B7" s="191"/>
      <c r="C7" s="193"/>
      <c r="D7" s="104" t="s">
        <v>105</v>
      </c>
      <c r="E7" s="105"/>
      <c r="F7" s="106">
        <v>0.25</v>
      </c>
      <c r="G7" s="106">
        <v>0.25</v>
      </c>
      <c r="H7" s="106">
        <v>0.25</v>
      </c>
      <c r="I7" s="106">
        <v>0.25</v>
      </c>
      <c r="J7" s="106">
        <v>0.25</v>
      </c>
      <c r="K7" s="106">
        <v>0.25</v>
      </c>
      <c r="L7" s="106">
        <v>0.25</v>
      </c>
      <c r="M7" s="106">
        <v>0.25</v>
      </c>
      <c r="N7" s="106">
        <v>0.25</v>
      </c>
      <c r="O7" s="106">
        <v>0.25</v>
      </c>
      <c r="P7" s="106">
        <v>0.25</v>
      </c>
      <c r="Q7" s="106">
        <v>0.25</v>
      </c>
    </row>
    <row r="8" spans="1:17" ht="60" customHeight="1">
      <c r="A8" s="103"/>
      <c r="B8" s="184" t="s">
        <v>13</v>
      </c>
      <c r="C8" s="185" t="s">
        <v>66</v>
      </c>
      <c r="D8" s="101" t="s">
        <v>13</v>
      </c>
      <c r="E8" s="107"/>
      <c r="F8" s="108">
        <f>(F9*F12*F15*F18)/($E$9*$E$12*$E$15*$E$18)</f>
        <v>1.18</v>
      </c>
      <c r="G8" s="108">
        <f aca="true" t="shared" si="1" ref="G8:O8">(G9*G12*G15*G18)/($E$9*$E$12*$E$15*$E$18)</f>
        <v>1.303</v>
      </c>
      <c r="H8" s="108">
        <f t="shared" si="1"/>
        <v>1.425</v>
      </c>
      <c r="I8" s="108">
        <f t="shared" si="1"/>
        <v>1.301</v>
      </c>
      <c r="J8" s="108">
        <f t="shared" si="1"/>
        <v>1.681</v>
      </c>
      <c r="K8" s="108">
        <f t="shared" si="1"/>
        <v>2.019</v>
      </c>
      <c r="L8" s="108">
        <f t="shared" si="1"/>
        <v>1.356</v>
      </c>
      <c r="M8" s="108">
        <f t="shared" si="1"/>
        <v>1.456</v>
      </c>
      <c r="N8" s="108">
        <f t="shared" si="1"/>
        <v>1.106</v>
      </c>
      <c r="O8" s="108">
        <f t="shared" si="1"/>
        <v>1.626</v>
      </c>
      <c r="P8" s="108">
        <f>(P9*P12*P15*P18)/($E$9*$E$12*$E$15*$E$18)</f>
        <v>0.932</v>
      </c>
      <c r="Q8" s="108">
        <f>(Q9*Q12*Q15*Q18)/($E$9*$E$12*$E$15*$E$18)</f>
        <v>1.069</v>
      </c>
    </row>
    <row r="9" spans="1:17" ht="60" customHeight="1">
      <c r="A9" s="103"/>
      <c r="B9" s="184"/>
      <c r="C9" s="186"/>
      <c r="D9" s="101" t="s">
        <v>33</v>
      </c>
      <c r="E9" s="109">
        <f>(SUM(F9:Q9))/13</f>
        <v>0.959640595584533</v>
      </c>
      <c r="F9" s="110">
        <f>(0.6*F10+0.4*F11)/F10</f>
        <v>1.24186046511628</v>
      </c>
      <c r="G9" s="110">
        <f aca="true" t="shared" si="2" ref="G9:O9">(0.6*G10+0.4*G11)/G10</f>
        <v>1.02321428571429</v>
      </c>
      <c r="H9" s="110">
        <f t="shared" si="2"/>
        <v>1.01597796143251</v>
      </c>
      <c r="I9" s="110">
        <f t="shared" si="2"/>
        <v>1.02189781021898</v>
      </c>
      <c r="J9" s="110">
        <f t="shared" si="2"/>
        <v>1.01329350261389</v>
      </c>
      <c r="K9" s="110">
        <f t="shared" si="2"/>
        <v>1.03982169390788</v>
      </c>
      <c r="L9" s="110">
        <f t="shared" si="2"/>
        <v>1.01471861471861</v>
      </c>
      <c r="M9" s="110">
        <f t="shared" si="2"/>
        <v>1.02287390029326</v>
      </c>
      <c r="N9" s="110">
        <f t="shared" si="2"/>
        <v>1.02868525896414</v>
      </c>
      <c r="O9" s="110">
        <f t="shared" si="2"/>
        <v>1.01802575107296</v>
      </c>
      <c r="P9" s="110">
        <f>(0.6*P10+0.4*P11)/P10</f>
        <v>1.01690721649485</v>
      </c>
      <c r="Q9" s="110">
        <f>(0.6*Q10+0.4*Q11)/Q10</f>
        <v>1.01805128205128</v>
      </c>
    </row>
    <row r="10" spans="1:17" ht="60" customHeight="1">
      <c r="A10" s="103"/>
      <c r="B10" s="184"/>
      <c r="C10" s="186"/>
      <c r="D10" s="111" t="s">
        <v>34</v>
      </c>
      <c r="E10" s="107"/>
      <c r="F10" s="112">
        <f>F5</f>
        <v>43</v>
      </c>
      <c r="G10" s="112">
        <f aca="true" t="shared" si="3" ref="G10:O10">G5</f>
        <v>224</v>
      </c>
      <c r="H10" s="112">
        <f t="shared" si="3"/>
        <v>726</v>
      </c>
      <c r="I10" s="112">
        <f t="shared" si="3"/>
        <v>548</v>
      </c>
      <c r="J10" s="112">
        <f t="shared" si="3"/>
        <v>2678</v>
      </c>
      <c r="K10" s="112">
        <f t="shared" si="3"/>
        <v>673</v>
      </c>
      <c r="L10" s="112">
        <f t="shared" si="3"/>
        <v>462</v>
      </c>
      <c r="M10" s="112">
        <f t="shared" si="3"/>
        <v>682</v>
      </c>
      <c r="N10" s="112">
        <f t="shared" si="3"/>
        <v>753</v>
      </c>
      <c r="O10" s="112">
        <f t="shared" si="3"/>
        <v>1398</v>
      </c>
      <c r="P10" s="112">
        <f>P5</f>
        <v>2910</v>
      </c>
      <c r="Q10" s="112">
        <f>Q5</f>
        <v>1950</v>
      </c>
    </row>
    <row r="11" spans="1:17" ht="60" customHeight="1">
      <c r="A11" s="103"/>
      <c r="B11" s="184"/>
      <c r="C11" s="186"/>
      <c r="D11" s="111" t="s">
        <v>35</v>
      </c>
      <c r="E11" s="107"/>
      <c r="F11" s="113">
        <v>69</v>
      </c>
      <c r="G11" s="113">
        <v>237</v>
      </c>
      <c r="H11" s="113">
        <v>755</v>
      </c>
      <c r="I11" s="113">
        <v>578</v>
      </c>
      <c r="J11" s="113">
        <v>2767</v>
      </c>
      <c r="K11" s="113">
        <v>740</v>
      </c>
      <c r="L11" s="113">
        <v>479</v>
      </c>
      <c r="M11" s="113">
        <v>721</v>
      </c>
      <c r="N11" s="113">
        <v>807</v>
      </c>
      <c r="O11" s="113">
        <v>1461</v>
      </c>
      <c r="P11" s="113">
        <v>3033</v>
      </c>
      <c r="Q11" s="113">
        <v>2038</v>
      </c>
    </row>
    <row r="12" spans="1:17" ht="60" customHeight="1">
      <c r="A12" s="103"/>
      <c r="B12" s="184"/>
      <c r="C12" s="186"/>
      <c r="D12" s="101" t="s">
        <v>36</v>
      </c>
      <c r="E12" s="109">
        <f>(SUM(F12:Q12))/13</f>
        <v>1.84615384615385</v>
      </c>
      <c r="F12" s="108">
        <f>1+F13</f>
        <v>2</v>
      </c>
      <c r="G12" s="108">
        <f aca="true" t="shared" si="4" ref="G12:Q12">1+G13</f>
        <v>2</v>
      </c>
      <c r="H12" s="108">
        <f t="shared" si="4"/>
        <v>2</v>
      </c>
      <c r="I12" s="108">
        <f t="shared" si="4"/>
        <v>2</v>
      </c>
      <c r="J12" s="108">
        <f t="shared" si="4"/>
        <v>2</v>
      </c>
      <c r="K12" s="108">
        <f t="shared" si="4"/>
        <v>2</v>
      </c>
      <c r="L12" s="108">
        <f t="shared" si="4"/>
        <v>2</v>
      </c>
      <c r="M12" s="108">
        <f t="shared" si="4"/>
        <v>2</v>
      </c>
      <c r="N12" s="108">
        <f t="shared" si="4"/>
        <v>2</v>
      </c>
      <c r="O12" s="108">
        <f t="shared" si="4"/>
        <v>2</v>
      </c>
      <c r="P12" s="108">
        <f t="shared" si="4"/>
        <v>2</v>
      </c>
      <c r="Q12" s="108">
        <f t="shared" si="4"/>
        <v>2</v>
      </c>
    </row>
    <row r="13" spans="1:17" ht="102.75" customHeight="1">
      <c r="A13" s="103"/>
      <c r="B13" s="184"/>
      <c r="C13" s="186"/>
      <c r="D13" s="111" t="s">
        <v>37</v>
      </c>
      <c r="E13" s="107"/>
      <c r="F13" s="114">
        <f>F14/F5</f>
        <v>1</v>
      </c>
      <c r="G13" s="114">
        <f aca="true" t="shared" si="5" ref="G13:O13">G14/G5</f>
        <v>1</v>
      </c>
      <c r="H13" s="114">
        <f t="shared" si="5"/>
        <v>1</v>
      </c>
      <c r="I13" s="114">
        <f t="shared" si="5"/>
        <v>1</v>
      </c>
      <c r="J13" s="114">
        <f t="shared" si="5"/>
        <v>1</v>
      </c>
      <c r="K13" s="114">
        <f t="shared" si="5"/>
        <v>1</v>
      </c>
      <c r="L13" s="114">
        <f t="shared" si="5"/>
        <v>1</v>
      </c>
      <c r="M13" s="114">
        <f t="shared" si="5"/>
        <v>1</v>
      </c>
      <c r="N13" s="114">
        <f t="shared" si="5"/>
        <v>1</v>
      </c>
      <c r="O13" s="114">
        <f t="shared" si="5"/>
        <v>1</v>
      </c>
      <c r="P13" s="114">
        <f>P14/P5</f>
        <v>1</v>
      </c>
      <c r="Q13" s="114">
        <f>Q14/Q5</f>
        <v>1</v>
      </c>
    </row>
    <row r="14" spans="1:17" ht="100.5" customHeight="1">
      <c r="A14" s="103"/>
      <c r="B14" s="184"/>
      <c r="C14" s="186"/>
      <c r="D14" s="111" t="s">
        <v>38</v>
      </c>
      <c r="E14" s="107"/>
      <c r="F14" s="163">
        <v>43</v>
      </c>
      <c r="G14" s="163">
        <v>224</v>
      </c>
      <c r="H14" s="163">
        <v>726</v>
      </c>
      <c r="I14" s="163">
        <v>548</v>
      </c>
      <c r="J14" s="163">
        <v>2678</v>
      </c>
      <c r="K14" s="163">
        <v>673</v>
      </c>
      <c r="L14" s="163">
        <v>462</v>
      </c>
      <c r="M14" s="163">
        <v>682</v>
      </c>
      <c r="N14" s="163">
        <v>753</v>
      </c>
      <c r="O14" s="163">
        <v>1398</v>
      </c>
      <c r="P14" s="163">
        <v>2910</v>
      </c>
      <c r="Q14" s="163">
        <v>1950</v>
      </c>
    </row>
    <row r="15" spans="1:17" ht="74.25" customHeight="1">
      <c r="A15" s="103"/>
      <c r="B15" s="184"/>
      <c r="C15" s="186"/>
      <c r="D15" s="101" t="s">
        <v>62</v>
      </c>
      <c r="E15" s="109">
        <f>(SUM(F15:Q15))/13</f>
        <v>0.923076923076923</v>
      </c>
      <c r="F15" s="108">
        <f>1+F16</f>
        <v>1</v>
      </c>
      <c r="G15" s="108">
        <f aca="true" t="shared" si="6" ref="G15:Q15">1+G16</f>
        <v>1</v>
      </c>
      <c r="H15" s="108">
        <f t="shared" si="6"/>
        <v>1</v>
      </c>
      <c r="I15" s="108">
        <f t="shared" si="6"/>
        <v>1</v>
      </c>
      <c r="J15" s="108">
        <f t="shared" si="6"/>
        <v>1</v>
      </c>
      <c r="K15" s="108">
        <f t="shared" si="6"/>
        <v>1</v>
      </c>
      <c r="L15" s="108">
        <f t="shared" si="6"/>
        <v>1</v>
      </c>
      <c r="M15" s="108">
        <f t="shared" si="6"/>
        <v>1</v>
      </c>
      <c r="N15" s="108">
        <f t="shared" si="6"/>
        <v>1</v>
      </c>
      <c r="O15" s="108">
        <f t="shared" si="6"/>
        <v>1</v>
      </c>
      <c r="P15" s="108">
        <f t="shared" si="6"/>
        <v>1</v>
      </c>
      <c r="Q15" s="108">
        <f t="shared" si="6"/>
        <v>1</v>
      </c>
    </row>
    <row r="16" spans="1:17" ht="74.25" customHeight="1">
      <c r="A16" s="103"/>
      <c r="B16" s="184"/>
      <c r="C16" s="186"/>
      <c r="D16" s="111" t="s">
        <v>63</v>
      </c>
      <c r="E16" s="107"/>
      <c r="F16" s="114">
        <f>F17/F5</f>
        <v>0</v>
      </c>
      <c r="G16" s="114">
        <f aca="true" t="shared" si="7" ref="G16:O16">G17/G5</f>
        <v>0</v>
      </c>
      <c r="H16" s="114">
        <f t="shared" si="7"/>
        <v>0</v>
      </c>
      <c r="I16" s="114">
        <f t="shared" si="7"/>
        <v>0</v>
      </c>
      <c r="J16" s="114">
        <f t="shared" si="7"/>
        <v>0</v>
      </c>
      <c r="K16" s="114">
        <f t="shared" si="7"/>
        <v>0</v>
      </c>
      <c r="L16" s="114">
        <f t="shared" si="7"/>
        <v>0</v>
      </c>
      <c r="M16" s="114">
        <f t="shared" si="7"/>
        <v>0</v>
      </c>
      <c r="N16" s="114">
        <f t="shared" si="7"/>
        <v>0</v>
      </c>
      <c r="O16" s="114">
        <f t="shared" si="7"/>
        <v>0</v>
      </c>
      <c r="P16" s="114">
        <f>P17/P5</f>
        <v>0</v>
      </c>
      <c r="Q16" s="114">
        <f>Q17/Q5</f>
        <v>0</v>
      </c>
    </row>
    <row r="17" spans="1:17" ht="74.25" customHeight="1">
      <c r="A17" s="103"/>
      <c r="B17" s="184"/>
      <c r="C17" s="186"/>
      <c r="D17" s="111" t="s">
        <v>64</v>
      </c>
      <c r="E17" s="107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</row>
    <row r="18" spans="1:17" ht="100.5" customHeight="1">
      <c r="A18" s="103"/>
      <c r="B18" s="184"/>
      <c r="C18" s="186"/>
      <c r="D18" s="115" t="s">
        <v>40</v>
      </c>
      <c r="E18" s="116">
        <f>(SUM(F18:Q18))/13</f>
        <v>1.92607692307692</v>
      </c>
      <c r="F18" s="108">
        <f>1+F19/$E$20+F21/$E$22</f>
        <v>1.496</v>
      </c>
      <c r="G18" s="108">
        <f aca="true" t="shared" si="8" ref="G18:O18">1+G19/$E$20+G21/$E$22</f>
        <v>2.006</v>
      </c>
      <c r="H18" s="108">
        <f t="shared" si="8"/>
        <v>2.209</v>
      </c>
      <c r="I18" s="108">
        <f t="shared" si="8"/>
        <v>2.005</v>
      </c>
      <c r="J18" s="108">
        <f t="shared" si="8"/>
        <v>2.613</v>
      </c>
      <c r="K18" s="108">
        <f t="shared" si="8"/>
        <v>3.058</v>
      </c>
      <c r="L18" s="108">
        <f t="shared" si="8"/>
        <v>2.104</v>
      </c>
      <c r="M18" s="108">
        <f t="shared" si="8"/>
        <v>2.242</v>
      </c>
      <c r="N18" s="108">
        <f t="shared" si="8"/>
        <v>1.693</v>
      </c>
      <c r="O18" s="108">
        <f t="shared" si="8"/>
        <v>2.516</v>
      </c>
      <c r="P18" s="108">
        <f>1+P19/$E$20+P21/$E$22</f>
        <v>1.444</v>
      </c>
      <c r="Q18" s="108">
        <f>1+Q19/$E$20+Q21/$E$22</f>
        <v>1.653</v>
      </c>
    </row>
    <row r="19" spans="1:17" ht="100.5" customHeight="1">
      <c r="A19" s="103"/>
      <c r="B19" s="184"/>
      <c r="C19" s="186"/>
      <c r="D19" s="111" t="s">
        <v>39</v>
      </c>
      <c r="E19" s="107"/>
      <c r="F19" s="113">
        <v>23</v>
      </c>
      <c r="G19" s="113">
        <v>49</v>
      </c>
      <c r="H19" s="113">
        <v>57</v>
      </c>
      <c r="I19" s="113">
        <v>42</v>
      </c>
      <c r="J19" s="113">
        <v>73</v>
      </c>
      <c r="K19" s="113">
        <v>98</v>
      </c>
      <c r="L19" s="113">
        <v>54</v>
      </c>
      <c r="M19" s="113">
        <v>61</v>
      </c>
      <c r="N19" s="113">
        <v>33</v>
      </c>
      <c r="O19" s="113">
        <v>75</v>
      </c>
      <c r="P19" s="113">
        <v>18</v>
      </c>
      <c r="Q19" s="113">
        <v>31</v>
      </c>
    </row>
    <row r="20" spans="1:17" ht="100.5" customHeight="1">
      <c r="A20" s="103"/>
      <c r="B20" s="184"/>
      <c r="C20" s="186"/>
      <c r="D20" s="111" t="s">
        <v>41</v>
      </c>
      <c r="E20" s="117">
        <v>51</v>
      </c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1:17" ht="50.25" customHeight="1">
      <c r="A21" s="103"/>
      <c r="B21" s="184"/>
      <c r="C21" s="186"/>
      <c r="D21" s="111" t="s">
        <v>65</v>
      </c>
      <c r="E21" s="107"/>
      <c r="F21" s="113">
        <v>1</v>
      </c>
      <c r="G21" s="113">
        <v>1</v>
      </c>
      <c r="H21" s="113">
        <v>2</v>
      </c>
      <c r="I21" s="113">
        <v>4</v>
      </c>
      <c r="J21" s="113">
        <v>4</v>
      </c>
      <c r="K21" s="113">
        <v>3</v>
      </c>
      <c r="L21" s="113">
        <v>1</v>
      </c>
      <c r="M21" s="113">
        <v>1</v>
      </c>
      <c r="N21" s="113">
        <v>1</v>
      </c>
      <c r="O21" s="113">
        <v>1</v>
      </c>
      <c r="P21" s="113">
        <v>2</v>
      </c>
      <c r="Q21" s="113">
        <v>1</v>
      </c>
    </row>
    <row r="22" spans="1:17" ht="60.75" customHeight="1">
      <c r="A22" s="103"/>
      <c r="B22" s="184"/>
      <c r="C22" s="186"/>
      <c r="D22" s="111" t="s">
        <v>42</v>
      </c>
      <c r="E22" s="118" t="s">
        <v>108</v>
      </c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4" spans="4:5" ht="38.25">
      <c r="D24" s="119" t="s">
        <v>29</v>
      </c>
      <c r="E24" s="117">
        <v>0.7</v>
      </c>
    </row>
    <row r="25" spans="4:5" ht="25.5">
      <c r="D25" s="119" t="s">
        <v>30</v>
      </c>
      <c r="E25" s="117">
        <v>0.3</v>
      </c>
    </row>
    <row r="26" spans="5:17" ht="12.75">
      <c r="E26" s="120" t="s">
        <v>14</v>
      </c>
      <c r="F26" s="121">
        <f>F6*$E$24+F8*$E$25</f>
        <v>1.229</v>
      </c>
      <c r="G26" s="121">
        <f aca="true" t="shared" si="9" ref="G26:O26">G6*$E$24+G8*$E$25</f>
        <v>1.266</v>
      </c>
      <c r="H26" s="121">
        <f t="shared" si="9"/>
        <v>1.303</v>
      </c>
      <c r="I26" s="121">
        <f t="shared" si="9"/>
        <v>1.265</v>
      </c>
      <c r="J26" s="121">
        <f t="shared" si="9"/>
        <v>1.379</v>
      </c>
      <c r="K26" s="121">
        <f t="shared" si="9"/>
        <v>1.481</v>
      </c>
      <c r="L26" s="121">
        <f t="shared" si="9"/>
        <v>1.282</v>
      </c>
      <c r="M26" s="121">
        <f t="shared" si="9"/>
        <v>1.312</v>
      </c>
      <c r="N26" s="121">
        <f t="shared" si="9"/>
        <v>1.207</v>
      </c>
      <c r="O26" s="121">
        <f t="shared" si="9"/>
        <v>1.363</v>
      </c>
      <c r="P26" s="121">
        <f>P6*$E$24+P8*$E$25</f>
        <v>1.155</v>
      </c>
      <c r="Q26" s="121">
        <f>Q6*$E$24+Q8*$E$25</f>
        <v>1.196</v>
      </c>
    </row>
    <row r="27" spans="5:17" ht="12.75">
      <c r="E27" s="120" t="s">
        <v>5</v>
      </c>
      <c r="F27" s="121">
        <f>'РАСЧЕТ ИНП'!Q10</f>
        <v>1.461</v>
      </c>
      <c r="G27" s="121">
        <f>'РАСЧЕТ ИНП'!Q11</f>
        <v>1.343</v>
      </c>
      <c r="H27" s="121">
        <f>'РАСЧЕТ ИНП'!Q12</f>
        <v>2.941</v>
      </c>
      <c r="I27" s="121">
        <f>'РАСЧЕТ ИНП'!Q13</f>
        <v>0.668</v>
      </c>
      <c r="J27" s="121">
        <f>'РАСЧЕТ ИНП'!Q14</f>
        <v>1.419</v>
      </c>
      <c r="K27" s="121">
        <f>'РАСЧЕТ ИНП'!Q15</f>
        <v>1.997</v>
      </c>
      <c r="L27" s="121">
        <f>'РАСЧЕТ ИНП'!Q16</f>
        <v>1.303</v>
      </c>
      <c r="M27" s="121">
        <f>'РАСЧЕТ ИНП'!Q17</f>
        <v>1.42</v>
      </c>
      <c r="N27" s="121">
        <f>'РАСЧЕТ ИНП'!Q18</f>
        <v>2.829</v>
      </c>
      <c r="O27" s="121">
        <f>'РАСЧЕТ ИНП'!Q19</f>
        <v>0.957</v>
      </c>
      <c r="P27" s="121">
        <f>'РАСЧЕТ ИНП'!Q20</f>
        <v>1.459</v>
      </c>
      <c r="Q27" s="121">
        <f>'РАСЧЕТ ИНП'!Q21</f>
        <v>1.626</v>
      </c>
    </row>
    <row r="28" spans="5:17" ht="12.75">
      <c r="E28" s="120" t="s">
        <v>15</v>
      </c>
      <c r="F28" s="121">
        <f>F27/F26</f>
        <v>1.189</v>
      </c>
      <c r="G28" s="121">
        <f aca="true" t="shared" si="10" ref="G28:Q28">G27/G26</f>
        <v>1.061</v>
      </c>
      <c r="H28" s="121">
        <f t="shared" si="10"/>
        <v>2.257</v>
      </c>
      <c r="I28" s="121">
        <f t="shared" si="10"/>
        <v>0.528</v>
      </c>
      <c r="J28" s="121">
        <f t="shared" si="10"/>
        <v>1.029</v>
      </c>
      <c r="K28" s="121">
        <f t="shared" si="10"/>
        <v>1.348</v>
      </c>
      <c r="L28" s="121">
        <f t="shared" si="10"/>
        <v>1.016</v>
      </c>
      <c r="M28" s="121">
        <f t="shared" si="10"/>
        <v>1.082</v>
      </c>
      <c r="N28" s="121">
        <f t="shared" si="10"/>
        <v>2.344</v>
      </c>
      <c r="O28" s="121">
        <f t="shared" si="10"/>
        <v>0.702</v>
      </c>
      <c r="P28" s="121">
        <f t="shared" si="10"/>
        <v>1.263</v>
      </c>
      <c r="Q28" s="121">
        <f t="shared" si="10"/>
        <v>1.36</v>
      </c>
    </row>
    <row r="29" spans="6:17" ht="12.75">
      <c r="F29" s="97">
        <v>1</v>
      </c>
      <c r="G29" s="97">
        <v>2</v>
      </c>
      <c r="H29" s="97">
        <v>3</v>
      </c>
      <c r="I29" s="97">
        <v>4</v>
      </c>
      <c r="J29" s="97">
        <v>5</v>
      </c>
      <c r="K29" s="97">
        <v>6</v>
      </c>
      <c r="L29" s="97">
        <v>7</v>
      </c>
      <c r="M29" s="97">
        <v>8</v>
      </c>
      <c r="N29" s="97">
        <v>9</v>
      </c>
      <c r="O29" s="97">
        <v>10</v>
      </c>
      <c r="P29" s="97">
        <v>11</v>
      </c>
      <c r="Q29" s="97">
        <v>12</v>
      </c>
    </row>
    <row r="30" s="54" customFormat="1" ht="12.75"/>
    <row r="31" s="54" customFormat="1" ht="20.25">
      <c r="C31" s="53" t="s">
        <v>67</v>
      </c>
    </row>
  </sheetData>
  <sheetProtection/>
  <mergeCells count="6">
    <mergeCell ref="B8:B22"/>
    <mergeCell ref="C8:C22"/>
    <mergeCell ref="A6:A7"/>
    <mergeCell ref="E2:O2"/>
    <mergeCell ref="B6:B7"/>
    <mergeCell ref="C6:C7"/>
  </mergeCells>
  <printOptions/>
  <pageMargins left="0.2" right="0.25" top="0.33" bottom="0.21" header="0.5" footer="0.5"/>
  <pageSetup fitToWidth="2" fitToHeight="1" horizontalDpi="600" verticalDpi="600" orientation="landscape" paperSize="8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2:M31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0" sqref="C10"/>
    </sheetView>
  </sheetViews>
  <sheetFormatPr defaultColWidth="9.00390625" defaultRowHeight="12.75"/>
  <cols>
    <col min="2" max="2" width="32.75390625" style="0" customWidth="1"/>
    <col min="3" max="3" width="18.75390625" style="0" customWidth="1"/>
    <col min="4" max="4" width="15.625" style="0" customWidth="1"/>
    <col min="5" max="5" width="11.25390625" style="0" customWidth="1"/>
    <col min="6" max="6" width="11.625" style="0" customWidth="1"/>
    <col min="7" max="7" width="11.25390625" style="0" customWidth="1"/>
    <col min="8" max="8" width="15.125" style="0" customWidth="1"/>
    <col min="9" max="9" width="13.625" style="9" customWidth="1"/>
    <col min="10" max="10" width="14.375" style="0" customWidth="1"/>
    <col min="11" max="11" width="22.25390625" style="0" bestFit="1" customWidth="1"/>
    <col min="12" max="13" width="10.75390625" style="0" customWidth="1"/>
  </cols>
  <sheetData>
    <row r="2" spans="2:11" ht="18">
      <c r="B2" s="204" t="s">
        <v>123</v>
      </c>
      <c r="C2" s="204"/>
      <c r="D2" s="204"/>
      <c r="E2" s="204"/>
      <c r="F2" s="204"/>
      <c r="G2" s="204"/>
      <c r="H2" s="204"/>
      <c r="I2" s="204"/>
      <c r="J2" s="204"/>
      <c r="K2" s="204"/>
    </row>
    <row r="4" spans="1:13" s="94" customFormat="1" ht="12.75" customHeight="1">
      <c r="A4" s="194" t="s">
        <v>4</v>
      </c>
      <c r="B4" s="194" t="s">
        <v>18</v>
      </c>
      <c r="C4" s="122"/>
      <c r="D4" s="195" t="s">
        <v>16</v>
      </c>
      <c r="E4" s="195"/>
      <c r="F4" s="195"/>
      <c r="G4" s="195"/>
      <c r="H4" s="195"/>
      <c r="I4" s="195"/>
      <c r="J4" s="123" t="s">
        <v>17</v>
      </c>
      <c r="K4" s="194" t="s">
        <v>52</v>
      </c>
      <c r="L4" s="168">
        <v>2023</v>
      </c>
      <c r="M4" s="168">
        <v>2024</v>
      </c>
    </row>
    <row r="5" spans="1:13" s="94" customFormat="1" ht="12.75" customHeight="1">
      <c r="A5" s="194"/>
      <c r="B5" s="194"/>
      <c r="C5" s="194" t="s">
        <v>111</v>
      </c>
      <c r="D5" s="194" t="s">
        <v>6</v>
      </c>
      <c r="E5" s="194" t="s">
        <v>19</v>
      </c>
      <c r="F5" s="194" t="s">
        <v>20</v>
      </c>
      <c r="G5" s="194" t="s">
        <v>14</v>
      </c>
      <c r="H5" s="194" t="s">
        <v>21</v>
      </c>
      <c r="I5" s="194" t="s">
        <v>44</v>
      </c>
      <c r="J5" s="194" t="s">
        <v>45</v>
      </c>
      <c r="K5" s="194"/>
      <c r="L5" s="169"/>
      <c r="M5" s="169"/>
    </row>
    <row r="6" spans="1:13" s="94" customFormat="1" ht="36" customHeight="1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201" t="s">
        <v>45</v>
      </c>
      <c r="M6" s="201" t="s">
        <v>45</v>
      </c>
    </row>
    <row r="7" spans="1:13" s="94" customFormat="1" ht="12.75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202"/>
      <c r="M7" s="202"/>
    </row>
    <row r="8" spans="1:13" s="94" customFormat="1" ht="12.75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202"/>
      <c r="M8" s="202"/>
    </row>
    <row r="9" spans="1:13" s="94" customFormat="1" ht="12.75">
      <c r="A9" s="124">
        <v>1</v>
      </c>
      <c r="B9" s="124">
        <v>2</v>
      </c>
      <c r="C9" s="124">
        <v>2</v>
      </c>
      <c r="D9" s="124">
        <v>3</v>
      </c>
      <c r="E9" s="124">
        <v>5</v>
      </c>
      <c r="F9" s="124">
        <v>6</v>
      </c>
      <c r="G9" s="124">
        <v>7</v>
      </c>
      <c r="H9" s="124">
        <v>8</v>
      </c>
      <c r="I9" s="124">
        <v>9</v>
      </c>
      <c r="J9" s="124">
        <v>10</v>
      </c>
      <c r="K9" s="124">
        <v>11</v>
      </c>
      <c r="L9" s="203"/>
      <c r="M9" s="203"/>
    </row>
    <row r="10" spans="1:13" s="94" customFormat="1" ht="12.75">
      <c r="A10" s="125">
        <v>1</v>
      </c>
      <c r="B10" s="91" t="str">
        <f>'РАСЧЕТ ИНП'!B10</f>
        <v>Баляга-катангарское</v>
      </c>
      <c r="C10" s="164">
        <v>19.46</v>
      </c>
      <c r="D10" s="126">
        <f>'РАСЧЕТ ИНП'!C10</f>
        <v>43</v>
      </c>
      <c r="E10" s="205">
        <v>5</v>
      </c>
      <c r="F10" s="127">
        <f>'РАСЧЕТ ИБР'!F28</f>
        <v>1.189</v>
      </c>
      <c r="G10" s="127">
        <f>'РАСЧЕТ ИБР'!F26</f>
        <v>1.229</v>
      </c>
      <c r="H10" s="126">
        <f aca="true" t="shared" si="0" ref="H10:H20">($C$22/$D$22)*($E$10-F10)*G10*D10</f>
        <v>172.7</v>
      </c>
      <c r="I10" s="128">
        <f>$C$24*H10/$H$22</f>
        <v>195</v>
      </c>
      <c r="J10" s="51">
        <f>$J$22/$D$22*D10</f>
        <v>6</v>
      </c>
      <c r="K10" s="129">
        <f>I10+J10</f>
        <v>201</v>
      </c>
      <c r="L10" s="51">
        <f>L22/$D$22*D10</f>
        <v>0</v>
      </c>
      <c r="M10" s="51">
        <f>M22/$D$22*D10</f>
        <v>0</v>
      </c>
    </row>
    <row r="11" spans="1:13" s="94" customFormat="1" ht="12.75">
      <c r="A11" s="125">
        <v>2</v>
      </c>
      <c r="B11" s="91" t="str">
        <f>'РАСЧЕТ ИНП'!B11</f>
        <v>Зугмарское</v>
      </c>
      <c r="C11" s="164">
        <v>92.24</v>
      </c>
      <c r="D11" s="126">
        <f>'РАСЧЕТ ИНП'!C11</f>
        <v>224</v>
      </c>
      <c r="E11" s="205"/>
      <c r="F11" s="127">
        <f>'РАСЧЕТ ИБР'!G28</f>
        <v>1.061</v>
      </c>
      <c r="G11" s="127">
        <f>'РАСЧЕТ ИБР'!G26</f>
        <v>1.266</v>
      </c>
      <c r="H11" s="126">
        <f t="shared" si="0"/>
        <v>957.6</v>
      </c>
      <c r="I11" s="128">
        <f aca="true" t="shared" si="1" ref="I11:I21">$C$24*H11/$H$22</f>
        <v>1079</v>
      </c>
      <c r="J11" s="51">
        <f>$J$22/$D$22*D11</f>
        <v>33</v>
      </c>
      <c r="K11" s="129">
        <f aca="true" t="shared" si="2" ref="K11:K21">I11+J11</f>
        <v>1112</v>
      </c>
      <c r="L11" s="51">
        <v>25</v>
      </c>
      <c r="M11" s="51">
        <f>M22/$D$22*D11</f>
        <v>0</v>
      </c>
    </row>
    <row r="12" spans="1:13" s="94" customFormat="1" ht="12.75">
      <c r="A12" s="125">
        <v>3</v>
      </c>
      <c r="B12" s="91" t="str">
        <f>'РАСЧЕТ ИНП'!B12</f>
        <v>Катаевское</v>
      </c>
      <c r="C12" s="164">
        <v>454.36</v>
      </c>
      <c r="D12" s="126">
        <f>'РАСЧЕТ ИНП'!C12</f>
        <v>726</v>
      </c>
      <c r="E12" s="205"/>
      <c r="F12" s="127">
        <f>'РАСЧЕТ ИБР'!H28</f>
        <v>2.257</v>
      </c>
      <c r="G12" s="127">
        <f>'РАСЧЕТ ИБР'!H26</f>
        <v>1.303</v>
      </c>
      <c r="H12" s="126">
        <f t="shared" si="0"/>
        <v>2224.4</v>
      </c>
      <c r="I12" s="128">
        <f t="shared" si="1"/>
        <v>2506</v>
      </c>
      <c r="J12" s="51">
        <f aca="true" t="shared" si="3" ref="J12:J21">$J$22/$D$22*D12</f>
        <v>107</v>
      </c>
      <c r="K12" s="129">
        <f t="shared" si="2"/>
        <v>2613</v>
      </c>
      <c r="L12" s="51">
        <f>L22/$D$22*D12</f>
        <v>0</v>
      </c>
      <c r="M12" s="51">
        <f>M22/$D$22*D12</f>
        <v>0</v>
      </c>
    </row>
    <row r="13" spans="1:13" s="94" customFormat="1" ht="12.75">
      <c r="A13" s="125">
        <v>4</v>
      </c>
      <c r="B13" s="91" t="str">
        <f>'РАСЧЕТ ИНП'!B13</f>
        <v>Катангарское</v>
      </c>
      <c r="C13" s="164">
        <v>348.28</v>
      </c>
      <c r="D13" s="126">
        <f>'РАСЧЕТ ИНП'!C13</f>
        <v>548</v>
      </c>
      <c r="E13" s="205"/>
      <c r="F13" s="127">
        <f>'РАСЧЕТ ИБР'!I28</f>
        <v>0.528</v>
      </c>
      <c r="G13" s="127">
        <f>'РАСЧЕТ ИБР'!I26</f>
        <v>1.265</v>
      </c>
      <c r="H13" s="126">
        <f t="shared" si="0"/>
        <v>2657.5</v>
      </c>
      <c r="I13" s="128">
        <f t="shared" si="1"/>
        <v>2994</v>
      </c>
      <c r="J13" s="51">
        <f t="shared" si="3"/>
        <v>81</v>
      </c>
      <c r="K13" s="129">
        <f t="shared" si="2"/>
        <v>3075</v>
      </c>
      <c r="L13" s="51">
        <f>L22/$D$22*D13</f>
        <v>0</v>
      </c>
      <c r="M13" s="51">
        <f>M22/$D$22*D13</f>
        <v>0</v>
      </c>
    </row>
    <row r="14" spans="1:13" s="94" customFormat="1" ht="12.75">
      <c r="A14" s="125">
        <v>5</v>
      </c>
      <c r="B14" s="91" t="str">
        <f>'РАСЧЕТ ИНП'!B14</f>
        <v>Малетинское</v>
      </c>
      <c r="C14" s="164">
        <v>2161.14</v>
      </c>
      <c r="D14" s="126">
        <f>'РАСЧЕТ ИНП'!C14</f>
        <v>2678</v>
      </c>
      <c r="E14" s="205"/>
      <c r="F14" s="127">
        <f>'РАСЧЕТ ИБР'!J28</f>
        <v>1.029</v>
      </c>
      <c r="G14" s="127">
        <f>'РАСЧЕТ ИБР'!J26</f>
        <v>1.379</v>
      </c>
      <c r="H14" s="126">
        <f t="shared" si="0"/>
        <v>12571.4</v>
      </c>
      <c r="I14" s="128">
        <f t="shared" si="1"/>
        <v>14161</v>
      </c>
      <c r="J14" s="51">
        <f t="shared" si="3"/>
        <v>395</v>
      </c>
      <c r="K14" s="129">
        <f t="shared" si="2"/>
        <v>14556</v>
      </c>
      <c r="L14" s="51">
        <f>L22/$D$22*D14</f>
        <v>0</v>
      </c>
      <c r="M14" s="51">
        <f>M22/$D$22*D14</f>
        <v>0</v>
      </c>
    </row>
    <row r="15" spans="1:13" s="94" customFormat="1" ht="12.75">
      <c r="A15" s="125">
        <v>6</v>
      </c>
      <c r="B15" s="91" t="str">
        <f>'РАСЧЕТ ИНП'!B15</f>
        <v>Песчанское</v>
      </c>
      <c r="C15" s="164">
        <v>250.36</v>
      </c>
      <c r="D15" s="126">
        <f>'РАСЧЕТ ИНП'!C15</f>
        <v>673</v>
      </c>
      <c r="E15" s="205"/>
      <c r="F15" s="127">
        <f>'РАСЧЕТ ИБР'!K28</f>
        <v>1.348</v>
      </c>
      <c r="G15" s="127">
        <f>'РАСЧЕТ ИБР'!K26</f>
        <v>1.481</v>
      </c>
      <c r="H15" s="126">
        <f>($C$22/$D$22)*($E$10-F15)*G15*D15</f>
        <v>3120.4</v>
      </c>
      <c r="I15" s="128">
        <f>$C$24*H15/$H$22</f>
        <v>3515</v>
      </c>
      <c r="J15" s="51">
        <f>$J$22/$D$22*D15</f>
        <v>99</v>
      </c>
      <c r="K15" s="129">
        <f t="shared" si="2"/>
        <v>3614</v>
      </c>
      <c r="L15" s="51">
        <f>L22/$D$22*D15</f>
        <v>0</v>
      </c>
      <c r="M15" s="51">
        <f>M22/$D$22*D15</f>
        <v>0</v>
      </c>
    </row>
    <row r="16" spans="1:13" s="94" customFormat="1" ht="12.75">
      <c r="A16" s="125">
        <v>7</v>
      </c>
      <c r="B16" s="91" t="str">
        <f>'РАСЧЕТ ИНП'!B16</f>
        <v>Толбагинское</v>
      </c>
      <c r="C16" s="164">
        <v>409.98</v>
      </c>
      <c r="D16" s="126">
        <f>'РАСЧЕТ ИНП'!C16</f>
        <v>462</v>
      </c>
      <c r="E16" s="205"/>
      <c r="F16" s="127">
        <f>'РАСЧЕТ ИБР'!L28</f>
        <v>1.016</v>
      </c>
      <c r="G16" s="127">
        <f>'РАСЧЕТ ИБР'!L26</f>
        <v>1.282</v>
      </c>
      <c r="H16" s="126">
        <f t="shared" si="0"/>
        <v>2022.8</v>
      </c>
      <c r="I16" s="128">
        <f t="shared" si="1"/>
        <v>2279</v>
      </c>
      <c r="J16" s="51">
        <f t="shared" si="3"/>
        <v>68</v>
      </c>
      <c r="K16" s="129">
        <f t="shared" si="2"/>
        <v>2347</v>
      </c>
      <c r="L16" s="51">
        <f>L22/$D$22*D16</f>
        <v>0</v>
      </c>
      <c r="M16" s="51">
        <f>M22/$D$22*D16</f>
        <v>0</v>
      </c>
    </row>
    <row r="17" spans="1:13" s="94" customFormat="1" ht="12.75">
      <c r="A17" s="125">
        <v>8</v>
      </c>
      <c r="B17" s="91" t="str">
        <f>'РАСЧЕТ ИНП'!B17</f>
        <v>Усть-Оборское</v>
      </c>
      <c r="C17" s="164">
        <v>280.62</v>
      </c>
      <c r="D17" s="126">
        <f>'РАСЧЕТ ИНП'!C17</f>
        <v>682</v>
      </c>
      <c r="E17" s="205"/>
      <c r="F17" s="127">
        <f>'РАСЧЕТ ИБР'!M28</f>
        <v>1.082</v>
      </c>
      <c r="G17" s="127">
        <f>'РАСЧЕТ ИБР'!M26</f>
        <v>1.312</v>
      </c>
      <c r="H17" s="126">
        <f t="shared" si="0"/>
        <v>3005.3</v>
      </c>
      <c r="I17" s="128">
        <f t="shared" si="1"/>
        <v>3385</v>
      </c>
      <c r="J17" s="51">
        <f t="shared" si="3"/>
        <v>101</v>
      </c>
      <c r="K17" s="129">
        <f t="shared" si="2"/>
        <v>3486</v>
      </c>
      <c r="L17" s="51">
        <f>L22/$D$22*D17</f>
        <v>0</v>
      </c>
      <c r="M17" s="51">
        <f>M22/$D$22*D17</f>
        <v>0</v>
      </c>
    </row>
    <row r="18" spans="1:13" s="94" customFormat="1" ht="12.75">
      <c r="A18" s="125">
        <v>9</v>
      </c>
      <c r="B18" s="91" t="str">
        <f>'РАСЧЕТ ИНП'!B18</f>
        <v>Хараузское</v>
      </c>
      <c r="C18" s="164">
        <v>2747.85</v>
      </c>
      <c r="D18" s="126">
        <f>'РАСЧЕТ ИНП'!C18</f>
        <v>753</v>
      </c>
      <c r="E18" s="205"/>
      <c r="F18" s="127">
        <f>'РАСЧЕТ ИБР'!N28</f>
        <v>2.344</v>
      </c>
      <c r="G18" s="127">
        <f>'РАСЧЕТ ИБР'!N26</f>
        <v>1.207</v>
      </c>
      <c r="H18" s="126">
        <f t="shared" si="0"/>
        <v>2069.4</v>
      </c>
      <c r="I18" s="128">
        <f t="shared" si="1"/>
        <v>2331</v>
      </c>
      <c r="J18" s="51">
        <f t="shared" si="3"/>
        <v>111</v>
      </c>
      <c r="K18" s="129">
        <f t="shared" si="2"/>
        <v>2442</v>
      </c>
      <c r="L18" s="51">
        <f>L22/$D$22*D18</f>
        <v>0</v>
      </c>
      <c r="M18" s="51">
        <f>M22/$D$22*D18</f>
        <v>0</v>
      </c>
    </row>
    <row r="19" spans="1:13" s="94" customFormat="1" ht="12.75">
      <c r="A19" s="125">
        <v>10</v>
      </c>
      <c r="B19" s="91" t="str">
        <f>'РАСЧЕТ ИНП'!B19</f>
        <v>Хохотуйское</v>
      </c>
      <c r="C19" s="164">
        <v>670.5</v>
      </c>
      <c r="D19" s="126">
        <f>'РАСЧЕТ ИНП'!C19</f>
        <v>1398</v>
      </c>
      <c r="E19" s="205"/>
      <c r="F19" s="127">
        <f>'РАСЧЕТ ИБР'!O28</f>
        <v>0.702</v>
      </c>
      <c r="G19" s="127">
        <f>'РАСЧЕТ ИБР'!O26</f>
        <v>1.363</v>
      </c>
      <c r="H19" s="126">
        <f t="shared" si="0"/>
        <v>7020.7</v>
      </c>
      <c r="I19" s="128">
        <f t="shared" si="1"/>
        <v>7909</v>
      </c>
      <c r="J19" s="51">
        <f t="shared" si="3"/>
        <v>206</v>
      </c>
      <c r="K19" s="129">
        <f t="shared" si="2"/>
        <v>8115</v>
      </c>
      <c r="L19" s="51">
        <f>L22/$D$22*D19</f>
        <v>0</v>
      </c>
      <c r="M19" s="51">
        <f>M22/$D$22*D19</f>
        <v>0</v>
      </c>
    </row>
    <row r="20" spans="1:13" s="94" customFormat="1" ht="12.75">
      <c r="A20" s="125">
        <v>11</v>
      </c>
      <c r="B20" s="91" t="s">
        <v>106</v>
      </c>
      <c r="C20" s="164">
        <v>2635.05</v>
      </c>
      <c r="D20" s="126">
        <f>'РАСЧЕТ ИНП'!C20</f>
        <v>2910</v>
      </c>
      <c r="E20" s="205"/>
      <c r="F20" s="127">
        <f>'РАСЧЕТ ИБР'!P28</f>
        <v>1.263</v>
      </c>
      <c r="G20" s="127">
        <f>'РАСЧЕТ ИБР'!P26</f>
        <v>1.155</v>
      </c>
      <c r="H20" s="126">
        <f t="shared" si="0"/>
        <v>10767.3</v>
      </c>
      <c r="I20" s="128">
        <f t="shared" si="1"/>
        <v>12129</v>
      </c>
      <c r="J20" s="51">
        <f t="shared" si="3"/>
        <v>429</v>
      </c>
      <c r="K20" s="129">
        <f t="shared" si="2"/>
        <v>12558</v>
      </c>
      <c r="L20" s="51">
        <f>L22/$D$22*D20</f>
        <v>0</v>
      </c>
      <c r="M20" s="51">
        <f>M22/$D$22*D20</f>
        <v>0</v>
      </c>
    </row>
    <row r="21" spans="1:13" s="94" customFormat="1" ht="12.75">
      <c r="A21" s="125">
        <v>12</v>
      </c>
      <c r="B21" s="91" t="s">
        <v>107</v>
      </c>
      <c r="C21" s="164">
        <v>1114.72</v>
      </c>
      <c r="D21" s="126">
        <f>'РАСЧЕТ ИНП'!C21</f>
        <v>1950</v>
      </c>
      <c r="E21" s="205"/>
      <c r="F21" s="127">
        <f>'РАСЧЕТ ИБР'!Q28</f>
        <v>1.36</v>
      </c>
      <c r="G21" s="127">
        <f>'РАСЧЕТ ИБР'!Q26</f>
        <v>1.196</v>
      </c>
      <c r="H21" s="126">
        <f>($C$22/$D$22)*($E$10-F21)*G21*D21</f>
        <v>7277.4</v>
      </c>
      <c r="I21" s="128">
        <f t="shared" si="1"/>
        <v>8198</v>
      </c>
      <c r="J21" s="51">
        <f t="shared" si="3"/>
        <v>287</v>
      </c>
      <c r="K21" s="129">
        <f t="shared" si="2"/>
        <v>8485</v>
      </c>
      <c r="L21" s="51">
        <f>L22/$D$22*D21</f>
        <v>0</v>
      </c>
      <c r="M21" s="51">
        <f>M22/$D$22*D21</f>
        <v>0</v>
      </c>
    </row>
    <row r="22" spans="1:13" s="94" customFormat="1" ht="12.75">
      <c r="A22" s="125"/>
      <c r="B22" s="91" t="s">
        <v>43</v>
      </c>
      <c r="C22" s="91">
        <f>SUM(C10:C21)</f>
        <v>11184.56</v>
      </c>
      <c r="D22" s="155">
        <f>SUM(D10:D21)</f>
        <v>13047</v>
      </c>
      <c r="E22" s="205"/>
      <c r="F22" s="127"/>
      <c r="G22" s="127"/>
      <c r="H22" s="126">
        <f>SUM(H10:H21)</f>
        <v>53866.9</v>
      </c>
      <c r="I22" s="130">
        <f>SUM(I10:I21)</f>
        <v>60681</v>
      </c>
      <c r="J22" s="131">
        <f>C28</f>
        <v>1923.4</v>
      </c>
      <c r="K22" s="129">
        <f>SUM(K10:K21)</f>
        <v>62604</v>
      </c>
      <c r="L22" s="123">
        <f>E28</f>
        <v>0</v>
      </c>
      <c r="M22" s="123">
        <f>F28</f>
        <v>0</v>
      </c>
    </row>
    <row r="23" spans="1:9" s="94" customFormat="1" ht="12.75">
      <c r="A23" s="94" t="s">
        <v>22</v>
      </c>
      <c r="F23" s="132"/>
      <c r="I23" s="133"/>
    </row>
    <row r="24" spans="1:9" s="94" customFormat="1" ht="21.75" customHeight="1">
      <c r="A24" s="199" t="s">
        <v>46</v>
      </c>
      <c r="B24" s="199"/>
      <c r="C24" s="134">
        <f>C25*C26-C27</f>
        <v>60679</v>
      </c>
      <c r="E24" s="166"/>
      <c r="F24" s="167"/>
      <c r="G24" s="135"/>
      <c r="H24" s="136"/>
      <c r="I24" s="133"/>
    </row>
    <row r="25" spans="1:9" s="94" customFormat="1" ht="31.5" customHeight="1">
      <c r="A25" s="200" t="s">
        <v>47</v>
      </c>
      <c r="B25" s="200"/>
      <c r="C25" s="165">
        <v>609015.1</v>
      </c>
      <c r="E25" s="135"/>
      <c r="F25" s="132"/>
      <c r="G25" s="135"/>
      <c r="H25" s="136"/>
      <c r="I25" s="133"/>
    </row>
    <row r="26" spans="1:9" s="94" customFormat="1" ht="45" customHeight="1">
      <c r="A26" s="200" t="s">
        <v>48</v>
      </c>
      <c r="B26" s="200"/>
      <c r="C26" s="137">
        <v>0.118</v>
      </c>
      <c r="E26" s="135"/>
      <c r="F26" s="132"/>
      <c r="G26" s="135"/>
      <c r="H26" s="136"/>
      <c r="I26" s="133"/>
    </row>
    <row r="27" spans="1:9" s="94" customFormat="1" ht="50.25" customHeight="1">
      <c r="A27" s="200" t="s">
        <v>49</v>
      </c>
      <c r="B27" s="200"/>
      <c r="C27" s="51">
        <f>C22</f>
        <v>11185</v>
      </c>
      <c r="E27" s="138"/>
      <c r="H27" s="139"/>
      <c r="I27" s="133"/>
    </row>
    <row r="28" spans="1:9" s="94" customFormat="1" ht="12.75">
      <c r="A28" s="196" t="s">
        <v>50</v>
      </c>
      <c r="B28" s="196"/>
      <c r="C28" s="140">
        <v>1923.4</v>
      </c>
      <c r="I28" s="133"/>
    </row>
    <row r="29" spans="1:9" s="94" customFormat="1" ht="12.75">
      <c r="A29" s="197" t="s">
        <v>51</v>
      </c>
      <c r="B29" s="198"/>
      <c r="C29" s="141">
        <f>C28+C24</f>
        <v>62602</v>
      </c>
      <c r="I29" s="133"/>
    </row>
    <row r="30" s="94" customFormat="1" ht="12.75">
      <c r="I30" s="133"/>
    </row>
    <row r="31" spans="2:9" s="92" customFormat="1" ht="20.25">
      <c r="B31" s="73" t="s">
        <v>67</v>
      </c>
      <c r="I31" s="93"/>
    </row>
  </sheetData>
  <sheetProtection/>
  <mergeCells count="22">
    <mergeCell ref="L6:L9"/>
    <mergeCell ref="M6:M9"/>
    <mergeCell ref="B2:K2"/>
    <mergeCell ref="A27:B27"/>
    <mergeCell ref="G5:G8"/>
    <mergeCell ref="B4:B8"/>
    <mergeCell ref="A26:B26"/>
    <mergeCell ref="E10:E22"/>
    <mergeCell ref="K4:K8"/>
    <mergeCell ref="J5:J8"/>
    <mergeCell ref="A24:B24"/>
    <mergeCell ref="A25:B25"/>
    <mergeCell ref="H5:H8"/>
    <mergeCell ref="I5:I8"/>
    <mergeCell ref="E5:E8"/>
    <mergeCell ref="F5:F8"/>
    <mergeCell ref="C5:C8"/>
    <mergeCell ref="D5:D8"/>
    <mergeCell ref="A4:A8"/>
    <mergeCell ref="D4:I4"/>
    <mergeCell ref="A28:B28"/>
    <mergeCell ref="A29:B29"/>
  </mergeCells>
  <printOptions/>
  <pageMargins left="0.31496062992125984" right="0.1968503937007874" top="0.4724409448818898" bottom="0.35433070866141736" header="0.5118110236220472" footer="0.5118110236220472"/>
  <pageSetup fitToWidth="2" horizontalDpi="600" verticalDpi="600" orientation="landscape" paperSize="9" scale="80" r:id="rId1"/>
  <colBreaks count="1" manualBreakCount="1">
    <brk id="11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Q64"/>
  <sheetViews>
    <sheetView tabSelected="1" view="pageBreakPreview" zoomScale="78" zoomScaleSheetLayoutView="78" zoomScalePageLayoutView="0" workbookViewId="0" topLeftCell="A1">
      <selection activeCell="O44" sqref="O44"/>
    </sheetView>
  </sheetViews>
  <sheetFormatPr defaultColWidth="9.00390625" defaultRowHeight="12.75"/>
  <cols>
    <col min="1" max="1" width="6.875" style="15" customWidth="1"/>
    <col min="2" max="2" width="26.125" style="15" customWidth="1"/>
    <col min="3" max="6" width="15.75390625" style="15" customWidth="1"/>
    <col min="7" max="7" width="14.00390625" style="15" customWidth="1"/>
    <col min="8" max="8" width="13.75390625" style="94" customWidth="1"/>
    <col min="9" max="9" width="11.375" style="15" customWidth="1"/>
    <col min="10" max="10" width="14.875" style="15" customWidth="1"/>
    <col min="11" max="11" width="12.875" style="15" customWidth="1"/>
    <col min="12" max="12" width="14.25390625" style="15" customWidth="1"/>
    <col min="13" max="13" width="12.875" style="15" customWidth="1"/>
    <col min="14" max="14" width="9.25390625" style="15" bestFit="1" customWidth="1"/>
    <col min="15" max="15" width="15.125" style="15" customWidth="1"/>
    <col min="16" max="16" width="13.625" style="15" customWidth="1"/>
    <col min="17" max="17" width="9.25390625" style="15" bestFit="1" customWidth="1"/>
    <col min="18" max="18" width="11.125" style="15" bestFit="1" customWidth="1"/>
    <col min="19" max="16384" width="9.125" style="15" customWidth="1"/>
  </cols>
  <sheetData>
    <row r="1" spans="1:10" ht="44.25" customHeight="1">
      <c r="A1" s="226" t="s">
        <v>117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5.75" hidden="1">
      <c r="A2" s="18"/>
      <c r="B2" s="17">
        <v>2015</v>
      </c>
      <c r="C2" s="18"/>
      <c r="D2" s="18"/>
      <c r="E2" s="18"/>
      <c r="F2" s="18"/>
      <c r="G2" s="18"/>
      <c r="H2" s="19"/>
      <c r="I2" s="20"/>
      <c r="J2" s="20"/>
    </row>
    <row r="3" spans="1:10" ht="15.75" hidden="1">
      <c r="A3" s="18"/>
      <c r="B3" s="18"/>
      <c r="C3" s="18"/>
      <c r="D3" s="18"/>
      <c r="E3" s="18"/>
      <c r="F3" s="18"/>
      <c r="G3" s="18"/>
      <c r="H3" s="19"/>
      <c r="I3" s="20"/>
      <c r="J3" s="20"/>
    </row>
    <row r="4" spans="1:11" ht="12.75" customHeight="1" hidden="1">
      <c r="A4" s="218" t="s">
        <v>3</v>
      </c>
      <c r="B4" s="221" t="s">
        <v>53</v>
      </c>
      <c r="C4" s="208" t="s">
        <v>88</v>
      </c>
      <c r="D4" s="224" t="s">
        <v>54</v>
      </c>
      <c r="E4" s="225"/>
      <c r="F4" s="208" t="s">
        <v>89</v>
      </c>
      <c r="G4" s="207" t="s">
        <v>76</v>
      </c>
      <c r="H4" s="214" t="s">
        <v>74</v>
      </c>
      <c r="I4" s="214" t="s">
        <v>75</v>
      </c>
      <c r="J4" s="214" t="s">
        <v>55</v>
      </c>
      <c r="K4" s="206" t="s">
        <v>70</v>
      </c>
    </row>
    <row r="5" spans="1:11" ht="23.25" customHeight="1" hidden="1">
      <c r="A5" s="219"/>
      <c r="B5" s="222"/>
      <c r="C5" s="209"/>
      <c r="D5" s="207" t="s">
        <v>57</v>
      </c>
      <c r="E5" s="207" t="s">
        <v>58</v>
      </c>
      <c r="F5" s="209"/>
      <c r="G5" s="207"/>
      <c r="H5" s="215"/>
      <c r="I5" s="215"/>
      <c r="J5" s="215"/>
      <c r="K5" s="206"/>
    </row>
    <row r="6" spans="1:11" s="16" customFormat="1" ht="39" customHeight="1" hidden="1">
      <c r="A6" s="220"/>
      <c r="B6" s="223"/>
      <c r="C6" s="210"/>
      <c r="D6" s="207"/>
      <c r="E6" s="207"/>
      <c r="F6" s="210"/>
      <c r="G6" s="207"/>
      <c r="H6" s="216"/>
      <c r="I6" s="216"/>
      <c r="J6" s="216"/>
      <c r="K6" s="206"/>
    </row>
    <row r="7" spans="1:11" s="16" customFormat="1" ht="15.75" hidden="1">
      <c r="A7" s="22"/>
      <c r="B7" s="23"/>
      <c r="C7" s="24">
        <v>1</v>
      </c>
      <c r="D7" s="24" t="s">
        <v>24</v>
      </c>
      <c r="E7" s="24" t="s">
        <v>59</v>
      </c>
      <c r="F7" s="21">
        <v>2</v>
      </c>
      <c r="G7" s="21" t="s">
        <v>60</v>
      </c>
      <c r="H7" s="25">
        <v>4</v>
      </c>
      <c r="I7" s="25">
        <v>5</v>
      </c>
      <c r="J7" s="25" t="s">
        <v>61</v>
      </c>
      <c r="K7" s="25">
        <v>7</v>
      </c>
    </row>
    <row r="8" spans="1:11" ht="15.75" hidden="1">
      <c r="A8" s="26">
        <f>'[1]Данные'!A5</f>
        <v>1</v>
      </c>
      <c r="B8" s="27" t="str">
        <f>'РАСЧЕТ ИНП'!B10</f>
        <v>Баляга-катангарское</v>
      </c>
      <c r="C8" s="32">
        <f>D8+E8</f>
        <v>1519</v>
      </c>
      <c r="D8" s="40">
        <v>1507</v>
      </c>
      <c r="E8" s="40">
        <v>12</v>
      </c>
      <c r="F8" s="41">
        <v>10.5</v>
      </c>
      <c r="G8" s="28">
        <f>C8+F8</f>
        <v>1530</v>
      </c>
      <c r="H8" s="34">
        <v>1036</v>
      </c>
      <c r="I8" s="35">
        <v>110</v>
      </c>
      <c r="J8" s="38">
        <f>G8-H8-I8</f>
        <v>384</v>
      </c>
      <c r="K8" s="38">
        <v>67</v>
      </c>
    </row>
    <row r="9" spans="1:11" ht="15.75" hidden="1">
      <c r="A9" s="26">
        <f>'[1]Данные'!A6</f>
        <v>2</v>
      </c>
      <c r="B9" s="27" t="str">
        <f>'РАСЧЕТ ИНП'!B11</f>
        <v>Зугмарское</v>
      </c>
      <c r="C9" s="32">
        <f aca="true" t="shared" si="0" ref="C9:C17">D9+E9</f>
        <v>2459</v>
      </c>
      <c r="D9" s="40">
        <v>2422</v>
      </c>
      <c r="E9" s="40">
        <v>37</v>
      </c>
      <c r="F9" s="42">
        <v>103.5</v>
      </c>
      <c r="G9" s="28">
        <f aca="true" t="shared" si="1" ref="G9:G17">C9+F9</f>
        <v>2563</v>
      </c>
      <c r="H9" s="34">
        <v>1706</v>
      </c>
      <c r="I9" s="35">
        <v>193</v>
      </c>
      <c r="J9" s="38">
        <f aca="true" t="shared" si="2" ref="J9:J17">G9-H9-I9</f>
        <v>664</v>
      </c>
      <c r="K9" s="38">
        <v>135</v>
      </c>
    </row>
    <row r="10" spans="1:11" ht="15.75" hidden="1">
      <c r="A10" s="26">
        <f>'[1]Данные'!A7</f>
        <v>3</v>
      </c>
      <c r="B10" s="27" t="str">
        <f>'РАСЧЕТ ИНП'!B12</f>
        <v>Катаевское</v>
      </c>
      <c r="C10" s="32">
        <f t="shared" si="0"/>
        <v>3923</v>
      </c>
      <c r="D10" s="40">
        <v>3804</v>
      </c>
      <c r="E10" s="40">
        <v>119</v>
      </c>
      <c r="F10" s="42">
        <v>164.7</v>
      </c>
      <c r="G10" s="28">
        <f t="shared" si="1"/>
        <v>4088</v>
      </c>
      <c r="H10" s="37">
        <v>3735</v>
      </c>
      <c r="I10" s="35">
        <v>206</v>
      </c>
      <c r="J10" s="38">
        <f t="shared" si="2"/>
        <v>147</v>
      </c>
      <c r="K10" s="38">
        <v>1239</v>
      </c>
    </row>
    <row r="11" spans="1:11" ht="15.75" hidden="1">
      <c r="A11" s="26">
        <f>'[1]Данные'!A8</f>
        <v>4</v>
      </c>
      <c r="B11" s="27" t="str">
        <f>'РАСЧЕТ ИНП'!B13</f>
        <v>Катангарское</v>
      </c>
      <c r="C11" s="32">
        <f t="shared" si="0"/>
        <v>4518</v>
      </c>
      <c r="D11" s="40">
        <v>4426</v>
      </c>
      <c r="E11" s="40">
        <v>92</v>
      </c>
      <c r="F11" s="42">
        <v>148.4</v>
      </c>
      <c r="G11" s="28">
        <f t="shared" si="1"/>
        <v>4666</v>
      </c>
      <c r="H11" s="34">
        <v>3076</v>
      </c>
      <c r="I11" s="35">
        <v>92</v>
      </c>
      <c r="J11" s="38">
        <f t="shared" si="2"/>
        <v>1498</v>
      </c>
      <c r="K11" s="38">
        <v>9698</v>
      </c>
    </row>
    <row r="12" spans="1:11" ht="15.75" hidden="1">
      <c r="A12" s="26">
        <f>'[1]Данные'!A9</f>
        <v>5</v>
      </c>
      <c r="B12" s="27" t="str">
        <f>'РАСЧЕТ ИНП'!B14</f>
        <v>Малетинское</v>
      </c>
      <c r="C12" s="32">
        <f t="shared" si="0"/>
        <v>5333</v>
      </c>
      <c r="D12" s="40">
        <v>4896</v>
      </c>
      <c r="E12" s="40">
        <v>437</v>
      </c>
      <c r="F12" s="42">
        <v>990.2</v>
      </c>
      <c r="G12" s="28">
        <f t="shared" si="1"/>
        <v>6323</v>
      </c>
      <c r="H12" s="34">
        <v>2431</v>
      </c>
      <c r="I12" s="35">
        <v>1233</v>
      </c>
      <c r="J12" s="38">
        <f t="shared" si="2"/>
        <v>2659</v>
      </c>
      <c r="K12" s="38">
        <v>957</v>
      </c>
    </row>
    <row r="13" spans="1:11" ht="15.75" hidden="1">
      <c r="A13" s="26">
        <f>'[1]Данные'!A10</f>
        <v>6</v>
      </c>
      <c r="B13" s="27" t="str">
        <f>'РАСЧЕТ ИНП'!B15</f>
        <v>Песчанское</v>
      </c>
      <c r="C13" s="32">
        <f t="shared" si="0"/>
        <v>5839</v>
      </c>
      <c r="D13" s="40">
        <v>5723</v>
      </c>
      <c r="E13" s="40">
        <v>116</v>
      </c>
      <c r="F13" s="42">
        <v>190.6</v>
      </c>
      <c r="G13" s="28">
        <f t="shared" si="1"/>
        <v>6030</v>
      </c>
      <c r="H13" s="34">
        <v>2137</v>
      </c>
      <c r="I13" s="35">
        <v>2869</v>
      </c>
      <c r="J13" s="38">
        <f t="shared" si="2"/>
        <v>1024</v>
      </c>
      <c r="K13" s="38">
        <v>894</v>
      </c>
    </row>
    <row r="14" spans="1:11" ht="15.75" hidden="1">
      <c r="A14" s="26">
        <f>'[1]Данные'!A11</f>
        <v>7</v>
      </c>
      <c r="B14" s="27" t="str">
        <f>'РАСЧЕТ ИНП'!B16</f>
        <v>Толбагинское</v>
      </c>
      <c r="C14" s="32">
        <f t="shared" si="0"/>
        <v>2825</v>
      </c>
      <c r="D14" s="40">
        <v>2753</v>
      </c>
      <c r="E14" s="40">
        <v>72</v>
      </c>
      <c r="F14" s="42">
        <v>286.7</v>
      </c>
      <c r="G14" s="28">
        <f t="shared" si="1"/>
        <v>3112</v>
      </c>
      <c r="H14" s="34">
        <v>2175</v>
      </c>
      <c r="I14" s="35">
        <v>48</v>
      </c>
      <c r="J14" s="38">
        <f t="shared" si="2"/>
        <v>889</v>
      </c>
      <c r="K14" s="38">
        <v>366</v>
      </c>
    </row>
    <row r="15" spans="1:11" ht="15.75" hidden="1">
      <c r="A15" s="26">
        <f>'[1]Данные'!A12</f>
        <v>8</v>
      </c>
      <c r="B15" s="27" t="str">
        <f>'РАСЧЕТ ИНП'!B17</f>
        <v>Усть-Оборское</v>
      </c>
      <c r="C15" s="32">
        <f t="shared" si="0"/>
        <v>2875</v>
      </c>
      <c r="D15" s="40">
        <v>2760</v>
      </c>
      <c r="E15" s="40">
        <v>115</v>
      </c>
      <c r="F15" s="42">
        <v>101.9</v>
      </c>
      <c r="G15" s="28">
        <f t="shared" si="1"/>
        <v>2977</v>
      </c>
      <c r="H15" s="34">
        <v>2508</v>
      </c>
      <c r="I15" s="35">
        <v>78</v>
      </c>
      <c r="J15" s="38">
        <f t="shared" si="2"/>
        <v>391</v>
      </c>
      <c r="K15" s="38">
        <v>545</v>
      </c>
    </row>
    <row r="16" spans="1:11" ht="15.75" hidden="1">
      <c r="A16" s="26">
        <f>'[1]Данные'!A13</f>
        <v>9</v>
      </c>
      <c r="B16" s="27" t="str">
        <f>'РАСЧЕТ ИНП'!B18</f>
        <v>Хараузское</v>
      </c>
      <c r="C16" s="32">
        <f t="shared" si="0"/>
        <v>5914</v>
      </c>
      <c r="D16" s="40">
        <v>5786</v>
      </c>
      <c r="E16" s="40">
        <v>128</v>
      </c>
      <c r="F16" s="42">
        <v>9713.2</v>
      </c>
      <c r="G16" s="28">
        <f t="shared" si="1"/>
        <v>15627</v>
      </c>
      <c r="H16" s="34">
        <v>2799</v>
      </c>
      <c r="I16" s="35">
        <v>1115</v>
      </c>
      <c r="J16" s="38">
        <f t="shared" si="2"/>
        <v>11713</v>
      </c>
      <c r="K16" s="38">
        <v>51</v>
      </c>
    </row>
    <row r="17" spans="1:11" ht="15.75" hidden="1">
      <c r="A17" s="26">
        <v>10</v>
      </c>
      <c r="B17" s="27" t="str">
        <f>'РАСЧЕТ ИНП'!B19</f>
        <v>Хохотуйское</v>
      </c>
      <c r="C17" s="32">
        <f t="shared" si="0"/>
        <v>3196</v>
      </c>
      <c r="D17" s="40">
        <v>2973</v>
      </c>
      <c r="E17" s="40">
        <v>223</v>
      </c>
      <c r="F17" s="42">
        <v>385.9</v>
      </c>
      <c r="G17" s="28">
        <f t="shared" si="1"/>
        <v>3582</v>
      </c>
      <c r="H17" s="34">
        <v>3090</v>
      </c>
      <c r="I17" s="35">
        <v>261</v>
      </c>
      <c r="J17" s="38">
        <f t="shared" si="2"/>
        <v>231</v>
      </c>
      <c r="K17" s="38">
        <v>786</v>
      </c>
    </row>
    <row r="18" spans="1:11" ht="15.75" hidden="1">
      <c r="A18" s="26"/>
      <c r="B18" s="29" t="s">
        <v>56</v>
      </c>
      <c r="C18" s="32">
        <f aca="true" t="shared" si="3" ref="C18:K18">SUM(C8:C17)</f>
        <v>38401</v>
      </c>
      <c r="D18" s="32">
        <f t="shared" si="3"/>
        <v>37050</v>
      </c>
      <c r="E18" s="28">
        <f t="shared" si="3"/>
        <v>1351</v>
      </c>
      <c r="F18" s="32">
        <f t="shared" si="3"/>
        <v>12095.6</v>
      </c>
      <c r="G18" s="28">
        <f t="shared" si="3"/>
        <v>50498</v>
      </c>
      <c r="H18" s="32">
        <f t="shared" si="3"/>
        <v>24693</v>
      </c>
      <c r="I18" s="32">
        <f t="shared" si="3"/>
        <v>6205</v>
      </c>
      <c r="J18" s="32">
        <f t="shared" si="3"/>
        <v>19600</v>
      </c>
      <c r="K18" s="38">
        <f t="shared" si="3"/>
        <v>14738</v>
      </c>
    </row>
    <row r="19" spans="1:10" ht="15.75" hidden="1">
      <c r="A19" s="20"/>
      <c r="B19" s="20"/>
      <c r="C19" s="20"/>
      <c r="D19" s="20"/>
      <c r="E19" s="20"/>
      <c r="F19" s="20"/>
      <c r="G19" s="20"/>
      <c r="H19" s="19"/>
      <c r="I19" s="20"/>
      <c r="J19" s="20"/>
    </row>
    <row r="20" spans="1:10" ht="15.75">
      <c r="A20" s="226"/>
      <c r="B20" s="227"/>
      <c r="C20" s="227"/>
      <c r="D20" s="227"/>
      <c r="E20" s="227"/>
      <c r="F20" s="227"/>
      <c r="G20" s="227"/>
      <c r="H20" s="227"/>
      <c r="I20" s="227"/>
      <c r="J20" s="227"/>
    </row>
    <row r="21" spans="1:10" ht="15.75">
      <c r="A21" s="18"/>
      <c r="B21" s="17">
        <v>2021</v>
      </c>
      <c r="C21" s="18"/>
      <c r="D21" s="18"/>
      <c r="E21" s="18"/>
      <c r="F21" s="18"/>
      <c r="G21" s="18"/>
      <c r="H21" s="19"/>
      <c r="I21" s="20"/>
      <c r="J21" s="20"/>
    </row>
    <row r="22" spans="1:10" ht="15.75">
      <c r="A22" s="18"/>
      <c r="B22" s="18"/>
      <c r="C22" s="18"/>
      <c r="D22" s="18"/>
      <c r="E22" s="18"/>
      <c r="F22" s="18"/>
      <c r="G22" s="18"/>
      <c r="H22" s="19"/>
      <c r="I22" s="20"/>
      <c r="J22" s="20"/>
    </row>
    <row r="23" spans="1:13" ht="15.75" customHeight="1">
      <c r="A23" s="218" t="s">
        <v>3</v>
      </c>
      <c r="B23" s="221" t="s">
        <v>53</v>
      </c>
      <c r="C23" s="208" t="s">
        <v>112</v>
      </c>
      <c r="D23" s="224" t="s">
        <v>54</v>
      </c>
      <c r="E23" s="225"/>
      <c r="F23" s="208" t="s">
        <v>113</v>
      </c>
      <c r="G23" s="208" t="s">
        <v>114</v>
      </c>
      <c r="H23" s="214" t="s">
        <v>115</v>
      </c>
      <c r="I23" s="214" t="s">
        <v>116</v>
      </c>
      <c r="J23" s="214" t="s">
        <v>55</v>
      </c>
      <c r="K23" s="214" t="s">
        <v>72</v>
      </c>
      <c r="L23" s="214" t="s">
        <v>71</v>
      </c>
      <c r="M23" s="211" t="s">
        <v>73</v>
      </c>
    </row>
    <row r="24" spans="1:13" ht="15.75" customHeight="1">
      <c r="A24" s="219"/>
      <c r="B24" s="222"/>
      <c r="C24" s="209"/>
      <c r="D24" s="208" t="s">
        <v>57</v>
      </c>
      <c r="E24" s="208" t="s">
        <v>58</v>
      </c>
      <c r="F24" s="209"/>
      <c r="G24" s="209"/>
      <c r="H24" s="215"/>
      <c r="I24" s="215"/>
      <c r="J24" s="215"/>
      <c r="K24" s="215"/>
      <c r="L24" s="215"/>
      <c r="M24" s="212"/>
    </row>
    <row r="25" spans="1:16" ht="54" customHeight="1">
      <c r="A25" s="220"/>
      <c r="B25" s="223"/>
      <c r="C25" s="210"/>
      <c r="D25" s="210"/>
      <c r="E25" s="210"/>
      <c r="F25" s="210"/>
      <c r="G25" s="210"/>
      <c r="H25" s="216"/>
      <c r="I25" s="216"/>
      <c r="J25" s="216"/>
      <c r="K25" s="216"/>
      <c r="L25" s="216"/>
      <c r="M25" s="213"/>
      <c r="N25" s="48"/>
      <c r="O25" s="48"/>
      <c r="P25" s="48"/>
    </row>
    <row r="26" spans="1:13" ht="15.75">
      <c r="A26" s="30"/>
      <c r="B26" s="23"/>
      <c r="C26" s="24">
        <v>1</v>
      </c>
      <c r="D26" s="24" t="s">
        <v>24</v>
      </c>
      <c r="E26" s="24">
        <v>21</v>
      </c>
      <c r="F26" s="21">
        <v>2</v>
      </c>
      <c r="G26" s="21" t="s">
        <v>60</v>
      </c>
      <c r="H26" s="25">
        <v>4</v>
      </c>
      <c r="I26" s="25">
        <v>5</v>
      </c>
      <c r="J26" s="25" t="s">
        <v>61</v>
      </c>
      <c r="K26" s="25">
        <v>7</v>
      </c>
      <c r="L26" s="25">
        <v>8</v>
      </c>
      <c r="M26" s="44">
        <v>9</v>
      </c>
    </row>
    <row r="27" spans="1:17" ht="15.75">
      <c r="A27" s="26">
        <v>1</v>
      </c>
      <c r="B27" s="27" t="s">
        <v>104</v>
      </c>
      <c r="C27" s="32">
        <f>D27+E27</f>
        <v>2404</v>
      </c>
      <c r="D27" s="40">
        <v>2395</v>
      </c>
      <c r="E27" s="51">
        <v>9</v>
      </c>
      <c r="F27" s="170">
        <v>19.6</v>
      </c>
      <c r="G27" s="33">
        <f>C27+F27</f>
        <v>2424</v>
      </c>
      <c r="H27" s="34">
        <v>1606</v>
      </c>
      <c r="I27" s="35">
        <v>68</v>
      </c>
      <c r="J27" s="36">
        <f>G27-H27-I27</f>
        <v>750</v>
      </c>
      <c r="K27" s="43"/>
      <c r="L27" s="46"/>
      <c r="M27" s="49"/>
      <c r="O27" s="39"/>
      <c r="P27" s="39"/>
      <c r="Q27" s="47"/>
    </row>
    <row r="28" spans="1:17" ht="15.75">
      <c r="A28" s="26">
        <v>2</v>
      </c>
      <c r="B28" s="27" t="s">
        <v>79</v>
      </c>
      <c r="C28" s="32">
        <f aca="true" t="shared" si="4" ref="C28:C38">D28+E28</f>
        <v>3154</v>
      </c>
      <c r="D28" s="40">
        <v>3119</v>
      </c>
      <c r="E28" s="51">
        <v>35</v>
      </c>
      <c r="F28" s="170">
        <v>88.4</v>
      </c>
      <c r="G28" s="33">
        <f aca="true" t="shared" si="5" ref="G28:G38">C28+F28</f>
        <v>3242</v>
      </c>
      <c r="H28" s="34">
        <v>1980</v>
      </c>
      <c r="I28" s="35">
        <v>262</v>
      </c>
      <c r="J28" s="36">
        <f aca="true" t="shared" si="6" ref="J28:J38">G28-H28-I28</f>
        <v>1000</v>
      </c>
      <c r="K28" s="43"/>
      <c r="L28" s="43"/>
      <c r="M28" s="49"/>
      <c r="O28" s="39"/>
      <c r="P28" s="39"/>
      <c r="Q28" s="47"/>
    </row>
    <row r="29" spans="1:17" ht="15.75">
      <c r="A29" s="26">
        <v>3</v>
      </c>
      <c r="B29" s="27" t="s">
        <v>80</v>
      </c>
      <c r="C29" s="32">
        <f t="shared" si="4"/>
        <v>6088</v>
      </c>
      <c r="D29" s="40">
        <v>5980</v>
      </c>
      <c r="E29" s="51">
        <v>108</v>
      </c>
      <c r="F29" s="170">
        <v>453.1</v>
      </c>
      <c r="G29" s="33">
        <f t="shared" si="5"/>
        <v>6541</v>
      </c>
      <c r="H29" s="37">
        <v>3404</v>
      </c>
      <c r="I29" s="35">
        <v>2687</v>
      </c>
      <c r="J29" s="36">
        <f t="shared" si="6"/>
        <v>450</v>
      </c>
      <c r="K29" s="43"/>
      <c r="L29" s="43"/>
      <c r="M29" s="49"/>
      <c r="O29" s="39"/>
      <c r="P29" s="39"/>
      <c r="Q29" s="47"/>
    </row>
    <row r="30" spans="1:17" ht="15.75">
      <c r="A30" s="26">
        <v>4</v>
      </c>
      <c r="B30" s="27" t="s">
        <v>81</v>
      </c>
      <c r="C30" s="32">
        <f t="shared" si="4"/>
        <v>5943</v>
      </c>
      <c r="D30" s="40">
        <v>5860</v>
      </c>
      <c r="E30" s="51">
        <v>83</v>
      </c>
      <c r="F30" s="170">
        <v>324.1</v>
      </c>
      <c r="G30" s="33">
        <f t="shared" si="5"/>
        <v>6267</v>
      </c>
      <c r="H30" s="34">
        <v>5086</v>
      </c>
      <c r="I30" s="35">
        <v>581</v>
      </c>
      <c r="J30" s="36">
        <f t="shared" si="6"/>
        <v>600</v>
      </c>
      <c r="K30" s="43"/>
      <c r="L30" s="43"/>
      <c r="M30" s="49"/>
      <c r="O30" s="39"/>
      <c r="P30" s="39"/>
      <c r="Q30" s="47"/>
    </row>
    <row r="31" spans="1:17" ht="15.75">
      <c r="A31" s="26">
        <v>5</v>
      </c>
      <c r="B31" s="27" t="s">
        <v>82</v>
      </c>
      <c r="C31" s="32">
        <f t="shared" si="4"/>
        <v>5570</v>
      </c>
      <c r="D31" s="40">
        <v>5169</v>
      </c>
      <c r="E31" s="51">
        <v>401</v>
      </c>
      <c r="F31" s="170">
        <v>2128.7</v>
      </c>
      <c r="G31" s="33">
        <f t="shared" si="5"/>
        <v>7699</v>
      </c>
      <c r="H31" s="34">
        <v>5381</v>
      </c>
      <c r="I31" s="35">
        <v>1118</v>
      </c>
      <c r="J31" s="36">
        <f t="shared" si="6"/>
        <v>1200</v>
      </c>
      <c r="K31" s="43"/>
      <c r="L31" s="43"/>
      <c r="M31" s="49"/>
      <c r="O31" s="39"/>
      <c r="P31" s="39"/>
      <c r="Q31" s="47"/>
    </row>
    <row r="32" spans="1:17" ht="15.75">
      <c r="A32" s="26">
        <v>6</v>
      </c>
      <c r="B32" s="27" t="s">
        <v>83</v>
      </c>
      <c r="C32" s="32">
        <f t="shared" si="4"/>
        <v>5707</v>
      </c>
      <c r="D32" s="40">
        <v>5601</v>
      </c>
      <c r="E32" s="51">
        <v>106</v>
      </c>
      <c r="F32" s="170">
        <v>236.3</v>
      </c>
      <c r="G32" s="33">
        <f t="shared" si="5"/>
        <v>5943</v>
      </c>
      <c r="H32" s="34">
        <v>3756</v>
      </c>
      <c r="I32" s="35">
        <v>1487</v>
      </c>
      <c r="J32" s="36">
        <f t="shared" si="6"/>
        <v>700</v>
      </c>
      <c r="K32" s="43"/>
      <c r="L32" s="46"/>
      <c r="M32" s="49"/>
      <c r="O32" s="39"/>
      <c r="P32" s="39"/>
      <c r="Q32" s="47"/>
    </row>
    <row r="33" spans="1:17" ht="15.75">
      <c r="A33" s="26">
        <v>7</v>
      </c>
      <c r="B33" s="27" t="s">
        <v>84</v>
      </c>
      <c r="C33" s="32">
        <f t="shared" si="4"/>
        <v>3983</v>
      </c>
      <c r="D33" s="40">
        <v>3912</v>
      </c>
      <c r="E33" s="51">
        <v>71</v>
      </c>
      <c r="F33" s="170">
        <v>411.9</v>
      </c>
      <c r="G33" s="33">
        <f t="shared" si="5"/>
        <v>4395</v>
      </c>
      <c r="H33" s="34">
        <v>3430</v>
      </c>
      <c r="I33" s="35">
        <v>204</v>
      </c>
      <c r="J33" s="36">
        <f t="shared" si="6"/>
        <v>761</v>
      </c>
      <c r="K33" s="43"/>
      <c r="L33" s="43"/>
      <c r="M33" s="49"/>
      <c r="O33" s="39"/>
      <c r="P33" s="39"/>
      <c r="Q33" s="47"/>
    </row>
    <row r="34" spans="1:17" ht="15.75">
      <c r="A34" s="26">
        <v>8</v>
      </c>
      <c r="B34" s="27" t="s">
        <v>87</v>
      </c>
      <c r="C34" s="32">
        <f t="shared" si="4"/>
        <v>4307</v>
      </c>
      <c r="D34" s="40">
        <v>4204</v>
      </c>
      <c r="E34" s="51">
        <v>103</v>
      </c>
      <c r="F34" s="170">
        <v>458</v>
      </c>
      <c r="G34" s="33">
        <f t="shared" si="5"/>
        <v>4765</v>
      </c>
      <c r="H34" s="34">
        <v>3245</v>
      </c>
      <c r="I34" s="35">
        <v>916</v>
      </c>
      <c r="J34" s="36">
        <f t="shared" si="6"/>
        <v>604</v>
      </c>
      <c r="K34" s="43"/>
      <c r="L34" s="43"/>
      <c r="M34" s="49"/>
      <c r="O34" s="39"/>
      <c r="P34" s="39"/>
      <c r="Q34" s="47"/>
    </row>
    <row r="35" spans="1:17" ht="15.75">
      <c r="A35" s="26">
        <v>9</v>
      </c>
      <c r="B35" s="27" t="s">
        <v>85</v>
      </c>
      <c r="C35" s="32">
        <f t="shared" si="4"/>
        <v>3498</v>
      </c>
      <c r="D35" s="40">
        <v>3381</v>
      </c>
      <c r="E35" s="51">
        <v>117</v>
      </c>
      <c r="F35" s="170">
        <v>3534.2</v>
      </c>
      <c r="G35" s="33">
        <f t="shared" si="5"/>
        <v>7032</v>
      </c>
      <c r="H35" s="34">
        <v>3723</v>
      </c>
      <c r="I35" s="35">
        <v>1909</v>
      </c>
      <c r="J35" s="36">
        <f t="shared" si="6"/>
        <v>1400</v>
      </c>
      <c r="K35" s="43"/>
      <c r="L35" s="43"/>
      <c r="M35" s="49"/>
      <c r="O35" s="39"/>
      <c r="P35" s="39"/>
      <c r="Q35" s="47"/>
    </row>
    <row r="36" spans="1:17" ht="15.75">
      <c r="A36" s="26">
        <v>10</v>
      </c>
      <c r="B36" s="27" t="s">
        <v>86</v>
      </c>
      <c r="C36" s="32">
        <f t="shared" si="4"/>
        <v>6183</v>
      </c>
      <c r="D36" s="40">
        <v>5973</v>
      </c>
      <c r="E36" s="51">
        <v>210</v>
      </c>
      <c r="F36" s="170">
        <v>656.5</v>
      </c>
      <c r="G36" s="33">
        <f t="shared" si="5"/>
        <v>6840</v>
      </c>
      <c r="H36" s="34">
        <v>6103</v>
      </c>
      <c r="I36" s="35">
        <v>294</v>
      </c>
      <c r="J36" s="36">
        <f t="shared" si="6"/>
        <v>443</v>
      </c>
      <c r="K36" s="43"/>
      <c r="L36" s="43"/>
      <c r="M36" s="49"/>
      <c r="O36" s="39"/>
      <c r="P36" s="39"/>
      <c r="Q36" s="47"/>
    </row>
    <row r="37" spans="1:17" ht="15.75">
      <c r="A37" s="26">
        <v>11</v>
      </c>
      <c r="B37" s="27" t="s">
        <v>106</v>
      </c>
      <c r="C37" s="32">
        <f t="shared" si="4"/>
        <v>6020</v>
      </c>
      <c r="D37" s="40">
        <v>5571</v>
      </c>
      <c r="E37" s="51">
        <v>449</v>
      </c>
      <c r="F37" s="170">
        <v>2487.4</v>
      </c>
      <c r="G37" s="33">
        <f t="shared" si="5"/>
        <v>8507</v>
      </c>
      <c r="H37" s="34">
        <v>5923</v>
      </c>
      <c r="I37" s="35">
        <v>1729</v>
      </c>
      <c r="J37" s="36">
        <f t="shared" si="6"/>
        <v>855</v>
      </c>
      <c r="K37" s="43"/>
      <c r="L37" s="43"/>
      <c r="M37" s="49"/>
      <c r="O37" s="39"/>
      <c r="P37" s="39"/>
      <c r="Q37" s="47"/>
    </row>
    <row r="38" spans="1:17" ht="15.75">
      <c r="A38" s="26">
        <v>12</v>
      </c>
      <c r="B38" s="27" t="s">
        <v>107</v>
      </c>
      <c r="C38" s="32">
        <f t="shared" si="4"/>
        <v>8323</v>
      </c>
      <c r="D38" s="40">
        <v>8021</v>
      </c>
      <c r="E38" s="51">
        <v>302</v>
      </c>
      <c r="F38" s="170">
        <v>1014.5</v>
      </c>
      <c r="G38" s="33">
        <f t="shared" si="5"/>
        <v>9338</v>
      </c>
      <c r="H38" s="34">
        <v>6896</v>
      </c>
      <c r="I38" s="35">
        <v>1672</v>
      </c>
      <c r="J38" s="36">
        <f t="shared" si="6"/>
        <v>770</v>
      </c>
      <c r="K38" s="43"/>
      <c r="L38" s="43"/>
      <c r="M38" s="49"/>
      <c r="O38" s="39"/>
      <c r="P38" s="39"/>
      <c r="Q38" s="47"/>
    </row>
    <row r="39" spans="1:17" ht="15.75">
      <c r="A39" s="31"/>
      <c r="B39" s="29" t="s">
        <v>56</v>
      </c>
      <c r="C39" s="32">
        <f aca="true" t="shared" si="7" ref="C39:M39">SUM(C27:C38)</f>
        <v>61180</v>
      </c>
      <c r="D39" s="32">
        <f t="shared" si="7"/>
        <v>59186</v>
      </c>
      <c r="E39" s="32">
        <f t="shared" si="7"/>
        <v>1994</v>
      </c>
      <c r="F39" s="32">
        <f t="shared" si="7"/>
        <v>11812.7</v>
      </c>
      <c r="G39" s="33">
        <f t="shared" si="7"/>
        <v>72993</v>
      </c>
      <c r="H39" s="33">
        <f t="shared" si="7"/>
        <v>50533</v>
      </c>
      <c r="I39" s="33">
        <f t="shared" si="7"/>
        <v>12927</v>
      </c>
      <c r="J39" s="33">
        <f t="shared" si="7"/>
        <v>9533</v>
      </c>
      <c r="K39" s="33">
        <f t="shared" si="7"/>
        <v>0</v>
      </c>
      <c r="L39" s="33">
        <f t="shared" si="7"/>
        <v>0</v>
      </c>
      <c r="M39" s="45">
        <f t="shared" si="7"/>
        <v>0</v>
      </c>
      <c r="N39" s="47"/>
      <c r="O39" s="39"/>
      <c r="P39" s="47"/>
      <c r="Q39" s="47"/>
    </row>
    <row r="40" spans="4:15" ht="12.75">
      <c r="D40" s="50"/>
      <c r="O40" s="39"/>
    </row>
    <row r="41" spans="1:10" ht="15.75">
      <c r="A41" s="18"/>
      <c r="B41" s="17">
        <v>2022</v>
      </c>
      <c r="C41" s="18"/>
      <c r="D41" s="18"/>
      <c r="E41" s="18"/>
      <c r="F41" s="18"/>
      <c r="G41" s="18"/>
      <c r="H41" s="19"/>
      <c r="I41" s="20"/>
      <c r="J41" s="20"/>
    </row>
    <row r="42" spans="1:13" ht="15.75">
      <c r="A42" s="218" t="s">
        <v>3</v>
      </c>
      <c r="B42" s="221" t="s">
        <v>53</v>
      </c>
      <c r="C42" s="208" t="s">
        <v>118</v>
      </c>
      <c r="D42" s="224" t="s">
        <v>54</v>
      </c>
      <c r="E42" s="225"/>
      <c r="F42" s="208" t="s">
        <v>119</v>
      </c>
      <c r="G42" s="207" t="s">
        <v>120</v>
      </c>
      <c r="H42" s="214" t="s">
        <v>121</v>
      </c>
      <c r="I42" s="214" t="s">
        <v>122</v>
      </c>
      <c r="J42" s="206" t="s">
        <v>55</v>
      </c>
      <c r="K42" s="206" t="s">
        <v>72</v>
      </c>
      <c r="L42" s="206" t="s">
        <v>71</v>
      </c>
      <c r="M42" s="217" t="s">
        <v>73</v>
      </c>
    </row>
    <row r="43" spans="1:13" ht="12.75">
      <c r="A43" s="219"/>
      <c r="B43" s="222"/>
      <c r="C43" s="209"/>
      <c r="D43" s="207" t="s">
        <v>57</v>
      </c>
      <c r="E43" s="207" t="s">
        <v>58</v>
      </c>
      <c r="F43" s="209"/>
      <c r="G43" s="207"/>
      <c r="H43" s="215"/>
      <c r="I43" s="215"/>
      <c r="J43" s="206"/>
      <c r="K43" s="206"/>
      <c r="L43" s="206"/>
      <c r="M43" s="217"/>
    </row>
    <row r="44" spans="1:16" ht="54" customHeight="1">
      <c r="A44" s="220"/>
      <c r="B44" s="223"/>
      <c r="C44" s="210"/>
      <c r="D44" s="207"/>
      <c r="E44" s="207"/>
      <c r="F44" s="210"/>
      <c r="G44" s="207"/>
      <c r="H44" s="216"/>
      <c r="I44" s="216"/>
      <c r="J44" s="206"/>
      <c r="K44" s="206"/>
      <c r="L44" s="206"/>
      <c r="M44" s="217"/>
      <c r="N44" s="48"/>
      <c r="O44" s="48"/>
      <c r="P44" s="48"/>
    </row>
    <row r="45" spans="1:13" ht="15.75">
      <c r="A45" s="30"/>
      <c r="B45" s="23"/>
      <c r="C45" s="24">
        <v>1</v>
      </c>
      <c r="D45" s="24" t="s">
        <v>24</v>
      </c>
      <c r="E45" s="24">
        <v>21</v>
      </c>
      <c r="F45" s="21">
        <v>2</v>
      </c>
      <c r="G45" s="21" t="s">
        <v>60</v>
      </c>
      <c r="H45" s="25">
        <v>4</v>
      </c>
      <c r="I45" s="25">
        <v>5</v>
      </c>
      <c r="J45" s="25" t="s">
        <v>61</v>
      </c>
      <c r="K45" s="25">
        <v>7</v>
      </c>
      <c r="L45" s="25">
        <v>8</v>
      </c>
      <c r="M45" s="44">
        <v>9</v>
      </c>
    </row>
    <row r="46" spans="1:17" ht="15.75">
      <c r="A46" s="26">
        <v>1</v>
      </c>
      <c r="B46" s="27" t="str">
        <f aca="true" t="shared" si="8" ref="B46:B55">B27</f>
        <v>Баляга-Катангарское</v>
      </c>
      <c r="C46" s="32">
        <f>D46+E46</f>
        <v>2011</v>
      </c>
      <c r="D46" s="40">
        <v>2005</v>
      </c>
      <c r="E46" s="51">
        <f>'РАСЧЕТ ДОТАЦИИ'!J10</f>
        <v>6</v>
      </c>
      <c r="F46" s="171">
        <v>19.5</v>
      </c>
      <c r="G46" s="33">
        <f>C46+F46</f>
        <v>2031</v>
      </c>
      <c r="H46" s="34">
        <f>1190+256.588</f>
        <v>1447</v>
      </c>
      <c r="I46" s="35">
        <v>84</v>
      </c>
      <c r="J46" s="36">
        <f>G46-H46-I46</f>
        <v>500</v>
      </c>
      <c r="K46" s="43"/>
      <c r="L46" s="46"/>
      <c r="M46" s="49"/>
      <c r="O46" s="39"/>
      <c r="P46" s="39"/>
      <c r="Q46" s="47"/>
    </row>
    <row r="47" spans="1:17" ht="15.75">
      <c r="A47" s="26">
        <v>2</v>
      </c>
      <c r="B47" s="27" t="str">
        <f t="shared" si="8"/>
        <v>Зугмарское</v>
      </c>
      <c r="C47" s="32">
        <f aca="true" t="shared" si="9" ref="C47:C57">D47+E47</f>
        <v>3152</v>
      </c>
      <c r="D47" s="40">
        <v>3119</v>
      </c>
      <c r="E47" s="51">
        <f>'РАСЧЕТ ДОТАЦИИ'!J11</f>
        <v>33</v>
      </c>
      <c r="F47" s="171">
        <v>92.2</v>
      </c>
      <c r="G47" s="33">
        <f aca="true" t="shared" si="10" ref="G47:G57">C47+F47</f>
        <v>3244</v>
      </c>
      <c r="H47" s="34">
        <f>1573+334.073</f>
        <v>1907</v>
      </c>
      <c r="I47" s="35">
        <v>639</v>
      </c>
      <c r="J47" s="36">
        <f aca="true" t="shared" si="11" ref="J47:J57">G47-H47-I47</f>
        <v>698</v>
      </c>
      <c r="K47" s="43"/>
      <c r="L47" s="43"/>
      <c r="M47" s="49"/>
      <c r="O47" s="39"/>
      <c r="P47" s="39"/>
      <c r="Q47" s="47"/>
    </row>
    <row r="48" spans="1:17" ht="15.75">
      <c r="A48" s="26">
        <v>3</v>
      </c>
      <c r="B48" s="27" t="str">
        <f t="shared" si="8"/>
        <v>Катаевское</v>
      </c>
      <c r="C48" s="32">
        <f t="shared" si="9"/>
        <v>6113</v>
      </c>
      <c r="D48" s="40">
        <v>6006</v>
      </c>
      <c r="E48" s="51">
        <f>'РАСЧЕТ ДОТАЦИИ'!J12</f>
        <v>107</v>
      </c>
      <c r="F48" s="171">
        <v>454.4</v>
      </c>
      <c r="G48" s="33">
        <f t="shared" si="10"/>
        <v>6567</v>
      </c>
      <c r="H48" s="37">
        <f>2070+731</f>
        <v>2801</v>
      </c>
      <c r="I48" s="35">
        <v>6217</v>
      </c>
      <c r="J48" s="36">
        <f t="shared" si="11"/>
        <v>-2451</v>
      </c>
      <c r="K48" s="43"/>
      <c r="L48" s="43"/>
      <c r="M48" s="49"/>
      <c r="O48" s="39"/>
      <c r="P48" s="39"/>
      <c r="Q48" s="47"/>
    </row>
    <row r="49" spans="1:17" ht="15.75">
      <c r="A49" s="26">
        <v>4</v>
      </c>
      <c r="B49" s="27" t="str">
        <f t="shared" si="8"/>
        <v>Катангарское</v>
      </c>
      <c r="C49" s="32">
        <f t="shared" si="9"/>
        <v>5969</v>
      </c>
      <c r="D49" s="40">
        <v>5888</v>
      </c>
      <c r="E49" s="51">
        <f>'РАСЧЕТ ДОТАЦИИ'!J13</f>
        <v>81</v>
      </c>
      <c r="F49" s="171">
        <v>348.3</v>
      </c>
      <c r="G49" s="33">
        <f t="shared" si="10"/>
        <v>6317</v>
      </c>
      <c r="H49" s="34">
        <f>2611+2360.94</f>
        <v>4972</v>
      </c>
      <c r="I49" s="35">
        <v>675</v>
      </c>
      <c r="J49" s="36">
        <f t="shared" si="11"/>
        <v>670</v>
      </c>
      <c r="K49" s="43"/>
      <c r="L49" s="43"/>
      <c r="M49" s="49"/>
      <c r="O49" s="39"/>
      <c r="P49" s="39"/>
      <c r="Q49" s="47"/>
    </row>
    <row r="50" spans="1:17" ht="15.75">
      <c r="A50" s="26">
        <v>5</v>
      </c>
      <c r="B50" s="27" t="str">
        <f t="shared" si="8"/>
        <v>Малетинское</v>
      </c>
      <c r="C50" s="32">
        <f t="shared" si="9"/>
        <v>5625</v>
      </c>
      <c r="D50" s="40">
        <v>5230</v>
      </c>
      <c r="E50" s="51">
        <f>'РАСЧЕТ ДОТАЦИИ'!J14</f>
        <v>395</v>
      </c>
      <c r="F50" s="171">
        <v>2164.1</v>
      </c>
      <c r="G50" s="33">
        <f t="shared" si="10"/>
        <v>7789</v>
      </c>
      <c r="H50" s="34">
        <f>3702+1981.587</f>
        <v>5684</v>
      </c>
      <c r="I50" s="35">
        <v>905</v>
      </c>
      <c r="J50" s="36">
        <f t="shared" si="11"/>
        <v>1200</v>
      </c>
      <c r="K50" s="43"/>
      <c r="L50" s="43"/>
      <c r="M50" s="49"/>
      <c r="O50" s="39"/>
      <c r="P50" s="39"/>
      <c r="Q50" s="47"/>
    </row>
    <row r="51" spans="1:17" ht="15.75">
      <c r="A51" s="26">
        <v>6</v>
      </c>
      <c r="B51" s="27" t="str">
        <f t="shared" si="8"/>
        <v>Песчанское</v>
      </c>
      <c r="C51" s="32">
        <f>D51+E51</f>
        <v>6363</v>
      </c>
      <c r="D51" s="40">
        <v>6264</v>
      </c>
      <c r="E51" s="51">
        <f>'РАСЧЕТ ДОТАЦИИ'!J15</f>
        <v>99</v>
      </c>
      <c r="F51" s="171">
        <v>250.4</v>
      </c>
      <c r="G51" s="33">
        <f t="shared" si="10"/>
        <v>6613</v>
      </c>
      <c r="H51" s="34">
        <f>1899+1425.62</f>
        <v>3325</v>
      </c>
      <c r="I51" s="35">
        <v>3438</v>
      </c>
      <c r="J51" s="36">
        <f t="shared" si="11"/>
        <v>-150</v>
      </c>
      <c r="K51" s="43"/>
      <c r="L51" s="46"/>
      <c r="M51" s="49"/>
      <c r="O51" s="39"/>
      <c r="P51" s="39"/>
      <c r="Q51" s="47"/>
    </row>
    <row r="52" spans="1:17" ht="15.75">
      <c r="A52" s="26">
        <v>7</v>
      </c>
      <c r="B52" s="27" t="str">
        <f t="shared" si="8"/>
        <v>Толбагинское</v>
      </c>
      <c r="C52" s="32">
        <f t="shared" si="9"/>
        <v>3988</v>
      </c>
      <c r="D52" s="40">
        <v>3920</v>
      </c>
      <c r="E52" s="51">
        <f>'РАСЧЕТ ДОТАЦИИ'!J16</f>
        <v>68</v>
      </c>
      <c r="F52" s="171">
        <v>410</v>
      </c>
      <c r="G52" s="33">
        <f t="shared" si="10"/>
        <v>4398</v>
      </c>
      <c r="H52" s="34">
        <f>2715+694.053</f>
        <v>3409</v>
      </c>
      <c r="I52" s="35">
        <v>59</v>
      </c>
      <c r="J52" s="36">
        <f t="shared" si="11"/>
        <v>930</v>
      </c>
      <c r="K52" s="43"/>
      <c r="L52" s="43"/>
      <c r="M52" s="49"/>
      <c r="O52" s="39"/>
      <c r="P52" s="39"/>
      <c r="Q52" s="47"/>
    </row>
    <row r="53" spans="1:17" ht="15.75">
      <c r="A53" s="26">
        <v>8</v>
      </c>
      <c r="B53" s="27" t="str">
        <f t="shared" si="8"/>
        <v>Усть-Оборское</v>
      </c>
      <c r="C53" s="32">
        <f t="shared" si="9"/>
        <v>4306</v>
      </c>
      <c r="D53" s="40">
        <v>4205</v>
      </c>
      <c r="E53" s="51">
        <f>'РАСЧЕТ ДОТАЦИИ'!J17</f>
        <v>101</v>
      </c>
      <c r="F53" s="171">
        <v>280.6</v>
      </c>
      <c r="G53" s="33">
        <f t="shared" si="10"/>
        <v>4587</v>
      </c>
      <c r="H53" s="34">
        <f>2737+588.527</f>
        <v>3326</v>
      </c>
      <c r="I53" s="35">
        <v>261</v>
      </c>
      <c r="J53" s="36">
        <f t="shared" si="11"/>
        <v>1000</v>
      </c>
      <c r="K53" s="43"/>
      <c r="L53" s="43"/>
      <c r="M53" s="49"/>
      <c r="O53" s="39"/>
      <c r="P53" s="39"/>
      <c r="Q53" s="47"/>
    </row>
    <row r="54" spans="1:17" ht="15.75">
      <c r="A54" s="26">
        <v>9</v>
      </c>
      <c r="B54" s="27" t="str">
        <f t="shared" si="8"/>
        <v>Хараузское</v>
      </c>
      <c r="C54" s="32">
        <f t="shared" si="9"/>
        <v>3677</v>
      </c>
      <c r="D54" s="40">
        <v>3566</v>
      </c>
      <c r="E54" s="51">
        <f>'РАСЧЕТ ДОТАЦИИ'!J18</f>
        <v>111</v>
      </c>
      <c r="F54" s="171">
        <v>2747.9</v>
      </c>
      <c r="G54" s="33">
        <f t="shared" si="10"/>
        <v>6425</v>
      </c>
      <c r="H54" s="34">
        <f>3181+509.287</f>
        <v>3690</v>
      </c>
      <c r="I54" s="35">
        <v>2035</v>
      </c>
      <c r="J54" s="36">
        <f t="shared" si="11"/>
        <v>700</v>
      </c>
      <c r="K54" s="43"/>
      <c r="L54" s="43"/>
      <c r="M54" s="49"/>
      <c r="O54" s="39"/>
      <c r="P54" s="39"/>
      <c r="Q54" s="47"/>
    </row>
    <row r="55" spans="1:17" ht="15.75">
      <c r="A55" s="26">
        <v>10</v>
      </c>
      <c r="B55" s="27" t="str">
        <f t="shared" si="8"/>
        <v>Хохотуйское</v>
      </c>
      <c r="C55" s="32">
        <f t="shared" si="9"/>
        <v>6179</v>
      </c>
      <c r="D55" s="40">
        <v>5973</v>
      </c>
      <c r="E55" s="51">
        <f>'РАСЧЕТ ДОТАЦИИ'!J19</f>
        <v>206</v>
      </c>
      <c r="F55" s="171">
        <v>670.5</v>
      </c>
      <c r="G55" s="33">
        <f t="shared" si="10"/>
        <v>6850</v>
      </c>
      <c r="H55" s="34">
        <f>3513+882.806</f>
        <v>4396</v>
      </c>
      <c r="I55" s="35">
        <v>403</v>
      </c>
      <c r="J55" s="36">
        <f t="shared" si="11"/>
        <v>2051</v>
      </c>
      <c r="K55" s="43"/>
      <c r="L55" s="43"/>
      <c r="M55" s="49"/>
      <c r="O55" s="39"/>
      <c r="P55" s="39"/>
      <c r="Q55" s="47"/>
    </row>
    <row r="56" spans="1:17" ht="15.75">
      <c r="A56" s="26">
        <v>11</v>
      </c>
      <c r="B56" s="27" t="s">
        <v>106</v>
      </c>
      <c r="C56" s="32">
        <f t="shared" si="9"/>
        <v>6357</v>
      </c>
      <c r="D56" s="40">
        <v>5928</v>
      </c>
      <c r="E56" s="51">
        <f>'РАСЧЕТ ДОТАЦИИ'!J20</f>
        <v>429</v>
      </c>
      <c r="F56" s="171">
        <v>2635</v>
      </c>
      <c r="G56" s="33">
        <f t="shared" si="10"/>
        <v>8992</v>
      </c>
      <c r="H56" s="34">
        <f>2897+2582.776</f>
        <v>5480</v>
      </c>
      <c r="I56" s="35">
        <v>512</v>
      </c>
      <c r="J56" s="36">
        <f t="shared" si="11"/>
        <v>3000</v>
      </c>
      <c r="K56" s="43"/>
      <c r="L56" s="43"/>
      <c r="M56" s="49"/>
      <c r="O56" s="39"/>
      <c r="P56" s="39"/>
      <c r="Q56" s="47"/>
    </row>
    <row r="57" spans="1:17" ht="15.75">
      <c r="A57" s="26">
        <v>12</v>
      </c>
      <c r="B57" s="27" t="s">
        <v>107</v>
      </c>
      <c r="C57" s="32">
        <f t="shared" si="9"/>
        <v>8667</v>
      </c>
      <c r="D57" s="40">
        <v>8380</v>
      </c>
      <c r="E57" s="51">
        <f>'РАСЧЕТ ДОТАЦИИ'!J21</f>
        <v>287</v>
      </c>
      <c r="F57" s="171">
        <v>1114.7</v>
      </c>
      <c r="G57" s="33">
        <f t="shared" si="10"/>
        <v>9782</v>
      </c>
      <c r="H57" s="34">
        <f>3753+2216.308</f>
        <v>5969</v>
      </c>
      <c r="I57" s="35">
        <v>1778</v>
      </c>
      <c r="J57" s="36">
        <f t="shared" si="11"/>
        <v>2035</v>
      </c>
      <c r="K57" s="43"/>
      <c r="L57" s="43"/>
      <c r="M57" s="49"/>
      <c r="O57" s="39"/>
      <c r="P57" s="39"/>
      <c r="Q57" s="47"/>
    </row>
    <row r="58" spans="1:17" ht="15.75">
      <c r="A58" s="31"/>
      <c r="B58" s="29" t="s">
        <v>56</v>
      </c>
      <c r="C58" s="32">
        <f aca="true" t="shared" si="12" ref="C58:J58">SUM(C46:C57)</f>
        <v>62407</v>
      </c>
      <c r="D58" s="32">
        <f t="shared" si="12"/>
        <v>60484</v>
      </c>
      <c r="E58" s="32">
        <f t="shared" si="12"/>
        <v>1923</v>
      </c>
      <c r="F58" s="32">
        <f t="shared" si="12"/>
        <v>11187.6</v>
      </c>
      <c r="G58" s="33">
        <f t="shared" si="12"/>
        <v>73595</v>
      </c>
      <c r="H58" s="33">
        <f t="shared" si="12"/>
        <v>46406</v>
      </c>
      <c r="I58" s="33">
        <f t="shared" si="12"/>
        <v>17006</v>
      </c>
      <c r="J58" s="33">
        <f t="shared" si="12"/>
        <v>10183</v>
      </c>
      <c r="K58" s="33">
        <f>SUM(K46:K57)</f>
        <v>0</v>
      </c>
      <c r="L58" s="33">
        <f>SUM(L46:L57)</f>
        <v>0</v>
      </c>
      <c r="M58" s="45">
        <f>SUM(M46:M57)</f>
        <v>0</v>
      </c>
      <c r="N58" s="47"/>
      <c r="O58" s="39"/>
      <c r="P58" s="47"/>
      <c r="Q58" s="47"/>
    </row>
    <row r="59" spans="4:15" ht="12.75">
      <c r="D59" s="50"/>
      <c r="O59" s="39"/>
    </row>
    <row r="60" spans="2:13" ht="20.25">
      <c r="B60" s="73"/>
      <c r="G60" s="15" t="s">
        <v>77</v>
      </c>
      <c r="H60" s="94" t="s">
        <v>90</v>
      </c>
      <c r="I60" s="47">
        <v>1923</v>
      </c>
      <c r="J60" s="39"/>
      <c r="M60" s="39"/>
    </row>
    <row r="61" spans="4:9" ht="12.75">
      <c r="D61" s="47"/>
      <c r="F61" s="15" t="s">
        <v>68</v>
      </c>
      <c r="H61" s="95" t="s">
        <v>78</v>
      </c>
      <c r="I61" s="47">
        <v>60484</v>
      </c>
    </row>
    <row r="62" spans="4:8" ht="12.75">
      <c r="D62" s="47"/>
      <c r="H62" s="94" t="s">
        <v>92</v>
      </c>
    </row>
    <row r="63" spans="5:9" ht="12.75">
      <c r="E63" s="47"/>
      <c r="F63" s="47"/>
      <c r="H63" s="95" t="s">
        <v>91</v>
      </c>
      <c r="I63" s="15">
        <f>SUM(I60:I62)</f>
        <v>62407</v>
      </c>
    </row>
    <row r="64" spans="2:16" s="52" customFormat="1" ht="12.75">
      <c r="B64" s="15"/>
      <c r="C64" s="15"/>
      <c r="D64" s="15"/>
      <c r="E64" s="15"/>
      <c r="F64" s="15"/>
      <c r="G64" s="15"/>
      <c r="H64" s="94"/>
      <c r="I64" s="15"/>
      <c r="J64" s="15"/>
      <c r="K64" s="15"/>
      <c r="L64" s="15"/>
      <c r="M64" s="15"/>
      <c r="N64" s="15"/>
      <c r="O64" s="15"/>
      <c r="P64" s="15"/>
    </row>
  </sheetData>
  <sheetProtection/>
  <mergeCells count="42">
    <mergeCell ref="K4:K6"/>
    <mergeCell ref="A20:J20"/>
    <mergeCell ref="I4:I6"/>
    <mergeCell ref="J4:J6"/>
    <mergeCell ref="B23:B25"/>
    <mergeCell ref="C23:C25"/>
    <mergeCell ref="D23:E23"/>
    <mergeCell ref="A23:A25"/>
    <mergeCell ref="A1:J1"/>
    <mergeCell ref="A4:A6"/>
    <mergeCell ref="B4:B6"/>
    <mergeCell ref="C4:C6"/>
    <mergeCell ref="F4:F6"/>
    <mergeCell ref="G4:G6"/>
    <mergeCell ref="D4:E4"/>
    <mergeCell ref="M42:M44"/>
    <mergeCell ref="A42:A44"/>
    <mergeCell ref="B42:B44"/>
    <mergeCell ref="C42:C44"/>
    <mergeCell ref="D42:E42"/>
    <mergeCell ref="F42:F44"/>
    <mergeCell ref="G42:G44"/>
    <mergeCell ref="H42:H44"/>
    <mergeCell ref="I42:I44"/>
    <mergeCell ref="J42:J44"/>
    <mergeCell ref="M23:M25"/>
    <mergeCell ref="L23:L25"/>
    <mergeCell ref="K23:K25"/>
    <mergeCell ref="I23:I25"/>
    <mergeCell ref="D5:D6"/>
    <mergeCell ref="E5:E6"/>
    <mergeCell ref="H4:H6"/>
    <mergeCell ref="J23:J25"/>
    <mergeCell ref="H23:H25"/>
    <mergeCell ref="E24:E25"/>
    <mergeCell ref="K42:K44"/>
    <mergeCell ref="L42:L44"/>
    <mergeCell ref="D43:D44"/>
    <mergeCell ref="E43:E44"/>
    <mergeCell ref="F23:F25"/>
    <mergeCell ref="G23:G25"/>
    <mergeCell ref="D24:D25"/>
  </mergeCells>
  <printOptions/>
  <pageMargins left="0.15748031496062992" right="0.15748031496062992" top="0.3937007874015748" bottom="0.35433070866141736" header="0.5118110236220472" footer="0.5118110236220472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kompofin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Десятова ЕН</cp:lastModifiedBy>
  <cp:lastPrinted>2021-11-17T06:57:17Z</cp:lastPrinted>
  <dcterms:created xsi:type="dcterms:W3CDTF">2005-08-24T23:16:42Z</dcterms:created>
  <dcterms:modified xsi:type="dcterms:W3CDTF">2021-11-17T06:57:24Z</dcterms:modified>
  <cp:category/>
  <cp:version/>
  <cp:contentType/>
  <cp:contentStatus/>
</cp:coreProperties>
</file>