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435" windowWidth="9720" windowHeight="7200" firstSheet="1" activeTab="1"/>
  </bookViews>
  <sheets>
    <sheet name="июль" sheetId="5" state="hidden" r:id="rId1"/>
    <sheet name="Ут.План на 01.09.2013" sheetId="6" r:id="rId2"/>
  </sheets>
  <definedNames>
    <definedName name="_xlnm.Print_Titles" localSheetId="0">июль!$A:$B</definedName>
    <definedName name="_xlnm.Print_Area" localSheetId="0">июль!$A$1:$EW$45</definedName>
  </definedNames>
  <calcPr calcId="145621"/>
</workbook>
</file>

<file path=xl/calcChain.xml><?xml version="1.0" encoding="utf-8"?>
<calcChain xmlns="http://schemas.openxmlformats.org/spreadsheetml/2006/main">
  <c r="F6" i="6" l="1"/>
  <c r="G6" i="6"/>
  <c r="J6" i="6"/>
  <c r="I6" i="6" s="1"/>
  <c r="K6" i="6"/>
  <c r="M6" i="6"/>
  <c r="N6" i="6"/>
  <c r="Q6" i="6"/>
  <c r="R6" i="6"/>
  <c r="S6" i="6"/>
  <c r="T6" i="6"/>
  <c r="P6" i="6" s="1"/>
  <c r="U6" i="6"/>
  <c r="V6" i="6"/>
  <c r="W6" i="6"/>
  <c r="AB6" i="6"/>
  <c r="AC6" i="6"/>
  <c r="AD6" i="6"/>
  <c r="AF6" i="6"/>
  <c r="AG6" i="6"/>
  <c r="AH6" i="6"/>
  <c r="AI6" i="6"/>
  <c r="AJ6" i="6"/>
  <c r="AK6" i="6"/>
  <c r="AL6" i="6"/>
  <c r="AN6" i="6"/>
  <c r="AO6" i="6"/>
  <c r="AP6" i="6"/>
  <c r="AQ6" i="6"/>
  <c r="AR6" i="6"/>
  <c r="AS6" i="6"/>
  <c r="AU6" i="6"/>
  <c r="AV6" i="6"/>
  <c r="AX6" i="6"/>
  <c r="AY6" i="6"/>
  <c r="BA6" i="6"/>
  <c r="BB6" i="6"/>
  <c r="BE6" i="6"/>
  <c r="BG6" i="6"/>
  <c r="BH6" i="6"/>
  <c r="BJ6" i="6"/>
  <c r="BK6" i="6"/>
  <c r="BL6" i="6"/>
  <c r="BM6" i="6"/>
  <c r="BN6" i="6"/>
  <c r="BO6" i="6"/>
  <c r="BP6" i="6"/>
  <c r="BQ6" i="6"/>
  <c r="BR6" i="6"/>
  <c r="BS6" i="6"/>
  <c r="BT6" i="6"/>
  <c r="BU6" i="6"/>
  <c r="BV6" i="6"/>
  <c r="BW6" i="6"/>
  <c r="BX6" i="6"/>
  <c r="BY6" i="6"/>
  <c r="BZ6" i="6"/>
  <c r="CA6" i="6"/>
  <c r="CB6" i="6"/>
  <c r="CC6" i="6"/>
  <c r="CD6" i="6"/>
  <c r="CE6" i="6"/>
  <c r="CF6" i="6"/>
  <c r="CG6" i="6"/>
  <c r="CH6" i="6"/>
  <c r="CI6" i="6"/>
  <c r="CJ6" i="6"/>
  <c r="CK6" i="6"/>
  <c r="CQ6" i="6"/>
  <c r="CR6" i="6"/>
  <c r="CS6" i="6"/>
  <c r="CU6" i="6"/>
  <c r="CW6" i="6"/>
  <c r="CV6" i="6" s="1"/>
  <c r="CX6" i="6"/>
  <c r="F7" i="6"/>
  <c r="G7" i="6"/>
  <c r="J7" i="6"/>
  <c r="I7" i="6" s="1"/>
  <c r="K7" i="6"/>
  <c r="M7" i="6"/>
  <c r="N7" i="6"/>
  <c r="Q7" i="6"/>
  <c r="R7" i="6"/>
  <c r="S7" i="6"/>
  <c r="T7" i="6"/>
  <c r="P7" i="6" s="1"/>
  <c r="U7" i="6"/>
  <c r="V7" i="6"/>
  <c r="W7" i="6"/>
  <c r="AB7" i="6"/>
  <c r="AC7" i="6"/>
  <c r="AD7" i="6"/>
  <c r="AF7" i="6"/>
  <c r="AG7" i="6"/>
  <c r="AH7" i="6"/>
  <c r="AI7" i="6"/>
  <c r="AJ7" i="6"/>
  <c r="AK7" i="6"/>
  <c r="AL7" i="6"/>
  <c r="AN7" i="6"/>
  <c r="AO7" i="6"/>
  <c r="AP7" i="6"/>
  <c r="AQ7" i="6"/>
  <c r="AR7" i="6"/>
  <c r="AS7" i="6"/>
  <c r="AU7" i="6"/>
  <c r="AV7" i="6"/>
  <c r="AX7" i="6"/>
  <c r="AY7" i="6"/>
  <c r="BA7" i="6"/>
  <c r="BB7" i="6"/>
  <c r="BE7" i="6"/>
  <c r="BG7" i="6"/>
  <c r="BH7" i="6"/>
  <c r="BJ7" i="6"/>
  <c r="BK7" i="6"/>
  <c r="BL7" i="6"/>
  <c r="BM7" i="6"/>
  <c r="BN7" i="6"/>
  <c r="BO7" i="6"/>
  <c r="BP7" i="6"/>
  <c r="BQ7" i="6"/>
  <c r="BR7" i="6"/>
  <c r="BS7" i="6"/>
  <c r="BT7" i="6"/>
  <c r="BU7" i="6"/>
  <c r="BV7" i="6"/>
  <c r="BW7" i="6"/>
  <c r="BX7" i="6"/>
  <c r="BY7" i="6"/>
  <c r="BZ7" i="6"/>
  <c r="CA7" i="6"/>
  <c r="CB7" i="6"/>
  <c r="CC7" i="6"/>
  <c r="CD7" i="6"/>
  <c r="CE7" i="6"/>
  <c r="CF7" i="6"/>
  <c r="CG7" i="6"/>
  <c r="CH7" i="6"/>
  <c r="CI7" i="6"/>
  <c r="CJ7" i="6"/>
  <c r="CK7" i="6"/>
  <c r="CQ7" i="6"/>
  <c r="CR7" i="6"/>
  <c r="CS7" i="6"/>
  <c r="CU7" i="6"/>
  <c r="CW7" i="6"/>
  <c r="CV7" i="6" s="1"/>
  <c r="CX7" i="6"/>
  <c r="F8" i="6"/>
  <c r="G8" i="6"/>
  <c r="J8" i="6"/>
  <c r="I8" i="6" s="1"/>
  <c r="K8" i="6"/>
  <c r="M8" i="6"/>
  <c r="N8" i="6"/>
  <c r="Q8" i="6"/>
  <c r="R8" i="6"/>
  <c r="S8" i="6"/>
  <c r="T8" i="6"/>
  <c r="U8" i="6"/>
  <c r="V8" i="6"/>
  <c r="W8" i="6"/>
  <c r="AB8" i="6"/>
  <c r="AC8" i="6"/>
  <c r="AD8" i="6"/>
  <c r="AF8" i="6"/>
  <c r="AG8" i="6"/>
  <c r="AH8" i="6"/>
  <c r="AI8" i="6"/>
  <c r="AJ8" i="6"/>
  <c r="AK8" i="6"/>
  <c r="AL8" i="6"/>
  <c r="AN8" i="6"/>
  <c r="AO8" i="6"/>
  <c r="AP8" i="6"/>
  <c r="AQ8" i="6"/>
  <c r="AR8" i="6"/>
  <c r="AS8" i="6"/>
  <c r="AU8" i="6"/>
  <c r="AV8" i="6"/>
  <c r="AX8" i="6"/>
  <c r="AY8" i="6"/>
  <c r="BA8" i="6"/>
  <c r="BB8" i="6"/>
  <c r="BE8" i="6"/>
  <c r="BG8" i="6"/>
  <c r="BH8" i="6"/>
  <c r="BJ8" i="6"/>
  <c r="BK8" i="6"/>
  <c r="BL8" i="6"/>
  <c r="BM8" i="6"/>
  <c r="BN8" i="6"/>
  <c r="BO8" i="6"/>
  <c r="BP8" i="6"/>
  <c r="BQ8" i="6"/>
  <c r="BR8" i="6"/>
  <c r="BS8" i="6"/>
  <c r="BT8" i="6"/>
  <c r="BU8" i="6"/>
  <c r="BV8" i="6"/>
  <c r="BW8" i="6"/>
  <c r="BX8" i="6"/>
  <c r="BY8" i="6"/>
  <c r="BZ8" i="6"/>
  <c r="CA8" i="6"/>
  <c r="CB8" i="6"/>
  <c r="CC8" i="6"/>
  <c r="CD8" i="6"/>
  <c r="CE8" i="6"/>
  <c r="CF8" i="6"/>
  <c r="CG8" i="6"/>
  <c r="CH8" i="6"/>
  <c r="CI8" i="6"/>
  <c r="CJ8" i="6"/>
  <c r="CK8" i="6"/>
  <c r="CQ8" i="6"/>
  <c r="CP8" i="6" s="1"/>
  <c r="CR8" i="6"/>
  <c r="CS8" i="6"/>
  <c r="CU8" i="6"/>
  <c r="CW8" i="6"/>
  <c r="CV8" i="6" s="1"/>
  <c r="CX8" i="6"/>
  <c r="F9" i="6"/>
  <c r="G9" i="6"/>
  <c r="J9" i="6"/>
  <c r="I9" i="6" s="1"/>
  <c r="K9" i="6"/>
  <c r="M9" i="6"/>
  <c r="N9" i="6"/>
  <c r="Q9" i="6"/>
  <c r="R9" i="6"/>
  <c r="S9" i="6"/>
  <c r="T9" i="6"/>
  <c r="U9" i="6"/>
  <c r="V9" i="6"/>
  <c r="W9" i="6"/>
  <c r="AB9" i="6"/>
  <c r="AC9" i="6"/>
  <c r="AD9" i="6"/>
  <c r="AF9" i="6"/>
  <c r="AG9" i="6"/>
  <c r="AH9" i="6"/>
  <c r="AI9" i="6"/>
  <c r="AJ9" i="6"/>
  <c r="AK9" i="6"/>
  <c r="AL9" i="6"/>
  <c r="AN9" i="6"/>
  <c r="AO9" i="6"/>
  <c r="AP9" i="6"/>
  <c r="AQ9" i="6"/>
  <c r="AR9" i="6"/>
  <c r="AS9" i="6"/>
  <c r="AU9" i="6"/>
  <c r="AV9" i="6"/>
  <c r="AX9" i="6"/>
  <c r="AY9" i="6"/>
  <c r="BA9" i="6"/>
  <c r="BB9" i="6"/>
  <c r="BE9" i="6"/>
  <c r="BG9" i="6"/>
  <c r="BH9" i="6"/>
  <c r="BJ9" i="6"/>
  <c r="BK9" i="6"/>
  <c r="BL9" i="6"/>
  <c r="BM9" i="6"/>
  <c r="BN9" i="6"/>
  <c r="BO9" i="6"/>
  <c r="BP9" i="6"/>
  <c r="BQ9" i="6"/>
  <c r="BR9" i="6"/>
  <c r="BS9" i="6"/>
  <c r="BT9" i="6"/>
  <c r="BU9" i="6"/>
  <c r="BV9" i="6"/>
  <c r="BW9" i="6"/>
  <c r="BX9" i="6"/>
  <c r="BY9" i="6"/>
  <c r="BZ9" i="6"/>
  <c r="CA9" i="6"/>
  <c r="CB9" i="6"/>
  <c r="CC9" i="6"/>
  <c r="CD9" i="6"/>
  <c r="CE9" i="6"/>
  <c r="CF9" i="6"/>
  <c r="CG9" i="6"/>
  <c r="CH9" i="6"/>
  <c r="CI9" i="6"/>
  <c r="CJ9" i="6"/>
  <c r="CK9" i="6"/>
  <c r="CQ9" i="6"/>
  <c r="CP9" i="6" s="1"/>
  <c r="CR9" i="6"/>
  <c r="CS9" i="6"/>
  <c r="CU9" i="6"/>
  <c r="CV9" i="6"/>
  <c r="CW9" i="6"/>
  <c r="CX9" i="6"/>
  <c r="F10" i="6"/>
  <c r="D10" i="6" s="1"/>
  <c r="G10" i="6"/>
  <c r="J10" i="6"/>
  <c r="K10" i="6"/>
  <c r="M10" i="6"/>
  <c r="N10" i="6"/>
  <c r="Q10" i="6"/>
  <c r="R10" i="6"/>
  <c r="S10" i="6"/>
  <c r="P10" i="6" s="1"/>
  <c r="T10" i="6"/>
  <c r="U10" i="6"/>
  <c r="V10" i="6"/>
  <c r="W10" i="6"/>
  <c r="AB10" i="6"/>
  <c r="AC10" i="6"/>
  <c r="AD10" i="6"/>
  <c r="AF10" i="6"/>
  <c r="AG10" i="6"/>
  <c r="AH10" i="6"/>
  <c r="AI10" i="6"/>
  <c r="AJ10" i="6"/>
  <c r="AK10" i="6"/>
  <c r="AL10" i="6"/>
  <c r="AN10" i="6"/>
  <c r="AO10" i="6"/>
  <c r="AP10" i="6"/>
  <c r="AQ10" i="6"/>
  <c r="AR10" i="6"/>
  <c r="AS10" i="6"/>
  <c r="AU10" i="6"/>
  <c r="AV10" i="6"/>
  <c r="AX10" i="6"/>
  <c r="AY10" i="6"/>
  <c r="BA10" i="6"/>
  <c r="BB10" i="6"/>
  <c r="BE10" i="6"/>
  <c r="BG10" i="6"/>
  <c r="BF10" i="6" s="1"/>
  <c r="BH10" i="6"/>
  <c r="BJ10" i="6"/>
  <c r="BK10" i="6"/>
  <c r="BL10" i="6"/>
  <c r="BM10" i="6"/>
  <c r="BN10" i="6"/>
  <c r="BO10" i="6"/>
  <c r="BP10" i="6"/>
  <c r="BQ10" i="6"/>
  <c r="BR10" i="6"/>
  <c r="BS10" i="6"/>
  <c r="BT10" i="6"/>
  <c r="BU10" i="6"/>
  <c r="BV10" i="6"/>
  <c r="BW10" i="6"/>
  <c r="BX10" i="6"/>
  <c r="BY10" i="6"/>
  <c r="BZ10" i="6"/>
  <c r="CA10" i="6"/>
  <c r="CB10" i="6"/>
  <c r="CC10" i="6"/>
  <c r="CD10" i="6"/>
  <c r="CE10" i="6"/>
  <c r="CF10" i="6"/>
  <c r="CG10" i="6"/>
  <c r="CH10" i="6"/>
  <c r="CI10" i="6"/>
  <c r="CJ10" i="6"/>
  <c r="CK10" i="6"/>
  <c r="CQ10" i="6"/>
  <c r="CR10" i="6"/>
  <c r="CS10" i="6"/>
  <c r="CU10" i="6"/>
  <c r="CW10" i="6"/>
  <c r="CV10" i="6" s="1"/>
  <c r="CX10" i="6"/>
  <c r="F11" i="6"/>
  <c r="D11" i="6" s="1"/>
  <c r="G11" i="6"/>
  <c r="J11" i="6"/>
  <c r="I11" i="6" s="1"/>
  <c r="K11" i="6"/>
  <c r="M11" i="6"/>
  <c r="N11" i="6"/>
  <c r="Q11" i="6"/>
  <c r="R11" i="6"/>
  <c r="S11" i="6"/>
  <c r="T11" i="6"/>
  <c r="U11" i="6"/>
  <c r="V11" i="6"/>
  <c r="W11" i="6"/>
  <c r="AB11" i="6"/>
  <c r="AC11" i="6"/>
  <c r="AD11" i="6"/>
  <c r="AF11" i="6"/>
  <c r="AG11" i="6"/>
  <c r="AH11" i="6"/>
  <c r="AI11" i="6"/>
  <c r="AJ11" i="6"/>
  <c r="AK11" i="6"/>
  <c r="AL11" i="6"/>
  <c r="AN11" i="6"/>
  <c r="AO11" i="6"/>
  <c r="AP11" i="6"/>
  <c r="AQ11" i="6"/>
  <c r="AR11" i="6"/>
  <c r="AS11" i="6"/>
  <c r="AU11" i="6"/>
  <c r="AV11" i="6"/>
  <c r="AX11" i="6"/>
  <c r="AY11" i="6"/>
  <c r="BA11" i="6"/>
  <c r="BB11" i="6"/>
  <c r="BE11" i="6"/>
  <c r="BG11" i="6"/>
  <c r="BH11" i="6"/>
  <c r="BJ11" i="6"/>
  <c r="BK11" i="6"/>
  <c r="BL11" i="6"/>
  <c r="BM11" i="6"/>
  <c r="BN11" i="6"/>
  <c r="BO11" i="6"/>
  <c r="BP11" i="6"/>
  <c r="BQ11" i="6"/>
  <c r="BR11" i="6"/>
  <c r="BS11" i="6"/>
  <c r="BT11" i="6"/>
  <c r="BU11" i="6"/>
  <c r="BV11" i="6"/>
  <c r="BW11" i="6"/>
  <c r="BX11" i="6"/>
  <c r="BY11" i="6"/>
  <c r="BZ11" i="6"/>
  <c r="CA11" i="6"/>
  <c r="CB11" i="6"/>
  <c r="CC11" i="6"/>
  <c r="CD11" i="6"/>
  <c r="CE11" i="6"/>
  <c r="CF11" i="6"/>
  <c r="CG11" i="6"/>
  <c r="CH11" i="6"/>
  <c r="CI11" i="6"/>
  <c r="CJ11" i="6"/>
  <c r="CK11" i="6"/>
  <c r="CQ11" i="6"/>
  <c r="CP11" i="6" s="1"/>
  <c r="CR11" i="6"/>
  <c r="CS11" i="6"/>
  <c r="CU11" i="6"/>
  <c r="CV11" i="6"/>
  <c r="CW11" i="6"/>
  <c r="CX11" i="6"/>
  <c r="F12" i="6"/>
  <c r="D12" i="6" s="1"/>
  <c r="G12" i="6"/>
  <c r="J12" i="6"/>
  <c r="K12" i="6"/>
  <c r="M12" i="6"/>
  <c r="N12" i="6"/>
  <c r="Q12" i="6"/>
  <c r="R12" i="6"/>
  <c r="S12" i="6"/>
  <c r="P12" i="6" s="1"/>
  <c r="T12" i="6"/>
  <c r="U12" i="6"/>
  <c r="V12" i="6"/>
  <c r="W12" i="6"/>
  <c r="AB12" i="6"/>
  <c r="AC12" i="6"/>
  <c r="AD12" i="6"/>
  <c r="AF12" i="6"/>
  <c r="AG12" i="6"/>
  <c r="AH12" i="6"/>
  <c r="AI12" i="6"/>
  <c r="AJ12" i="6"/>
  <c r="AK12" i="6"/>
  <c r="AL12" i="6"/>
  <c r="AN12" i="6"/>
  <c r="AO12" i="6"/>
  <c r="AP12" i="6"/>
  <c r="AQ12" i="6"/>
  <c r="AR12" i="6"/>
  <c r="AT12" i="6"/>
  <c r="AU12" i="6"/>
  <c r="AV12" i="6"/>
  <c r="AX12" i="6"/>
  <c r="AY12" i="6"/>
  <c r="BA12" i="6"/>
  <c r="BB12" i="6"/>
  <c r="BE12" i="6"/>
  <c r="BG12" i="6"/>
  <c r="BF12" i="6" s="1"/>
  <c r="BH12" i="6"/>
  <c r="BJ12" i="6"/>
  <c r="BK12" i="6"/>
  <c r="BL12" i="6"/>
  <c r="BM12" i="6"/>
  <c r="BN12" i="6"/>
  <c r="BO12" i="6"/>
  <c r="BP12" i="6"/>
  <c r="BQ12" i="6"/>
  <c r="BR12" i="6"/>
  <c r="BS12" i="6"/>
  <c r="BT12" i="6"/>
  <c r="BU12" i="6"/>
  <c r="BV12" i="6"/>
  <c r="BW12" i="6"/>
  <c r="BX12" i="6"/>
  <c r="BY12" i="6"/>
  <c r="BZ12" i="6"/>
  <c r="CA12" i="6"/>
  <c r="CB12" i="6"/>
  <c r="CC12" i="6"/>
  <c r="CD12" i="6"/>
  <c r="CE12" i="6"/>
  <c r="CF12" i="6"/>
  <c r="CG12" i="6"/>
  <c r="CH12" i="6"/>
  <c r="CI12" i="6"/>
  <c r="CJ12" i="6"/>
  <c r="CK12" i="6"/>
  <c r="CQ12" i="6"/>
  <c r="CR12" i="6"/>
  <c r="CS12" i="6"/>
  <c r="CU12" i="6"/>
  <c r="CW12" i="6"/>
  <c r="CX12" i="6"/>
  <c r="F13" i="6"/>
  <c r="D13" i="6" s="1"/>
  <c r="G13" i="6"/>
  <c r="J13" i="6"/>
  <c r="K13" i="6"/>
  <c r="M13" i="6"/>
  <c r="N13" i="6"/>
  <c r="Q13" i="6"/>
  <c r="R13" i="6"/>
  <c r="S13" i="6"/>
  <c r="P13" i="6" s="1"/>
  <c r="T13" i="6"/>
  <c r="U13" i="6"/>
  <c r="V13" i="6"/>
  <c r="W13" i="6"/>
  <c r="AB13" i="6"/>
  <c r="AC13" i="6"/>
  <c r="AD13" i="6"/>
  <c r="AF13" i="6"/>
  <c r="AG13" i="6"/>
  <c r="AH13" i="6"/>
  <c r="AI13" i="6"/>
  <c r="AJ13" i="6"/>
  <c r="AK13" i="6"/>
  <c r="AL13" i="6"/>
  <c r="AN13" i="6"/>
  <c r="AO13" i="6"/>
  <c r="AP13" i="6"/>
  <c r="AQ13" i="6"/>
  <c r="AR13" i="6"/>
  <c r="AT13" i="6"/>
  <c r="AU13" i="6"/>
  <c r="AV13" i="6"/>
  <c r="AX13" i="6"/>
  <c r="AY13" i="6"/>
  <c r="BA13" i="6"/>
  <c r="BB13" i="6"/>
  <c r="BE13" i="6"/>
  <c r="BG13" i="6"/>
  <c r="BF13" i="6" s="1"/>
  <c r="BH13" i="6"/>
  <c r="BJ13" i="6"/>
  <c r="BK13" i="6"/>
  <c r="BL13" i="6"/>
  <c r="BM13" i="6"/>
  <c r="BN13" i="6"/>
  <c r="BO13" i="6"/>
  <c r="BP13" i="6"/>
  <c r="BQ13" i="6"/>
  <c r="BR13" i="6"/>
  <c r="BS13" i="6"/>
  <c r="BT13" i="6"/>
  <c r="BU13" i="6"/>
  <c r="BV13" i="6"/>
  <c r="BW13" i="6"/>
  <c r="BX13" i="6"/>
  <c r="BY13" i="6"/>
  <c r="BZ13" i="6"/>
  <c r="CA13" i="6"/>
  <c r="CB13" i="6"/>
  <c r="CC13" i="6"/>
  <c r="CD13" i="6"/>
  <c r="CE13" i="6"/>
  <c r="CF13" i="6"/>
  <c r="CG13" i="6"/>
  <c r="CH13" i="6"/>
  <c r="CI13" i="6"/>
  <c r="CJ13" i="6"/>
  <c r="CK13" i="6"/>
  <c r="CQ13" i="6"/>
  <c r="CR13" i="6"/>
  <c r="CS13" i="6"/>
  <c r="CU13" i="6"/>
  <c r="CW13" i="6"/>
  <c r="CV13" i="6" s="1"/>
  <c r="CX13" i="6"/>
  <c r="F14" i="6"/>
  <c r="D14" i="6" s="1"/>
  <c r="G14" i="6"/>
  <c r="J14" i="6"/>
  <c r="I14" i="6" s="1"/>
  <c r="K14" i="6"/>
  <c r="M14" i="6"/>
  <c r="N14" i="6"/>
  <c r="O14" i="6"/>
  <c r="Q14" i="6"/>
  <c r="R14" i="6"/>
  <c r="S14" i="6"/>
  <c r="T14" i="6"/>
  <c r="U14" i="6"/>
  <c r="V14" i="6"/>
  <c r="Y14" i="6"/>
  <c r="W14" i="6" s="1"/>
  <c r="AA14" i="6"/>
  <c r="AB14" i="6"/>
  <c r="AC14" i="6"/>
  <c r="AD14" i="6"/>
  <c r="AF14" i="6"/>
  <c r="AG14" i="6"/>
  <c r="AH14" i="6"/>
  <c r="AI14" i="6"/>
  <c r="AJ14" i="6"/>
  <c r="AK14" i="6"/>
  <c r="AL14" i="6"/>
  <c r="AN14" i="6"/>
  <c r="AO14" i="6"/>
  <c r="AP14" i="6"/>
  <c r="AQ14" i="6"/>
  <c r="AR14" i="6"/>
  <c r="AS14" i="6"/>
  <c r="AT14" i="6"/>
  <c r="AU14" i="6"/>
  <c r="AV14" i="6"/>
  <c r="AX14" i="6"/>
  <c r="AY14" i="6"/>
  <c r="BA14" i="6"/>
  <c r="BB14" i="6"/>
  <c r="BE14" i="6"/>
  <c r="BG14" i="6"/>
  <c r="BH14" i="6"/>
  <c r="BJ14" i="6"/>
  <c r="BK14" i="6"/>
  <c r="BL14" i="6"/>
  <c r="BM14" i="6"/>
  <c r="BN14" i="6"/>
  <c r="BO14" i="6"/>
  <c r="BP14" i="6"/>
  <c r="BQ14" i="6"/>
  <c r="BR14" i="6"/>
  <c r="BS14" i="6"/>
  <c r="BT14" i="6"/>
  <c r="BU14" i="6"/>
  <c r="BV14" i="6"/>
  <c r="BW14" i="6"/>
  <c r="BX14" i="6"/>
  <c r="BY14" i="6"/>
  <c r="BZ14" i="6"/>
  <c r="CA14" i="6"/>
  <c r="CB14" i="6"/>
  <c r="CC14" i="6"/>
  <c r="CD14" i="6"/>
  <c r="CE14" i="6"/>
  <c r="CF14" i="6"/>
  <c r="CG14" i="6"/>
  <c r="CH14" i="6"/>
  <c r="CI14" i="6"/>
  <c r="CJ14" i="6"/>
  <c r="CK14" i="6"/>
  <c r="CQ14" i="6"/>
  <c r="CP14" i="6" s="1"/>
  <c r="CR14" i="6"/>
  <c r="CS14" i="6"/>
  <c r="CU14" i="6"/>
  <c r="CW14" i="6"/>
  <c r="CV14" i="6" s="1"/>
  <c r="CX14" i="6"/>
  <c r="F15" i="6"/>
  <c r="G15" i="6"/>
  <c r="J15" i="6"/>
  <c r="I15" i="6" s="1"/>
  <c r="K15" i="6"/>
  <c r="M15" i="6"/>
  <c r="N15" i="6"/>
  <c r="Q15" i="6"/>
  <c r="R15" i="6"/>
  <c r="S15" i="6"/>
  <c r="T15" i="6"/>
  <c r="U15" i="6"/>
  <c r="V15" i="6"/>
  <c r="W15" i="6"/>
  <c r="AB15" i="6"/>
  <c r="AC15" i="6"/>
  <c r="AD15" i="6"/>
  <c r="AF15" i="6"/>
  <c r="AG15" i="6"/>
  <c r="AH15" i="6"/>
  <c r="AI15" i="6"/>
  <c r="AJ15" i="6"/>
  <c r="AK15" i="6"/>
  <c r="AL15" i="6"/>
  <c r="AN15" i="6"/>
  <c r="AO15" i="6"/>
  <c r="AP15" i="6"/>
  <c r="AQ15" i="6"/>
  <c r="AR15" i="6"/>
  <c r="AS15" i="6"/>
  <c r="AT15" i="6"/>
  <c r="AU15" i="6"/>
  <c r="AV15" i="6"/>
  <c r="AX15" i="6"/>
  <c r="AY15" i="6"/>
  <c r="BA15" i="6"/>
  <c r="BB15" i="6"/>
  <c r="BE15" i="6"/>
  <c r="BG15" i="6"/>
  <c r="BH15" i="6"/>
  <c r="BJ15" i="6"/>
  <c r="BK15" i="6"/>
  <c r="BL15" i="6"/>
  <c r="BM15" i="6"/>
  <c r="BN15" i="6"/>
  <c r="BO15" i="6"/>
  <c r="BP15" i="6"/>
  <c r="BQ15" i="6"/>
  <c r="BR15" i="6"/>
  <c r="BS15" i="6"/>
  <c r="BT15" i="6"/>
  <c r="BU15" i="6"/>
  <c r="BV15" i="6"/>
  <c r="BW15" i="6"/>
  <c r="BX15" i="6"/>
  <c r="BY15" i="6"/>
  <c r="BZ15" i="6"/>
  <c r="CA15" i="6"/>
  <c r="CB15" i="6"/>
  <c r="CC15" i="6"/>
  <c r="CD15" i="6"/>
  <c r="CE15" i="6"/>
  <c r="CF15" i="6"/>
  <c r="CG15" i="6"/>
  <c r="CH15" i="6"/>
  <c r="CI15" i="6"/>
  <c r="CJ15" i="6"/>
  <c r="CK15" i="6"/>
  <c r="CQ15" i="6"/>
  <c r="CR15" i="6"/>
  <c r="CS15" i="6"/>
  <c r="CU15" i="6"/>
  <c r="CW15" i="6"/>
  <c r="CV15" i="6" s="1"/>
  <c r="CX15" i="6"/>
  <c r="D16" i="6"/>
  <c r="F16" i="6"/>
  <c r="G16" i="6"/>
  <c r="J16" i="6"/>
  <c r="K16" i="6"/>
  <c r="M16" i="6"/>
  <c r="N16" i="6"/>
  <c r="Q16" i="6"/>
  <c r="R16" i="6"/>
  <c r="S16" i="6"/>
  <c r="T16" i="6"/>
  <c r="U16" i="6"/>
  <c r="V16" i="6"/>
  <c r="W16" i="6"/>
  <c r="AB16" i="6"/>
  <c r="AC16" i="6"/>
  <c r="AD16" i="6"/>
  <c r="AF16" i="6"/>
  <c r="AG16" i="6"/>
  <c r="AH16" i="6"/>
  <c r="AI16" i="6"/>
  <c r="AJ16" i="6"/>
  <c r="AK16" i="6"/>
  <c r="AL16" i="6"/>
  <c r="AN16" i="6"/>
  <c r="AO16" i="6"/>
  <c r="AP16" i="6"/>
  <c r="AQ16" i="6"/>
  <c r="AR16" i="6"/>
  <c r="AS16" i="6"/>
  <c r="AT16" i="6"/>
  <c r="AU16" i="6"/>
  <c r="AV16" i="6"/>
  <c r="AX16" i="6"/>
  <c r="AY16" i="6"/>
  <c r="BA16" i="6"/>
  <c r="BB16" i="6"/>
  <c r="BE16" i="6"/>
  <c r="BG16" i="6"/>
  <c r="BH16" i="6"/>
  <c r="BJ16" i="6"/>
  <c r="BK16" i="6"/>
  <c r="BL16" i="6"/>
  <c r="BM16" i="6"/>
  <c r="BN16" i="6"/>
  <c r="BO16" i="6"/>
  <c r="BP16" i="6"/>
  <c r="BQ16" i="6"/>
  <c r="BR16" i="6"/>
  <c r="BS16" i="6"/>
  <c r="BT16" i="6"/>
  <c r="BU16" i="6"/>
  <c r="BV16" i="6"/>
  <c r="BW16" i="6"/>
  <c r="BX16" i="6"/>
  <c r="BY16" i="6"/>
  <c r="BZ16" i="6"/>
  <c r="CA16" i="6"/>
  <c r="CB16" i="6"/>
  <c r="CC16" i="6"/>
  <c r="CD16" i="6"/>
  <c r="CE16" i="6"/>
  <c r="CF16" i="6"/>
  <c r="CG16" i="6"/>
  <c r="CH16" i="6"/>
  <c r="CI16" i="6"/>
  <c r="CJ16" i="6"/>
  <c r="CK16" i="6"/>
  <c r="CP16" i="6"/>
  <c r="CQ16" i="6"/>
  <c r="CR16" i="6"/>
  <c r="CS16" i="6"/>
  <c r="CU16" i="6"/>
  <c r="CW16" i="6"/>
  <c r="CX16" i="6"/>
  <c r="F17" i="6"/>
  <c r="G17" i="6"/>
  <c r="J17" i="6"/>
  <c r="I17" i="6" s="1"/>
  <c r="K17" i="6"/>
  <c r="M17" i="6"/>
  <c r="N17" i="6"/>
  <c r="Q17" i="6"/>
  <c r="R17" i="6"/>
  <c r="S17" i="6"/>
  <c r="T17" i="6"/>
  <c r="U17" i="6"/>
  <c r="V17" i="6"/>
  <c r="W17" i="6"/>
  <c r="AB17" i="6"/>
  <c r="AC17" i="6"/>
  <c r="AD17" i="6"/>
  <c r="AF17" i="6"/>
  <c r="AG17" i="6"/>
  <c r="AH17" i="6"/>
  <c r="AI17" i="6"/>
  <c r="AJ17" i="6"/>
  <c r="AK17" i="6"/>
  <c r="AL17" i="6"/>
  <c r="AN17" i="6"/>
  <c r="AO17" i="6"/>
  <c r="AP17" i="6"/>
  <c r="AQ17" i="6"/>
  <c r="AR17" i="6"/>
  <c r="AS17" i="6"/>
  <c r="AT17" i="6"/>
  <c r="AU17" i="6"/>
  <c r="AV17" i="6"/>
  <c r="AX17" i="6"/>
  <c r="AY17" i="6"/>
  <c r="AZ17" i="6"/>
  <c r="BA17" i="6"/>
  <c r="BB17" i="6"/>
  <c r="BE17" i="6"/>
  <c r="BG17" i="6"/>
  <c r="BH17" i="6"/>
  <c r="BJ17" i="6"/>
  <c r="BK17" i="6"/>
  <c r="BL17" i="6"/>
  <c r="BM17" i="6"/>
  <c r="BN17" i="6"/>
  <c r="BO17" i="6"/>
  <c r="BP17" i="6"/>
  <c r="BQ17" i="6"/>
  <c r="BR17" i="6"/>
  <c r="BS17" i="6"/>
  <c r="BT17" i="6"/>
  <c r="BU17" i="6"/>
  <c r="BV17" i="6"/>
  <c r="BW17" i="6"/>
  <c r="BX17" i="6"/>
  <c r="BY17" i="6"/>
  <c r="BZ17" i="6"/>
  <c r="CA17" i="6"/>
  <c r="CB17" i="6"/>
  <c r="CC17" i="6"/>
  <c r="CD17" i="6"/>
  <c r="CE17" i="6"/>
  <c r="CF17" i="6"/>
  <c r="CG17" i="6"/>
  <c r="CH17" i="6"/>
  <c r="CI17" i="6"/>
  <c r="CJ17" i="6"/>
  <c r="CK17" i="6"/>
  <c r="CQ17" i="6"/>
  <c r="CP17" i="6" s="1"/>
  <c r="CR17" i="6"/>
  <c r="CS17" i="6"/>
  <c r="CU17" i="6"/>
  <c r="CW17" i="6"/>
  <c r="CV17" i="6" s="1"/>
  <c r="CX17" i="6"/>
  <c r="F18" i="6"/>
  <c r="G18" i="6"/>
  <c r="J18" i="6"/>
  <c r="I18" i="6" s="1"/>
  <c r="K18" i="6"/>
  <c r="M18" i="6"/>
  <c r="N18" i="6"/>
  <c r="Q18" i="6"/>
  <c r="R18" i="6"/>
  <c r="S18" i="6"/>
  <c r="T18" i="6"/>
  <c r="U18" i="6"/>
  <c r="V18" i="6"/>
  <c r="W18" i="6"/>
  <c r="AB18" i="6"/>
  <c r="AC18" i="6"/>
  <c r="AD18" i="6"/>
  <c r="AF18" i="6"/>
  <c r="AG18" i="6"/>
  <c r="AH18" i="6"/>
  <c r="AI18" i="6"/>
  <c r="AJ18" i="6"/>
  <c r="AK18" i="6"/>
  <c r="AL18" i="6"/>
  <c r="AN18" i="6"/>
  <c r="AO18" i="6"/>
  <c r="AP18" i="6"/>
  <c r="AQ18" i="6"/>
  <c r="AR18" i="6"/>
  <c r="AS18" i="6"/>
  <c r="AT18" i="6"/>
  <c r="AU18" i="6"/>
  <c r="AV18" i="6"/>
  <c r="AX18" i="6"/>
  <c r="AY18" i="6"/>
  <c r="BA18" i="6"/>
  <c r="BB18" i="6"/>
  <c r="BE18" i="6"/>
  <c r="BG18" i="6"/>
  <c r="BH18" i="6"/>
  <c r="BJ18" i="6"/>
  <c r="BK18" i="6"/>
  <c r="BL18" i="6"/>
  <c r="BM18" i="6"/>
  <c r="BN18" i="6"/>
  <c r="BO18" i="6"/>
  <c r="BP18" i="6"/>
  <c r="BQ18" i="6"/>
  <c r="BR18" i="6"/>
  <c r="BS18" i="6"/>
  <c r="BT18" i="6"/>
  <c r="BU18" i="6"/>
  <c r="BV18" i="6"/>
  <c r="BW18" i="6"/>
  <c r="BX18" i="6"/>
  <c r="BY18" i="6"/>
  <c r="BZ18" i="6"/>
  <c r="CA18" i="6"/>
  <c r="CB18" i="6"/>
  <c r="CC18" i="6"/>
  <c r="CD18" i="6"/>
  <c r="CE18" i="6"/>
  <c r="CF18" i="6"/>
  <c r="CG18" i="6"/>
  <c r="CH18" i="6"/>
  <c r="CI18" i="6"/>
  <c r="CJ18" i="6"/>
  <c r="CK18" i="6"/>
  <c r="CQ18" i="6"/>
  <c r="CR18" i="6"/>
  <c r="CS18" i="6"/>
  <c r="CU18" i="6"/>
  <c r="CW18" i="6"/>
  <c r="CV18" i="6" s="1"/>
  <c r="CX18" i="6"/>
  <c r="D19" i="6"/>
  <c r="F19" i="6"/>
  <c r="G19" i="6"/>
  <c r="J19" i="6"/>
  <c r="K19" i="6"/>
  <c r="M19" i="6"/>
  <c r="N19" i="6"/>
  <c r="Q19" i="6"/>
  <c r="R19" i="6"/>
  <c r="S19" i="6"/>
  <c r="T19" i="6"/>
  <c r="U19" i="6"/>
  <c r="V19" i="6"/>
  <c r="W19" i="6"/>
  <c r="AB19" i="6"/>
  <c r="AC19" i="6"/>
  <c r="AD19" i="6"/>
  <c r="AF19" i="6"/>
  <c r="AG19" i="6"/>
  <c r="AH19" i="6"/>
  <c r="AI19" i="6"/>
  <c r="AJ19" i="6"/>
  <c r="AK19" i="6"/>
  <c r="AL19" i="6"/>
  <c r="AN19" i="6"/>
  <c r="AO19" i="6"/>
  <c r="AP19" i="6"/>
  <c r="AQ19" i="6"/>
  <c r="AR19" i="6"/>
  <c r="AS19" i="6"/>
  <c r="AT19" i="6"/>
  <c r="AU19" i="6"/>
  <c r="AV19" i="6"/>
  <c r="AX19" i="6"/>
  <c r="AY19" i="6"/>
  <c r="BA19" i="6"/>
  <c r="BB19" i="6"/>
  <c r="BE19" i="6"/>
  <c r="BG19" i="6"/>
  <c r="BH19" i="6"/>
  <c r="BJ19" i="6"/>
  <c r="BK19" i="6"/>
  <c r="BL19" i="6"/>
  <c r="BM19" i="6"/>
  <c r="BN19" i="6"/>
  <c r="BO19" i="6"/>
  <c r="BP19" i="6"/>
  <c r="BQ19" i="6"/>
  <c r="BR19" i="6"/>
  <c r="BS19" i="6"/>
  <c r="BT19" i="6"/>
  <c r="BU19" i="6"/>
  <c r="BV19" i="6"/>
  <c r="BW19" i="6"/>
  <c r="BX19" i="6"/>
  <c r="BY19" i="6"/>
  <c r="BZ19" i="6"/>
  <c r="CA19" i="6"/>
  <c r="CB19" i="6"/>
  <c r="CC19" i="6"/>
  <c r="CD19" i="6"/>
  <c r="CE19" i="6"/>
  <c r="CF19" i="6"/>
  <c r="CG19" i="6"/>
  <c r="CH19" i="6"/>
  <c r="CI19" i="6"/>
  <c r="CJ19" i="6"/>
  <c r="CK19" i="6"/>
  <c r="CP19" i="6"/>
  <c r="CQ19" i="6"/>
  <c r="CR19" i="6"/>
  <c r="CS19" i="6"/>
  <c r="CU19" i="6"/>
  <c r="CW19" i="6"/>
  <c r="CX19" i="6"/>
  <c r="F20" i="6"/>
  <c r="G20" i="6"/>
  <c r="J20" i="6"/>
  <c r="I20" i="6" s="1"/>
  <c r="K20" i="6"/>
  <c r="M20" i="6"/>
  <c r="N20" i="6"/>
  <c r="Q20" i="6"/>
  <c r="R20" i="6"/>
  <c r="S20" i="6"/>
  <c r="T20" i="6"/>
  <c r="U20" i="6"/>
  <c r="V20" i="6"/>
  <c r="W20" i="6"/>
  <c r="AB20" i="6"/>
  <c r="AC20" i="6"/>
  <c r="AD20" i="6"/>
  <c r="AF20" i="6"/>
  <c r="AG20" i="6"/>
  <c r="AH20" i="6"/>
  <c r="AI20" i="6"/>
  <c r="AJ20" i="6"/>
  <c r="AK20" i="6"/>
  <c r="AL20" i="6"/>
  <c r="AN20" i="6"/>
  <c r="AO20" i="6"/>
  <c r="AP20" i="6"/>
  <c r="AQ20" i="6"/>
  <c r="AR20" i="6"/>
  <c r="AS20" i="6"/>
  <c r="AT20" i="6"/>
  <c r="AU20" i="6"/>
  <c r="AV20" i="6"/>
  <c r="AX20" i="6"/>
  <c r="AY20" i="6"/>
  <c r="BA20" i="6"/>
  <c r="BB20" i="6"/>
  <c r="BE20" i="6"/>
  <c r="BG20" i="6"/>
  <c r="BF20" i="6" s="1"/>
  <c r="BH20" i="6"/>
  <c r="BJ20" i="6"/>
  <c r="BK20" i="6"/>
  <c r="BL20" i="6"/>
  <c r="BM20" i="6"/>
  <c r="BN20" i="6"/>
  <c r="BO20" i="6"/>
  <c r="BP20" i="6"/>
  <c r="BQ20" i="6"/>
  <c r="BR20" i="6"/>
  <c r="BS20" i="6"/>
  <c r="BT20" i="6"/>
  <c r="BU20" i="6"/>
  <c r="BV20" i="6"/>
  <c r="BW20" i="6"/>
  <c r="BX20" i="6"/>
  <c r="BY20" i="6"/>
  <c r="BZ20" i="6"/>
  <c r="CA20" i="6"/>
  <c r="CB20" i="6"/>
  <c r="CC20" i="6"/>
  <c r="CD20" i="6"/>
  <c r="CE20" i="6"/>
  <c r="CF20" i="6"/>
  <c r="CG20" i="6"/>
  <c r="CH20" i="6"/>
  <c r="CI20" i="6"/>
  <c r="CJ20" i="6"/>
  <c r="CK20" i="6"/>
  <c r="CQ20" i="6"/>
  <c r="CP20" i="6" s="1"/>
  <c r="CR20" i="6"/>
  <c r="CS20" i="6"/>
  <c r="CU20" i="6"/>
  <c r="CW20" i="6"/>
  <c r="CV20" i="6" s="1"/>
  <c r="CX20" i="6"/>
  <c r="F21" i="6"/>
  <c r="G21" i="6"/>
  <c r="J21" i="6"/>
  <c r="I21" i="6" s="1"/>
  <c r="K21" i="6"/>
  <c r="M21" i="6"/>
  <c r="N21" i="6"/>
  <c r="Q21" i="6"/>
  <c r="R21" i="6"/>
  <c r="S21" i="6"/>
  <c r="T21" i="6"/>
  <c r="U21" i="6"/>
  <c r="V21" i="6"/>
  <c r="W21" i="6"/>
  <c r="AB21" i="6"/>
  <c r="AC21" i="6"/>
  <c r="AD21" i="6"/>
  <c r="AF21" i="6"/>
  <c r="AG21" i="6"/>
  <c r="AH21" i="6"/>
  <c r="AI21" i="6"/>
  <c r="AJ21" i="6"/>
  <c r="AK21" i="6"/>
  <c r="AL21" i="6"/>
  <c r="AN21" i="6"/>
  <c r="AO21" i="6"/>
  <c r="AP21" i="6"/>
  <c r="AQ21" i="6"/>
  <c r="AR21" i="6"/>
  <c r="AS21" i="6"/>
  <c r="AT21" i="6"/>
  <c r="AU21" i="6"/>
  <c r="AV21" i="6"/>
  <c r="AX21" i="6"/>
  <c r="AY21" i="6"/>
  <c r="BA21" i="6"/>
  <c r="BB21" i="6"/>
  <c r="BE21" i="6"/>
  <c r="BG21" i="6"/>
  <c r="BH21" i="6"/>
  <c r="BJ21" i="6"/>
  <c r="BK21" i="6"/>
  <c r="BL21" i="6"/>
  <c r="BM21" i="6"/>
  <c r="BN21" i="6"/>
  <c r="BO21" i="6"/>
  <c r="BP21" i="6"/>
  <c r="BQ21" i="6"/>
  <c r="BR21" i="6"/>
  <c r="BS21" i="6"/>
  <c r="BT21" i="6"/>
  <c r="BU21" i="6"/>
  <c r="BV21" i="6"/>
  <c r="BW21" i="6"/>
  <c r="BX21" i="6"/>
  <c r="BY21" i="6"/>
  <c r="BZ21" i="6"/>
  <c r="CA21" i="6"/>
  <c r="CB21" i="6"/>
  <c r="CC21" i="6"/>
  <c r="CD21" i="6"/>
  <c r="CE21" i="6"/>
  <c r="CF21" i="6"/>
  <c r="CG21" i="6"/>
  <c r="CH21" i="6"/>
  <c r="CI21" i="6"/>
  <c r="CJ21" i="6"/>
  <c r="CK21" i="6"/>
  <c r="CQ21" i="6"/>
  <c r="CR21" i="6"/>
  <c r="CS21" i="6"/>
  <c r="CU21" i="6"/>
  <c r="CW21" i="6"/>
  <c r="CX21" i="6"/>
  <c r="F22" i="6"/>
  <c r="G22" i="6"/>
  <c r="J22" i="6"/>
  <c r="K22" i="6"/>
  <c r="M22" i="6"/>
  <c r="N22" i="6"/>
  <c r="Q22" i="6"/>
  <c r="R22" i="6"/>
  <c r="S22" i="6"/>
  <c r="T22" i="6"/>
  <c r="P22" i="6" s="1"/>
  <c r="U22" i="6"/>
  <c r="V22" i="6"/>
  <c r="W22" i="6"/>
  <c r="AB22" i="6"/>
  <c r="AC22" i="6"/>
  <c r="AD22" i="6"/>
  <c r="AF22" i="6"/>
  <c r="AG22" i="6"/>
  <c r="AH22" i="6"/>
  <c r="AI22" i="6"/>
  <c r="AJ22" i="6"/>
  <c r="AK22" i="6"/>
  <c r="AL22" i="6"/>
  <c r="AN22" i="6"/>
  <c r="AO22" i="6"/>
  <c r="AP22" i="6"/>
  <c r="AQ22" i="6"/>
  <c r="AR22" i="6"/>
  <c r="AS22" i="6"/>
  <c r="AT22" i="6"/>
  <c r="AU22" i="6"/>
  <c r="AV22" i="6"/>
  <c r="AX22" i="6"/>
  <c r="AY22" i="6"/>
  <c r="BA22" i="6"/>
  <c r="BB22" i="6"/>
  <c r="BE22" i="6"/>
  <c r="BG22" i="6"/>
  <c r="BF22" i="6" s="1"/>
  <c r="BH22" i="6"/>
  <c r="BJ22" i="6"/>
  <c r="BK22" i="6"/>
  <c r="BL22" i="6"/>
  <c r="BM22" i="6"/>
  <c r="BN22" i="6"/>
  <c r="BO22" i="6"/>
  <c r="BP22" i="6"/>
  <c r="BQ22" i="6"/>
  <c r="BR22" i="6"/>
  <c r="BS22" i="6"/>
  <c r="BT22" i="6"/>
  <c r="BU22" i="6"/>
  <c r="BV22" i="6"/>
  <c r="BW22" i="6"/>
  <c r="BX22" i="6"/>
  <c r="BY22" i="6"/>
  <c r="BZ22" i="6"/>
  <c r="CA22" i="6"/>
  <c r="CB22" i="6"/>
  <c r="CC22" i="6"/>
  <c r="CD22" i="6"/>
  <c r="CE22" i="6"/>
  <c r="CF22" i="6"/>
  <c r="CG22" i="6"/>
  <c r="CH22" i="6"/>
  <c r="CI22" i="6"/>
  <c r="CJ22" i="6"/>
  <c r="CK22" i="6"/>
  <c r="CQ22" i="6"/>
  <c r="CR22" i="6"/>
  <c r="CS22" i="6"/>
  <c r="CU22" i="6"/>
  <c r="CW22" i="6"/>
  <c r="CV22" i="6" s="1"/>
  <c r="CX22" i="6"/>
  <c r="F23" i="6"/>
  <c r="D23" i="6" s="1"/>
  <c r="G23" i="6"/>
  <c r="J23" i="6"/>
  <c r="I23" i="6" s="1"/>
  <c r="K23" i="6"/>
  <c r="M23" i="6"/>
  <c r="N23" i="6"/>
  <c r="Q23" i="6"/>
  <c r="R23" i="6"/>
  <c r="S23" i="6"/>
  <c r="T23" i="6"/>
  <c r="U23" i="6"/>
  <c r="V23" i="6"/>
  <c r="W23" i="6"/>
  <c r="AB23" i="6"/>
  <c r="AC23" i="6"/>
  <c r="AD23" i="6"/>
  <c r="AF23" i="6"/>
  <c r="AG23" i="6"/>
  <c r="AH23" i="6"/>
  <c r="AI23" i="6"/>
  <c r="AJ23" i="6"/>
  <c r="AK23" i="6"/>
  <c r="AL23" i="6"/>
  <c r="AN23" i="6"/>
  <c r="AO23" i="6"/>
  <c r="AP23" i="6"/>
  <c r="AQ23" i="6"/>
  <c r="AR23" i="6"/>
  <c r="AS23" i="6"/>
  <c r="AT23" i="6"/>
  <c r="AU23" i="6"/>
  <c r="AV23" i="6"/>
  <c r="AX23" i="6"/>
  <c r="AY23" i="6"/>
  <c r="BA23" i="6"/>
  <c r="BB23" i="6"/>
  <c r="BE23" i="6"/>
  <c r="BG23" i="6"/>
  <c r="BH23" i="6"/>
  <c r="BJ23" i="6"/>
  <c r="BK23" i="6"/>
  <c r="BL23" i="6"/>
  <c r="BM23" i="6"/>
  <c r="BN23" i="6"/>
  <c r="BO23" i="6"/>
  <c r="BP23" i="6"/>
  <c r="BQ23" i="6"/>
  <c r="BR23" i="6"/>
  <c r="BS23" i="6"/>
  <c r="BT23" i="6"/>
  <c r="BU23" i="6"/>
  <c r="BV23" i="6"/>
  <c r="BW23" i="6"/>
  <c r="BX23" i="6"/>
  <c r="BY23" i="6"/>
  <c r="BZ23" i="6"/>
  <c r="CA23" i="6"/>
  <c r="CB23" i="6"/>
  <c r="CC23" i="6"/>
  <c r="CD23" i="6"/>
  <c r="CE23" i="6"/>
  <c r="CF23" i="6"/>
  <c r="CG23" i="6"/>
  <c r="CH23" i="6"/>
  <c r="CI23" i="6"/>
  <c r="CJ23" i="6"/>
  <c r="CK23" i="6"/>
  <c r="CQ23" i="6"/>
  <c r="CP23" i="6" s="1"/>
  <c r="CR23" i="6"/>
  <c r="CS23" i="6"/>
  <c r="CU23" i="6"/>
  <c r="CW23" i="6"/>
  <c r="CX23" i="6"/>
  <c r="F24" i="6"/>
  <c r="D24" i="6" s="1"/>
  <c r="G24" i="6"/>
  <c r="J24" i="6"/>
  <c r="I24" i="6" s="1"/>
  <c r="K24" i="6"/>
  <c r="M24" i="6"/>
  <c r="N24" i="6"/>
  <c r="Q24" i="6"/>
  <c r="R24" i="6"/>
  <c r="S24" i="6"/>
  <c r="T24" i="6"/>
  <c r="U24" i="6"/>
  <c r="V24" i="6"/>
  <c r="W24" i="6"/>
  <c r="AB24" i="6"/>
  <c r="AC24" i="6"/>
  <c r="AD24" i="6"/>
  <c r="AF24" i="6"/>
  <c r="AG24" i="6"/>
  <c r="AH24" i="6"/>
  <c r="AI24" i="6"/>
  <c r="AJ24" i="6"/>
  <c r="AK24" i="6"/>
  <c r="AL24" i="6"/>
  <c r="AN24" i="6"/>
  <c r="AO24" i="6"/>
  <c r="AP24" i="6"/>
  <c r="AQ24" i="6"/>
  <c r="AR24" i="6"/>
  <c r="AS24" i="6"/>
  <c r="AT24" i="6"/>
  <c r="AU24" i="6"/>
  <c r="AV24" i="6"/>
  <c r="AX24" i="6"/>
  <c r="AY24" i="6"/>
  <c r="BA24" i="6"/>
  <c r="BB24" i="6"/>
  <c r="BE24" i="6"/>
  <c r="BG24" i="6"/>
  <c r="BF24" i="6" s="1"/>
  <c r="BH24" i="6"/>
  <c r="BJ24" i="6"/>
  <c r="BK24" i="6"/>
  <c r="BL24" i="6"/>
  <c r="BM24" i="6"/>
  <c r="BN24" i="6"/>
  <c r="BO24" i="6"/>
  <c r="BP24" i="6"/>
  <c r="BQ24" i="6"/>
  <c r="BR24" i="6"/>
  <c r="BS24" i="6"/>
  <c r="BT24" i="6"/>
  <c r="BU24" i="6"/>
  <c r="BV24" i="6"/>
  <c r="BW24" i="6"/>
  <c r="BX24" i="6"/>
  <c r="BY24" i="6"/>
  <c r="BZ24" i="6"/>
  <c r="CA24" i="6"/>
  <c r="CB24" i="6"/>
  <c r="CC24" i="6"/>
  <c r="CD24" i="6"/>
  <c r="CE24" i="6"/>
  <c r="CF24" i="6"/>
  <c r="CG24" i="6"/>
  <c r="CH24" i="6"/>
  <c r="CI24" i="6"/>
  <c r="CJ24" i="6"/>
  <c r="CK24" i="6"/>
  <c r="CQ24" i="6"/>
  <c r="CR24" i="6"/>
  <c r="CS24" i="6"/>
  <c r="CU24" i="6"/>
  <c r="CW24" i="6"/>
  <c r="CX24" i="6"/>
  <c r="F25" i="6"/>
  <c r="G25" i="6"/>
  <c r="J25" i="6"/>
  <c r="K25" i="6"/>
  <c r="M25" i="6"/>
  <c r="N25" i="6"/>
  <c r="Q25" i="6"/>
  <c r="R25" i="6"/>
  <c r="S25" i="6"/>
  <c r="T25" i="6"/>
  <c r="U25" i="6"/>
  <c r="V25" i="6"/>
  <c r="W25" i="6"/>
  <c r="AB25" i="6"/>
  <c r="AC25" i="6"/>
  <c r="AD25" i="6"/>
  <c r="AF25" i="6"/>
  <c r="AG25" i="6"/>
  <c r="AH25" i="6"/>
  <c r="AI25" i="6"/>
  <c r="AJ25" i="6"/>
  <c r="AK25" i="6"/>
  <c r="AL25" i="6"/>
  <c r="AN25" i="6"/>
  <c r="AO25" i="6"/>
  <c r="AP25" i="6"/>
  <c r="AQ25" i="6"/>
  <c r="AR25" i="6"/>
  <c r="AS25" i="6"/>
  <c r="AT25" i="6"/>
  <c r="AU25" i="6"/>
  <c r="AV25" i="6"/>
  <c r="AX25" i="6"/>
  <c r="AY25" i="6"/>
  <c r="BA25" i="6"/>
  <c r="BB25" i="6"/>
  <c r="BE25" i="6"/>
  <c r="BG25" i="6"/>
  <c r="BF25" i="6" s="1"/>
  <c r="BH25" i="6"/>
  <c r="BJ25" i="6"/>
  <c r="BK25" i="6"/>
  <c r="BL25" i="6"/>
  <c r="BM25" i="6"/>
  <c r="BN25" i="6"/>
  <c r="BO25" i="6"/>
  <c r="BP25" i="6"/>
  <c r="BQ25" i="6"/>
  <c r="BR25" i="6"/>
  <c r="BS25" i="6"/>
  <c r="BT25" i="6"/>
  <c r="BU25" i="6"/>
  <c r="BV25" i="6"/>
  <c r="BW25" i="6"/>
  <c r="BX25" i="6"/>
  <c r="BY25" i="6"/>
  <c r="BZ25" i="6"/>
  <c r="CA25" i="6"/>
  <c r="CB25" i="6"/>
  <c r="CC25" i="6"/>
  <c r="CD25" i="6"/>
  <c r="CE25" i="6"/>
  <c r="CF25" i="6"/>
  <c r="CG25" i="6"/>
  <c r="CH25" i="6"/>
  <c r="CI25" i="6"/>
  <c r="CJ25" i="6"/>
  <c r="CK25" i="6"/>
  <c r="CQ25" i="6"/>
  <c r="CR25" i="6"/>
  <c r="CS25" i="6"/>
  <c r="CU25" i="6"/>
  <c r="CW25" i="6"/>
  <c r="CX25" i="6"/>
  <c r="F26" i="6"/>
  <c r="D26" i="6" s="1"/>
  <c r="G26" i="6"/>
  <c r="J26" i="6"/>
  <c r="K26" i="6"/>
  <c r="M26" i="6"/>
  <c r="N26" i="6"/>
  <c r="Q26" i="6"/>
  <c r="R26" i="6"/>
  <c r="S26" i="6"/>
  <c r="T26" i="6"/>
  <c r="U26" i="6"/>
  <c r="V26" i="6"/>
  <c r="W26" i="6"/>
  <c r="AB26" i="6"/>
  <c r="AC26" i="6"/>
  <c r="AD26" i="6"/>
  <c r="AF26" i="6"/>
  <c r="AG26" i="6"/>
  <c r="AH26" i="6"/>
  <c r="AI26" i="6"/>
  <c r="AJ26" i="6"/>
  <c r="AK26" i="6"/>
  <c r="AL26" i="6"/>
  <c r="AN26" i="6"/>
  <c r="AO26" i="6"/>
  <c r="AP26" i="6"/>
  <c r="AQ26" i="6"/>
  <c r="AR26" i="6"/>
  <c r="AS26" i="6"/>
  <c r="AT26" i="6"/>
  <c r="AU26" i="6"/>
  <c r="AV26" i="6"/>
  <c r="AX26" i="6"/>
  <c r="AY26" i="6"/>
  <c r="BA26" i="6"/>
  <c r="BB26" i="6"/>
  <c r="BE26" i="6"/>
  <c r="BG26" i="6"/>
  <c r="BH26" i="6"/>
  <c r="BJ26" i="6"/>
  <c r="BK26" i="6"/>
  <c r="BL26" i="6"/>
  <c r="BM26" i="6"/>
  <c r="BN26" i="6"/>
  <c r="BO26" i="6"/>
  <c r="BP26" i="6"/>
  <c r="BQ26" i="6"/>
  <c r="BR26" i="6"/>
  <c r="BS26" i="6"/>
  <c r="BT26" i="6"/>
  <c r="BU26" i="6"/>
  <c r="BV26" i="6"/>
  <c r="BW26" i="6"/>
  <c r="BX26" i="6"/>
  <c r="BY26" i="6"/>
  <c r="BZ26" i="6"/>
  <c r="CA26" i="6"/>
  <c r="CB26" i="6"/>
  <c r="CC26" i="6"/>
  <c r="CD26" i="6"/>
  <c r="CE26" i="6"/>
  <c r="CF26" i="6"/>
  <c r="CG26" i="6"/>
  <c r="CH26" i="6"/>
  <c r="CI26" i="6"/>
  <c r="CJ26" i="6"/>
  <c r="CK26" i="6"/>
  <c r="CQ26" i="6"/>
  <c r="CR26" i="6"/>
  <c r="CS26" i="6"/>
  <c r="CU26" i="6"/>
  <c r="CW26" i="6"/>
  <c r="CV26" i="6" s="1"/>
  <c r="CX26" i="6"/>
  <c r="F27" i="6"/>
  <c r="D27" i="6" s="1"/>
  <c r="G27" i="6"/>
  <c r="J27" i="6"/>
  <c r="K27" i="6"/>
  <c r="M27" i="6"/>
  <c r="N27" i="6"/>
  <c r="Q27" i="6"/>
  <c r="R27" i="6"/>
  <c r="S27" i="6"/>
  <c r="T27" i="6"/>
  <c r="U27" i="6"/>
  <c r="V27" i="6"/>
  <c r="W27" i="6"/>
  <c r="AB27" i="6"/>
  <c r="AC27" i="6"/>
  <c r="AD27" i="6"/>
  <c r="AF27" i="6"/>
  <c r="AG27" i="6"/>
  <c r="AH27" i="6"/>
  <c r="AI27" i="6"/>
  <c r="AJ27" i="6"/>
  <c r="AK27" i="6"/>
  <c r="AL27" i="6"/>
  <c r="AN27" i="6"/>
  <c r="AO27" i="6"/>
  <c r="AP27" i="6"/>
  <c r="AQ27" i="6"/>
  <c r="AR27" i="6"/>
  <c r="AS27" i="6"/>
  <c r="AT27" i="6"/>
  <c r="AU27" i="6"/>
  <c r="AV27" i="6"/>
  <c r="AX27" i="6"/>
  <c r="AY27" i="6"/>
  <c r="BA27" i="6"/>
  <c r="BB27" i="6"/>
  <c r="BE27" i="6"/>
  <c r="BG27" i="6"/>
  <c r="BF27" i="6" s="1"/>
  <c r="BH27" i="6"/>
  <c r="BJ27" i="6"/>
  <c r="BK27" i="6"/>
  <c r="BL27" i="6"/>
  <c r="BM27" i="6"/>
  <c r="BN27" i="6"/>
  <c r="BO27" i="6"/>
  <c r="BP27" i="6"/>
  <c r="BQ27" i="6"/>
  <c r="BR27" i="6"/>
  <c r="BS27" i="6"/>
  <c r="BT27" i="6"/>
  <c r="BU27" i="6"/>
  <c r="BV27" i="6"/>
  <c r="BW27" i="6"/>
  <c r="BX27" i="6"/>
  <c r="BY27" i="6"/>
  <c r="BZ27" i="6"/>
  <c r="CA27" i="6"/>
  <c r="CB27" i="6"/>
  <c r="CC27" i="6"/>
  <c r="CD27" i="6"/>
  <c r="CE27" i="6"/>
  <c r="CF27" i="6"/>
  <c r="CG27" i="6"/>
  <c r="CH27" i="6"/>
  <c r="CI27" i="6"/>
  <c r="CJ27" i="6"/>
  <c r="CK27" i="6"/>
  <c r="CQ27" i="6"/>
  <c r="CP27" i="6" s="1"/>
  <c r="CR27" i="6"/>
  <c r="CS27" i="6"/>
  <c r="CU27" i="6"/>
  <c r="CW27" i="6"/>
  <c r="CX27" i="6"/>
  <c r="CV27" i="6" s="1"/>
  <c r="F28" i="6"/>
  <c r="G28" i="6"/>
  <c r="D28" i="6" s="1"/>
  <c r="J28" i="6"/>
  <c r="I28" i="6" s="1"/>
  <c r="K28" i="6"/>
  <c r="M28" i="6"/>
  <c r="N28" i="6"/>
  <c r="Q28" i="6"/>
  <c r="R28" i="6"/>
  <c r="S28" i="6"/>
  <c r="T28" i="6"/>
  <c r="U28" i="6"/>
  <c r="V28" i="6"/>
  <c r="W28" i="6"/>
  <c r="AB28" i="6"/>
  <c r="AC28" i="6"/>
  <c r="AD28" i="6"/>
  <c r="AF28" i="6"/>
  <c r="AG28" i="6"/>
  <c r="AH28" i="6"/>
  <c r="AI28" i="6"/>
  <c r="AJ28" i="6"/>
  <c r="AK28" i="6"/>
  <c r="AL28" i="6"/>
  <c r="AN28" i="6"/>
  <c r="AO28" i="6"/>
  <c r="AP28" i="6"/>
  <c r="AQ28" i="6"/>
  <c r="AR28" i="6"/>
  <c r="AS28" i="6"/>
  <c r="AT28" i="6"/>
  <c r="AU28" i="6"/>
  <c r="AV28" i="6"/>
  <c r="AX28" i="6"/>
  <c r="AY28" i="6"/>
  <c r="BA28" i="6"/>
  <c r="BB28" i="6"/>
  <c r="BE28" i="6"/>
  <c r="BG28" i="6"/>
  <c r="BF28" i="6" s="1"/>
  <c r="BH28" i="6"/>
  <c r="BJ28" i="6"/>
  <c r="BK28" i="6"/>
  <c r="BL28" i="6"/>
  <c r="BM28" i="6"/>
  <c r="BN28" i="6"/>
  <c r="BO28" i="6"/>
  <c r="BP28" i="6"/>
  <c r="BQ28" i="6"/>
  <c r="BR28" i="6"/>
  <c r="BS28" i="6"/>
  <c r="BT28" i="6"/>
  <c r="BU28" i="6"/>
  <c r="BV28" i="6"/>
  <c r="BW28" i="6"/>
  <c r="BX28" i="6"/>
  <c r="BY28" i="6"/>
  <c r="BZ28" i="6"/>
  <c r="CA28" i="6"/>
  <c r="CB28" i="6"/>
  <c r="CC28" i="6"/>
  <c r="CD28" i="6"/>
  <c r="CE28" i="6"/>
  <c r="CF28" i="6"/>
  <c r="CG28" i="6"/>
  <c r="CH28" i="6"/>
  <c r="CI28" i="6"/>
  <c r="CJ28" i="6"/>
  <c r="CK28" i="6"/>
  <c r="CQ28" i="6"/>
  <c r="CR28" i="6"/>
  <c r="CS28" i="6"/>
  <c r="CU28" i="6"/>
  <c r="CW28" i="6"/>
  <c r="CX28" i="6"/>
  <c r="F29" i="6"/>
  <c r="D29" i="6" s="1"/>
  <c r="G29" i="6"/>
  <c r="J29" i="6"/>
  <c r="K29" i="6"/>
  <c r="I29" i="6" s="1"/>
  <c r="M29" i="6"/>
  <c r="N29" i="6"/>
  <c r="Q29" i="6"/>
  <c r="R29" i="6"/>
  <c r="S29" i="6"/>
  <c r="T29" i="6"/>
  <c r="U29" i="6"/>
  <c r="V29" i="6"/>
  <c r="X29" i="6"/>
  <c r="W29" i="6" s="1"/>
  <c r="Y29" i="6"/>
  <c r="Z29" i="6"/>
  <c r="AA29" i="6"/>
  <c r="AB29" i="6"/>
  <c r="AC29" i="6"/>
  <c r="AD29" i="6"/>
  <c r="AF29" i="6"/>
  <c r="AG29" i="6"/>
  <c r="AH29" i="6"/>
  <c r="AI29" i="6"/>
  <c r="AJ29" i="6"/>
  <c r="AK29" i="6"/>
  <c r="AL29" i="6"/>
  <c r="AN29" i="6"/>
  <c r="AO29" i="6"/>
  <c r="AP29" i="6"/>
  <c r="AQ29" i="6"/>
  <c r="AR29" i="6"/>
  <c r="AS29" i="6"/>
  <c r="AT29" i="6"/>
  <c r="AU29" i="6"/>
  <c r="AV29" i="6"/>
  <c r="AX29" i="6"/>
  <c r="AY29" i="6"/>
  <c r="BA29" i="6"/>
  <c r="BB29" i="6"/>
  <c r="BE29" i="6"/>
  <c r="BG29" i="6"/>
  <c r="BH29" i="6"/>
  <c r="BJ29" i="6"/>
  <c r="BK29" i="6"/>
  <c r="BL29" i="6"/>
  <c r="BM29" i="6"/>
  <c r="BN29" i="6"/>
  <c r="BO29" i="6"/>
  <c r="BP29" i="6"/>
  <c r="BQ29" i="6"/>
  <c r="BR29" i="6"/>
  <c r="BS29" i="6"/>
  <c r="BT29" i="6"/>
  <c r="BU29" i="6"/>
  <c r="BV29" i="6"/>
  <c r="BW29" i="6"/>
  <c r="BX29" i="6"/>
  <c r="BY29" i="6"/>
  <c r="BZ29" i="6"/>
  <c r="CA29" i="6"/>
  <c r="CB29" i="6"/>
  <c r="CC29" i="6"/>
  <c r="CD29" i="6"/>
  <c r="CE29" i="6"/>
  <c r="CF29" i="6"/>
  <c r="CG29" i="6"/>
  <c r="CH29" i="6"/>
  <c r="CI29" i="6"/>
  <c r="CJ29" i="6"/>
  <c r="CK29" i="6"/>
  <c r="CQ29" i="6"/>
  <c r="CR29" i="6"/>
  <c r="CS29" i="6"/>
  <c r="CU29" i="6"/>
  <c r="CW29" i="6"/>
  <c r="CX29" i="6"/>
  <c r="F30" i="6"/>
  <c r="D30" i="6" s="1"/>
  <c r="G30" i="6"/>
  <c r="J30" i="6"/>
  <c r="K30" i="6"/>
  <c r="M30" i="6"/>
  <c r="N30" i="6"/>
  <c r="Q30" i="6"/>
  <c r="R30" i="6"/>
  <c r="S30" i="6"/>
  <c r="T30" i="6"/>
  <c r="U30" i="6"/>
  <c r="V30" i="6"/>
  <c r="Y30" i="6"/>
  <c r="W30" i="6" s="1"/>
  <c r="AA30" i="6"/>
  <c r="AB30" i="6"/>
  <c r="AC30" i="6"/>
  <c r="AD30" i="6"/>
  <c r="AF30" i="6"/>
  <c r="AG30" i="6"/>
  <c r="AH30" i="6"/>
  <c r="AI30" i="6"/>
  <c r="AJ30" i="6"/>
  <c r="AK30" i="6"/>
  <c r="AL30" i="6"/>
  <c r="AN30" i="6"/>
  <c r="AO30" i="6"/>
  <c r="AP30" i="6"/>
  <c r="AQ30" i="6"/>
  <c r="AR30" i="6"/>
  <c r="AS30" i="6"/>
  <c r="AT30" i="6"/>
  <c r="AU30" i="6"/>
  <c r="AV30" i="6"/>
  <c r="AX30" i="6"/>
  <c r="AY30" i="6"/>
  <c r="BA30" i="6"/>
  <c r="BB30" i="6"/>
  <c r="BE30" i="6"/>
  <c r="BG30" i="6"/>
  <c r="BF30" i="6" s="1"/>
  <c r="BH30" i="6"/>
  <c r="BJ30" i="6"/>
  <c r="BK30" i="6"/>
  <c r="BL30" i="6"/>
  <c r="BM30" i="6"/>
  <c r="BN30" i="6"/>
  <c r="BO30" i="6"/>
  <c r="BP30" i="6"/>
  <c r="BQ30" i="6"/>
  <c r="BR30" i="6"/>
  <c r="BS30" i="6"/>
  <c r="BT30" i="6"/>
  <c r="BU30" i="6"/>
  <c r="BV30" i="6"/>
  <c r="BW30" i="6"/>
  <c r="BX30" i="6"/>
  <c r="BY30" i="6"/>
  <c r="BZ30" i="6"/>
  <c r="CA30" i="6"/>
  <c r="CB30" i="6"/>
  <c r="CC30" i="6"/>
  <c r="CD30" i="6"/>
  <c r="CE30" i="6"/>
  <c r="CF30" i="6"/>
  <c r="CG30" i="6"/>
  <c r="CH30" i="6"/>
  <c r="CI30" i="6"/>
  <c r="CJ30" i="6"/>
  <c r="CK30" i="6"/>
  <c r="CM30" i="6"/>
  <c r="CQ30" i="6"/>
  <c r="CR30" i="6"/>
  <c r="CS30" i="6"/>
  <c r="CU30" i="6"/>
  <c r="CW30" i="6"/>
  <c r="CX30" i="6"/>
  <c r="F31" i="6"/>
  <c r="D31" i="6" s="1"/>
  <c r="G31" i="6"/>
  <c r="J31" i="6"/>
  <c r="K31" i="6"/>
  <c r="M31" i="6"/>
  <c r="N31" i="6"/>
  <c r="Q31" i="6"/>
  <c r="R31" i="6"/>
  <c r="S31" i="6"/>
  <c r="T31" i="6"/>
  <c r="U31" i="6"/>
  <c r="V31" i="6"/>
  <c r="W31" i="6"/>
  <c r="AB31" i="6"/>
  <c r="AC31" i="6"/>
  <c r="AD31" i="6"/>
  <c r="AF31" i="6"/>
  <c r="AG31" i="6"/>
  <c r="AH31" i="6"/>
  <c r="AI31" i="6"/>
  <c r="AJ31" i="6"/>
  <c r="AK31" i="6"/>
  <c r="AL31" i="6"/>
  <c r="AN31" i="6"/>
  <c r="AO31" i="6"/>
  <c r="AP31" i="6"/>
  <c r="AQ31" i="6"/>
  <c r="AR31" i="6"/>
  <c r="AS31" i="6"/>
  <c r="AT31" i="6"/>
  <c r="AU31" i="6"/>
  <c r="AV31" i="6"/>
  <c r="AX31" i="6"/>
  <c r="AY31" i="6"/>
  <c r="BA31" i="6"/>
  <c r="BB31" i="6"/>
  <c r="BE31" i="6"/>
  <c r="BG31" i="6"/>
  <c r="BF31" i="6" s="1"/>
  <c r="BH31" i="6"/>
  <c r="BJ31" i="6"/>
  <c r="BK31" i="6"/>
  <c r="BL31" i="6"/>
  <c r="BM31" i="6"/>
  <c r="BN31" i="6"/>
  <c r="BO31" i="6"/>
  <c r="BP31" i="6"/>
  <c r="BQ31" i="6"/>
  <c r="BR31" i="6"/>
  <c r="BS31" i="6"/>
  <c r="BT31" i="6"/>
  <c r="BU31" i="6"/>
  <c r="BV31" i="6"/>
  <c r="BW31" i="6"/>
  <c r="BX31" i="6"/>
  <c r="BY31" i="6"/>
  <c r="BZ31" i="6"/>
  <c r="CA31" i="6"/>
  <c r="CB31" i="6"/>
  <c r="CC31" i="6"/>
  <c r="CD31" i="6"/>
  <c r="CE31" i="6"/>
  <c r="CF31" i="6"/>
  <c r="CG31" i="6"/>
  <c r="CH31" i="6"/>
  <c r="CI31" i="6"/>
  <c r="CJ31" i="6"/>
  <c r="CK31" i="6"/>
  <c r="CQ31" i="6"/>
  <c r="CR31" i="6"/>
  <c r="CS31" i="6"/>
  <c r="CU31" i="6"/>
  <c r="CW31" i="6"/>
  <c r="CV31" i="6" s="1"/>
  <c r="CX31" i="6"/>
  <c r="F32" i="6"/>
  <c r="D32" i="6" s="1"/>
  <c r="G32" i="6"/>
  <c r="J32" i="6"/>
  <c r="I32" i="6" s="1"/>
  <c r="K32" i="6"/>
  <c r="M32" i="6"/>
  <c r="N32" i="6"/>
  <c r="Q32" i="6"/>
  <c r="R32" i="6"/>
  <c r="S32" i="6"/>
  <c r="T32" i="6"/>
  <c r="U32" i="6"/>
  <c r="V32" i="6"/>
  <c r="W32" i="6"/>
  <c r="AB32" i="6"/>
  <c r="AC32" i="6"/>
  <c r="AD32" i="6"/>
  <c r="AF32" i="6"/>
  <c r="AG32" i="6"/>
  <c r="AH32" i="6"/>
  <c r="AI32" i="6"/>
  <c r="AJ32" i="6"/>
  <c r="AK32" i="6"/>
  <c r="AL32" i="6"/>
  <c r="AN32" i="6"/>
  <c r="AO32" i="6"/>
  <c r="AP32" i="6"/>
  <c r="AQ32" i="6"/>
  <c r="AR32" i="6"/>
  <c r="AS32" i="6"/>
  <c r="AT32" i="6"/>
  <c r="AU32" i="6"/>
  <c r="AV32" i="6"/>
  <c r="AX32" i="6"/>
  <c r="AY32" i="6"/>
  <c r="BA32" i="6"/>
  <c r="BB32" i="6"/>
  <c r="BE32" i="6"/>
  <c r="BG32" i="6"/>
  <c r="BF32" i="6" s="1"/>
  <c r="BH32" i="6"/>
  <c r="BJ32" i="6"/>
  <c r="BK32" i="6"/>
  <c r="BL32" i="6"/>
  <c r="BM32" i="6"/>
  <c r="BN32" i="6"/>
  <c r="BO32" i="6"/>
  <c r="BP32" i="6"/>
  <c r="BQ32" i="6"/>
  <c r="BR32" i="6"/>
  <c r="BS32" i="6"/>
  <c r="BT32" i="6"/>
  <c r="BU32" i="6"/>
  <c r="BV32" i="6"/>
  <c r="BW32" i="6"/>
  <c r="BX32" i="6"/>
  <c r="BY32" i="6"/>
  <c r="BZ32" i="6"/>
  <c r="CA32" i="6"/>
  <c r="CB32" i="6"/>
  <c r="CC32" i="6"/>
  <c r="CD32" i="6"/>
  <c r="CE32" i="6"/>
  <c r="CF32" i="6"/>
  <c r="CG32" i="6"/>
  <c r="CH32" i="6"/>
  <c r="CI32" i="6"/>
  <c r="CJ32" i="6"/>
  <c r="CK32" i="6"/>
  <c r="CQ32" i="6"/>
  <c r="CR32" i="6"/>
  <c r="CS32" i="6"/>
  <c r="CU32" i="6"/>
  <c r="CW32" i="6"/>
  <c r="CX32" i="6"/>
  <c r="CV32" i="6" s="1"/>
  <c r="F33" i="6"/>
  <c r="G33" i="6"/>
  <c r="J33" i="6"/>
  <c r="I33" i="6" s="1"/>
  <c r="K33" i="6"/>
  <c r="M33" i="6"/>
  <c r="N33" i="6"/>
  <c r="Q33" i="6"/>
  <c r="R33" i="6"/>
  <c r="S33" i="6"/>
  <c r="T33" i="6"/>
  <c r="U33" i="6"/>
  <c r="V33" i="6"/>
  <c r="W33" i="6"/>
  <c r="AB33" i="6"/>
  <c r="AC33" i="6"/>
  <c r="AD33" i="6"/>
  <c r="AF33" i="6"/>
  <c r="AG33" i="6"/>
  <c r="AH33" i="6"/>
  <c r="AI33" i="6"/>
  <c r="AJ33" i="6"/>
  <c r="AK33" i="6"/>
  <c r="AL33" i="6"/>
  <c r="AN33" i="6"/>
  <c r="AO33" i="6"/>
  <c r="AP33" i="6"/>
  <c r="AQ33" i="6"/>
  <c r="AR33" i="6"/>
  <c r="AS33" i="6"/>
  <c r="AT33" i="6"/>
  <c r="AU33" i="6"/>
  <c r="AV33" i="6"/>
  <c r="AX33" i="6"/>
  <c r="AY33" i="6"/>
  <c r="BA33" i="6"/>
  <c r="BB33" i="6"/>
  <c r="BE33" i="6"/>
  <c r="BF33" i="6"/>
  <c r="BG33" i="6"/>
  <c r="BH33" i="6"/>
  <c r="BJ33" i="6"/>
  <c r="BK33" i="6"/>
  <c r="BL33" i="6"/>
  <c r="BM33" i="6"/>
  <c r="BN33" i="6"/>
  <c r="BO33" i="6"/>
  <c r="BP33" i="6"/>
  <c r="BQ33" i="6"/>
  <c r="BR33" i="6"/>
  <c r="BS33" i="6"/>
  <c r="BT33" i="6"/>
  <c r="BU33" i="6"/>
  <c r="BV33" i="6"/>
  <c r="BW33" i="6"/>
  <c r="BX33" i="6"/>
  <c r="BY33" i="6"/>
  <c r="BZ33" i="6"/>
  <c r="CA33" i="6"/>
  <c r="CB33" i="6"/>
  <c r="CC33" i="6"/>
  <c r="CD33" i="6"/>
  <c r="CE33" i="6"/>
  <c r="CF33" i="6"/>
  <c r="CG33" i="6"/>
  <c r="CH33" i="6"/>
  <c r="CI33" i="6"/>
  <c r="CJ33" i="6"/>
  <c r="CK33" i="6"/>
  <c r="CN33" i="6"/>
  <c r="CQ33" i="6"/>
  <c r="CR33" i="6"/>
  <c r="CS33" i="6"/>
  <c r="CU33" i="6"/>
  <c r="CW33" i="6"/>
  <c r="CV33" i="6" s="1"/>
  <c r="CX33" i="6"/>
  <c r="F34" i="6"/>
  <c r="D34" i="6" s="1"/>
  <c r="G34" i="6"/>
  <c r="J34" i="6"/>
  <c r="J37" i="6" s="1"/>
  <c r="K34" i="6"/>
  <c r="M34" i="6"/>
  <c r="N34" i="6"/>
  <c r="Q34" i="6"/>
  <c r="R34" i="6"/>
  <c r="S34" i="6"/>
  <c r="T34" i="6"/>
  <c r="U34" i="6"/>
  <c r="V34" i="6"/>
  <c r="W34" i="6"/>
  <c r="AB34" i="6"/>
  <c r="AC34" i="6"/>
  <c r="AD34" i="6"/>
  <c r="AF34" i="6"/>
  <c r="AG34" i="6"/>
  <c r="AH34" i="6"/>
  <c r="AI34" i="6"/>
  <c r="AJ34" i="6"/>
  <c r="AK34" i="6"/>
  <c r="AL34" i="6"/>
  <c r="AN34" i="6"/>
  <c r="AO34" i="6"/>
  <c r="AP34" i="6"/>
  <c r="AQ34" i="6"/>
  <c r="AR34" i="6"/>
  <c r="AS34" i="6"/>
  <c r="AT34" i="6"/>
  <c r="AU34" i="6"/>
  <c r="AV34" i="6"/>
  <c r="AX34" i="6"/>
  <c r="AY34" i="6"/>
  <c r="BA34" i="6"/>
  <c r="BB34" i="6"/>
  <c r="BE34" i="6"/>
  <c r="BG34" i="6"/>
  <c r="BH34" i="6"/>
  <c r="BF34" i="6" s="1"/>
  <c r="BJ34" i="6"/>
  <c r="BK34" i="6"/>
  <c r="BL34" i="6"/>
  <c r="BM34" i="6"/>
  <c r="BN34" i="6"/>
  <c r="BO34" i="6"/>
  <c r="BP34" i="6"/>
  <c r="BQ34" i="6"/>
  <c r="BR34" i="6"/>
  <c r="BS34" i="6"/>
  <c r="BT34" i="6"/>
  <c r="BU34" i="6"/>
  <c r="BV34" i="6"/>
  <c r="BW34" i="6"/>
  <c r="BX34" i="6"/>
  <c r="BY34" i="6"/>
  <c r="BZ34" i="6"/>
  <c r="CA34" i="6"/>
  <c r="CB34" i="6"/>
  <c r="CC34" i="6"/>
  <c r="CD34" i="6"/>
  <c r="CE34" i="6"/>
  <c r="CF34" i="6"/>
  <c r="CG34" i="6"/>
  <c r="CH34" i="6"/>
  <c r="CI34" i="6"/>
  <c r="CJ34" i="6"/>
  <c r="CK34" i="6"/>
  <c r="CQ34" i="6"/>
  <c r="CR34" i="6"/>
  <c r="CS34" i="6"/>
  <c r="CU34" i="6"/>
  <c r="CW34" i="6"/>
  <c r="CV34" i="6" s="1"/>
  <c r="CX34" i="6"/>
  <c r="F35" i="6"/>
  <c r="G35" i="6"/>
  <c r="D35" i="6" s="1"/>
  <c r="J35" i="6"/>
  <c r="K35" i="6"/>
  <c r="M35" i="6"/>
  <c r="N35" i="6"/>
  <c r="Q35" i="6"/>
  <c r="R35" i="6"/>
  <c r="S35" i="6"/>
  <c r="T35" i="6"/>
  <c r="U35" i="6"/>
  <c r="V35" i="6"/>
  <c r="W35" i="6"/>
  <c r="AB35" i="6"/>
  <c r="AC35" i="6"/>
  <c r="AD35" i="6"/>
  <c r="AF35" i="6"/>
  <c r="AG35" i="6"/>
  <c r="AH35" i="6"/>
  <c r="AI35" i="6"/>
  <c r="AJ35" i="6"/>
  <c r="AK35" i="6"/>
  <c r="AL35" i="6"/>
  <c r="AN35" i="6"/>
  <c r="AO35" i="6"/>
  <c r="AP35" i="6"/>
  <c r="AQ35" i="6"/>
  <c r="AR35" i="6"/>
  <c r="AR37" i="6" s="1"/>
  <c r="AS35" i="6"/>
  <c r="AT35" i="6"/>
  <c r="AU35" i="6"/>
  <c r="AV35" i="6"/>
  <c r="AX35" i="6"/>
  <c r="AY35" i="6"/>
  <c r="BA35" i="6"/>
  <c r="BB35" i="6"/>
  <c r="BB37" i="6" s="1"/>
  <c r="BB44" i="6" s="1"/>
  <c r="BB46" i="6" s="1"/>
  <c r="BE35" i="6"/>
  <c r="BG35" i="6"/>
  <c r="BF35" i="6" s="1"/>
  <c r="BH35" i="6"/>
  <c r="BJ35" i="6"/>
  <c r="BK35" i="6"/>
  <c r="BL35" i="6"/>
  <c r="BM35" i="6"/>
  <c r="BN35" i="6"/>
  <c r="BO35" i="6"/>
  <c r="BP35" i="6"/>
  <c r="BQ35" i="6"/>
  <c r="BR35" i="6"/>
  <c r="BS35" i="6"/>
  <c r="BT35" i="6"/>
  <c r="BU35" i="6"/>
  <c r="BV35" i="6"/>
  <c r="BW35" i="6"/>
  <c r="BX35" i="6"/>
  <c r="BY35" i="6"/>
  <c r="BZ35" i="6"/>
  <c r="CA35" i="6"/>
  <c r="CB35" i="6"/>
  <c r="CC35" i="6"/>
  <c r="CD35" i="6"/>
  <c r="CE35" i="6"/>
  <c r="CF35" i="6"/>
  <c r="CG35" i="6"/>
  <c r="CH35" i="6"/>
  <c r="CI35" i="6"/>
  <c r="CJ35" i="6"/>
  <c r="CK35" i="6"/>
  <c r="CQ35" i="6"/>
  <c r="CR35" i="6"/>
  <c r="CP35" i="6" s="1"/>
  <c r="CS35" i="6"/>
  <c r="CU35" i="6"/>
  <c r="CW35" i="6"/>
  <c r="CX35" i="6"/>
  <c r="F36" i="6"/>
  <c r="G36" i="6"/>
  <c r="J36" i="6"/>
  <c r="I36" i="6" s="1"/>
  <c r="K36" i="6"/>
  <c r="M36" i="6"/>
  <c r="N36" i="6"/>
  <c r="Q36" i="6"/>
  <c r="R36" i="6"/>
  <c r="S36" i="6"/>
  <c r="T36" i="6"/>
  <c r="U36" i="6"/>
  <c r="V36" i="6"/>
  <c r="W36" i="6"/>
  <c r="AB36" i="6"/>
  <c r="AC36" i="6"/>
  <c r="AD36" i="6"/>
  <c r="AF36" i="6"/>
  <c r="AG36" i="6"/>
  <c r="AH36" i="6"/>
  <c r="AH37" i="6" s="1"/>
  <c r="AH44" i="6" s="1"/>
  <c r="AH46" i="6" s="1"/>
  <c r="AI36" i="6"/>
  <c r="AJ36" i="6"/>
  <c r="AK36" i="6"/>
  <c r="AL36" i="6"/>
  <c r="AN36" i="6"/>
  <c r="AO36" i="6"/>
  <c r="AP36" i="6"/>
  <c r="AQ36" i="6"/>
  <c r="AR36" i="6"/>
  <c r="AS36" i="6"/>
  <c r="AT36" i="6"/>
  <c r="AU36" i="6"/>
  <c r="AV36" i="6"/>
  <c r="AX36" i="6"/>
  <c r="AY36" i="6"/>
  <c r="BA36" i="6"/>
  <c r="BB36" i="6"/>
  <c r="BE36" i="6"/>
  <c r="BG36" i="6"/>
  <c r="BF36" i="6" s="1"/>
  <c r="BH36" i="6"/>
  <c r="BH37" i="6" s="1"/>
  <c r="BJ36" i="6"/>
  <c r="BK36" i="6"/>
  <c r="BL36" i="6"/>
  <c r="BM36" i="6"/>
  <c r="BN36" i="6"/>
  <c r="BN37" i="6" s="1"/>
  <c r="BO36" i="6"/>
  <c r="BP36" i="6"/>
  <c r="BQ36" i="6"/>
  <c r="BQ37" i="6" s="1"/>
  <c r="BR36" i="6"/>
  <c r="BS36" i="6"/>
  <c r="BT36" i="6"/>
  <c r="BU36" i="6"/>
  <c r="BV36" i="6"/>
  <c r="BV37" i="6" s="1"/>
  <c r="BW36" i="6"/>
  <c r="BX36" i="6"/>
  <c r="BY36" i="6"/>
  <c r="BZ36" i="6"/>
  <c r="BZ37" i="6" s="1"/>
  <c r="CA36" i="6"/>
  <c r="CB36" i="6"/>
  <c r="CC36" i="6"/>
  <c r="CD36" i="6"/>
  <c r="CD37" i="6" s="1"/>
  <c r="CE36" i="6"/>
  <c r="CF36" i="6"/>
  <c r="CG36" i="6"/>
  <c r="CH36" i="6"/>
  <c r="CI36" i="6"/>
  <c r="CJ36" i="6"/>
  <c r="CJ37" i="6" s="1"/>
  <c r="CK36" i="6"/>
  <c r="CQ36" i="6"/>
  <c r="CR36" i="6"/>
  <c r="CS36" i="6"/>
  <c r="CS37" i="6" s="1"/>
  <c r="CU36" i="6"/>
  <c r="CW36" i="6"/>
  <c r="CW37" i="6" s="1"/>
  <c r="CX36" i="6"/>
  <c r="E37" i="6"/>
  <c r="F37" i="6"/>
  <c r="H37" i="6"/>
  <c r="N37" i="6"/>
  <c r="O37" i="6"/>
  <c r="Q37" i="6"/>
  <c r="R37" i="6"/>
  <c r="S37" i="6"/>
  <c r="T37" i="6"/>
  <c r="U37" i="6"/>
  <c r="X37" i="6"/>
  <c r="X44" i="6" s="1"/>
  <c r="Y37" i="6"/>
  <c r="Z37" i="6"/>
  <c r="AA37" i="6"/>
  <c r="AB37" i="6"/>
  <c r="AC37" i="6"/>
  <c r="AF37" i="6"/>
  <c r="AG37" i="6"/>
  <c r="AJ37" i="6"/>
  <c r="AK37" i="6"/>
  <c r="AL37" i="6"/>
  <c r="AM37" i="6"/>
  <c r="AN37" i="6"/>
  <c r="AO37" i="6"/>
  <c r="AP37" i="6"/>
  <c r="AS37" i="6"/>
  <c r="AT37" i="6"/>
  <c r="AV37" i="6"/>
  <c r="AV44" i="6" s="1"/>
  <c r="AW37" i="6"/>
  <c r="AX37" i="6"/>
  <c r="AZ37" i="6"/>
  <c r="AZ44" i="6" s="1"/>
  <c r="AZ46" i="6" s="1"/>
  <c r="BA37" i="6"/>
  <c r="BD37" i="6"/>
  <c r="BE37" i="6"/>
  <c r="BL37" i="6"/>
  <c r="BM37" i="6"/>
  <c r="BP37" i="6"/>
  <c r="BR37" i="6"/>
  <c r="BT37" i="6"/>
  <c r="BU37" i="6"/>
  <c r="BX37" i="6"/>
  <c r="BY37" i="6"/>
  <c r="CB37" i="6"/>
  <c r="CC37" i="6"/>
  <c r="CF37" i="6"/>
  <c r="CG37" i="6"/>
  <c r="CH37" i="6"/>
  <c r="CK37" i="6"/>
  <c r="CM37" i="6"/>
  <c r="CN37" i="6"/>
  <c r="CO37" i="6"/>
  <c r="CR37" i="6"/>
  <c r="CT37" i="6"/>
  <c r="F38" i="6"/>
  <c r="G38" i="6"/>
  <c r="J38" i="6"/>
  <c r="K38" i="6"/>
  <c r="R38" i="6"/>
  <c r="S38" i="6"/>
  <c r="U38" i="6"/>
  <c r="AB38" i="6"/>
  <c r="AC38" i="6"/>
  <c r="AD38" i="6"/>
  <c r="AL38" i="6"/>
  <c r="AN38" i="6"/>
  <c r="AO38" i="6"/>
  <c r="AP38" i="6"/>
  <c r="AQ38" i="6"/>
  <c r="AR38" i="6"/>
  <c r="AS38" i="6"/>
  <c r="CE38" i="6"/>
  <c r="CF38" i="6"/>
  <c r="CG38" i="6"/>
  <c r="CH38" i="6"/>
  <c r="CK38" i="6"/>
  <c r="CP38" i="6"/>
  <c r="CU38" i="6"/>
  <c r="E39" i="6"/>
  <c r="F39" i="6"/>
  <c r="G39" i="6"/>
  <c r="J39" i="6"/>
  <c r="K39" i="6"/>
  <c r="M39" i="6"/>
  <c r="N39" i="6"/>
  <c r="Q39" i="6"/>
  <c r="R39" i="6"/>
  <c r="S39" i="6"/>
  <c r="T39" i="6"/>
  <c r="P39" i="6" s="1"/>
  <c r="U39" i="6"/>
  <c r="V39" i="6"/>
  <c r="W39" i="6"/>
  <c r="AB39" i="6"/>
  <c r="AC39" i="6"/>
  <c r="AD39" i="6"/>
  <c r="AF39" i="6"/>
  <c r="AG39" i="6"/>
  <c r="AH39" i="6"/>
  <c r="AI39" i="6"/>
  <c r="AJ39" i="6"/>
  <c r="AK39" i="6"/>
  <c r="AL39" i="6"/>
  <c r="AM39" i="6"/>
  <c r="AM43" i="6" s="1"/>
  <c r="AN39" i="6"/>
  <c r="AO39" i="6"/>
  <c r="AP39" i="6"/>
  <c r="AQ39" i="6"/>
  <c r="AR39" i="6"/>
  <c r="AS39" i="6"/>
  <c r="AT39" i="6"/>
  <c r="AU39" i="6"/>
  <c r="AX39" i="6"/>
  <c r="AY39" i="6"/>
  <c r="BA39" i="6"/>
  <c r="BB39" i="6"/>
  <c r="BE39" i="6"/>
  <c r="BG39" i="6"/>
  <c r="BF39" i="6" s="1"/>
  <c r="BH39" i="6"/>
  <c r="BJ39" i="6"/>
  <c r="BK39" i="6"/>
  <c r="BL39" i="6"/>
  <c r="BM39" i="6"/>
  <c r="BN39" i="6"/>
  <c r="BO39" i="6"/>
  <c r="BP39" i="6"/>
  <c r="BQ39" i="6"/>
  <c r="BR39" i="6"/>
  <c r="BS39" i="6"/>
  <c r="BT39" i="6"/>
  <c r="BU39" i="6"/>
  <c r="BV39" i="6"/>
  <c r="BW39" i="6"/>
  <c r="BX39" i="6"/>
  <c r="BY39" i="6"/>
  <c r="BZ39" i="6"/>
  <c r="CA39" i="6"/>
  <c r="CB39" i="6"/>
  <c r="CC39" i="6"/>
  <c r="CD39" i="6"/>
  <c r="CE39" i="6"/>
  <c r="CF39" i="6"/>
  <c r="CG39" i="6"/>
  <c r="CH39" i="6"/>
  <c r="CI39" i="6"/>
  <c r="CJ39" i="6"/>
  <c r="CK39" i="6"/>
  <c r="CQ39" i="6"/>
  <c r="CR39" i="6"/>
  <c r="CS39" i="6"/>
  <c r="CU39" i="6"/>
  <c r="CW39" i="6"/>
  <c r="CX39" i="6"/>
  <c r="E40" i="6"/>
  <c r="F40" i="6"/>
  <c r="G40" i="6"/>
  <c r="J40" i="6"/>
  <c r="K40" i="6"/>
  <c r="I40" i="6" s="1"/>
  <c r="M40" i="6"/>
  <c r="N40" i="6"/>
  <c r="Q40" i="6"/>
  <c r="R40" i="6"/>
  <c r="S40" i="6"/>
  <c r="T40" i="6"/>
  <c r="U40" i="6"/>
  <c r="V40" i="6"/>
  <c r="W40" i="6"/>
  <c r="AB40" i="6"/>
  <c r="AC40" i="6"/>
  <c r="AD40" i="6"/>
  <c r="AF40" i="6"/>
  <c r="AG40" i="6"/>
  <c r="AH40" i="6"/>
  <c r="AI40" i="6"/>
  <c r="AJ40" i="6"/>
  <c r="AK40" i="6"/>
  <c r="AL40" i="6"/>
  <c r="AN40" i="6"/>
  <c r="AO40" i="6"/>
  <c r="AP40" i="6"/>
  <c r="AQ40" i="6"/>
  <c r="AR40" i="6"/>
  <c r="AS40" i="6"/>
  <c r="AT40" i="6"/>
  <c r="AU40" i="6"/>
  <c r="AX40" i="6"/>
  <c r="AX43" i="6" s="1"/>
  <c r="AX44" i="6" s="1"/>
  <c r="AY40" i="6"/>
  <c r="BA40" i="6"/>
  <c r="BB40" i="6"/>
  <c r="BE40" i="6"/>
  <c r="BG40" i="6"/>
  <c r="BH40" i="6"/>
  <c r="BJ40" i="6"/>
  <c r="BK40" i="6"/>
  <c r="BL40" i="6"/>
  <c r="BM40" i="6"/>
  <c r="BN40" i="6"/>
  <c r="BO40" i="6"/>
  <c r="BP40" i="6"/>
  <c r="BQ40" i="6"/>
  <c r="BQ43" i="6" s="1"/>
  <c r="BR40" i="6"/>
  <c r="BS40" i="6"/>
  <c r="BT40" i="6"/>
  <c r="BU40" i="6"/>
  <c r="BV40" i="6"/>
  <c r="BW40" i="6"/>
  <c r="BX40" i="6"/>
  <c r="BY40" i="6"/>
  <c r="BZ40" i="6"/>
  <c r="CA40" i="6"/>
  <c r="CB40" i="6"/>
  <c r="CC40" i="6"/>
  <c r="CD40" i="6"/>
  <c r="CE40" i="6"/>
  <c r="CF40" i="6"/>
  <c r="CG40" i="6"/>
  <c r="CH40" i="6"/>
  <c r="CI40" i="6"/>
  <c r="CJ40" i="6"/>
  <c r="CK40" i="6"/>
  <c r="CQ40" i="6"/>
  <c r="CP40" i="6" s="1"/>
  <c r="CR40" i="6"/>
  <c r="CS40" i="6"/>
  <c r="CU40" i="6"/>
  <c r="CW40" i="6"/>
  <c r="CX40" i="6"/>
  <c r="E41" i="6"/>
  <c r="F41" i="6"/>
  <c r="F43" i="6" s="1"/>
  <c r="F44" i="6" s="1"/>
  <c r="F46" i="6" s="1"/>
  <c r="G41" i="6"/>
  <c r="J41" i="6"/>
  <c r="K41" i="6"/>
  <c r="M41" i="6"/>
  <c r="N41" i="6"/>
  <c r="Q41" i="6"/>
  <c r="R41" i="6"/>
  <c r="S41" i="6"/>
  <c r="T41" i="6"/>
  <c r="P41" i="6" s="1"/>
  <c r="U41" i="6"/>
  <c r="V41" i="6"/>
  <c r="W41" i="6"/>
  <c r="AB41" i="6"/>
  <c r="AC41" i="6"/>
  <c r="AD41" i="6"/>
  <c r="AF41" i="6"/>
  <c r="AG41" i="6"/>
  <c r="AH41" i="6"/>
  <c r="AI41" i="6"/>
  <c r="AJ41" i="6"/>
  <c r="AK41" i="6"/>
  <c r="AL41" i="6"/>
  <c r="AN41" i="6"/>
  <c r="AO41" i="6"/>
  <c r="AO43" i="6" s="1"/>
  <c r="AO44" i="6" s="1"/>
  <c r="AO46" i="6" s="1"/>
  <c r="AP41" i="6"/>
  <c r="AQ41" i="6"/>
  <c r="AR41" i="6"/>
  <c r="AS41" i="6"/>
  <c r="AT41" i="6"/>
  <c r="AU41" i="6"/>
  <c r="AX41" i="6"/>
  <c r="AY41" i="6"/>
  <c r="BA41" i="6"/>
  <c r="BB41" i="6"/>
  <c r="BD41" i="6"/>
  <c r="BE41" i="6"/>
  <c r="BG41" i="6"/>
  <c r="BH41" i="6"/>
  <c r="BJ41" i="6"/>
  <c r="BJ43" i="6" s="1"/>
  <c r="BK41" i="6"/>
  <c r="BL41" i="6"/>
  <c r="BM41" i="6"/>
  <c r="BN41" i="6"/>
  <c r="BO41" i="6"/>
  <c r="BP41" i="6"/>
  <c r="BQ41" i="6"/>
  <c r="BR41" i="6"/>
  <c r="BS41" i="6"/>
  <c r="BT41" i="6"/>
  <c r="BU41" i="6"/>
  <c r="BV41" i="6"/>
  <c r="BW41" i="6"/>
  <c r="BX41" i="6"/>
  <c r="BY41" i="6"/>
  <c r="BZ41" i="6"/>
  <c r="BZ43" i="6" s="1"/>
  <c r="CA41" i="6"/>
  <c r="CB41" i="6"/>
  <c r="CC41" i="6"/>
  <c r="CD41" i="6"/>
  <c r="CE41" i="6"/>
  <c r="CF41" i="6"/>
  <c r="CG41" i="6"/>
  <c r="CH41" i="6"/>
  <c r="CI41" i="6"/>
  <c r="CJ41" i="6"/>
  <c r="CK41" i="6"/>
  <c r="CQ41" i="6"/>
  <c r="CR41" i="6"/>
  <c r="CS41" i="6"/>
  <c r="CU41" i="6"/>
  <c r="CW41" i="6"/>
  <c r="CX41" i="6"/>
  <c r="E42" i="6"/>
  <c r="D42" i="6" s="1"/>
  <c r="F42" i="6"/>
  <c r="G42" i="6"/>
  <c r="H42" i="6"/>
  <c r="I42" i="6"/>
  <c r="J42" i="6"/>
  <c r="K42" i="6"/>
  <c r="M42" i="6"/>
  <c r="N42" i="6"/>
  <c r="Q42" i="6"/>
  <c r="R42" i="6"/>
  <c r="S42" i="6"/>
  <c r="T42" i="6"/>
  <c r="U42" i="6"/>
  <c r="V42" i="6"/>
  <c r="W42" i="6"/>
  <c r="AB42" i="6"/>
  <c r="AC42" i="6"/>
  <c r="AD42" i="6"/>
  <c r="AF42" i="6"/>
  <c r="AG42" i="6"/>
  <c r="AH42" i="6"/>
  <c r="AI42" i="6"/>
  <c r="AJ42" i="6"/>
  <c r="AK42" i="6"/>
  <c r="AL42" i="6"/>
  <c r="AN42" i="6"/>
  <c r="AO42" i="6"/>
  <c r="AP42" i="6"/>
  <c r="AQ42" i="6"/>
  <c r="AR42" i="6"/>
  <c r="AS42" i="6"/>
  <c r="AT42" i="6"/>
  <c r="AT43" i="6" s="1"/>
  <c r="AT44" i="6" s="1"/>
  <c r="AT46" i="6" s="1"/>
  <c r="AU42" i="6"/>
  <c r="AX42" i="6"/>
  <c r="AY42" i="6"/>
  <c r="BA42" i="6"/>
  <c r="BB42" i="6"/>
  <c r="BE42" i="6"/>
  <c r="BG42" i="6"/>
  <c r="BF42" i="6" s="1"/>
  <c r="BH42" i="6"/>
  <c r="BJ42" i="6"/>
  <c r="BK42" i="6"/>
  <c r="BL42" i="6"/>
  <c r="BM42" i="6"/>
  <c r="BN42" i="6"/>
  <c r="BN43" i="6" s="1"/>
  <c r="BO42" i="6"/>
  <c r="BP42" i="6"/>
  <c r="BP43" i="6" s="1"/>
  <c r="BQ42" i="6"/>
  <c r="BR42" i="6"/>
  <c r="BS42" i="6"/>
  <c r="BT42" i="6"/>
  <c r="BT43" i="6" s="1"/>
  <c r="BT44" i="6" s="1"/>
  <c r="BT46" i="6" s="1"/>
  <c r="BU42" i="6"/>
  <c r="BV42" i="6"/>
  <c r="BW42" i="6"/>
  <c r="BX42" i="6"/>
  <c r="BY42" i="6"/>
  <c r="BZ42" i="6"/>
  <c r="CA42" i="6"/>
  <c r="CB42" i="6"/>
  <c r="CC42" i="6"/>
  <c r="CD42" i="6"/>
  <c r="CD43" i="6" s="1"/>
  <c r="CE42" i="6"/>
  <c r="CF42" i="6"/>
  <c r="CG42" i="6"/>
  <c r="CH42" i="6"/>
  <c r="CH43" i="6" s="1"/>
  <c r="CH44" i="6" s="1"/>
  <c r="CI42" i="6"/>
  <c r="CJ42" i="6"/>
  <c r="CK42" i="6"/>
  <c r="CO42" i="6"/>
  <c r="CQ42" i="6"/>
  <c r="CR42" i="6"/>
  <c r="CS42" i="6"/>
  <c r="CU42" i="6"/>
  <c r="CU43" i="6" s="1"/>
  <c r="CW42" i="6"/>
  <c r="CX42" i="6"/>
  <c r="CX43" i="6" s="1"/>
  <c r="H43" i="6"/>
  <c r="H44" i="6" s="1"/>
  <c r="H46" i="6" s="1"/>
  <c r="M43" i="6"/>
  <c r="O43" i="6"/>
  <c r="Q43" i="6"/>
  <c r="Q44" i="6" s="1"/>
  <c r="R43" i="6"/>
  <c r="S43" i="6"/>
  <c r="T43" i="6"/>
  <c r="U43" i="6"/>
  <c r="X43" i="6"/>
  <c r="Y43" i="6"/>
  <c r="Y44" i="6" s="1"/>
  <c r="Z43" i="6"/>
  <c r="Z44" i="6" s="1"/>
  <c r="AA43" i="6"/>
  <c r="AB43" i="6"/>
  <c r="AC43" i="6"/>
  <c r="AC44" i="6" s="1"/>
  <c r="AD43" i="6"/>
  <c r="AH43" i="6"/>
  <c r="AJ43" i="6"/>
  <c r="AJ44" i="6" s="1"/>
  <c r="AJ46" i="6" s="1"/>
  <c r="AL43" i="6"/>
  <c r="AN43" i="6"/>
  <c r="AN44" i="6" s="1"/>
  <c r="AV43" i="6"/>
  <c r="AW43" i="6"/>
  <c r="AZ43" i="6"/>
  <c r="BB43" i="6"/>
  <c r="BE43" i="6"/>
  <c r="BE44" i="6" s="1"/>
  <c r="BE46" i="6" s="1"/>
  <c r="BU43" i="6"/>
  <c r="BU44" i="6" s="1"/>
  <c r="BU46" i="6" s="1"/>
  <c r="CE43" i="6"/>
  <c r="CI43" i="6"/>
  <c r="CM43" i="6"/>
  <c r="CN43" i="6"/>
  <c r="CO43" i="6"/>
  <c r="CO44" i="6" s="1"/>
  <c r="CO46" i="6" s="1"/>
  <c r="CQ43" i="6"/>
  <c r="CT43" i="6"/>
  <c r="O44" i="6"/>
  <c r="R44" i="6"/>
  <c r="R46" i="6" s="1"/>
  <c r="S44" i="6"/>
  <c r="T44" i="6"/>
  <c r="U44" i="6"/>
  <c r="AA44" i="6"/>
  <c r="AL44" i="6"/>
  <c r="AM44" i="6"/>
  <c r="AM46" i="6" s="1"/>
  <c r="AW44" i="6"/>
  <c r="CM44" i="6"/>
  <c r="CN44" i="6"/>
  <c r="CN46" i="6" s="1"/>
  <c r="CT44" i="6"/>
  <c r="G45" i="6"/>
  <c r="J45" i="6"/>
  <c r="K45" i="6"/>
  <c r="R45" i="6"/>
  <c r="S45" i="6"/>
  <c r="T45" i="6"/>
  <c r="T46" i="6" s="1"/>
  <c r="U45" i="6"/>
  <c r="Y45" i="6"/>
  <c r="AL45" i="6"/>
  <c r="AN45" i="6"/>
  <c r="AO45" i="6"/>
  <c r="AP45" i="6"/>
  <c r="AQ45" i="6"/>
  <c r="AR45" i="6"/>
  <c r="AS45" i="6"/>
  <c r="AT45" i="6"/>
  <c r="BC45" i="6"/>
  <c r="U46" i="6"/>
  <c r="AL46" i="6"/>
  <c r="AW46" i="6"/>
  <c r="AR44" i="6" l="1"/>
  <c r="AR46" i="6" s="1"/>
  <c r="AN46" i="6"/>
  <c r="D45" i="6"/>
  <c r="CW43" i="6"/>
  <c r="CW44" i="6" s="1"/>
  <c r="CW46" i="6" s="1"/>
  <c r="S46" i="6"/>
  <c r="P42" i="6"/>
  <c r="CK43" i="6"/>
  <c r="CK44" i="6" s="1"/>
  <c r="CK46" i="6" s="1"/>
  <c r="CG43" i="6"/>
  <c r="CG44" i="6" s="1"/>
  <c r="CC43" i="6"/>
  <c r="CC44" i="6" s="1"/>
  <c r="CC46" i="6" s="1"/>
  <c r="BY43" i="6"/>
  <c r="BY44" i="6" s="1"/>
  <c r="BY46" i="6" s="1"/>
  <c r="BM43" i="6"/>
  <c r="BM44" i="6" s="1"/>
  <c r="BM46" i="6" s="1"/>
  <c r="CR43" i="6"/>
  <c r="BF40" i="6"/>
  <c r="BC40" i="6" s="1"/>
  <c r="D40" i="6"/>
  <c r="BH43" i="6"/>
  <c r="I39" i="6"/>
  <c r="AB44" i="6"/>
  <c r="CV36" i="6"/>
  <c r="CV35" i="6"/>
  <c r="CP34" i="6"/>
  <c r="CL34" i="6" s="1"/>
  <c r="BI34" i="6"/>
  <c r="I34" i="6"/>
  <c r="CP33" i="6"/>
  <c r="CL33" i="6" s="1"/>
  <c r="CP32" i="6"/>
  <c r="BX43" i="6"/>
  <c r="V43" i="6"/>
  <c r="CS43" i="6"/>
  <c r="CJ43" i="6"/>
  <c r="CJ44" i="6" s="1"/>
  <c r="CJ46" i="6" s="1"/>
  <c r="CF43" i="6"/>
  <c r="CB43" i="6"/>
  <c r="CB44" i="6" s="1"/>
  <c r="CB46" i="6" s="1"/>
  <c r="BL43" i="6"/>
  <c r="N43" i="6"/>
  <c r="N44" i="6" s="1"/>
  <c r="BP44" i="6"/>
  <c r="BP46" i="6" s="1"/>
  <c r="CD44" i="6"/>
  <c r="CD46" i="6" s="1"/>
  <c r="BZ44" i="6"/>
  <c r="BZ46" i="6" s="1"/>
  <c r="BN44" i="6"/>
  <c r="BN46" i="6" s="1"/>
  <c r="AE36" i="6"/>
  <c r="AY37" i="6"/>
  <c r="AE33" i="6"/>
  <c r="Y46" i="6"/>
  <c r="CV42" i="6"/>
  <c r="AS43" i="6"/>
  <c r="AS44" i="6" s="1"/>
  <c r="AS46" i="6" s="1"/>
  <c r="AE41" i="6"/>
  <c r="BI40" i="6"/>
  <c r="CV39" i="6"/>
  <c r="AR43" i="6"/>
  <c r="AE39" i="6"/>
  <c r="AD37" i="6"/>
  <c r="AD44" i="6" s="1"/>
  <c r="AD46" i="6" s="1"/>
  <c r="V37" i="6"/>
  <c r="AE45" i="6"/>
  <c r="L45" i="6" s="1"/>
  <c r="BI42" i="6"/>
  <c r="CP41" i="6"/>
  <c r="D41" i="6"/>
  <c r="BQ44" i="6"/>
  <c r="BQ46" i="6" s="1"/>
  <c r="BA43" i="6"/>
  <c r="BA44" i="6" s="1"/>
  <c r="BA46" i="6" s="1"/>
  <c r="AP43" i="6"/>
  <c r="AP44" i="6" s="1"/>
  <c r="AP46" i="6" s="1"/>
  <c r="AK43" i="6"/>
  <c r="AK44" i="6" s="1"/>
  <c r="AK46" i="6" s="1"/>
  <c r="AG43" i="6"/>
  <c r="AG44" i="6" s="1"/>
  <c r="AG46" i="6" s="1"/>
  <c r="P40" i="6"/>
  <c r="CP39" i="6"/>
  <c r="BV43" i="6"/>
  <c r="BV44" i="6" s="1"/>
  <c r="BV46" i="6" s="1"/>
  <c r="BR43" i="6"/>
  <c r="BR44" i="6" s="1"/>
  <c r="BR46" i="6" s="1"/>
  <c r="E43" i="6"/>
  <c r="E44" i="6" s="1"/>
  <c r="E46" i="6" s="1"/>
  <c r="G37" i="6"/>
  <c r="W37" i="6"/>
  <c r="AE34" i="6"/>
  <c r="P31" i="6"/>
  <c r="L31" i="6" s="1"/>
  <c r="BI30" i="6"/>
  <c r="AE30" i="6"/>
  <c r="P30" i="6"/>
  <c r="BI29" i="6"/>
  <c r="BC29" i="6" s="1"/>
  <c r="BF29" i="6"/>
  <c r="P27" i="6"/>
  <c r="I27" i="6"/>
  <c r="BF26" i="6"/>
  <c r="BC26" i="6" s="1"/>
  <c r="P26" i="6"/>
  <c r="BI25" i="6"/>
  <c r="P25" i="6"/>
  <c r="I25" i="6"/>
  <c r="CV24" i="6"/>
  <c r="CP24" i="6"/>
  <c r="BI24" i="6"/>
  <c r="AE24" i="6"/>
  <c r="L24" i="6" s="1"/>
  <c r="C24" i="6" s="1"/>
  <c r="BI23" i="6"/>
  <c r="AE23" i="6"/>
  <c r="I22" i="6"/>
  <c r="CV21" i="6"/>
  <c r="CP21" i="6"/>
  <c r="CV19" i="6"/>
  <c r="CP18" i="6"/>
  <c r="CL18" i="6" s="1"/>
  <c r="BI18" i="6"/>
  <c r="CV16" i="6"/>
  <c r="CP15" i="6"/>
  <c r="CL15" i="6" s="1"/>
  <c r="BI15" i="6"/>
  <c r="AE14" i="6"/>
  <c r="L14" i="6" s="1"/>
  <c r="C14" i="6" s="1"/>
  <c r="P14" i="6"/>
  <c r="AE11" i="6"/>
  <c r="P28" i="6"/>
  <c r="BC27" i="6"/>
  <c r="AE26" i="6"/>
  <c r="P23" i="6"/>
  <c r="BI21" i="6"/>
  <c r="P21" i="6"/>
  <c r="BI20" i="6"/>
  <c r="AE20" i="6"/>
  <c r="CL19" i="6"/>
  <c r="BI19" i="6"/>
  <c r="AE19" i="6"/>
  <c r="AE17" i="6"/>
  <c r="CL16" i="6"/>
  <c r="BI16" i="6"/>
  <c r="AE16" i="6"/>
  <c r="BI13" i="6"/>
  <c r="BI12" i="6"/>
  <c r="BC12" i="6" s="1"/>
  <c r="CL11" i="6"/>
  <c r="BI10" i="6"/>
  <c r="CL9" i="6"/>
  <c r="CP7" i="6"/>
  <c r="CL7" i="6" s="1"/>
  <c r="CP6" i="6"/>
  <c r="CP31" i="6"/>
  <c r="AE29" i="6"/>
  <c r="L29" i="6" s="1"/>
  <c r="CP28" i="6"/>
  <c r="AE28" i="6"/>
  <c r="CP26" i="6"/>
  <c r="CL26" i="6" s="1"/>
  <c r="BI26" i="6"/>
  <c r="AE25" i="6"/>
  <c r="D25" i="6"/>
  <c r="P24" i="6"/>
  <c r="BF23" i="6"/>
  <c r="BC23" i="6" s="1"/>
  <c r="AE22" i="6"/>
  <c r="D22" i="6"/>
  <c r="BF21" i="6"/>
  <c r="D20" i="6"/>
  <c r="P19" i="6"/>
  <c r="I19" i="6"/>
  <c r="BF18" i="6"/>
  <c r="P18" i="6"/>
  <c r="L18" i="6" s="1"/>
  <c r="BI17" i="6"/>
  <c r="D17" i="6"/>
  <c r="P16" i="6"/>
  <c r="I16" i="6"/>
  <c r="BF15" i="6"/>
  <c r="BC15" i="6" s="1"/>
  <c r="P15" i="6"/>
  <c r="BI14" i="6"/>
  <c r="AE13" i="6"/>
  <c r="L13" i="6" s="1"/>
  <c r="C13" i="6" s="1"/>
  <c r="AE12" i="6"/>
  <c r="AE10" i="6"/>
  <c r="BI6" i="6"/>
  <c r="P36" i="6"/>
  <c r="L36" i="6" s="1"/>
  <c r="D36" i="6"/>
  <c r="P35" i="6"/>
  <c r="I35" i="6"/>
  <c r="P34" i="6"/>
  <c r="L34" i="6" s="1"/>
  <c r="C34" i="6" s="1"/>
  <c r="BI33" i="6"/>
  <c r="BI32" i="6"/>
  <c r="AE32" i="6"/>
  <c r="I31" i="6"/>
  <c r="CV30" i="6"/>
  <c r="CP30" i="6"/>
  <c r="I30" i="6"/>
  <c r="CV29" i="6"/>
  <c r="CL29" i="6" s="1"/>
  <c r="CP29" i="6"/>
  <c r="P29" i="6"/>
  <c r="CV28" i="6"/>
  <c r="BI28" i="6"/>
  <c r="BC28" i="6" s="1"/>
  <c r="BI27" i="6"/>
  <c r="AE27" i="6"/>
  <c r="I26" i="6"/>
  <c r="CV25" i="6"/>
  <c r="CL25" i="6" s="1"/>
  <c r="CP25" i="6"/>
  <c r="CV23" i="6"/>
  <c r="CP22" i="6"/>
  <c r="CL22" i="6" s="1"/>
  <c r="BI22" i="6"/>
  <c r="BC22" i="6" s="1"/>
  <c r="AE21" i="6"/>
  <c r="D21" i="6"/>
  <c r="P20" i="6"/>
  <c r="BF19" i="6"/>
  <c r="AE18" i="6"/>
  <c r="D18" i="6"/>
  <c r="BF17" i="6"/>
  <c r="BC17" i="6" s="1"/>
  <c r="P17" i="6"/>
  <c r="BF16" i="6"/>
  <c r="AE15" i="6"/>
  <c r="D15" i="6"/>
  <c r="C15" i="6" s="1"/>
  <c r="BF14" i="6"/>
  <c r="CP13" i="6"/>
  <c r="CL13" i="6" s="1"/>
  <c r="I13" i="6"/>
  <c r="CV12" i="6"/>
  <c r="CP12" i="6"/>
  <c r="I12" i="6"/>
  <c r="BI11" i="6"/>
  <c r="BF11" i="6"/>
  <c r="P11" i="6"/>
  <c r="CP10" i="6"/>
  <c r="CL10" i="6" s="1"/>
  <c r="I10" i="6"/>
  <c r="BI9" i="6"/>
  <c r="BF9" i="6"/>
  <c r="AE9" i="6"/>
  <c r="P9" i="6"/>
  <c r="L9" i="6" s="1"/>
  <c r="D9" i="6"/>
  <c r="BI8" i="6"/>
  <c r="BF8" i="6"/>
  <c r="AE8" i="6"/>
  <c r="L8" i="6" s="1"/>
  <c r="P8" i="6"/>
  <c r="D8" i="6"/>
  <c r="BI7" i="6"/>
  <c r="BF7" i="6"/>
  <c r="AE7" i="6"/>
  <c r="D7" i="6"/>
  <c r="BF6" i="6"/>
  <c r="AE6" i="6"/>
  <c r="L6" i="6" s="1"/>
  <c r="D6" i="6"/>
  <c r="CV43" i="6"/>
  <c r="CL39" i="6"/>
  <c r="CR44" i="6"/>
  <c r="CF44" i="6"/>
  <c r="CF46" i="6" s="1"/>
  <c r="BX44" i="6"/>
  <c r="BX46" i="6" s="1"/>
  <c r="BL44" i="6"/>
  <c r="BL46" i="6" s="1"/>
  <c r="CS44" i="6"/>
  <c r="CS46" i="6" s="1"/>
  <c r="BH44" i="6"/>
  <c r="BH46" i="6" s="1"/>
  <c r="L41" i="6"/>
  <c r="BF43" i="6"/>
  <c r="P43" i="6"/>
  <c r="V44" i="6"/>
  <c r="BD43" i="6"/>
  <c r="BD44" i="6" s="1"/>
  <c r="BD46" i="6" s="1"/>
  <c r="J43" i="6"/>
  <c r="J44" i="6" s="1"/>
  <c r="J46" i="6" s="1"/>
  <c r="CP42" i="6"/>
  <c r="CL42" i="6" s="1"/>
  <c r="CV41" i="6"/>
  <c r="CL41" i="6" s="1"/>
  <c r="BF41" i="6"/>
  <c r="BC41" i="6" s="1"/>
  <c r="AU43" i="6"/>
  <c r="W43" i="6"/>
  <c r="W44" i="6" s="1"/>
  <c r="D39" i="6"/>
  <c r="AF43" i="6"/>
  <c r="AF44" i="6" s="1"/>
  <c r="CV40" i="6"/>
  <c r="CL40" i="6" s="1"/>
  <c r="G43" i="6"/>
  <c r="G44" i="6" s="1"/>
  <c r="G46" i="6" s="1"/>
  <c r="CA43" i="6"/>
  <c r="BW43" i="6"/>
  <c r="BS43" i="6"/>
  <c r="BO43" i="6"/>
  <c r="BK43" i="6"/>
  <c r="L39" i="6"/>
  <c r="CX37" i="6"/>
  <c r="CX44" i="6" s="1"/>
  <c r="CX46" i="6" s="1"/>
  <c r="CP36" i="6"/>
  <c r="BC36" i="6"/>
  <c r="CI37" i="6"/>
  <c r="CI44" i="6" s="1"/>
  <c r="CI46" i="6" s="1"/>
  <c r="CE37" i="6"/>
  <c r="CE44" i="6" s="1"/>
  <c r="CE46" i="6" s="1"/>
  <c r="CA37" i="6"/>
  <c r="CA44" i="6" s="1"/>
  <c r="CA46" i="6" s="1"/>
  <c r="BW37" i="6"/>
  <c r="BW44" i="6" s="1"/>
  <c r="BW46" i="6" s="1"/>
  <c r="BS37" i="6"/>
  <c r="BS44" i="6" s="1"/>
  <c r="BS46" i="6" s="1"/>
  <c r="BO37" i="6"/>
  <c r="BO44" i="6" s="1"/>
  <c r="BO46" i="6" s="1"/>
  <c r="BK37" i="6"/>
  <c r="BK44" i="6" s="1"/>
  <c r="BK46" i="6" s="1"/>
  <c r="AE42" i="6"/>
  <c r="L42" i="6" s="1"/>
  <c r="C42" i="6" s="1"/>
  <c r="BI41" i="6"/>
  <c r="BI39" i="6"/>
  <c r="BI43" i="6" s="1"/>
  <c r="K43" i="6"/>
  <c r="BI36" i="6"/>
  <c r="M37" i="6"/>
  <c r="M44" i="6" s="1"/>
  <c r="BI35" i="6"/>
  <c r="BC35" i="6"/>
  <c r="AU37" i="6"/>
  <c r="AU44" i="6" s="1"/>
  <c r="AU46" i="6" s="1"/>
  <c r="AQ37" i="6"/>
  <c r="AQ44" i="6" s="1"/>
  <c r="AQ46" i="6" s="1"/>
  <c r="I41" i="6"/>
  <c r="I43" i="6" s="1"/>
  <c r="AY43" i="6"/>
  <c r="AY44" i="6" s="1"/>
  <c r="AY46" i="6" s="1"/>
  <c r="AE40" i="6"/>
  <c r="AE43" i="6" s="1"/>
  <c r="CL35" i="6"/>
  <c r="AE35" i="6"/>
  <c r="L35" i="6" s="1"/>
  <c r="C35" i="6" s="1"/>
  <c r="BC34" i="6"/>
  <c r="BC33" i="6"/>
  <c r="BC42" i="6"/>
  <c r="BG43" i="6"/>
  <c r="AQ43" i="6"/>
  <c r="AI43" i="6"/>
  <c r="BJ37" i="6"/>
  <c r="BJ44" i="6" s="1"/>
  <c r="BJ46" i="6" s="1"/>
  <c r="CU37" i="6"/>
  <c r="CU44" i="6" s="1"/>
  <c r="CU46" i="6" s="1"/>
  <c r="CQ37" i="6"/>
  <c r="CQ44" i="6" s="1"/>
  <c r="BG37" i="6"/>
  <c r="AI37" i="6"/>
  <c r="K37" i="6"/>
  <c r="K44" i="6" s="1"/>
  <c r="K46" i="6" s="1"/>
  <c r="D33" i="6"/>
  <c r="BI31" i="6"/>
  <c r="BC30" i="6"/>
  <c r="L30" i="6"/>
  <c r="C30" i="6" s="1"/>
  <c r="L25" i="6"/>
  <c r="CL24" i="6"/>
  <c r="BC24" i="6"/>
  <c r="CL23" i="6"/>
  <c r="CL21" i="6"/>
  <c r="BC19" i="6"/>
  <c r="L19" i="6"/>
  <c r="C19" i="6" s="1"/>
  <c r="BC16" i="6"/>
  <c r="L16" i="6"/>
  <c r="C16" i="6" s="1"/>
  <c r="BC14" i="6"/>
  <c r="BC9" i="6"/>
  <c r="BC8" i="6"/>
  <c r="BC7" i="6"/>
  <c r="BC6" i="6"/>
  <c r="CL32" i="6"/>
  <c r="CL31" i="6"/>
  <c r="AE31" i="6"/>
  <c r="L26" i="6"/>
  <c r="CL20" i="6"/>
  <c r="BC20" i="6"/>
  <c r="L20" i="6"/>
  <c r="CL17" i="6"/>
  <c r="L17" i="6"/>
  <c r="CL14" i="6"/>
  <c r="BC13" i="6"/>
  <c r="L12" i="6"/>
  <c r="BC10" i="6"/>
  <c r="L10" i="6"/>
  <c r="C10" i="6" s="1"/>
  <c r="CL8" i="6"/>
  <c r="CL6" i="6"/>
  <c r="P33" i="6"/>
  <c r="L33" i="6" s="1"/>
  <c r="P32" i="6"/>
  <c r="CL28" i="6"/>
  <c r="L27" i="6"/>
  <c r="C27" i="6" s="1"/>
  <c r="BC25" i="6"/>
  <c r="L22" i="6"/>
  <c r="BC32" i="6"/>
  <c r="CL30" i="6"/>
  <c r="L28" i="6"/>
  <c r="C28" i="6" s="1"/>
  <c r="CL27" i="6"/>
  <c r="L23" i="6"/>
  <c r="C23" i="6" s="1"/>
  <c r="BC21" i="6"/>
  <c r="L15" i="6"/>
  <c r="CL12" i="6"/>
  <c r="BC11" i="6"/>
  <c r="L11" i="6"/>
  <c r="C11" i="6" s="1"/>
  <c r="L7" i="6"/>
  <c r="CA39" i="5"/>
  <c r="CA40" i="5"/>
  <c r="CA41" i="5"/>
  <c r="CA38" i="5"/>
  <c r="CA42" i="5" s="1"/>
  <c r="CB42" i="5"/>
  <c r="CA6" i="5"/>
  <c r="CA7" i="5"/>
  <c r="CA8" i="5"/>
  <c r="CA9" i="5"/>
  <c r="CA10" i="5"/>
  <c r="CA11" i="5"/>
  <c r="CA12" i="5"/>
  <c r="CA13" i="5"/>
  <c r="CA14" i="5"/>
  <c r="CA15" i="5"/>
  <c r="CA16" i="5"/>
  <c r="CA17" i="5"/>
  <c r="CA18" i="5"/>
  <c r="CA19" i="5"/>
  <c r="CA20" i="5"/>
  <c r="CA21" i="5"/>
  <c r="CA22" i="5"/>
  <c r="CA23" i="5"/>
  <c r="CA24" i="5"/>
  <c r="CA25" i="5"/>
  <c r="CA26" i="5"/>
  <c r="CA27" i="5"/>
  <c r="CA28" i="5"/>
  <c r="CA29" i="5"/>
  <c r="CA30" i="5"/>
  <c r="CA31" i="5"/>
  <c r="CA32" i="5"/>
  <c r="CA33" i="5"/>
  <c r="CA34" i="5"/>
  <c r="CA35" i="5"/>
  <c r="CA5" i="5"/>
  <c r="CB36" i="5"/>
  <c r="C29" i="6" l="1"/>
  <c r="C12" i="6"/>
  <c r="C26" i="6"/>
  <c r="P37" i="6"/>
  <c r="P44" i="6" s="1"/>
  <c r="P46" i="6" s="1"/>
  <c r="AE37" i="6"/>
  <c r="CP43" i="6"/>
  <c r="C7" i="6"/>
  <c r="C8" i="6"/>
  <c r="C17" i="6"/>
  <c r="C22" i="6"/>
  <c r="C25" i="6"/>
  <c r="C45" i="6"/>
  <c r="C6" i="6"/>
  <c r="C9" i="6"/>
  <c r="CV37" i="6"/>
  <c r="CV44" i="6" s="1"/>
  <c r="CV46" i="6" s="1"/>
  <c r="L21" i="6"/>
  <c r="I37" i="6"/>
  <c r="I44" i="6" s="1"/>
  <c r="I46" i="6" s="1"/>
  <c r="C40" i="6"/>
  <c r="C33" i="6"/>
  <c r="C20" i="6"/>
  <c r="C41" i="6"/>
  <c r="CL43" i="6"/>
  <c r="BF37" i="6"/>
  <c r="BF44" i="6" s="1"/>
  <c r="BF46" i="6" s="1"/>
  <c r="C18" i="6"/>
  <c r="C21" i="6"/>
  <c r="BC18" i="6"/>
  <c r="BC31" i="6"/>
  <c r="C31" i="6" s="1"/>
  <c r="BI37" i="6"/>
  <c r="BI44" i="6" s="1"/>
  <c r="BI46" i="6" s="1"/>
  <c r="CP37" i="6"/>
  <c r="CP44" i="6" s="1"/>
  <c r="CP46" i="6" s="1"/>
  <c r="CL36" i="6"/>
  <c r="C36" i="6" s="1"/>
  <c r="L40" i="6"/>
  <c r="BC37" i="6"/>
  <c r="BC44" i="6" s="1"/>
  <c r="BC46" i="6" s="1"/>
  <c r="D37" i="6"/>
  <c r="BG44" i="6"/>
  <c r="BG46" i="6" s="1"/>
  <c r="L43" i="6"/>
  <c r="L32" i="6"/>
  <c r="C32" i="6" s="1"/>
  <c r="AE44" i="6"/>
  <c r="AE46" i="6" s="1"/>
  <c r="D43" i="6"/>
  <c r="BC39" i="6"/>
  <c r="BC43" i="6" s="1"/>
  <c r="AI44" i="6"/>
  <c r="AI46" i="6" s="1"/>
  <c r="CA36" i="5"/>
  <c r="CA43" i="5" s="1"/>
  <c r="CA45" i="5" s="1"/>
  <c r="CB43" i="5"/>
  <c r="CB45" i="5" s="1"/>
  <c r="L37" i="6" l="1"/>
  <c r="C39" i="6"/>
  <c r="C43" i="6" s="1"/>
  <c r="C37" i="6"/>
  <c r="CL37" i="6"/>
  <c r="CL44" i="6" s="1"/>
  <c r="CL46" i="6" s="1"/>
  <c r="L44" i="6"/>
  <c r="L46" i="6" s="1"/>
  <c r="D44" i="6"/>
  <c r="D46" i="6" s="1"/>
  <c r="BO39" i="5"/>
  <c r="BO40" i="5"/>
  <c r="BO41" i="5"/>
  <c r="BO38" i="5"/>
  <c r="BO6" i="5"/>
  <c r="BO7" i="5"/>
  <c r="BO8" i="5"/>
  <c r="BO9" i="5"/>
  <c r="BO10" i="5"/>
  <c r="BO11" i="5"/>
  <c r="BO12" i="5"/>
  <c r="BO13" i="5"/>
  <c r="BO14" i="5"/>
  <c r="BO15" i="5"/>
  <c r="BO16" i="5"/>
  <c r="BO17" i="5"/>
  <c r="BO18" i="5"/>
  <c r="BO19" i="5"/>
  <c r="BO20" i="5"/>
  <c r="BO21" i="5"/>
  <c r="BO22" i="5"/>
  <c r="BO23" i="5"/>
  <c r="BO24" i="5"/>
  <c r="BO25" i="5"/>
  <c r="BO26" i="5"/>
  <c r="BO27" i="5"/>
  <c r="BO28" i="5"/>
  <c r="BO29" i="5"/>
  <c r="BO30" i="5"/>
  <c r="BO31" i="5"/>
  <c r="BO32" i="5"/>
  <c r="BO33" i="5"/>
  <c r="BO34" i="5"/>
  <c r="BO35" i="5"/>
  <c r="BO5" i="5"/>
  <c r="C44" i="6" l="1"/>
  <c r="C46" i="6" s="1"/>
  <c r="CF25" i="5"/>
  <c r="CF23" i="5"/>
  <c r="CF12" i="5"/>
  <c r="CF10" i="5"/>
  <c r="AQ13" i="5" l="1"/>
  <c r="AO9" i="5"/>
  <c r="AO16" i="5"/>
  <c r="Y26" i="5"/>
  <c r="Y8" i="5"/>
  <c r="Q39" i="5"/>
  <c r="Q40" i="5"/>
  <c r="Q41" i="5"/>
  <c r="Q38" i="5"/>
  <c r="R42" i="5"/>
  <c r="R36" i="5"/>
  <c r="Q6" i="5"/>
  <c r="Q7" i="5"/>
  <c r="Q8" i="5"/>
  <c r="Q9" i="5"/>
  <c r="Q10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5" i="5"/>
  <c r="Q36" i="5" l="1"/>
  <c r="R43" i="5"/>
  <c r="R45" i="5" s="1"/>
  <c r="Q42" i="5"/>
  <c r="Q43" i="5" s="1"/>
  <c r="Q45" i="5" s="1"/>
  <c r="BV6" i="5"/>
  <c r="BV7" i="5"/>
  <c r="BV8" i="5"/>
  <c r="BV9" i="5"/>
  <c r="BV10" i="5"/>
  <c r="BV11" i="5"/>
  <c r="BV5" i="5"/>
  <c r="BV39" i="5"/>
  <c r="BV40" i="5"/>
  <c r="BV41" i="5"/>
  <c r="BV38" i="5"/>
  <c r="BV12" i="5"/>
  <c r="BV13" i="5"/>
  <c r="BV14" i="5"/>
  <c r="BV15" i="5"/>
  <c r="BV16" i="5"/>
  <c r="BV17" i="5"/>
  <c r="BV18" i="5"/>
  <c r="BV19" i="5"/>
  <c r="BV20" i="5"/>
  <c r="BV21" i="5"/>
  <c r="BV22" i="5"/>
  <c r="BV23" i="5"/>
  <c r="BV24" i="5"/>
  <c r="BV25" i="5"/>
  <c r="BV26" i="5"/>
  <c r="BV27" i="5"/>
  <c r="BV28" i="5"/>
  <c r="BV29" i="5"/>
  <c r="BV30" i="5"/>
  <c r="BV31" i="5"/>
  <c r="BV32" i="5"/>
  <c r="BV33" i="5"/>
  <c r="BV34" i="5"/>
  <c r="BV35" i="5"/>
  <c r="BW42" i="5"/>
  <c r="BW36" i="5"/>
  <c r="BN44" i="5"/>
  <c r="BQ42" i="5"/>
  <c r="BQ36" i="5"/>
  <c r="BV42" i="5" l="1"/>
  <c r="BV36" i="5"/>
  <c r="BV43" i="5" s="1"/>
  <c r="BV45" i="5" s="1"/>
  <c r="BQ43" i="5"/>
  <c r="BQ45" i="5" s="1"/>
  <c r="BW43" i="5"/>
  <c r="BW45" i="5" s="1"/>
  <c r="BT39" i="5"/>
  <c r="BT40" i="5"/>
  <c r="BT41" i="5"/>
  <c r="BT38" i="5"/>
  <c r="BT6" i="5"/>
  <c r="BT7" i="5"/>
  <c r="BT8" i="5"/>
  <c r="BT9" i="5"/>
  <c r="BT10" i="5"/>
  <c r="BT11" i="5"/>
  <c r="BT12" i="5"/>
  <c r="BT13" i="5"/>
  <c r="BT14" i="5"/>
  <c r="BT15" i="5"/>
  <c r="BT16" i="5"/>
  <c r="BT17" i="5"/>
  <c r="BT18" i="5"/>
  <c r="BT19" i="5"/>
  <c r="BT20" i="5"/>
  <c r="BT21" i="5"/>
  <c r="BT22" i="5"/>
  <c r="BT23" i="5"/>
  <c r="BT24" i="5"/>
  <c r="BT25" i="5"/>
  <c r="BT26" i="5"/>
  <c r="BT27" i="5"/>
  <c r="BT28" i="5"/>
  <c r="BT29" i="5"/>
  <c r="BT30" i="5"/>
  <c r="BT31" i="5"/>
  <c r="BT32" i="5"/>
  <c r="BT33" i="5"/>
  <c r="BT34" i="5"/>
  <c r="BT35" i="5"/>
  <c r="BT5" i="5"/>
  <c r="BU42" i="5"/>
  <c r="BU36" i="5"/>
  <c r="CH42" i="5"/>
  <c r="CH36" i="5"/>
  <c r="EK39" i="5"/>
  <c r="EK40" i="5"/>
  <c r="EK41" i="5"/>
  <c r="EK38" i="5"/>
  <c r="EK6" i="5"/>
  <c r="EK7" i="5"/>
  <c r="EK8" i="5"/>
  <c r="EK9" i="5"/>
  <c r="EK10" i="5"/>
  <c r="EK11" i="5"/>
  <c r="EK12" i="5"/>
  <c r="EK13" i="5"/>
  <c r="EK14" i="5"/>
  <c r="EK15" i="5"/>
  <c r="EK16" i="5"/>
  <c r="EK17" i="5"/>
  <c r="EK18" i="5"/>
  <c r="EK19" i="5"/>
  <c r="EK20" i="5"/>
  <c r="EK21" i="5"/>
  <c r="EK22" i="5"/>
  <c r="EK23" i="5"/>
  <c r="EK24" i="5"/>
  <c r="EK25" i="5"/>
  <c r="EK26" i="5"/>
  <c r="EK27" i="5"/>
  <c r="EK28" i="5"/>
  <c r="EK29" i="5"/>
  <c r="EK30" i="5"/>
  <c r="EK31" i="5"/>
  <c r="EK32" i="5"/>
  <c r="EK33" i="5"/>
  <c r="EK34" i="5"/>
  <c r="EK35" i="5"/>
  <c r="EK5" i="5"/>
  <c r="EN42" i="5"/>
  <c r="EN36" i="5"/>
  <c r="EM42" i="5"/>
  <c r="EM36" i="5"/>
  <c r="EF39" i="5"/>
  <c r="EF40" i="5"/>
  <c r="EF41" i="5"/>
  <c r="EF38" i="5"/>
  <c r="EF6" i="5"/>
  <c r="EF7" i="5"/>
  <c r="EF8" i="5"/>
  <c r="EF9" i="5"/>
  <c r="EF10" i="5"/>
  <c r="EF11" i="5"/>
  <c r="EF12" i="5"/>
  <c r="EF13" i="5"/>
  <c r="EF14" i="5"/>
  <c r="EF15" i="5"/>
  <c r="EF16" i="5"/>
  <c r="EF17" i="5"/>
  <c r="EF18" i="5"/>
  <c r="EF19" i="5"/>
  <c r="EF20" i="5"/>
  <c r="EF21" i="5"/>
  <c r="EF22" i="5"/>
  <c r="EF23" i="5"/>
  <c r="EF24" i="5"/>
  <c r="EF25" i="5"/>
  <c r="EF26" i="5"/>
  <c r="EF27" i="5"/>
  <c r="EF28" i="5"/>
  <c r="EF29" i="5"/>
  <c r="EF30" i="5"/>
  <c r="EF31" i="5"/>
  <c r="EF32" i="5"/>
  <c r="EF33" i="5"/>
  <c r="EF34" i="5"/>
  <c r="EF35" i="5"/>
  <c r="EF5" i="5"/>
  <c r="EJ36" i="5"/>
  <c r="EJ43" i="5" s="1"/>
  <c r="EJ45" i="5" s="1"/>
  <c r="EI42" i="5"/>
  <c r="EJ42" i="5"/>
  <c r="EI36" i="5"/>
  <c r="EG42" i="5"/>
  <c r="EG36" i="5"/>
  <c r="EC16" i="5"/>
  <c r="EE42" i="5"/>
  <c r="EE36" i="5"/>
  <c r="DW16" i="5"/>
  <c r="DY42" i="5"/>
  <c r="DY36" i="5"/>
  <c r="DN39" i="5"/>
  <c r="DN40" i="5"/>
  <c r="DN41" i="5"/>
  <c r="DN38" i="5"/>
  <c r="DN6" i="5"/>
  <c r="DN7" i="5"/>
  <c r="DN8" i="5"/>
  <c r="DN9" i="5"/>
  <c r="DN10" i="5"/>
  <c r="DN11" i="5"/>
  <c r="DN12" i="5"/>
  <c r="DN13" i="5"/>
  <c r="DN14" i="5"/>
  <c r="DN15" i="5"/>
  <c r="DN16" i="5"/>
  <c r="DN17" i="5"/>
  <c r="DN18" i="5"/>
  <c r="DN19" i="5"/>
  <c r="DN20" i="5"/>
  <c r="DN21" i="5"/>
  <c r="DN22" i="5"/>
  <c r="DN23" i="5"/>
  <c r="DN24" i="5"/>
  <c r="DN25" i="5"/>
  <c r="DN26" i="5"/>
  <c r="DN27" i="5"/>
  <c r="DN28" i="5"/>
  <c r="DN29" i="5"/>
  <c r="DN30" i="5"/>
  <c r="DN31" i="5"/>
  <c r="DN32" i="5"/>
  <c r="DN33" i="5"/>
  <c r="DN34" i="5"/>
  <c r="DN35" i="5"/>
  <c r="DN5" i="5"/>
  <c r="DR42" i="5"/>
  <c r="DR36" i="5"/>
  <c r="DJ28" i="5"/>
  <c r="DC39" i="5"/>
  <c r="DC40" i="5"/>
  <c r="DC41" i="5"/>
  <c r="DC38" i="5"/>
  <c r="DC6" i="5"/>
  <c r="DC7" i="5"/>
  <c r="DC8" i="5"/>
  <c r="DC9" i="5"/>
  <c r="DC10" i="5"/>
  <c r="DC11" i="5"/>
  <c r="DC12" i="5"/>
  <c r="DC13" i="5"/>
  <c r="DC14" i="5"/>
  <c r="DC15" i="5"/>
  <c r="DC16" i="5"/>
  <c r="DC17" i="5"/>
  <c r="DC18" i="5"/>
  <c r="DC19" i="5"/>
  <c r="DC20" i="5"/>
  <c r="DC21" i="5"/>
  <c r="DC22" i="5"/>
  <c r="DC23" i="5"/>
  <c r="DC24" i="5"/>
  <c r="DC25" i="5"/>
  <c r="DC26" i="5"/>
  <c r="DC27" i="5"/>
  <c r="DC28" i="5"/>
  <c r="DC29" i="5"/>
  <c r="DC30" i="5"/>
  <c r="DC31" i="5"/>
  <c r="DC32" i="5"/>
  <c r="DC33" i="5"/>
  <c r="DC34" i="5"/>
  <c r="DC35" i="5"/>
  <c r="DC5" i="5"/>
  <c r="DD42" i="5"/>
  <c r="DD36" i="5"/>
  <c r="CU39" i="5"/>
  <c r="CU40" i="5"/>
  <c r="CU41" i="5"/>
  <c r="CU38" i="5"/>
  <c r="CU6" i="5"/>
  <c r="CU7" i="5"/>
  <c r="CU8" i="5"/>
  <c r="CU9" i="5"/>
  <c r="CU10" i="5"/>
  <c r="CU11" i="5"/>
  <c r="CU12" i="5"/>
  <c r="CU13" i="5"/>
  <c r="CU14" i="5"/>
  <c r="CU15" i="5"/>
  <c r="CU16" i="5"/>
  <c r="CU17" i="5"/>
  <c r="CU18" i="5"/>
  <c r="CU19" i="5"/>
  <c r="CU20" i="5"/>
  <c r="CU21" i="5"/>
  <c r="CU22" i="5"/>
  <c r="CU23" i="5"/>
  <c r="CU24" i="5"/>
  <c r="CU25" i="5"/>
  <c r="CU26" i="5"/>
  <c r="CU27" i="5"/>
  <c r="CU28" i="5"/>
  <c r="CU29" i="5"/>
  <c r="CU30" i="5"/>
  <c r="CU31" i="5"/>
  <c r="CU32" i="5"/>
  <c r="CU33" i="5"/>
  <c r="CU34" i="5"/>
  <c r="CU35" i="5"/>
  <c r="CU5" i="5"/>
  <c r="DB42" i="5"/>
  <c r="DB36" i="5"/>
  <c r="BH35" i="5"/>
  <c r="BC29" i="5"/>
  <c r="BC40" i="5"/>
  <c r="AS9" i="5"/>
  <c r="AS33" i="5"/>
  <c r="AS40" i="5"/>
  <c r="AR40" i="5"/>
  <c r="AQ23" i="5"/>
  <c r="AQ40" i="5"/>
  <c r="AP23" i="5"/>
  <c r="AP22" i="5"/>
  <c r="G39" i="5"/>
  <c r="G21" i="5"/>
  <c r="DZ29" i="5"/>
  <c r="EB42" i="5"/>
  <c r="EB36" i="5"/>
  <c r="DS42" i="5"/>
  <c r="DT42" i="5"/>
  <c r="DU42" i="5"/>
  <c r="DV42" i="5"/>
  <c r="DT36" i="5"/>
  <c r="DV36" i="5"/>
  <c r="DU28" i="5"/>
  <c r="DU36" i="5" s="1"/>
  <c r="DU43" i="5" s="1"/>
  <c r="DU45" i="5" s="1"/>
  <c r="DS28" i="5"/>
  <c r="DS36" i="5" s="1"/>
  <c r="DM42" i="5"/>
  <c r="DM36" i="5"/>
  <c r="DI13" i="5"/>
  <c r="DC42" i="5" l="1"/>
  <c r="BT42" i="5"/>
  <c r="EI43" i="5"/>
  <c r="EI45" i="5" s="1"/>
  <c r="DD43" i="5"/>
  <c r="DD45" i="5" s="1"/>
  <c r="DM43" i="5"/>
  <c r="DM45" i="5" s="1"/>
  <c r="DS43" i="5"/>
  <c r="DS45" i="5" s="1"/>
  <c r="EE43" i="5"/>
  <c r="EE45" i="5" s="1"/>
  <c r="DV43" i="5"/>
  <c r="DV45" i="5" s="1"/>
  <c r="BU43" i="5"/>
  <c r="BU45" i="5" s="1"/>
  <c r="EB43" i="5"/>
  <c r="EB45" i="5" s="1"/>
  <c r="DC36" i="5"/>
  <c r="DC43" i="5" s="1"/>
  <c r="DC45" i="5" s="1"/>
  <c r="BT36" i="5"/>
  <c r="BT43" i="5" s="1"/>
  <c r="BT45" i="5" s="1"/>
  <c r="DT43" i="5"/>
  <c r="DT45" i="5" s="1"/>
  <c r="CH43" i="5"/>
  <c r="CH45" i="5" s="1"/>
  <c r="EN43" i="5"/>
  <c r="EN45" i="5" s="1"/>
  <c r="EM43" i="5"/>
  <c r="EM45" i="5" s="1"/>
  <c r="EG43" i="5"/>
  <c r="EG45" i="5" s="1"/>
  <c r="DY43" i="5"/>
  <c r="DY45" i="5" s="1"/>
  <c r="DR43" i="5"/>
  <c r="DR45" i="5" s="1"/>
  <c r="DB43" i="5"/>
  <c r="DB45" i="5" s="1"/>
  <c r="DH13" i="5"/>
  <c r="CQ39" i="5"/>
  <c r="CQ40" i="5"/>
  <c r="CQ41" i="5"/>
  <c r="CQ38" i="5"/>
  <c r="CQ6" i="5"/>
  <c r="CQ7" i="5"/>
  <c r="CQ8" i="5"/>
  <c r="CQ9" i="5"/>
  <c r="CQ10" i="5"/>
  <c r="CQ11" i="5"/>
  <c r="CQ12" i="5"/>
  <c r="CQ13" i="5"/>
  <c r="CQ14" i="5"/>
  <c r="CQ15" i="5"/>
  <c r="CQ16" i="5"/>
  <c r="CQ17" i="5"/>
  <c r="CQ18" i="5"/>
  <c r="CQ19" i="5"/>
  <c r="CQ20" i="5"/>
  <c r="CQ21" i="5"/>
  <c r="CQ22" i="5"/>
  <c r="CQ23" i="5"/>
  <c r="CQ24" i="5"/>
  <c r="CQ25" i="5"/>
  <c r="CQ26" i="5"/>
  <c r="CQ27" i="5"/>
  <c r="CQ28" i="5"/>
  <c r="CQ29" i="5"/>
  <c r="CQ30" i="5"/>
  <c r="CQ31" i="5"/>
  <c r="CQ32" i="5"/>
  <c r="CQ33" i="5"/>
  <c r="CQ34" i="5"/>
  <c r="CQ35" i="5"/>
  <c r="CQ5" i="5"/>
  <c r="CS42" i="5"/>
  <c r="CT42" i="5"/>
  <c r="CS36" i="5"/>
  <c r="CT36" i="5"/>
  <c r="CT43" i="5" l="1"/>
  <c r="CT45" i="5" s="1"/>
  <c r="CS43" i="5"/>
  <c r="CS45" i="5" s="1"/>
  <c r="CD42" i="5"/>
  <c r="CD36" i="5"/>
  <c r="CD43" i="5" l="1"/>
  <c r="CD45" i="5" s="1"/>
  <c r="CI5" i="5" l="1"/>
  <c r="CI6" i="5"/>
  <c r="CI7" i="5"/>
  <c r="CI8" i="5"/>
  <c r="CI9" i="5"/>
  <c r="CI10" i="5"/>
  <c r="CI11" i="5"/>
  <c r="CI12" i="5"/>
  <c r="CI13" i="5"/>
  <c r="CI14" i="5"/>
  <c r="CI15" i="5"/>
  <c r="CI16" i="5"/>
  <c r="CI17" i="5"/>
  <c r="CI18" i="5"/>
  <c r="CI19" i="5"/>
  <c r="CI20" i="5"/>
  <c r="CI21" i="5"/>
  <c r="CI22" i="5"/>
  <c r="CI23" i="5"/>
  <c r="CI24" i="5"/>
  <c r="CI25" i="5"/>
  <c r="CI26" i="5"/>
  <c r="CI27" i="5"/>
  <c r="CI28" i="5"/>
  <c r="CI29" i="5"/>
  <c r="CI30" i="5"/>
  <c r="CI31" i="5"/>
  <c r="CI32" i="5"/>
  <c r="CI33" i="5"/>
  <c r="CI34" i="5"/>
  <c r="CI35" i="5"/>
  <c r="CI38" i="5"/>
  <c r="CI39" i="5"/>
  <c r="CI40" i="5"/>
  <c r="CI41" i="5"/>
  <c r="BK21" i="5"/>
  <c r="BF39" i="5"/>
  <c r="BF40" i="5"/>
  <c r="BF41" i="5"/>
  <c r="BF38" i="5"/>
  <c r="BF6" i="5"/>
  <c r="BF7" i="5"/>
  <c r="BF8" i="5"/>
  <c r="BF9" i="5"/>
  <c r="BF10" i="5"/>
  <c r="BF11" i="5"/>
  <c r="BF12" i="5"/>
  <c r="BF13" i="5"/>
  <c r="BF14" i="5"/>
  <c r="BF15" i="5"/>
  <c r="BF16" i="5"/>
  <c r="BF17" i="5"/>
  <c r="BF18" i="5"/>
  <c r="BF19" i="5"/>
  <c r="BF20" i="5"/>
  <c r="BF21" i="5"/>
  <c r="BF22" i="5"/>
  <c r="BF24" i="5"/>
  <c r="BF25" i="5"/>
  <c r="BF26" i="5"/>
  <c r="BF27" i="5"/>
  <c r="BF28" i="5"/>
  <c r="BF29" i="5"/>
  <c r="BF30" i="5"/>
  <c r="BF31" i="5"/>
  <c r="BF32" i="5"/>
  <c r="BF33" i="5"/>
  <c r="BF34" i="5"/>
  <c r="BF35" i="5"/>
  <c r="BF5" i="5"/>
  <c r="BG42" i="5"/>
  <c r="BG36" i="5"/>
  <c r="AS8" i="5"/>
  <c r="AS15" i="5"/>
  <c r="AS13" i="5"/>
  <c r="AA39" i="5"/>
  <c r="AA40" i="5"/>
  <c r="AA41" i="5"/>
  <c r="AA38" i="5"/>
  <c r="AA6" i="5"/>
  <c r="AA7" i="5"/>
  <c r="AA8" i="5"/>
  <c r="AA9" i="5"/>
  <c r="AA10" i="5"/>
  <c r="AA11" i="5"/>
  <c r="AA12" i="5"/>
  <c r="AA13" i="5"/>
  <c r="AA14" i="5"/>
  <c r="AA15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5" i="5"/>
  <c r="AE42" i="5"/>
  <c r="AE36" i="5"/>
  <c r="AE43" i="5" s="1"/>
  <c r="AE45" i="5" s="1"/>
  <c r="Y9" i="5"/>
  <c r="Y39" i="5"/>
  <c r="U42" i="5"/>
  <c r="U36" i="5"/>
  <c r="BG43" i="5" l="1"/>
  <c r="BG45" i="5" s="1"/>
  <c r="U43" i="5"/>
  <c r="U45" i="5" s="1"/>
  <c r="T31" i="5" l="1"/>
  <c r="T14" i="5"/>
  <c r="T12" i="5"/>
  <c r="T10" i="5"/>
  <c r="T28" i="5"/>
  <c r="T7" i="5"/>
  <c r="T29" i="5"/>
  <c r="T30" i="5"/>
  <c r="T39" i="5"/>
  <c r="T22" i="5"/>
  <c r="T35" i="5"/>
  <c r="T11" i="5"/>
  <c r="T34" i="5"/>
  <c r="T23" i="5"/>
  <c r="T25" i="5"/>
  <c r="T13" i="5"/>
  <c r="T24" i="5"/>
  <c r="T17" i="5"/>
  <c r="T19" i="5"/>
  <c r="T26" i="5"/>
  <c r="T15" i="5"/>
  <c r="T27" i="5"/>
  <c r="T6" i="5"/>
  <c r="T20" i="5"/>
  <c r="T18" i="5"/>
  <c r="T21" i="5"/>
  <c r="T38" i="5"/>
  <c r="T5" i="5"/>
  <c r="T32" i="5"/>
  <c r="T9" i="5"/>
  <c r="T8" i="5"/>
  <c r="T16" i="5"/>
  <c r="T33" i="5"/>
  <c r="T40" i="5"/>
  <c r="S32" i="5" l="1"/>
  <c r="ET42" i="5"/>
  <c r="ET36" i="5"/>
  <c r="ES39" i="5"/>
  <c r="ES40" i="5"/>
  <c r="ES41" i="5"/>
  <c r="ES38" i="5"/>
  <c r="ES6" i="5"/>
  <c r="ES7" i="5"/>
  <c r="ES8" i="5"/>
  <c r="ES9" i="5"/>
  <c r="ES10" i="5"/>
  <c r="ES11" i="5"/>
  <c r="ES12" i="5"/>
  <c r="ES13" i="5"/>
  <c r="ES14" i="5"/>
  <c r="ES15" i="5"/>
  <c r="ES16" i="5"/>
  <c r="ES17" i="5"/>
  <c r="ES18" i="5"/>
  <c r="ES19" i="5"/>
  <c r="ES20" i="5"/>
  <c r="ES21" i="5"/>
  <c r="ES22" i="5"/>
  <c r="ES23" i="5"/>
  <c r="ES24" i="5"/>
  <c r="ES25" i="5"/>
  <c r="ES26" i="5"/>
  <c r="ES27" i="5"/>
  <c r="ES28" i="5"/>
  <c r="ES29" i="5"/>
  <c r="ES30" i="5"/>
  <c r="ES31" i="5"/>
  <c r="ES32" i="5"/>
  <c r="ES33" i="5"/>
  <c r="ES34" i="5"/>
  <c r="ES35" i="5"/>
  <c r="ES5" i="5"/>
  <c r="ET43" i="5" l="1"/>
  <c r="ET45" i="5" s="1"/>
  <c r="EF42" i="5"/>
  <c r="EH42" i="5"/>
  <c r="EH36" i="5"/>
  <c r="DQ42" i="5"/>
  <c r="DQ36" i="5"/>
  <c r="DP42" i="5"/>
  <c r="DP36" i="5"/>
  <c r="EH43" i="5" l="1"/>
  <c r="EH45" i="5" s="1"/>
  <c r="EF36" i="5"/>
  <c r="EF43" i="5" s="1"/>
  <c r="EF45" i="5" s="1"/>
  <c r="DQ43" i="5"/>
  <c r="DQ45" i="5" s="1"/>
  <c r="DP43" i="5"/>
  <c r="DP45" i="5" s="1"/>
  <c r="DI39" i="5"/>
  <c r="DI40" i="5"/>
  <c r="DI41" i="5"/>
  <c r="DI38" i="5"/>
  <c r="DI6" i="5"/>
  <c r="DI7" i="5"/>
  <c r="DI8" i="5"/>
  <c r="DI9" i="5"/>
  <c r="DI10" i="5"/>
  <c r="DI11" i="5"/>
  <c r="DI12" i="5"/>
  <c r="DI14" i="5"/>
  <c r="DI15" i="5"/>
  <c r="DI16" i="5"/>
  <c r="DI17" i="5"/>
  <c r="DI18" i="5"/>
  <c r="DI19" i="5"/>
  <c r="DI20" i="5"/>
  <c r="DI21" i="5"/>
  <c r="DI22" i="5"/>
  <c r="DI23" i="5"/>
  <c r="DI24" i="5"/>
  <c r="DI25" i="5"/>
  <c r="DI26" i="5"/>
  <c r="DI27" i="5"/>
  <c r="DI28" i="5"/>
  <c r="DI29" i="5"/>
  <c r="DI30" i="5"/>
  <c r="DI31" i="5"/>
  <c r="DI32" i="5"/>
  <c r="DI33" i="5"/>
  <c r="DI34" i="5"/>
  <c r="DI35" i="5"/>
  <c r="DI5" i="5"/>
  <c r="DL42" i="5"/>
  <c r="DL36" i="5"/>
  <c r="DL43" i="5" l="1"/>
  <c r="DL45" i="5" s="1"/>
  <c r="DG42" i="5" l="1"/>
  <c r="DG36" i="5"/>
  <c r="CV42" i="5"/>
  <c r="CV36" i="5"/>
  <c r="CO39" i="5"/>
  <c r="CO40" i="5"/>
  <c r="CO41" i="5"/>
  <c r="CO42" i="5" s="1"/>
  <c r="CO38" i="5"/>
  <c r="CO6" i="5"/>
  <c r="CO7" i="5"/>
  <c r="CO8" i="5"/>
  <c r="CO9" i="5"/>
  <c r="CO10" i="5"/>
  <c r="CO11" i="5"/>
  <c r="CO12" i="5"/>
  <c r="CO13" i="5"/>
  <c r="CO14" i="5"/>
  <c r="CO15" i="5"/>
  <c r="CO16" i="5"/>
  <c r="CO17" i="5"/>
  <c r="CO18" i="5"/>
  <c r="CO19" i="5"/>
  <c r="CO20" i="5"/>
  <c r="CO21" i="5"/>
  <c r="CO22" i="5"/>
  <c r="CO23" i="5"/>
  <c r="CO24" i="5"/>
  <c r="CO25" i="5"/>
  <c r="CO26" i="5"/>
  <c r="CO27" i="5"/>
  <c r="CO28" i="5"/>
  <c r="CO29" i="5"/>
  <c r="CO30" i="5"/>
  <c r="CO31" i="5"/>
  <c r="CO32" i="5"/>
  <c r="CO33" i="5"/>
  <c r="CO34" i="5"/>
  <c r="CO35" i="5"/>
  <c r="CO5" i="5"/>
  <c r="CP42" i="5"/>
  <c r="CP36" i="5"/>
  <c r="EX47" i="5"/>
  <c r="EW47" i="5" s="1"/>
  <c r="EW46" i="5"/>
  <c r="BI42" i="5"/>
  <c r="BI36" i="5"/>
  <c r="CO36" i="5" l="1"/>
  <c r="CV43" i="5"/>
  <c r="CV45" i="5" s="1"/>
  <c r="DG43" i="5"/>
  <c r="DG45" i="5" s="1"/>
  <c r="BI43" i="5"/>
  <c r="BI45" i="5" s="1"/>
  <c r="CO43" i="5"/>
  <c r="CO45" i="5" s="1"/>
  <c r="CP43" i="5"/>
  <c r="CP45" i="5" s="1"/>
  <c r="BC23" i="5"/>
  <c r="BC31" i="5"/>
  <c r="BC38" i="5"/>
  <c r="BC32" i="5"/>
  <c r="BC20" i="5"/>
  <c r="BC34" i="5"/>
  <c r="BC6" i="5"/>
  <c r="BC14" i="5"/>
  <c r="AS17" i="5"/>
  <c r="AS19" i="5"/>
  <c r="AS23" i="5"/>
  <c r="AS16" i="5"/>
  <c r="AP39" i="5"/>
  <c r="AQ42" i="5"/>
  <c r="G9" i="5"/>
  <c r="DK42" i="5"/>
  <c r="DK36" i="5"/>
  <c r="CR42" i="5"/>
  <c r="CR36" i="5"/>
  <c r="EQ44" i="5"/>
  <c r="CQ36" i="5" l="1"/>
  <c r="CQ42" i="5"/>
  <c r="DK43" i="5"/>
  <c r="DK45" i="5" s="1"/>
  <c r="CR43" i="5"/>
  <c r="CR45" i="5" s="1"/>
  <c r="AR29" i="5"/>
  <c r="EA42" i="5"/>
  <c r="BH23" i="5"/>
  <c r="AG41" i="5"/>
  <c r="AG40" i="5"/>
  <c r="AG35" i="5"/>
  <c r="AG34" i="5"/>
  <c r="AG33" i="5"/>
  <c r="AG32" i="5"/>
  <c r="AG31" i="5"/>
  <c r="AG30" i="5"/>
  <c r="AG29" i="5"/>
  <c r="AG28" i="5"/>
  <c r="AG26" i="5"/>
  <c r="AG25" i="5"/>
  <c r="AG24" i="5"/>
  <c r="AG22" i="5"/>
  <c r="AG21" i="5"/>
  <c r="AG20" i="5"/>
  <c r="AG19" i="5"/>
  <c r="AG38" i="5"/>
  <c r="AG18" i="5"/>
  <c r="AG17" i="5"/>
  <c r="AG16" i="5"/>
  <c r="AG14" i="5"/>
  <c r="AG13" i="5"/>
  <c r="AG12" i="5"/>
  <c r="AG11" i="5"/>
  <c r="AG10" i="5"/>
  <c r="AG9" i="5"/>
  <c r="AG7" i="5"/>
  <c r="AG6" i="5"/>
  <c r="AG5" i="5"/>
  <c r="W39" i="5"/>
  <c r="W41" i="5"/>
  <c r="W38" i="5"/>
  <c r="W14" i="5"/>
  <c r="W15" i="5"/>
  <c r="W17" i="5"/>
  <c r="W18" i="5"/>
  <c r="W19" i="5"/>
  <c r="W20" i="5"/>
  <c r="W21" i="5"/>
  <c r="W22" i="5"/>
  <c r="W23" i="5"/>
  <c r="W24" i="5"/>
  <c r="W25" i="5"/>
  <c r="W26" i="5"/>
  <c r="W27" i="5"/>
  <c r="W28" i="5"/>
  <c r="W29" i="5"/>
  <c r="W30" i="5"/>
  <c r="W31" i="5"/>
  <c r="W32" i="5"/>
  <c r="W34" i="5"/>
  <c r="W35" i="5"/>
  <c r="W10" i="5"/>
  <c r="W11" i="5"/>
  <c r="W12" i="5"/>
  <c r="W13" i="5"/>
  <c r="W6" i="5"/>
  <c r="W7" i="5"/>
  <c r="W8" i="5"/>
  <c r="W9" i="5"/>
  <c r="W5" i="5"/>
  <c r="Z42" i="5"/>
  <c r="Z36" i="5"/>
  <c r="Y40" i="5"/>
  <c r="Y33" i="5"/>
  <c r="Y16" i="5"/>
  <c r="EA36" i="5"/>
  <c r="EA43" i="5" s="1"/>
  <c r="EA45" i="5" s="1"/>
  <c r="DZ42" i="5"/>
  <c r="DZ6" i="5"/>
  <c r="DZ7" i="5"/>
  <c r="DZ8" i="5"/>
  <c r="DZ9" i="5"/>
  <c r="DZ10" i="5"/>
  <c r="DZ11" i="5"/>
  <c r="DZ12" i="5"/>
  <c r="DZ13" i="5"/>
  <c r="DZ14" i="5"/>
  <c r="DZ15" i="5"/>
  <c r="DZ16" i="5"/>
  <c r="DZ17" i="5"/>
  <c r="DZ18" i="5"/>
  <c r="DZ19" i="5"/>
  <c r="DZ20" i="5"/>
  <c r="DZ21" i="5"/>
  <c r="DZ22" i="5"/>
  <c r="DZ23" i="5"/>
  <c r="DZ24" i="5"/>
  <c r="DZ25" i="5"/>
  <c r="DZ26" i="5"/>
  <c r="DZ27" i="5"/>
  <c r="DZ28" i="5"/>
  <c r="DZ30" i="5"/>
  <c r="DZ31" i="5"/>
  <c r="DZ32" i="5"/>
  <c r="DZ33" i="5"/>
  <c r="DZ34" i="5"/>
  <c r="DZ35" i="5"/>
  <c r="DZ5" i="5"/>
  <c r="DI36" i="5"/>
  <c r="DI42" i="5"/>
  <c r="DJ42" i="5"/>
  <c r="DJ36" i="5"/>
  <c r="AT9" i="5"/>
  <c r="BH42" i="5"/>
  <c r="BH36" i="5"/>
  <c r="CU44" i="5"/>
  <c r="CN44" i="5" s="1"/>
  <c r="EC17" i="5"/>
  <c r="DW17" i="5"/>
  <c r="DW33" i="5"/>
  <c r="ES44" i="5"/>
  <c r="CE38" i="5"/>
  <c r="CC38" i="5" s="1"/>
  <c r="CE39" i="5"/>
  <c r="CC39" i="5" s="1"/>
  <c r="CE40" i="5"/>
  <c r="CC40" i="5" s="1"/>
  <c r="CE41" i="5"/>
  <c r="CC41" i="5" s="1"/>
  <c r="BX36" i="5"/>
  <c r="BX42" i="5"/>
  <c r="BR44" i="5"/>
  <c r="BS42" i="5"/>
  <c r="BR39" i="5"/>
  <c r="BR40" i="5"/>
  <c r="BR41" i="5"/>
  <c r="BR38" i="5"/>
  <c r="BS36" i="5"/>
  <c r="BR6" i="5"/>
  <c r="BR7" i="5"/>
  <c r="BR8" i="5"/>
  <c r="BR9" i="5"/>
  <c r="BR10" i="5"/>
  <c r="BR11" i="5"/>
  <c r="BR12" i="5"/>
  <c r="BR13" i="5"/>
  <c r="BR14" i="5"/>
  <c r="BR15" i="5"/>
  <c r="BR16" i="5"/>
  <c r="BR17" i="5"/>
  <c r="BR18" i="5"/>
  <c r="BR19" i="5"/>
  <c r="BR20" i="5"/>
  <c r="BR21" i="5"/>
  <c r="BR22" i="5"/>
  <c r="BR23" i="5"/>
  <c r="BR24" i="5"/>
  <c r="BR25" i="5"/>
  <c r="BR26" i="5"/>
  <c r="BR27" i="5"/>
  <c r="BR28" i="5"/>
  <c r="BR29" i="5"/>
  <c r="BR30" i="5"/>
  <c r="BR31" i="5"/>
  <c r="BR32" i="5"/>
  <c r="BR33" i="5"/>
  <c r="BR34" i="5"/>
  <c r="BR35" i="5"/>
  <c r="BR5" i="5"/>
  <c r="BN39" i="5"/>
  <c r="BN40" i="5"/>
  <c r="BN41" i="5"/>
  <c r="BN38" i="5"/>
  <c r="BN6" i="5"/>
  <c r="BN7" i="5"/>
  <c r="BN8" i="5"/>
  <c r="BN9" i="5"/>
  <c r="BN10" i="5"/>
  <c r="BN11" i="5"/>
  <c r="BN12" i="5"/>
  <c r="BN13" i="5"/>
  <c r="BN14" i="5"/>
  <c r="BN15" i="5"/>
  <c r="BN16" i="5"/>
  <c r="BN17" i="5"/>
  <c r="BN18" i="5"/>
  <c r="BN19" i="5"/>
  <c r="BN20" i="5"/>
  <c r="BN21" i="5"/>
  <c r="BN22" i="5"/>
  <c r="BN23" i="5"/>
  <c r="BN24" i="5"/>
  <c r="BN25" i="5"/>
  <c r="BN26" i="5"/>
  <c r="BN27" i="5"/>
  <c r="BN28" i="5"/>
  <c r="BN29" i="5"/>
  <c r="BN30" i="5"/>
  <c r="BN31" i="5"/>
  <c r="BN32" i="5"/>
  <c r="BN33" i="5"/>
  <c r="BN34" i="5"/>
  <c r="BN35" i="5"/>
  <c r="BN5" i="5"/>
  <c r="BJ42" i="5"/>
  <c r="BJ36" i="5"/>
  <c r="BK42" i="5"/>
  <c r="BK36" i="5"/>
  <c r="W33" i="5" l="1"/>
  <c r="W40" i="5"/>
  <c r="W16" i="5"/>
  <c r="Z43" i="5"/>
  <c r="Z45" i="5" s="1"/>
  <c r="BF23" i="5"/>
  <c r="CQ43" i="5"/>
  <c r="CQ45" i="5" s="1"/>
  <c r="DI43" i="5"/>
  <c r="DJ43" i="5"/>
  <c r="DJ45" i="5" s="1"/>
  <c r="DI45" i="5" s="1"/>
  <c r="DZ36" i="5"/>
  <c r="DZ43" i="5" s="1"/>
  <c r="DZ45" i="5" s="1"/>
  <c r="BH43" i="5"/>
  <c r="BH45" i="5" s="1"/>
  <c r="BX43" i="5"/>
  <c r="BX45" i="5" s="1"/>
  <c r="BS43" i="5"/>
  <c r="BS45" i="5" s="1"/>
  <c r="BR42" i="5"/>
  <c r="BR36" i="5"/>
  <c r="BJ43" i="5"/>
  <c r="BJ45" i="5" s="1"/>
  <c r="BK43" i="5"/>
  <c r="BK44" i="5" l="1"/>
  <c r="BR43" i="5"/>
  <c r="BR45" i="5" s="1"/>
  <c r="BK45" i="5" l="1"/>
  <c r="BF44" i="5"/>
  <c r="BD42" i="5"/>
  <c r="BE42" i="5"/>
  <c r="BD36" i="5"/>
  <c r="BD43" i="5" s="1"/>
  <c r="BD45" i="5" s="1"/>
  <c r="BE36" i="5"/>
  <c r="BE43" i="5" l="1"/>
  <c r="BE45" i="5" s="1"/>
  <c r="BA27" i="5"/>
  <c r="BA6" i="5"/>
  <c r="BA7" i="5"/>
  <c r="BA8" i="5"/>
  <c r="BA9" i="5"/>
  <c r="BA10" i="5"/>
  <c r="BA11" i="5"/>
  <c r="BA12" i="5"/>
  <c r="BA13" i="5"/>
  <c r="BA14" i="5"/>
  <c r="BA15" i="5"/>
  <c r="BA16" i="5"/>
  <c r="BA17" i="5"/>
  <c r="BA18" i="5"/>
  <c r="BA19" i="5"/>
  <c r="BA20" i="5"/>
  <c r="BA21" i="5"/>
  <c r="BA22" i="5"/>
  <c r="BA23" i="5"/>
  <c r="BA24" i="5"/>
  <c r="BA25" i="5"/>
  <c r="BA26" i="5"/>
  <c r="BA28" i="5"/>
  <c r="BA29" i="5"/>
  <c r="BA30" i="5"/>
  <c r="BA31" i="5"/>
  <c r="BA32" i="5"/>
  <c r="BA33" i="5"/>
  <c r="BA34" i="5"/>
  <c r="BA35" i="5"/>
  <c r="BA38" i="5"/>
  <c r="BA39" i="5"/>
  <c r="BA40" i="5"/>
  <c r="BA41" i="5"/>
  <c r="BA5" i="5"/>
  <c r="BC42" i="5"/>
  <c r="BC36" i="5"/>
  <c r="AN6" i="5"/>
  <c r="AM6" i="5" s="1"/>
  <c r="AN7" i="5"/>
  <c r="AM7" i="5" s="1"/>
  <c r="AN8" i="5"/>
  <c r="AM8" i="5" s="1"/>
  <c r="AN9" i="5"/>
  <c r="AM9" i="5" s="1"/>
  <c r="AN10" i="5"/>
  <c r="AM10" i="5" s="1"/>
  <c r="AN11" i="5"/>
  <c r="AM11" i="5" s="1"/>
  <c r="AN12" i="5"/>
  <c r="AM12" i="5" s="1"/>
  <c r="AN13" i="5"/>
  <c r="AM13" i="5" s="1"/>
  <c r="AN14" i="5"/>
  <c r="AM14" i="5" s="1"/>
  <c r="AN15" i="5"/>
  <c r="AM15" i="5" s="1"/>
  <c r="AN16" i="5"/>
  <c r="AM16" i="5" s="1"/>
  <c r="AN17" i="5"/>
  <c r="AM17" i="5" s="1"/>
  <c r="AN18" i="5"/>
  <c r="AM18" i="5" s="1"/>
  <c r="AN19" i="5"/>
  <c r="AM19" i="5" s="1"/>
  <c r="AN20" i="5"/>
  <c r="AM20" i="5" s="1"/>
  <c r="AN21" i="5"/>
  <c r="AM21" i="5" s="1"/>
  <c r="AN22" i="5"/>
  <c r="AM22" i="5" s="1"/>
  <c r="AN23" i="5"/>
  <c r="AM23" i="5" s="1"/>
  <c r="AN24" i="5"/>
  <c r="AM24" i="5" s="1"/>
  <c r="AN25" i="5"/>
  <c r="AM25" i="5" s="1"/>
  <c r="AN26" i="5"/>
  <c r="AM26" i="5" s="1"/>
  <c r="AN27" i="5"/>
  <c r="AM27" i="5" s="1"/>
  <c r="AN28" i="5"/>
  <c r="AM28" i="5" s="1"/>
  <c r="AN29" i="5"/>
  <c r="AM29" i="5" s="1"/>
  <c r="AN30" i="5"/>
  <c r="AM30" i="5" s="1"/>
  <c r="AN31" i="5"/>
  <c r="AM31" i="5" s="1"/>
  <c r="AN32" i="5"/>
  <c r="AM32" i="5" s="1"/>
  <c r="AN33" i="5"/>
  <c r="AM33" i="5" s="1"/>
  <c r="AN34" i="5"/>
  <c r="AM34" i="5" s="1"/>
  <c r="AN35" i="5"/>
  <c r="AM35" i="5" s="1"/>
  <c r="AN38" i="5"/>
  <c r="AM38" i="5" s="1"/>
  <c r="AN39" i="5"/>
  <c r="AM39" i="5" s="1"/>
  <c r="AN40" i="5"/>
  <c r="AM40" i="5" s="1"/>
  <c r="AN41" i="5"/>
  <c r="AN5" i="5"/>
  <c r="AM5" i="5" s="1"/>
  <c r="BC43" i="5" l="1"/>
  <c r="AM36" i="5"/>
  <c r="BA36" i="5"/>
  <c r="AN36" i="5"/>
  <c r="AN42" i="5"/>
  <c r="AN43" i="5" l="1"/>
  <c r="AN45" i="5" s="1"/>
  <c r="E5" i="5" l="1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26" i="5"/>
  <c r="S27" i="5"/>
  <c r="S28" i="5"/>
  <c r="S29" i="5"/>
  <c r="S30" i="5"/>
  <c r="S31" i="5"/>
  <c r="S33" i="5"/>
  <c r="S34" i="5"/>
  <c r="S35" i="5"/>
  <c r="S38" i="5"/>
  <c r="S39" i="5"/>
  <c r="S40" i="5"/>
  <c r="S41" i="5"/>
  <c r="S5" i="5"/>
  <c r="AO36" i="5"/>
  <c r="BF36" i="5" l="1"/>
  <c r="S36" i="5"/>
  <c r="BF42" i="5"/>
  <c r="AC36" i="5"/>
  <c r="E39" i="5"/>
  <c r="E40" i="5"/>
  <c r="E41" i="5"/>
  <c r="E38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M5" i="5"/>
  <c r="D5" i="5" s="1"/>
  <c r="O5" i="5"/>
  <c r="M6" i="5"/>
  <c r="O6" i="5"/>
  <c r="M7" i="5"/>
  <c r="O7" i="5"/>
  <c r="M8" i="5"/>
  <c r="O8" i="5"/>
  <c r="M9" i="5"/>
  <c r="O9" i="5"/>
  <c r="M10" i="5"/>
  <c r="O10" i="5"/>
  <c r="M11" i="5"/>
  <c r="O11" i="5"/>
  <c r="M12" i="5"/>
  <c r="O12" i="5"/>
  <c r="M13" i="5"/>
  <c r="O13" i="5"/>
  <c r="M14" i="5"/>
  <c r="O14" i="5"/>
  <c r="M15" i="5"/>
  <c r="O15" i="5"/>
  <c r="M16" i="5"/>
  <c r="O16" i="5"/>
  <c r="M17" i="5"/>
  <c r="O17" i="5"/>
  <c r="M18" i="5"/>
  <c r="O18" i="5"/>
  <c r="M19" i="5"/>
  <c r="O19" i="5"/>
  <c r="M20" i="5"/>
  <c r="O20" i="5"/>
  <c r="M21" i="5"/>
  <c r="O21" i="5"/>
  <c r="M22" i="5"/>
  <c r="O22" i="5"/>
  <c r="M23" i="5"/>
  <c r="O23" i="5"/>
  <c r="M24" i="5"/>
  <c r="O24" i="5"/>
  <c r="M25" i="5"/>
  <c r="O25" i="5"/>
  <c r="M26" i="5"/>
  <c r="O26" i="5"/>
  <c r="M27" i="5"/>
  <c r="O27" i="5"/>
  <c r="M28" i="5"/>
  <c r="O28" i="5"/>
  <c r="M29" i="5"/>
  <c r="O29" i="5"/>
  <c r="M30" i="5"/>
  <c r="O30" i="5"/>
  <c r="M31" i="5"/>
  <c r="O31" i="5"/>
  <c r="M32" i="5"/>
  <c r="O32" i="5"/>
  <c r="M33" i="5"/>
  <c r="O33" i="5"/>
  <c r="M34" i="5"/>
  <c r="O34" i="5"/>
  <c r="M35" i="5"/>
  <c r="O35" i="5"/>
  <c r="F36" i="5"/>
  <c r="G36" i="5"/>
  <c r="H36" i="5"/>
  <c r="I36" i="5"/>
  <c r="J36" i="5"/>
  <c r="K36" i="5"/>
  <c r="L36" i="5"/>
  <c r="N36" i="5"/>
  <c r="P36" i="5"/>
  <c r="T36" i="5"/>
  <c r="X36" i="5"/>
  <c r="Y36" i="5"/>
  <c r="M38" i="5"/>
  <c r="O38" i="5"/>
  <c r="M39" i="5"/>
  <c r="O39" i="5"/>
  <c r="M40" i="5"/>
  <c r="O40" i="5"/>
  <c r="M41" i="5"/>
  <c r="O41" i="5"/>
  <c r="F42" i="5"/>
  <c r="G42" i="5"/>
  <c r="H42" i="5"/>
  <c r="I42" i="5"/>
  <c r="J42" i="5"/>
  <c r="K42" i="5"/>
  <c r="L42" i="5"/>
  <c r="N42" i="5"/>
  <c r="P42" i="5"/>
  <c r="T42" i="5"/>
  <c r="X42" i="5"/>
  <c r="Y42" i="5"/>
  <c r="EO41" i="5"/>
  <c r="E42" i="5" l="1"/>
  <c r="BF43" i="5"/>
  <c r="BF45" i="5" s="1"/>
  <c r="Y43" i="5"/>
  <c r="Y45" i="5" s="1"/>
  <c r="N43" i="5"/>
  <c r="N45" i="5" s="1"/>
  <c r="K43" i="5"/>
  <c r="K45" i="5" s="1"/>
  <c r="G43" i="5"/>
  <c r="G45" i="5" s="1"/>
  <c r="I43" i="5"/>
  <c r="I45" i="5" s="1"/>
  <c r="W42" i="5"/>
  <c r="H43" i="5"/>
  <c r="H45" i="5" s="1"/>
  <c r="W36" i="5"/>
  <c r="E36" i="5"/>
  <c r="X43" i="5"/>
  <c r="X45" i="5" s="1"/>
  <c r="T43" i="5"/>
  <c r="T45" i="5" s="1"/>
  <c r="P43" i="5"/>
  <c r="P45" i="5" s="1"/>
  <c r="L43" i="5"/>
  <c r="L45" i="5" s="1"/>
  <c r="O42" i="5"/>
  <c r="O36" i="5"/>
  <c r="S42" i="5"/>
  <c r="M42" i="5"/>
  <c r="J43" i="5"/>
  <c r="J45" i="5" s="1"/>
  <c r="F43" i="5"/>
  <c r="F45" i="5" s="1"/>
  <c r="D6" i="5"/>
  <c r="M36" i="5"/>
  <c r="D38" i="5"/>
  <c r="D33" i="5"/>
  <c r="D17" i="5"/>
  <c r="D14" i="5"/>
  <c r="D11" i="5"/>
  <c r="D40" i="5"/>
  <c r="D28" i="5"/>
  <c r="D26" i="5"/>
  <c r="D22" i="5"/>
  <c r="D9" i="5"/>
  <c r="D7" i="5"/>
  <c r="D35" i="5"/>
  <c r="D23" i="5"/>
  <c r="D30" i="5"/>
  <c r="D24" i="5"/>
  <c r="D31" i="5"/>
  <c r="D29" i="5"/>
  <c r="D27" i="5"/>
  <c r="D25" i="5"/>
  <c r="D19" i="5"/>
  <c r="D15" i="5"/>
  <c r="D13" i="5"/>
  <c r="D34" i="5"/>
  <c r="D32" i="5"/>
  <c r="D20" i="5"/>
  <c r="D18" i="5"/>
  <c r="D16" i="5"/>
  <c r="D12" i="5"/>
  <c r="D41" i="5"/>
  <c r="D39" i="5"/>
  <c r="D21" i="5"/>
  <c r="D10" i="5"/>
  <c r="D8" i="5"/>
  <c r="E43" i="5" l="1"/>
  <c r="E45" i="5" s="1"/>
  <c r="W43" i="5"/>
  <c r="W45" i="5" s="1"/>
  <c r="O43" i="5"/>
  <c r="O45" i="5" s="1"/>
  <c r="M43" i="5"/>
  <c r="M45" i="5" s="1"/>
  <c r="S43" i="5"/>
  <c r="S45" i="5" s="1"/>
  <c r="D36" i="5"/>
  <c r="D42" i="5"/>
  <c r="D43" i="5" l="1"/>
  <c r="D45" i="5" s="1"/>
  <c r="DA42" i="5" l="1"/>
  <c r="ED42" i="5"/>
  <c r="ED36" i="5"/>
  <c r="EQ39" i="5"/>
  <c r="ED43" i="5" l="1"/>
  <c r="EC42" i="5"/>
  <c r="ED45" i="5" l="1"/>
  <c r="DE39" i="5"/>
  <c r="DE40" i="5"/>
  <c r="DE41" i="5"/>
  <c r="CN41" i="5" s="1"/>
  <c r="DE38" i="5"/>
  <c r="DE6" i="5"/>
  <c r="DE7" i="5"/>
  <c r="DE8" i="5"/>
  <c r="DE9" i="5"/>
  <c r="DE10" i="5"/>
  <c r="DE11" i="5"/>
  <c r="DE12" i="5"/>
  <c r="DE13" i="5"/>
  <c r="DE14" i="5"/>
  <c r="DE15" i="5"/>
  <c r="DE16" i="5"/>
  <c r="DE17" i="5"/>
  <c r="DE18" i="5"/>
  <c r="DE19" i="5"/>
  <c r="DE20" i="5"/>
  <c r="DE21" i="5"/>
  <c r="DE22" i="5"/>
  <c r="DE23" i="5"/>
  <c r="DE24" i="5"/>
  <c r="DE25" i="5"/>
  <c r="DE26" i="5"/>
  <c r="DE27" i="5"/>
  <c r="DE28" i="5"/>
  <c r="DE29" i="5"/>
  <c r="DE30" i="5"/>
  <c r="DE31" i="5"/>
  <c r="DE32" i="5"/>
  <c r="DE33" i="5"/>
  <c r="DE34" i="5"/>
  <c r="DE35" i="5"/>
  <c r="DE5" i="5"/>
  <c r="EK36" i="5" l="1"/>
  <c r="EK42" i="5"/>
  <c r="CZ42" i="5"/>
  <c r="CZ36" i="5"/>
  <c r="DA36" i="5"/>
  <c r="DA43" i="5" s="1"/>
  <c r="DA45" i="5" s="1"/>
  <c r="AF39" i="5"/>
  <c r="AF40" i="5"/>
  <c r="AF41" i="5"/>
  <c r="AF38" i="5"/>
  <c r="EK43" i="5" l="1"/>
  <c r="CZ43" i="5"/>
  <c r="CZ45" i="5" s="1"/>
  <c r="EK45" i="5" l="1"/>
  <c r="AF6" i="5"/>
  <c r="AF7" i="5"/>
  <c r="AF8" i="5"/>
  <c r="AF9" i="5"/>
  <c r="AF10" i="5"/>
  <c r="AF11" i="5"/>
  <c r="AF12" i="5"/>
  <c r="AF13" i="5"/>
  <c r="AF14" i="5"/>
  <c r="AF15" i="5"/>
  <c r="AF16" i="5"/>
  <c r="AF17" i="5"/>
  <c r="AF18" i="5"/>
  <c r="AF19" i="5"/>
  <c r="AF20" i="5"/>
  <c r="AF21" i="5"/>
  <c r="AF22" i="5"/>
  <c r="AF23" i="5"/>
  <c r="AF24" i="5"/>
  <c r="AF25" i="5"/>
  <c r="AF26" i="5"/>
  <c r="AF27" i="5"/>
  <c r="AF28" i="5"/>
  <c r="AF29" i="5"/>
  <c r="AF30" i="5"/>
  <c r="AF31" i="5"/>
  <c r="AF32" i="5"/>
  <c r="AF33" i="5"/>
  <c r="AF34" i="5"/>
  <c r="AF35" i="5"/>
  <c r="AF5" i="5"/>
  <c r="AG42" i="5"/>
  <c r="AG36" i="5"/>
  <c r="AG43" i="5" l="1"/>
  <c r="AG45" i="5" s="1"/>
  <c r="EU42" i="5" l="1"/>
  <c r="ER42" i="5"/>
  <c r="EP42" i="5"/>
  <c r="EL42" i="5"/>
  <c r="DX42" i="5"/>
  <c r="DO42" i="5"/>
  <c r="DF42" i="5"/>
  <c r="DH42" i="5"/>
  <c r="CY42" i="5"/>
  <c r="CX42" i="5"/>
  <c r="CM42" i="5"/>
  <c r="CL42" i="5"/>
  <c r="CJ42" i="5"/>
  <c r="CG42" i="5"/>
  <c r="CF42" i="5"/>
  <c r="BP42" i="5"/>
  <c r="BM42" i="5"/>
  <c r="BL42" i="5"/>
  <c r="BB42" i="5"/>
  <c r="AZ42" i="5"/>
  <c r="AV42" i="5"/>
  <c r="AT42" i="5"/>
  <c r="AS42" i="5"/>
  <c r="AR42" i="5"/>
  <c r="AO42" i="5"/>
  <c r="AL42" i="5"/>
  <c r="AK42" i="5"/>
  <c r="AJ42" i="5"/>
  <c r="AI42" i="5"/>
  <c r="AD42" i="5"/>
  <c r="AC42" i="5"/>
  <c r="AB42" i="5"/>
  <c r="EQ41" i="5"/>
  <c r="CK41" i="5"/>
  <c r="BZ41" i="5" s="1"/>
  <c r="AU41" i="5"/>
  <c r="AM41" i="5" s="1"/>
  <c r="AM42" i="5" s="1"/>
  <c r="AM43" i="5" s="1"/>
  <c r="AM45" i="5" s="1"/>
  <c r="AH41" i="5"/>
  <c r="EQ40" i="5"/>
  <c r="EO40" i="5"/>
  <c r="CN40" i="5" s="1"/>
  <c r="CK40" i="5"/>
  <c r="BZ40" i="5" s="1"/>
  <c r="AH40" i="5"/>
  <c r="EO39" i="5"/>
  <c r="CN39" i="5" s="1"/>
  <c r="CK39" i="5"/>
  <c r="BZ39" i="5" s="1"/>
  <c r="AH39" i="5"/>
  <c r="EQ38" i="5"/>
  <c r="EO38" i="5"/>
  <c r="CN38" i="5" s="1"/>
  <c r="CK38" i="5"/>
  <c r="BZ38" i="5" s="1"/>
  <c r="AH38" i="5"/>
  <c r="EU36" i="5"/>
  <c r="ER36" i="5"/>
  <c r="EP36" i="5"/>
  <c r="EL36" i="5"/>
  <c r="DX36" i="5"/>
  <c r="DO36" i="5"/>
  <c r="DF36" i="5"/>
  <c r="DH36" i="5"/>
  <c r="DH43" i="5" s="1"/>
  <c r="DH45" i="5" s="1"/>
  <c r="CY36" i="5"/>
  <c r="CX36" i="5"/>
  <c r="CM36" i="5"/>
  <c r="CL36" i="5"/>
  <c r="CJ36" i="5"/>
  <c r="CF36" i="5"/>
  <c r="BP36" i="5"/>
  <c r="BM36" i="5"/>
  <c r="BL36" i="5"/>
  <c r="BB36" i="5"/>
  <c r="AZ36" i="5"/>
  <c r="AY36" i="5"/>
  <c r="AV36" i="5"/>
  <c r="AU36" i="5"/>
  <c r="AT36" i="5"/>
  <c r="AS36" i="5"/>
  <c r="AR36" i="5"/>
  <c r="AL36" i="5"/>
  <c r="AK36" i="5"/>
  <c r="AJ36" i="5"/>
  <c r="AI36" i="5"/>
  <c r="AD36" i="5"/>
  <c r="AB36" i="5"/>
  <c r="EQ35" i="5"/>
  <c r="EO35" i="5"/>
  <c r="CN35" i="5" s="1"/>
  <c r="CK35" i="5"/>
  <c r="AX35" i="5"/>
  <c r="AH35" i="5"/>
  <c r="EQ34" i="5"/>
  <c r="EO34" i="5"/>
  <c r="CN34" i="5" s="1"/>
  <c r="CK34" i="5"/>
  <c r="AX34" i="5"/>
  <c r="AH34" i="5"/>
  <c r="EQ33" i="5"/>
  <c r="EO33" i="5"/>
  <c r="CN33" i="5" s="1"/>
  <c r="CK33" i="5"/>
  <c r="AX33" i="5"/>
  <c r="AH33" i="5"/>
  <c r="EQ32" i="5"/>
  <c r="EO32" i="5"/>
  <c r="CN32" i="5" s="1"/>
  <c r="CK32" i="5"/>
  <c r="AX32" i="5"/>
  <c r="AH32" i="5"/>
  <c r="EQ31" i="5"/>
  <c r="EO31" i="5"/>
  <c r="CN31" i="5" s="1"/>
  <c r="CK31" i="5"/>
  <c r="AX31" i="5"/>
  <c r="AH31" i="5"/>
  <c r="EQ30" i="5"/>
  <c r="EO30" i="5"/>
  <c r="CN30" i="5" s="1"/>
  <c r="CK30" i="5"/>
  <c r="AX30" i="5"/>
  <c r="AH30" i="5"/>
  <c r="EQ29" i="5"/>
  <c r="EO29" i="5"/>
  <c r="CN29" i="5" s="1"/>
  <c r="CK29" i="5"/>
  <c r="AX29" i="5"/>
  <c r="AH29" i="5"/>
  <c r="EQ28" i="5"/>
  <c r="EO28" i="5"/>
  <c r="CN28" i="5" s="1"/>
  <c r="CK28" i="5"/>
  <c r="AX28" i="5"/>
  <c r="AH28" i="5"/>
  <c r="EQ27" i="5"/>
  <c r="EO27" i="5"/>
  <c r="CN27" i="5" s="1"/>
  <c r="CK27" i="5"/>
  <c r="AX27" i="5"/>
  <c r="AH27" i="5"/>
  <c r="EQ26" i="5"/>
  <c r="EO26" i="5"/>
  <c r="CN26" i="5" s="1"/>
  <c r="CK26" i="5"/>
  <c r="AX26" i="5"/>
  <c r="AH26" i="5"/>
  <c r="EQ25" i="5"/>
  <c r="EO25" i="5"/>
  <c r="CN25" i="5" s="1"/>
  <c r="CK25" i="5"/>
  <c r="AX25" i="5"/>
  <c r="AH25" i="5"/>
  <c r="EQ24" i="5"/>
  <c r="EO24" i="5"/>
  <c r="CN24" i="5" s="1"/>
  <c r="CK24" i="5"/>
  <c r="AX24" i="5"/>
  <c r="AH24" i="5"/>
  <c r="EQ23" i="5"/>
  <c r="EO23" i="5"/>
  <c r="CN23" i="5" s="1"/>
  <c r="CK23" i="5"/>
  <c r="AX23" i="5"/>
  <c r="AH23" i="5"/>
  <c r="EQ22" i="5"/>
  <c r="EO22" i="5"/>
  <c r="CN22" i="5" s="1"/>
  <c r="CK22" i="5"/>
  <c r="AX22" i="5"/>
  <c r="AH22" i="5"/>
  <c r="EQ21" i="5"/>
  <c r="EO21" i="5"/>
  <c r="CN21" i="5" s="1"/>
  <c r="CK21" i="5"/>
  <c r="AX21" i="5"/>
  <c r="AH21" i="5"/>
  <c r="EQ20" i="5"/>
  <c r="EO20" i="5"/>
  <c r="CN20" i="5" s="1"/>
  <c r="CK20" i="5"/>
  <c r="AX20" i="5"/>
  <c r="AH20" i="5"/>
  <c r="EQ19" i="5"/>
  <c r="EO19" i="5"/>
  <c r="CN19" i="5" s="1"/>
  <c r="CK19" i="5"/>
  <c r="AX19" i="5"/>
  <c r="AH19" i="5"/>
  <c r="EQ18" i="5"/>
  <c r="EO18" i="5"/>
  <c r="CN18" i="5" s="1"/>
  <c r="CK18" i="5"/>
  <c r="AX18" i="5"/>
  <c r="AH18" i="5"/>
  <c r="EQ17" i="5"/>
  <c r="EO17" i="5"/>
  <c r="CN17" i="5" s="1"/>
  <c r="CK17" i="5"/>
  <c r="AX17" i="5"/>
  <c r="AH17" i="5"/>
  <c r="EQ16" i="5"/>
  <c r="EO16" i="5"/>
  <c r="CN16" i="5" s="1"/>
  <c r="CK16" i="5"/>
  <c r="AX16" i="5"/>
  <c r="AH16" i="5"/>
  <c r="EQ15" i="5"/>
  <c r="EO15" i="5"/>
  <c r="CN15" i="5" s="1"/>
  <c r="CK15" i="5"/>
  <c r="AX15" i="5"/>
  <c r="AH15" i="5"/>
  <c r="EQ14" i="5"/>
  <c r="EO14" i="5"/>
  <c r="CN14" i="5" s="1"/>
  <c r="CK14" i="5"/>
  <c r="AX14" i="5"/>
  <c r="AH14" i="5"/>
  <c r="EQ13" i="5"/>
  <c r="EO13" i="5"/>
  <c r="CN13" i="5" s="1"/>
  <c r="CK13" i="5"/>
  <c r="AX13" i="5"/>
  <c r="AH13" i="5"/>
  <c r="EQ12" i="5"/>
  <c r="EO12" i="5"/>
  <c r="CN12" i="5" s="1"/>
  <c r="CK12" i="5"/>
  <c r="AX12" i="5"/>
  <c r="AH12" i="5"/>
  <c r="EQ11" i="5"/>
  <c r="EO11" i="5"/>
  <c r="CN11" i="5" s="1"/>
  <c r="CK11" i="5"/>
  <c r="AX11" i="5"/>
  <c r="AH11" i="5"/>
  <c r="EQ10" i="5"/>
  <c r="EO10" i="5"/>
  <c r="CN10" i="5" s="1"/>
  <c r="CK10" i="5"/>
  <c r="AX10" i="5"/>
  <c r="AH10" i="5"/>
  <c r="EQ9" i="5"/>
  <c r="EO9" i="5"/>
  <c r="CN9" i="5" s="1"/>
  <c r="CK9" i="5"/>
  <c r="AX9" i="5"/>
  <c r="AH9" i="5"/>
  <c r="EQ8" i="5"/>
  <c r="EO8" i="5"/>
  <c r="CN8" i="5" s="1"/>
  <c r="CK8" i="5"/>
  <c r="AX8" i="5"/>
  <c r="AH8" i="5"/>
  <c r="EQ7" i="5"/>
  <c r="EO7" i="5"/>
  <c r="CN7" i="5" s="1"/>
  <c r="CK7" i="5"/>
  <c r="AX7" i="5"/>
  <c r="AH7" i="5"/>
  <c r="EQ6" i="5"/>
  <c r="EO6" i="5"/>
  <c r="CN6" i="5" s="1"/>
  <c r="CK6" i="5"/>
  <c r="AX6" i="5"/>
  <c r="AH6" i="5"/>
  <c r="EQ5" i="5"/>
  <c r="EO5" i="5"/>
  <c r="CN5" i="5" s="1"/>
  <c r="CK5" i="5"/>
  <c r="AX5" i="5"/>
  <c r="AH5" i="5"/>
  <c r="V5" i="5" s="1"/>
  <c r="BZ42" i="5" l="1"/>
  <c r="ER43" i="5"/>
  <c r="ER45" i="5" s="1"/>
  <c r="BM43" i="5"/>
  <c r="BM45" i="5" s="1"/>
  <c r="AR43" i="5"/>
  <c r="AR45" i="5" s="1"/>
  <c r="AT43" i="5"/>
  <c r="AT45" i="5" s="1"/>
  <c r="AZ43" i="5"/>
  <c r="AZ45" i="5" s="1"/>
  <c r="BP43" i="5"/>
  <c r="BP45" i="5" s="1"/>
  <c r="DF43" i="5"/>
  <c r="DF45" i="5" s="1"/>
  <c r="DO43" i="5"/>
  <c r="EP43" i="5"/>
  <c r="EP45" i="5" s="1"/>
  <c r="EU43" i="5"/>
  <c r="EU45" i="5" s="1"/>
  <c r="AU42" i="5"/>
  <c r="AU43" i="5" s="1"/>
  <c r="AU45" i="5" s="1"/>
  <c r="V32" i="5"/>
  <c r="V33" i="5"/>
  <c r="V12" i="5"/>
  <c r="V13" i="5"/>
  <c r="V10" i="5"/>
  <c r="V11" i="5"/>
  <c r="V17" i="5"/>
  <c r="V22" i="5"/>
  <c r="V23" i="5"/>
  <c r="V24" i="5"/>
  <c r="V25" i="5"/>
  <c r="V26" i="5"/>
  <c r="V29" i="5"/>
  <c r="V31" i="5"/>
  <c r="V6" i="5"/>
  <c r="V7" i="5"/>
  <c r="V8" i="5"/>
  <c r="V9" i="5"/>
  <c r="V14" i="5"/>
  <c r="V15" i="5"/>
  <c r="V16" i="5"/>
  <c r="V18" i="5"/>
  <c r="V19" i="5"/>
  <c r="V20" i="5"/>
  <c r="V21" i="5"/>
  <c r="V27" i="5"/>
  <c r="V28" i="5"/>
  <c r="V30" i="5"/>
  <c r="V34" i="5"/>
  <c r="V35" i="5"/>
  <c r="V38" i="5"/>
  <c r="V39" i="5"/>
  <c r="V40" i="5"/>
  <c r="V41" i="5"/>
  <c r="CF43" i="5"/>
  <c r="CF45" i="5" s="1"/>
  <c r="CJ43" i="5"/>
  <c r="CJ45" i="5" s="1"/>
  <c r="CM43" i="5"/>
  <c r="CM45" i="5" s="1"/>
  <c r="CX43" i="5"/>
  <c r="CX45" i="5" s="1"/>
  <c r="DX43" i="5"/>
  <c r="AB43" i="5"/>
  <c r="AB45" i="5" s="1"/>
  <c r="AI43" i="5"/>
  <c r="AI45" i="5" s="1"/>
  <c r="AK43" i="5"/>
  <c r="AK45" i="5" s="1"/>
  <c r="AO43" i="5"/>
  <c r="AO45" i="5" s="1"/>
  <c r="AD43" i="5"/>
  <c r="AD45" i="5" s="1"/>
  <c r="AC43" i="5"/>
  <c r="AC45" i="5" s="1"/>
  <c r="AJ43" i="5"/>
  <c r="AJ45" i="5" s="1"/>
  <c r="AL43" i="5"/>
  <c r="AL45" i="5" s="1"/>
  <c r="AS43" i="5"/>
  <c r="AS45" i="5" s="1"/>
  <c r="BB43" i="5"/>
  <c r="BB45" i="5" s="1"/>
  <c r="BL43" i="5"/>
  <c r="BL45" i="5" s="1"/>
  <c r="CL43" i="5"/>
  <c r="CL45" i="5" s="1"/>
  <c r="CY43" i="5"/>
  <c r="CY45" i="5" s="1"/>
  <c r="AV43" i="5"/>
  <c r="AV45" i="5" s="1"/>
  <c r="EL43" i="5"/>
  <c r="AP36" i="5"/>
  <c r="AX36" i="5"/>
  <c r="CI36" i="5"/>
  <c r="DE36" i="5"/>
  <c r="DW36" i="5"/>
  <c r="EQ36" i="5"/>
  <c r="AA42" i="5"/>
  <c r="AH42" i="5"/>
  <c r="BA42" i="5"/>
  <c r="BO42" i="5"/>
  <c r="BY42" i="5"/>
  <c r="CE42" i="5"/>
  <c r="CK42" i="5"/>
  <c r="DW42" i="5"/>
  <c r="EQ42" i="5"/>
  <c r="AF42" i="5"/>
  <c r="AP42" i="5"/>
  <c r="AY42" i="5"/>
  <c r="AY43" i="5" s="1"/>
  <c r="AY45" i="5" s="1"/>
  <c r="CI42" i="5"/>
  <c r="DN42" i="5"/>
  <c r="AA36" i="5"/>
  <c r="AH36" i="5"/>
  <c r="BO36" i="5"/>
  <c r="AW28" i="5"/>
  <c r="AW29" i="5"/>
  <c r="AW26" i="5"/>
  <c r="AW30" i="5"/>
  <c r="AW34" i="5"/>
  <c r="AF36" i="5"/>
  <c r="AQ36" i="5"/>
  <c r="BY36" i="5"/>
  <c r="CK36" i="5"/>
  <c r="DN36" i="5"/>
  <c r="EC36" i="5"/>
  <c r="EO36" i="5"/>
  <c r="AW27" i="5"/>
  <c r="AW31" i="5"/>
  <c r="AW35" i="5"/>
  <c r="AW6" i="5"/>
  <c r="AW8" i="5"/>
  <c r="AW10" i="5"/>
  <c r="AW12" i="5"/>
  <c r="AW17" i="5"/>
  <c r="AW19" i="5"/>
  <c r="AW21" i="5"/>
  <c r="AW23" i="5"/>
  <c r="AW25" i="5"/>
  <c r="AX38" i="5"/>
  <c r="AW38" i="5" s="1"/>
  <c r="AW32" i="5"/>
  <c r="AW33" i="5"/>
  <c r="AX40" i="5"/>
  <c r="AW40" i="5" s="1"/>
  <c r="AX41" i="5"/>
  <c r="AW41" i="5" s="1"/>
  <c r="AW7" i="5"/>
  <c r="AW9" i="5"/>
  <c r="AW11" i="5"/>
  <c r="AW13" i="5"/>
  <c r="AW16" i="5"/>
  <c r="AW18" i="5"/>
  <c r="AW20" i="5"/>
  <c r="AW22" i="5"/>
  <c r="AW24" i="5"/>
  <c r="AW14" i="5"/>
  <c r="AW15" i="5"/>
  <c r="ES36" i="5"/>
  <c r="DE42" i="5"/>
  <c r="EO42" i="5"/>
  <c r="ES42" i="5"/>
  <c r="AX39" i="5"/>
  <c r="AW39" i="5" s="1"/>
  <c r="C38" i="5" l="1"/>
  <c r="C28" i="5"/>
  <c r="C19" i="5"/>
  <c r="C14" i="5"/>
  <c r="C6" i="5"/>
  <c r="C25" i="5"/>
  <c r="C17" i="5"/>
  <c r="C12" i="5"/>
  <c r="C41" i="5"/>
  <c r="C35" i="5"/>
  <c r="C27" i="5"/>
  <c r="C18" i="5"/>
  <c r="C9" i="5"/>
  <c r="C31" i="5"/>
  <c r="C24" i="5"/>
  <c r="C11" i="5"/>
  <c r="C33" i="5"/>
  <c r="C40" i="5"/>
  <c r="C34" i="5"/>
  <c r="C21" i="5"/>
  <c r="C16" i="5"/>
  <c r="C8" i="5"/>
  <c r="C29" i="5"/>
  <c r="C23" i="5"/>
  <c r="C10" i="5"/>
  <c r="C32" i="5"/>
  <c r="C39" i="5"/>
  <c r="C30" i="5"/>
  <c r="C20" i="5"/>
  <c r="C15" i="5"/>
  <c r="C7" i="5"/>
  <c r="C26" i="5"/>
  <c r="C22" i="5"/>
  <c r="C13" i="5"/>
  <c r="EL45" i="5"/>
  <c r="DX45" i="5"/>
  <c r="DO45" i="5"/>
  <c r="EV41" i="5"/>
  <c r="EV39" i="5"/>
  <c r="EV40" i="5"/>
  <c r="EV38" i="5"/>
  <c r="V36" i="5"/>
  <c r="V42" i="5"/>
  <c r="BO43" i="5"/>
  <c r="BO45" i="5" s="1"/>
  <c r="CI43" i="5"/>
  <c r="CI45" i="5" s="1"/>
  <c r="EC43" i="5"/>
  <c r="AW5" i="5"/>
  <c r="C5" i="5" s="1"/>
  <c r="AF43" i="5"/>
  <c r="AF45" i="5" s="1"/>
  <c r="EO43" i="5"/>
  <c r="EO45" i="5" s="1"/>
  <c r="DE43" i="5"/>
  <c r="DE45" i="5" s="1"/>
  <c r="CK43" i="5"/>
  <c r="CK45" i="5" s="1"/>
  <c r="BY43" i="5"/>
  <c r="BY45" i="5" s="1"/>
  <c r="CC42" i="5"/>
  <c r="DN43" i="5"/>
  <c r="DN45" i="5" s="1"/>
  <c r="BA43" i="5"/>
  <c r="AP43" i="5"/>
  <c r="AP45" i="5" s="1"/>
  <c r="AA43" i="5"/>
  <c r="AA45" i="5" s="1"/>
  <c r="AQ43" i="5"/>
  <c r="AQ45" i="5" s="1"/>
  <c r="AH43" i="5"/>
  <c r="AH45" i="5" s="1"/>
  <c r="EQ43" i="5"/>
  <c r="EQ45" i="5" s="1"/>
  <c r="DW43" i="5"/>
  <c r="BN42" i="5"/>
  <c r="BN36" i="5"/>
  <c r="ES43" i="5"/>
  <c r="ES45" i="5" s="1"/>
  <c r="AW42" i="5"/>
  <c r="AX42" i="5"/>
  <c r="AX43" i="5" s="1"/>
  <c r="AX45" i="5" s="1"/>
  <c r="DW45" i="5" l="1"/>
  <c r="EC45" i="5"/>
  <c r="C36" i="5"/>
  <c r="V43" i="5"/>
  <c r="V45" i="5" s="1"/>
  <c r="C42" i="5"/>
  <c r="BN43" i="5"/>
  <c r="BN45" i="5" s="1"/>
  <c r="C43" i="5" l="1"/>
  <c r="AW36" i="5"/>
  <c r="AW43" i="5" s="1"/>
  <c r="CG36" i="5" l="1"/>
  <c r="CG43" i="5" s="1"/>
  <c r="CG45" i="5" s="1"/>
  <c r="CE28" i="5"/>
  <c r="CE24" i="5"/>
  <c r="CE23" i="5"/>
  <c r="CE29" i="5"/>
  <c r="CE27" i="5"/>
  <c r="CE11" i="5"/>
  <c r="CE10" i="5"/>
  <c r="CE15" i="5"/>
  <c r="CE21" i="5"/>
  <c r="CE17" i="5"/>
  <c r="CE13" i="5"/>
  <c r="CE31" i="5"/>
  <c r="CE30" i="5"/>
  <c r="CE34" i="5"/>
  <c r="CE19" i="5"/>
  <c r="CE26" i="5"/>
  <c r="CE33" i="5"/>
  <c r="CE35" i="5"/>
  <c r="CE22" i="5"/>
  <c r="CE9" i="5"/>
  <c r="CE25" i="5"/>
  <c r="CE32" i="5"/>
  <c r="CE7" i="5"/>
  <c r="CE18" i="5"/>
  <c r="CE16" i="5"/>
  <c r="CE14" i="5"/>
  <c r="CE12" i="5"/>
  <c r="CE8" i="5"/>
  <c r="CE20" i="5"/>
  <c r="CE6" i="5"/>
  <c r="CE5" i="5"/>
  <c r="CC5" i="5" s="1"/>
  <c r="BZ5" i="5" s="1"/>
  <c r="EV5" i="5" s="1"/>
  <c r="CC6" i="5" l="1"/>
  <c r="CC8" i="5"/>
  <c r="CC14" i="5"/>
  <c r="CC18" i="5"/>
  <c r="CC32" i="5"/>
  <c r="BZ32" i="5" s="1"/>
  <c r="EV32" i="5" s="1"/>
  <c r="CC9" i="5"/>
  <c r="CC35" i="5"/>
  <c r="CC26" i="5"/>
  <c r="CC34" i="5"/>
  <c r="CC31" i="5"/>
  <c r="CC17" i="5"/>
  <c r="BZ17" i="5" s="1"/>
  <c r="EV17" i="5" s="1"/>
  <c r="CC15" i="5"/>
  <c r="CC11" i="5"/>
  <c r="CC29" i="5"/>
  <c r="CC24" i="5"/>
  <c r="CC20" i="5"/>
  <c r="CC12" i="5"/>
  <c r="CC16" i="5"/>
  <c r="CC7" i="5"/>
  <c r="CC25" i="5"/>
  <c r="CC22" i="5"/>
  <c r="CC33" i="5"/>
  <c r="CC19" i="5"/>
  <c r="CC30" i="5"/>
  <c r="CC13" i="5"/>
  <c r="CC21" i="5"/>
  <c r="CC10" i="5"/>
  <c r="CC27" i="5"/>
  <c r="CC23" i="5"/>
  <c r="CC28" i="5"/>
  <c r="CE36" i="5"/>
  <c r="CE43" i="5" s="1"/>
  <c r="CE45" i="5" s="1"/>
  <c r="BZ10" i="5" l="1"/>
  <c r="EV10" i="5" s="1"/>
  <c r="BZ7" i="5"/>
  <c r="EV7" i="5" s="1"/>
  <c r="BZ35" i="5"/>
  <c r="EV35" i="5" s="1"/>
  <c r="BZ27" i="5"/>
  <c r="EV27" i="5" s="1"/>
  <c r="BZ30" i="5"/>
  <c r="EV30" i="5" s="1"/>
  <c r="BZ25" i="5"/>
  <c r="EV25" i="5" s="1"/>
  <c r="BZ20" i="5"/>
  <c r="EV20" i="5" s="1"/>
  <c r="BZ15" i="5"/>
  <c r="EV15" i="5" s="1"/>
  <c r="BZ26" i="5"/>
  <c r="EV26" i="5" s="1"/>
  <c r="BZ18" i="5"/>
  <c r="EV18" i="5" s="1"/>
  <c r="BZ14" i="5"/>
  <c r="EV14" i="5" s="1"/>
  <c r="BZ28" i="5"/>
  <c r="EV28" i="5" s="1"/>
  <c r="BZ21" i="5"/>
  <c r="EV21" i="5" s="1"/>
  <c r="BZ33" i="5"/>
  <c r="EV33" i="5" s="1"/>
  <c r="EV16" i="5"/>
  <c r="BZ16" i="5"/>
  <c r="BZ29" i="5"/>
  <c r="EV29" i="5" s="1"/>
  <c r="EV31" i="5"/>
  <c r="BZ31" i="5"/>
  <c r="BZ9" i="5"/>
  <c r="EV9" i="5" s="1"/>
  <c r="BZ8" i="5"/>
  <c r="EV8" i="5" s="1"/>
  <c r="BZ19" i="5"/>
  <c r="EV19" i="5" s="1"/>
  <c r="BZ24" i="5"/>
  <c r="EV24" i="5" s="1"/>
  <c r="BZ23" i="5"/>
  <c r="EV23" i="5" s="1"/>
  <c r="EV13" i="5"/>
  <c r="BZ13" i="5"/>
  <c r="BZ22" i="5"/>
  <c r="EV22" i="5" s="1"/>
  <c r="BZ12" i="5"/>
  <c r="EV12" i="5" s="1"/>
  <c r="BZ11" i="5"/>
  <c r="EV11" i="5" s="1"/>
  <c r="BZ34" i="5"/>
  <c r="EV34" i="5" s="1"/>
  <c r="BZ6" i="5"/>
  <c r="EV6" i="5" s="1"/>
  <c r="CC36" i="5"/>
  <c r="CC43" i="5" s="1"/>
  <c r="CC45" i="5" s="1"/>
  <c r="BZ36" i="5" l="1"/>
  <c r="CW36" i="5"/>
  <c r="BZ43" i="5" l="1"/>
  <c r="BZ45" i="5" s="1"/>
  <c r="CU36" i="5"/>
  <c r="EW9" i="5"/>
  <c r="EV36" i="5" l="1"/>
  <c r="EW30" i="5"/>
  <c r="EW7" i="5"/>
  <c r="EW34" i="5"/>
  <c r="EW10" i="5"/>
  <c r="EW23" i="5"/>
  <c r="EW28" i="5"/>
  <c r="EW11" i="5"/>
  <c r="EW26" i="5"/>
  <c r="EW35" i="5"/>
  <c r="EW32" i="5"/>
  <c r="EW13" i="5"/>
  <c r="EW16" i="5"/>
  <c r="EW33" i="5"/>
  <c r="EW20" i="5"/>
  <c r="EW12" i="5"/>
  <c r="EW15" i="5"/>
  <c r="EW18" i="5"/>
  <c r="EW27" i="5"/>
  <c r="EW22" i="5"/>
  <c r="EW19" i="5"/>
  <c r="EW8" i="5"/>
  <c r="EW31" i="5"/>
  <c r="EW24" i="5"/>
  <c r="EW29" i="5"/>
  <c r="EW21" i="5"/>
  <c r="EW25" i="5"/>
  <c r="EW6" i="5"/>
  <c r="EW14" i="5"/>
  <c r="EW17" i="5"/>
  <c r="CN36" i="5"/>
  <c r="EW5" i="5" l="1"/>
  <c r="EW36" i="5" s="1"/>
  <c r="CW42" i="5"/>
  <c r="CW43" i="5" s="1"/>
  <c r="CW45" i="5" s="1"/>
  <c r="CU42" i="5" l="1"/>
  <c r="CU43" i="5" s="1"/>
  <c r="CU45" i="5" s="1"/>
  <c r="EW39" i="5" l="1"/>
  <c r="EW40" i="5"/>
  <c r="EW41" i="5"/>
  <c r="CN42" i="5"/>
  <c r="CN43" i="5" s="1"/>
  <c r="CN45" i="5" s="1"/>
  <c r="EV42" i="5"/>
  <c r="EV43" i="5" l="1"/>
  <c r="EW38" i="5"/>
  <c r="EW42" i="5" l="1"/>
  <c r="EW43" i="5"/>
  <c r="BC44" i="5"/>
  <c r="BA44" i="5" l="1"/>
  <c r="C44" i="5"/>
  <c r="C45" i="5" s="1"/>
  <c r="EV44" i="5" l="1"/>
  <c r="AW44" i="5"/>
  <c r="AW45" i="5" s="1"/>
  <c r="BA45" i="5"/>
  <c r="EW44" i="5" l="1"/>
  <c r="EV45" i="5"/>
  <c r="EV48" i="5" s="1"/>
  <c r="EW45" i="5" l="1"/>
  <c r="EX48" i="5" l="1"/>
  <c r="EW48" i="5" s="1"/>
</calcChain>
</file>

<file path=xl/sharedStrings.xml><?xml version="1.0" encoding="utf-8"?>
<sst xmlns="http://schemas.openxmlformats.org/spreadsheetml/2006/main" count="1043" uniqueCount="394">
  <si>
    <t>Наименование муниципальных районов и городских округов</t>
  </si>
  <si>
    <t>01</t>
  </si>
  <si>
    <t>02</t>
  </si>
  <si>
    <t>04</t>
  </si>
  <si>
    <t>07</t>
  </si>
  <si>
    <t>10</t>
  </si>
  <si>
    <t>1402</t>
  </si>
  <si>
    <t>1403</t>
  </si>
  <si>
    <t>Общегосударственные вопросы</t>
  </si>
  <si>
    <t>0104</t>
  </si>
  <si>
    <t>0106</t>
  </si>
  <si>
    <t>Субвенция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</si>
  <si>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</si>
  <si>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</si>
  <si>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Национальная  экономика</t>
  </si>
  <si>
    <t xml:space="preserve"> Средства резервного фонда Правительства Забайкальского края</t>
  </si>
  <si>
    <t>0409</t>
  </si>
  <si>
    <t>0501</t>
  </si>
  <si>
    <t>Образование</t>
  </si>
  <si>
    <t>0701</t>
  </si>
  <si>
    <t>в части увеличения тарифной ставки (должностного оклада) на 25 процентов в поселках городского типа (рабочих поселках) (кроме педагогических  работников муниципальных общеобразовательных учреждений)</t>
  </si>
  <si>
    <t>0702</t>
  </si>
  <si>
    <r>
      <t xml:space="preserve">Субвенции на ежемесячное денежное вознаграждение за классное руководство </t>
    </r>
    <r>
      <rPr>
        <b/>
        <sz val="11"/>
        <color indexed="8"/>
        <rFont val="Times New Roman"/>
        <family val="1"/>
        <charset val="204"/>
      </rPr>
      <t>ИТОГО</t>
    </r>
  </si>
  <si>
    <r>
      <t xml:space="preserve">Субвенции на ежемесячное денежное вознаграждение за классное руководство </t>
    </r>
    <r>
      <rPr>
        <b/>
        <sz val="11"/>
        <color indexed="8"/>
        <rFont val="Times New Roman"/>
        <family val="1"/>
        <charset val="204"/>
      </rPr>
      <t>из бюджета края</t>
    </r>
  </si>
  <si>
    <r>
      <t xml:space="preserve">Субвенции на ежемесячное денежное вознаграждение за классное руководство </t>
    </r>
    <r>
      <rPr>
        <b/>
        <sz val="11"/>
        <color indexed="8"/>
        <rFont val="Times New Roman"/>
        <family val="1"/>
        <charset val="204"/>
      </rPr>
      <t xml:space="preserve">из федерального бюджета </t>
    </r>
  </si>
  <si>
    <t>0707</t>
  </si>
  <si>
    <t>на организацию отдыха детей в каникулярное время в 2010 году</t>
  </si>
  <si>
    <t>0709</t>
  </si>
  <si>
    <t>0801</t>
  </si>
  <si>
    <t>Социальная политика</t>
  </si>
  <si>
    <t>1004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</si>
  <si>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</si>
  <si>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1006</t>
  </si>
  <si>
    <t>Переселение граждан из ЗАТО</t>
  </si>
  <si>
    <t>Дотации на выравнивание бюджетной обеспеченности  муниципальных образований</t>
  </si>
  <si>
    <t xml:space="preserve">Дотации бюджетам городских округов на выравнивание бюджетной обеспеченности </t>
  </si>
  <si>
    <t xml:space="preserve">Дотации бюджетам муниципальных районов (городских округов) на выравнивание бюджетной обеспеченности </t>
  </si>
  <si>
    <t>Иные дотации</t>
  </si>
  <si>
    <t>Дотации бюджетам ЗАТО</t>
  </si>
  <si>
    <t>Прочие межбюджетные трансферты общего характера</t>
  </si>
  <si>
    <t>для осуществления городским округом "Город Чита" функций административного центра (столицы) Забайкальского края</t>
  </si>
  <si>
    <t>Исполнение  органами местного самоуправления государственных полномочий по расчету и предоставлению дотаций поселениям на выравнивание бюджетной обеспеченности</t>
  </si>
  <si>
    <r>
      <t>Всего</t>
    </r>
    <r>
      <rPr>
        <sz val="11"/>
        <rFont val="Times New Roman"/>
        <family val="1"/>
        <charset val="204"/>
      </rPr>
      <t>, безвозмездные поступления</t>
    </r>
  </si>
  <si>
    <t>доходная классификация</t>
  </si>
  <si>
    <t>Х</t>
  </si>
  <si>
    <t>902 202 03024 05 0000 151</t>
  </si>
  <si>
    <t>902 202 03007 05 0000 151</t>
  </si>
  <si>
    <t>902 202 04012 05 0000 151</t>
  </si>
  <si>
    <t>902 202 03015 05 0000 151</t>
  </si>
  <si>
    <t>902 202 02999 05 0000 151</t>
  </si>
  <si>
    <t>902 202 04999 05 0000 151</t>
  </si>
  <si>
    <t>902 202 02077 05 0000 151</t>
  </si>
  <si>
    <t>902 202 02100 05 0000 151</t>
  </si>
  <si>
    <t>902 202 03021 05 0000 151</t>
  </si>
  <si>
    <t>902 202 04025 05 0000 151</t>
  </si>
  <si>
    <t>902 202 03029 05 0000 151</t>
  </si>
  <si>
    <t>902 202 03027 05 0000 151</t>
  </si>
  <si>
    <t xml:space="preserve">902 202 03024 05 0000 151 </t>
  </si>
  <si>
    <t>902 202 01001 05 0000 151</t>
  </si>
  <si>
    <t>902 202 01003 05 0000 151</t>
  </si>
  <si>
    <t>Агинский район</t>
  </si>
  <si>
    <t>Акшинский район</t>
  </si>
  <si>
    <t>Александро-Заводский район</t>
  </si>
  <si>
    <t>Балейский район</t>
  </si>
  <si>
    <t>Борзинский район</t>
  </si>
  <si>
    <t>Газимуро-Заводский район</t>
  </si>
  <si>
    <t>Дульдургинский район</t>
  </si>
  <si>
    <t>Забайкальский район</t>
  </si>
  <si>
    <t>Каларский район</t>
  </si>
  <si>
    <t>Калганский район</t>
  </si>
  <si>
    <t>Карымский район</t>
  </si>
  <si>
    <t>Город Краснокаменск и Краснокаменский район</t>
  </si>
  <si>
    <t>Красночикойский район</t>
  </si>
  <si>
    <t>Кыринский район</t>
  </si>
  <si>
    <t>Могойтуйский район</t>
  </si>
  <si>
    <t>Могочинский район</t>
  </si>
  <si>
    <t>Нерчинский район</t>
  </si>
  <si>
    <t>Нерчинско-Заводский район</t>
  </si>
  <si>
    <t>Оловяннинский район</t>
  </si>
  <si>
    <t>Ононский район</t>
  </si>
  <si>
    <t>Петровск-Забайкальский район</t>
  </si>
  <si>
    <t>Приаргунский район</t>
  </si>
  <si>
    <t>Сретенский район</t>
  </si>
  <si>
    <t>Тунгиро-Олёкминский район</t>
  </si>
  <si>
    <t>Тунгокоченский район</t>
  </si>
  <si>
    <t>Улётовский район</t>
  </si>
  <si>
    <t>Хилокский район</t>
  </si>
  <si>
    <t>Чернышевский район</t>
  </si>
  <si>
    <t>Читинский район</t>
  </si>
  <si>
    <t>Шелопугинский район</t>
  </si>
  <si>
    <t>Шилкинский район</t>
  </si>
  <si>
    <t>Итого по районам</t>
  </si>
  <si>
    <t>902 202 03024 04 0000 151</t>
  </si>
  <si>
    <t>902 202 03007 04 0000 151</t>
  </si>
  <si>
    <t>902 202 04012 04 0000 151</t>
  </si>
  <si>
    <t>902 202 02999 04 0000 151</t>
  </si>
  <si>
    <t>902 202 03015 04 0000 151</t>
  </si>
  <si>
    <t>902 202 04999 04 0000 151</t>
  </si>
  <si>
    <t>902 202 02077 04 0000 151</t>
  </si>
  <si>
    <t>902 202 03021 04 0000 151</t>
  </si>
  <si>
    <t>902 202 04025 04 0000 151</t>
  </si>
  <si>
    <t>902 202 03029 04 0000 151</t>
  </si>
  <si>
    <t>902 202 03027 04 0000 151</t>
  </si>
  <si>
    <t xml:space="preserve">902 202 03024 04 0000 151 </t>
  </si>
  <si>
    <t>902 202 04010 04 0000 151</t>
  </si>
  <si>
    <t>902 202 01001 04 0000 151</t>
  </si>
  <si>
    <t>902 202 01007 04 0000 151</t>
  </si>
  <si>
    <t>902 202 01003 04 0000 151</t>
  </si>
  <si>
    <t>ЗАТО  п. Горный</t>
  </si>
  <si>
    <t>Итого по городам</t>
  </si>
  <si>
    <t xml:space="preserve">Межбюджетные трансферты общего характера </t>
  </si>
  <si>
    <t>Минфин (АБО) Всего :</t>
  </si>
  <si>
    <t xml:space="preserve">002 (006) </t>
  </si>
  <si>
    <t>004</t>
  </si>
  <si>
    <t>Минкультуры   Всего:</t>
  </si>
  <si>
    <t>016</t>
  </si>
  <si>
    <t>п. Агинское</t>
  </si>
  <si>
    <t>г. Петровск-Забайкальский</t>
  </si>
  <si>
    <t>г. Чита</t>
  </si>
  <si>
    <t>Служба занятости  Всего:</t>
  </si>
  <si>
    <t>025</t>
  </si>
  <si>
    <t>Минэкономики  Всего:</t>
  </si>
  <si>
    <t>Минобразования Всего:</t>
  </si>
  <si>
    <t>026</t>
  </si>
  <si>
    <t>0804</t>
  </si>
  <si>
    <t>Минтерразвития Всего</t>
  </si>
  <si>
    <t>027</t>
  </si>
  <si>
    <t>032</t>
  </si>
  <si>
    <t>Деп.  мировых судей  Всего:</t>
  </si>
  <si>
    <t>046</t>
  </si>
  <si>
    <t>Минприроды</t>
  </si>
  <si>
    <t>Краевая долгосрочная целевая программа "Защита населенных пунктов от негативного воздействия паводковых вод и обеспечение безопасности гидротехнических сооружений, расположенных на территории Забайкальского края (2011–2015 годы)"</t>
  </si>
  <si>
    <t>Дотации</t>
  </si>
  <si>
    <t>Субсидии</t>
  </si>
  <si>
    <t>Субвенции</t>
  </si>
  <si>
    <t>Льготный проезд на городском и пригородном пас. транспорте общего пользования для граждан, оказание мер соц. поддержки которым является расходным обязательством РФ и Заб. края., и пенсионеров на территории Заб. края</t>
  </si>
  <si>
    <t xml:space="preserve">Итого </t>
  </si>
  <si>
    <t>Прочие субсидии  ИТОГО:</t>
  </si>
  <si>
    <t>Субвенции на выполнение передаваемых полномочий субъектов РФ  ИТОГО</t>
  </si>
  <si>
    <t>Прочие  межбюджетные трансферты ИТОГО:</t>
  </si>
  <si>
    <t>Иные  межбюджетные трансферты</t>
  </si>
  <si>
    <t xml:space="preserve">исполнитель: </t>
  </si>
  <si>
    <t>телефоны:</t>
  </si>
  <si>
    <t>Служба занятости - 35-09-55</t>
  </si>
  <si>
    <t xml:space="preserve">ИТОГО по Забайкальскому краю </t>
  </si>
  <si>
    <t>0505</t>
  </si>
  <si>
    <t>027-0409-3150203-521-251</t>
  </si>
  <si>
    <t>002-0701-5210101-521-251</t>
  </si>
  <si>
    <t>002-0702-5210101-521-251</t>
  </si>
  <si>
    <t>002(006)-1401-5160110-511-251</t>
  </si>
  <si>
    <t>002(006)-1401-5160120-511-251</t>
  </si>
  <si>
    <t>002-1402-5170100-513-251</t>
  </si>
  <si>
    <t>002-1402-5170201-512-251</t>
  </si>
  <si>
    <t>027-0501-5220600-523-251</t>
  </si>
  <si>
    <t>027-0505-1020200-523-251</t>
  </si>
  <si>
    <t>027-0709-1020200-523-251</t>
  </si>
  <si>
    <t>027-1102-1020200-523-251</t>
  </si>
  <si>
    <t>002-0203-0013600-530-251-365</t>
  </si>
  <si>
    <t>026-0702-5200900-530-251</t>
  </si>
  <si>
    <t>002-1004-5201000-530-251</t>
  </si>
  <si>
    <t>002-1004-5201300-530-251</t>
  </si>
  <si>
    <t>002-0702-5210201-530-251</t>
  </si>
  <si>
    <t>002-0709-5210202-530-251</t>
  </si>
  <si>
    <t>002-1403-5210203-530-251</t>
  </si>
  <si>
    <t>002-1403-5210204-530-251</t>
  </si>
  <si>
    <t>002-0104-5210206-530-251</t>
  </si>
  <si>
    <t>002-0104-5210207-530-251</t>
  </si>
  <si>
    <t>002-0104-5210208-530-251</t>
  </si>
  <si>
    <t>002-0104-5210209-530-251</t>
  </si>
  <si>
    <t>002-0104-5210210-530-251</t>
  </si>
  <si>
    <t>002-0104-5210214-530-251</t>
  </si>
  <si>
    <t>002-0709-5210211-530-251</t>
  </si>
  <si>
    <t>002-0106-5210216-530-251</t>
  </si>
  <si>
    <t>002-0702-5210218-530-251</t>
  </si>
  <si>
    <t>002-0709-5210219-530-251</t>
  </si>
  <si>
    <t>002-1004-5210220-530-251</t>
  </si>
  <si>
    <t>002-0701-5210220-530-251</t>
  </si>
  <si>
    <t>002-0709-5210221-530-251</t>
  </si>
  <si>
    <t>002-0104-5210222-530-251</t>
  </si>
  <si>
    <t>002-1004-5210223-530-251</t>
  </si>
  <si>
    <t>002-1004-5210224-530-251</t>
  </si>
  <si>
    <t>002-0408-5053700-540-251</t>
  </si>
  <si>
    <t>002-1006-5200600-540-251-245</t>
  </si>
  <si>
    <t>004-0801-4400200-540-251-090</t>
  </si>
  <si>
    <t>002-1004-5203010-530-251</t>
  </si>
  <si>
    <t>903 202 03024 05 0000 151</t>
  </si>
  <si>
    <t>903 202 03024 04 0000 151</t>
  </si>
  <si>
    <t>002-0707-5225400-521-251</t>
  </si>
  <si>
    <t>903 202 02999 04 0000 151</t>
  </si>
  <si>
    <t>027-0409-3150202-521-251</t>
  </si>
  <si>
    <t>027-0409-3150207-521-251</t>
  </si>
  <si>
    <t>027-0409-3150207-523-251</t>
  </si>
  <si>
    <t>027-0501-5220905-523-251</t>
  </si>
  <si>
    <t>тел: 35-39-87</t>
  </si>
  <si>
    <t>027-0804-1020200-523-251</t>
  </si>
  <si>
    <t>Осуществление  государственных полномочий  по регистрации и учету граждан, имеющих право на получение социальных выплат для приобретения жилья</t>
  </si>
  <si>
    <t>Осуществление государственных полномочий по сбору информации от поселений, входящих в  муниципальный район, необходимой для ведения регистра муниципальных нормативных правовых актов</t>
  </si>
  <si>
    <t>Осуществление государственного полномочия по установлению отдельных нормативов формирования расходов  органов местного самоуправления поселений</t>
  </si>
  <si>
    <t xml:space="preserve">Дотации на выравнивание бюджетной обеспеченности поселений из регионального фонда финансовой поддержки 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</si>
  <si>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</si>
  <si>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 xml:space="preserve">Финансовое обеспечение передаваемых государственных полномочий по расчету и предоставлению дотаций поселениям </t>
  </si>
  <si>
    <t>002-1401-5160110-511-251</t>
  </si>
  <si>
    <t>002-1401-5160120-511-251</t>
  </si>
  <si>
    <t>Осуществление гос. полномочий в сфере государственного управления охраной труда</t>
  </si>
  <si>
    <t xml:space="preserve">Осуществление гос. полномочия по материально-техническому и финансовому обеспечению государственных нотариальных контор </t>
  </si>
  <si>
    <t xml:space="preserve">Осуществление гос. полномочия по созданию административных комиссий </t>
  </si>
  <si>
    <t xml:space="preserve">Осуществление гос. полномочия по созданию комиссий по делам несовершеннолетних и защите их правы и организации деятельности этих комиссий  </t>
  </si>
  <si>
    <t xml:space="preserve">Осуществление гос. полномочия по материально-техническому и финансовому обеспечению оказания адвокатской помощи в труднодоступных и малонаселенных местностях </t>
  </si>
  <si>
    <t>Реализация Закона Забайкальского края  "Об образовании" в части увеличения тарифной ставки (должностного оклада) на 25 процентов в поселках городского типа (рабочих поселках) (кроме  педагогических работников муниципальных общеобразовательных учреждений)</t>
  </si>
  <si>
    <t>Воспитание и обучение детей-инвалидов в муниципальных дошкольных образовательных учреждениях, а также  предоставление компенсации затрат родителей (законных представителей) на воспитание и обучение детей-инвалидов на дому</t>
  </si>
  <si>
    <t>Обеспечение государственных гарантий прав граждан на получение общедоступного и бесплатного дошкольного, общего образования в общеобразовательных учреждениях</t>
  </si>
  <si>
    <t xml:space="preserve">Обеспечение бесплатным питанием детей из малоимущих семей, обучающихся в муниципальных общеобразовательных учреждениях </t>
  </si>
  <si>
    <t>Краевая долгосрочная целевая программа "Развитие системы отдыха и оздоровления детей в Забайкальском крае на 2012–2016 годы"</t>
  </si>
  <si>
    <t>Исполнение органами местного самоуправления государственного полномочия по предоставлению компенсации части  платы, взимаемой с родителей или законных представителей за содержание ребенка в образовательных организациях</t>
  </si>
  <si>
    <t>Администрирование государственного полномочия по организации и осуществлению деятельности по опеке и попечительству над несовершеннолетними</t>
  </si>
  <si>
    <t xml:space="preserve">Администрирование государственного полномочия по  обеспечению бесплатным питанием детей из малоимущих семей, обучающихся в муниципальных общеобразовательных учреждениях </t>
  </si>
  <si>
    <t>Администрирование государственных полномочий по воспитанию и обучению детей-инвалидов в муниципальных дошкольных образовательных учреждениях, а также по предоставлению компенсации затрат родителей  (законных представителей)  на воспитание и обучение детей-инвалидов на дому</t>
  </si>
  <si>
    <t>Содержание ребенка в семье опекуна и приемной семье, а также вознаграждение, причитающееся приемному родителю</t>
  </si>
  <si>
    <t>Материальное обеспечение патронатной семьи</t>
  </si>
  <si>
    <t>Назначение и выплата ежемесячных денежных средств лицам из числа детей-сирот и детей, оставшихся без попечения родителей, раннее находившимся под опекой (попечительством),  достигшим 18 лет и продолжающим обучение по очной форме обучения в общеобразовательных учреждениях</t>
  </si>
  <si>
    <t>Назначение и выплата вознаграждения опекунам (попечителям)</t>
  </si>
  <si>
    <t>Дотации бюджетам закрытых административно-территориальных образований, связанные со статусом ЗАТО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</si>
  <si>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</si>
  <si>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 xml:space="preserve">Дотации на поддержку мер по обеспечению  сбалансированности бюджетов муниципальных районов (городских округов) </t>
  </si>
  <si>
    <t>Дотации бюджетам муниципальных образований на поддержку мер по обеспечению сбалансированности бюджетов</t>
  </si>
  <si>
    <t>нераспределенные</t>
  </si>
  <si>
    <t>002-1402-5170600-512-251</t>
  </si>
  <si>
    <t>002-1402-5170700-512-251</t>
  </si>
  <si>
    <t>902 202 01999 05 0000 151</t>
  </si>
  <si>
    <t>902 202 01999 04 0000 151</t>
  </si>
  <si>
    <t>Дотации муниципальных образований, достигших наилучших результатов по увеличению налогового потенциала</t>
  </si>
  <si>
    <t>Дотация бюджетам муниципальных районов и городских округов на поощрение достижения наилучших  показателей деятельности органов местного самоуправления муниципальных районов (городских округов)</t>
  </si>
  <si>
    <t>Субсидии на поддержку мер по обеспечению повышения заработной платы отдельным категориям работников муниципальных учреждений в целях реализации указов Президента Российской Федерации</t>
  </si>
  <si>
    <t>Всего с нераспределенными</t>
  </si>
  <si>
    <t>Прочие дотации</t>
  </si>
  <si>
    <t>002-1402</t>
  </si>
  <si>
    <t>006-1403-5210111-521-251</t>
  </si>
  <si>
    <t>Осуществление городским округом "Поселок Агинское" функций административного центра Агинского Бурятского округа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</si>
  <si>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</si>
  <si>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Госветслужба</t>
  </si>
  <si>
    <t>008</t>
  </si>
  <si>
    <t>008-0405-5227600-523-251</t>
  </si>
  <si>
    <t>Краевая долгосрочная целевая программа "Строительство и ремонт объектов для захоронения и утилизации биологических отходов на территории Забайкальского края (2013–2017 годы)"</t>
  </si>
  <si>
    <t>Осуществление органами местного самоуправления государственного полномочия по выплате денежного вознаграждения за выполнение функций классного руководителя педагогическим работникам муниципальных образовательных учреждений Забайкальского края</t>
  </si>
  <si>
    <t>026-0709-5210226-530-251</t>
  </si>
  <si>
    <t>Организация проведения капитального ремонта жилых помещений,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</si>
  <si>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Осуществление государственного полномочия по организации проведения капитального ремонта жилых помещений, принадлежащих на праве собственности детям-сиротам и детям, оставшимся без попечения родителей, а также лицам из числа детей-сирот и детей, оставшихся без попечения родителей</t>
  </si>
  <si>
    <t>026-1006-5057001-530-251</t>
  </si>
  <si>
    <t>026-1006-5057002-530-251</t>
  </si>
  <si>
    <t>занятость1003-5100201-570-251-381 (пенс.ф-д)</t>
  </si>
  <si>
    <t>здрав -</t>
  </si>
  <si>
    <t>Капитальный ремонт и ремонт автомобильных дорог общего пользования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</si>
  <si>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</si>
  <si>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Проектирование и строительство (реконструкция)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</si>
  <si>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Строительство, реконструкция, капитальный ремонт и 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экспертиз).Субсидии, за исключением субсидий на софинансирование объектов капитального строительства муниципальной собственности</t>
  </si>
  <si>
    <t>Строительство, реконструкция, капитальный ремонт и  ремонт автомобильных дорог общего пользования местного значения и искусственных сооружений на них (включая разработку проектной документации и проведение необходимых экспертиз). Субсидии на софинансирование объектов капитального строительства муниципальной собственности</t>
  </si>
  <si>
    <t>Краевая долгосрочная целевая программа "Жилище (2012–2015 годы)". Подпрограмма "Переселение граждан из жилых помещений, расположенных в зоне Байкало-Амурской магистрали, признанных непригодными для проживания, и (или) жилых помещений с высоким уровнем износа"</t>
  </si>
  <si>
    <t xml:space="preserve"> Субсидии на софинансирование объектов капитального строительства муниципальной собственности. Модульная станция комплексной очистки воды в пгт Забайкальск</t>
  </si>
  <si>
    <t>Софинансирование объектов капитального строительства муниципальной собственности на 2012 год. Школа на 10 классов в с. Черемхово Красночикойского района; школа на 11 классов в с. Александровка Читинского района, первая очередь</t>
  </si>
  <si>
    <t xml:space="preserve"> Субсидии на софинансирование объектов капитального строительства муниципальной собственности. реконструкция здания районного дома культуры в с. Красный Чикой</t>
  </si>
  <si>
    <t xml:space="preserve"> Субсидии на софинансирование объектов капитального строительства муниципальной собственности. Спортивный центр с универсальным игровым залом в с. Токчин, Дульдургинский район; строительство универсального спортивного зала в с. Красный Чикой</t>
  </si>
  <si>
    <t xml:space="preserve"> Субсидии на софинансирование объектов капитального строительства муниципальной собственности. ИТОГО</t>
  </si>
  <si>
    <t>902 202 03999 05 0000 151</t>
  </si>
  <si>
    <t>002-1403-5210112-521-251</t>
  </si>
  <si>
    <t xml:space="preserve"> </t>
  </si>
  <si>
    <t>резервный фонд Правительства ЗК</t>
  </si>
  <si>
    <t xml:space="preserve">902 202 04012 05 0000 151 </t>
  </si>
  <si>
    <t xml:space="preserve">902 202 04012 04 0000 151 </t>
  </si>
  <si>
    <t>002-1403-07000400-540-251</t>
  </si>
  <si>
    <t>0502</t>
  </si>
  <si>
    <t xml:space="preserve">Субсидии на софинансирование объектов капитального строительства муниципальной собственности.  КДЦП "Экономическое и социальное развитие коренных малочисленных народов Севера в Забайкальском крае (2013–2015 годы)". </t>
  </si>
  <si>
    <t>002-0701-5225300-521-251</t>
  </si>
  <si>
    <t>Краевая долгосрочная целевая программа "Развитие системы дошкольного образования на 2011–2015 годы"</t>
  </si>
  <si>
    <t>Березовская Т.В.</t>
  </si>
  <si>
    <t>минкультура 283467</t>
  </si>
  <si>
    <t>Минобразования359486</t>
  </si>
  <si>
    <t>Минтерразвития 233269</t>
  </si>
  <si>
    <t>Госветслужба 326754</t>
  </si>
  <si>
    <t>0113-290</t>
  </si>
  <si>
    <t>0409-225</t>
  </si>
  <si>
    <t>Субсидии бюджетам субъектов Российской Федерации на закупку произведенных на территории государств-участников Единого экономического пространства автобусов, работающих на газомоторном топливе, трамваев и троллейбусов</t>
  </si>
  <si>
    <t>902 202 02156 05 0000 151</t>
  </si>
  <si>
    <t>902 202 02156 04 0000 151</t>
  </si>
  <si>
    <t>0408</t>
  </si>
  <si>
    <t>027-0408-3170102-521-251-725</t>
  </si>
  <si>
    <t>027-0409-3150205-523-251</t>
  </si>
  <si>
    <t>027-0502-5220600-521-251</t>
  </si>
  <si>
    <t>027-0502-5220904-521-251</t>
  </si>
  <si>
    <t>Субсидия на софинансирование объектов капитального строительства  муниципальной собственности (КДЦП "Жилище" ПП"Модернизация объектов коммунальной инфраструктуры" )</t>
  </si>
  <si>
    <t>027-0801-5220600-521-251</t>
  </si>
  <si>
    <t>Субсидия на софинансирование объектов капитального строительства  муниципальной собственности (КДЦП "Жилище" ПП"Модернизация объектов коммунальной инфраструктуры")</t>
  </si>
  <si>
    <t>026-0702-5200900-530-251-051</t>
  </si>
  <si>
    <t>046-0406-5222900-521-251</t>
  </si>
  <si>
    <t>027-0502(0801)-5220600-521-251</t>
  </si>
  <si>
    <t>902 202 03999 04 0000 151</t>
  </si>
  <si>
    <t>002-1403-5200302-540-251-325</t>
  </si>
  <si>
    <t xml:space="preserve">Иные межбюджетные трансферты на развитие и поддержку социальной инженерной инфраструктуры ЗАТО </t>
  </si>
  <si>
    <t>902 202 04018 04 0000 151</t>
  </si>
  <si>
    <t>0113</t>
  </si>
  <si>
    <t>Субсидия, за исключением субсидий на софинансирование объектов капитального строительства муниципальной собственности (КДЦП "Территориальное планирование и обеспечение градостроительной деятельности на территории Забайкальского края (2013-2015 годы)</t>
  </si>
  <si>
    <t>027-0113-5221400-521-251</t>
  </si>
  <si>
    <t>027-0409-1460299-521-251</t>
  </si>
  <si>
    <t>Субсидиии на софинансирование объектов капитального строительства муниципальной собственности (ФЦП "Экономическое и социальное развитие Дальнего Востока и Забайкалья на период до 2013 года")</t>
  </si>
  <si>
    <t>027-0409-1460299-523-251-615</t>
  </si>
  <si>
    <t>027-0501-0980204-523-251</t>
  </si>
  <si>
    <t xml:space="preserve">Субсидиии на софинансирование объектов капитального строительства муниципальной собственности (Мероприятия по переселению граждан из аварийного жилищного фонда с учетом необходимости развития малоэтажного жилищного строительства г.п.Аксеново-Зиловское) </t>
  </si>
  <si>
    <t>Субсидия на софинансирование объектов капитального строительства  муниципальной собственности (КДЦП "Экономическое и социальное развитие коренных малочисленных народов в Забайкальском крае (2012-2015 годы)")</t>
  </si>
  <si>
    <t>902 202 02100 04 0000 151</t>
  </si>
  <si>
    <t>902 202 02089 05 0000 151</t>
  </si>
  <si>
    <t>Краевая долгосрочная целевая программа "Экономическое и социальное развитие коренных малочисленных народов Севера в Забайкальском крае на 2010-2012 годы"</t>
  </si>
  <si>
    <t>027-0502-5220904-523-251</t>
  </si>
  <si>
    <t>Субсидия на софинансирование объектов капитального строительства  муниципальной собственности (бюджетные инвестиции в объекты капитального строительства, не включенные в целевые программы)</t>
  </si>
  <si>
    <t>Иные межбюджетные трансферты (Проведение ежегодного конкурса на лучшую организацию сферы жилищно-коммунального хозяйства Забайкальского края)</t>
  </si>
  <si>
    <t>027-0505-3500500-540-251</t>
  </si>
  <si>
    <t>Иные межбюджетные трансферты (Премирование победителей краевого конкурса на звание "Самое благоустроенное муниципальное образование Забайкальского края)</t>
  </si>
  <si>
    <t>027-0505-3500600-540-251</t>
  </si>
  <si>
    <t>027-1003-5220903-521-251</t>
  </si>
  <si>
    <t>Субсидия, за исключением субсидий на софинансирование объектов капитального строительства муниципальной собственности КДЦП "Жилище(2012-2015 годы)" подпрограмма "Обеспечение жильём молодых семей"</t>
  </si>
  <si>
    <t>902 202 02008 05 0000 151</t>
  </si>
  <si>
    <t>902 202 02008 04 0000 151</t>
  </si>
  <si>
    <t>046-0404-5220200-521-251</t>
  </si>
  <si>
    <t>Краевая долгосрочная целевая программа "Геологическое изучение недр и воспроизводство минерально-сырьевой базы Забайкальского края  (2011–2014 годы)"</t>
  </si>
  <si>
    <t>0702-223</t>
  </si>
  <si>
    <t>002-0412-5200100-540-251-395</t>
  </si>
  <si>
    <t>Реализация программ местного развития и обеспечение занятости для шахтерских городов и поселков</t>
  </si>
  <si>
    <t>902 202 04007 05 0000 151</t>
  </si>
  <si>
    <t>002-0702-5222500-521-251</t>
  </si>
  <si>
    <t>Субсидии, за исключением субсидий на софинансирование объектов капитального строительства муниципальной собственности. Краевая долгосрочная целевая программа "Образование (2012–2015 годы)"</t>
  </si>
  <si>
    <t>002-1403-0700300-540-251-680</t>
  </si>
  <si>
    <t>002-1403-0700400-540-251</t>
  </si>
  <si>
    <t>Иные межбюджетные трансферты, имеющие целевое назначение, предоставляемые из резервного фонда Правительства Российской Федерации по предупреждению и ликвидации чрезвычайных ситуаций и последствий стихийных бедствий</t>
  </si>
  <si>
    <t>026-0702-4362100-521-251-058</t>
  </si>
  <si>
    <t>субсидии муниципальным районам и городским округам на реализацию комплекса мер по модернизации общего образования Забайкальского края</t>
  </si>
  <si>
    <t>902 202 02145 05 0000 151</t>
  </si>
  <si>
    <t>902 202 02145 04 0000 151</t>
  </si>
  <si>
    <t>Осуществление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</si>
  <si>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Администрирование государственного полномочия по организации социальной поддержки отдельных категорий граждан путем обеспечения льготного проезда на городском и пригородном пассажирском транспорте общего пользования (кроме воздушного и железнодорожного)</t>
  </si>
  <si>
    <t>027-0408-5057501-530-251</t>
  </si>
  <si>
    <t>027-0408-5057502-530-251</t>
  </si>
  <si>
    <t>027-1003-5220905-521-251</t>
  </si>
  <si>
    <t>Субсидия бюджетам субъектов Российской Федерации и муниципальных образований (КДЦП "Экономическое и социальное развитие коренных малочисленных народов Севера, Сибири и Дальнего Востока ")</t>
  </si>
  <si>
    <t>027-0502-5270000-521-251-255</t>
  </si>
  <si>
    <t>027-0701-5270000-521-251-255</t>
  </si>
  <si>
    <t>027-0702-5270000-521-251-255</t>
  </si>
  <si>
    <t>027-0801-5270000-521-251-255</t>
  </si>
  <si>
    <t>027-0502;0701;0702;0801-5270000-521-251-255</t>
  </si>
  <si>
    <t>032-0113-0014000-530-251-370</t>
  </si>
  <si>
    <t>027-0409-5227700-523-251</t>
  </si>
  <si>
    <t>КДЦП "Развитие социальной инфраструктуры городского поселения "Город Краснокаменск" и муниципального района "Город Краснокаменск" и Краснокаменский район (2013-2017 годы)</t>
  </si>
  <si>
    <t>0412</t>
  </si>
  <si>
    <t>027-0412-5220600-523-251</t>
  </si>
  <si>
    <t>Субсидия на софинансирование объектов капитального строительства  муниципальной собственности (КДЦП "Экономическое и социальное развитие коренных малочисленных народов севера в Забайкальском крае на 2010-2012 годы")</t>
  </si>
  <si>
    <t>027-0412-5220600-521-251</t>
  </si>
  <si>
    <t>027-0505-5227700-523-251</t>
  </si>
  <si>
    <t>027-0709-5227700-523-251</t>
  </si>
  <si>
    <t>027-0804-5227700-523-251</t>
  </si>
  <si>
    <t>027-1003-1008820-521-251-666</t>
  </si>
  <si>
    <t>ФЦП "Жилище" ПП "Обеспечение жильем молодых семей"</t>
  </si>
  <si>
    <t>902 202 02051 05 0000 151</t>
  </si>
  <si>
    <t>902 202 02051 04 0000 151</t>
  </si>
  <si>
    <t>027-1003-1008855-521-251-633</t>
  </si>
  <si>
    <t>ФЦП "Жилище" Мероприятия по переселению граждан из ветхого и аварийного жилья в зоне Байкало-Амурской магистрали</t>
  </si>
  <si>
    <t xml:space="preserve">027-1003-1008820-521-251-666 </t>
  </si>
  <si>
    <t>027-1102-5227700-523-251</t>
  </si>
  <si>
    <t>027-1102-5227700-521-251</t>
  </si>
  <si>
    <t>027-0409(0505;0709;0804;1102)-5227700-521;523-251</t>
  </si>
  <si>
    <t>027-1403-5210103-521;523-251</t>
  </si>
  <si>
    <t>026-0702-0700400-540-251</t>
  </si>
  <si>
    <t>902 202 02089 04 0000 151</t>
  </si>
  <si>
    <t>011</t>
  </si>
  <si>
    <t>Министерство физической культуры и спорта  Всего</t>
  </si>
  <si>
    <t>011-1103-0700400-540-251</t>
  </si>
  <si>
    <t>004-0801-5222100-540-251-091</t>
  </si>
  <si>
    <t>Краевая долгосрочная  целевая программа "Культура Забайкалья" (2010-2014годы)</t>
  </si>
  <si>
    <t>902 202 02999 05 0000 251</t>
  </si>
  <si>
    <t>012</t>
  </si>
  <si>
    <t>Департамент по гражданской обороне и пожарной безопасности Всего</t>
  </si>
  <si>
    <t>012-0309-5226300-521-251</t>
  </si>
  <si>
    <t>Краевая долгосрочная целевая программа "Обеспечение безопасности людей на водных объектах Забайкальского края (2013-2016 годы)"</t>
  </si>
  <si>
    <t>0801-290</t>
  </si>
  <si>
    <t>Национальная безопасность и правохранительная деятельность</t>
  </si>
  <si>
    <t>03</t>
  </si>
  <si>
    <t>002-0309-2180100-540-251</t>
  </si>
  <si>
    <t>Минприрода 35-87-29</t>
  </si>
  <si>
    <t>Предупреждение и ликвидация последствий чрезвычайных ситуаций и стихийных бедствий природного и техногенного характера</t>
  </si>
  <si>
    <t>0902 202 0412 05 000 151</t>
  </si>
  <si>
    <t>х</t>
  </si>
  <si>
    <t>Уточненный план на 01.09.2013 г.</t>
  </si>
  <si>
    <t>средства на финансирование муниципальных районов и городских округов субсидии федерального бюджета на реализацию мероприятий по модернизации региональной системы дошкольного образования</t>
  </si>
  <si>
    <t>902- 202-02204000000 151</t>
  </si>
  <si>
    <t>026-0701-4362700-521-052-251</t>
  </si>
  <si>
    <t>026-0701-4362700-521-251</t>
  </si>
  <si>
    <t>субсидии на финансирование муниципальных районов и городских округов субсидии федерального бюджета на реализацию мероприятий по модернизации региональной системы дошкольного образования</t>
  </si>
  <si>
    <t>909 202 02204 05 000 151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</si>
</sst>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0_ ;\-#,##0.00\ "/>
    <numFmt numFmtId="165" formatCode="#,##0_ ;\-#,##0\ "/>
    <numFmt numFmtId="166" formatCode="0000"/>
  </numFmts>
  <fonts count="4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8.5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Arial Cyr"/>
      <charset val="204"/>
    </font>
  </fonts>
  <fills count="6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AC09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0CF433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1">
    <xf numFmtId="0" fontId="0" fillId="0" borderId="0"/>
    <xf numFmtId="0" fontId="5" fillId="0" borderId="0"/>
    <xf numFmtId="0" fontId="11" fillId="0" borderId="0"/>
    <xf numFmtId="0" fontId="1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10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7" applyNumberFormat="0" applyAlignment="0" applyProtection="0"/>
    <xf numFmtId="0" fontId="22" fillId="14" borderId="8" applyNumberFormat="0" applyAlignment="0" applyProtection="0"/>
    <xf numFmtId="0" fontId="23" fillId="14" borderId="7" applyNumberFormat="0" applyAlignment="0" applyProtection="0"/>
    <xf numFmtId="0" fontId="24" fillId="0" borderId="9" applyNumberFormat="0" applyFill="0" applyAlignment="0" applyProtection="0"/>
    <xf numFmtId="0" fontId="25" fillId="15" borderId="10" applyNumberFormat="0" applyAlignment="0" applyProtection="0"/>
    <xf numFmtId="0" fontId="26" fillId="0" borderId="0" applyNumberFormat="0" applyFill="0" applyBorder="0" applyAlignment="0" applyProtection="0"/>
    <xf numFmtId="0" fontId="1" fillId="16" borderId="11" applyNumberFormat="0" applyFont="0" applyAlignment="0" applyProtection="0"/>
    <xf numFmtId="0" fontId="27" fillId="0" borderId="0" applyNumberFormat="0" applyFill="0" applyBorder="0" applyAlignment="0" applyProtection="0"/>
    <xf numFmtId="0" fontId="28" fillId="0" borderId="12" applyNumberFormat="0" applyFill="0" applyAlignment="0" applyProtection="0"/>
    <xf numFmtId="0" fontId="2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32" borderId="0" applyNumberFormat="0" applyBorder="0" applyAlignment="0" applyProtection="0"/>
    <xf numFmtId="0" fontId="29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29" fillId="36" borderId="0" applyNumberFormat="0" applyBorder="0" applyAlignment="0" applyProtection="0"/>
    <xf numFmtId="0" fontId="29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29" fillId="40" borderId="0" applyNumberFormat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1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" fillId="0" borderId="0"/>
  </cellStyleXfs>
  <cellXfs count="353">
    <xf numFmtId="0" fontId="0" fillId="0" borderId="0" xfId="0"/>
    <xf numFmtId="0" fontId="3" fillId="0" borderId="3" xfId="0" applyFont="1" applyFill="1" applyBorder="1" applyAlignment="1" applyProtection="1">
      <alignment vertical="center" wrapText="1"/>
      <protection locked="0" hidden="1"/>
    </xf>
    <xf numFmtId="4" fontId="3" fillId="3" borderId="3" xfId="0" applyNumberFormat="1" applyFont="1" applyFill="1" applyBorder="1" applyAlignment="1" applyProtection="1">
      <alignment vertical="center" wrapText="1"/>
      <protection locked="0" hidden="1"/>
    </xf>
    <xf numFmtId="4" fontId="3" fillId="3" borderId="3" xfId="0" applyNumberFormat="1" applyFont="1" applyFill="1" applyBorder="1" applyAlignment="1" applyProtection="1">
      <alignment horizontal="right" vertical="center"/>
      <protection locked="0" hidden="1"/>
    </xf>
    <xf numFmtId="4" fontId="3" fillId="5" borderId="3" xfId="0" applyNumberFormat="1" applyFont="1" applyFill="1" applyBorder="1" applyAlignment="1" applyProtection="1">
      <alignment horizontal="right" vertical="center"/>
      <protection locked="0" hidden="1"/>
    </xf>
    <xf numFmtId="0" fontId="2" fillId="0" borderId="3" xfId="0" applyFont="1" applyFill="1" applyBorder="1" applyAlignment="1" applyProtection="1">
      <alignment vertical="center"/>
      <protection locked="0" hidden="1"/>
    </xf>
    <xf numFmtId="4" fontId="2" fillId="3" borderId="3" xfId="0" applyNumberFormat="1" applyFont="1" applyFill="1" applyBorder="1" applyAlignment="1" applyProtection="1">
      <alignment horizontal="right" vertical="center" wrapText="1"/>
      <protection locked="0" hidden="1"/>
    </xf>
    <xf numFmtId="164" fontId="2" fillId="3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5" borderId="3" xfId="0" applyNumberFormat="1" applyFont="1" applyFill="1" applyBorder="1" applyAlignment="1" applyProtection="1">
      <alignment horizontal="right" vertical="center"/>
      <protection locked="0" hidden="1"/>
    </xf>
    <xf numFmtId="0" fontId="2" fillId="3" borderId="0" xfId="0" applyFont="1" applyFill="1" applyProtection="1">
      <protection locked="0" hidden="1"/>
    </xf>
    <xf numFmtId="0" fontId="3" fillId="0" borderId="0" xfId="0" applyFont="1" applyFill="1" applyProtection="1">
      <protection locked="0" hidden="1"/>
    </xf>
    <xf numFmtId="0" fontId="3" fillId="2" borderId="0" xfId="0" applyFont="1" applyFill="1" applyProtection="1">
      <protection locked="0" hidden="1"/>
    </xf>
    <xf numFmtId="0" fontId="3" fillId="4" borderId="0" xfId="0" applyFont="1" applyFill="1" applyProtection="1">
      <protection locked="0" hidden="1"/>
    </xf>
    <xf numFmtId="0" fontId="3" fillId="5" borderId="0" xfId="0" applyFont="1" applyFill="1" applyProtection="1">
      <protection locked="0" hidden="1"/>
    </xf>
    <xf numFmtId="164" fontId="3" fillId="0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0" borderId="3" xfId="0" applyNumberFormat="1" applyFont="1" applyFill="1" applyBorder="1" applyAlignment="1" applyProtection="1">
      <alignment horizontal="right" vertical="center"/>
      <protection locked="0" hidden="1"/>
    </xf>
    <xf numFmtId="0" fontId="3" fillId="6" borderId="0" xfId="0" applyFont="1" applyFill="1" applyProtection="1">
      <protection locked="0" hidden="1"/>
    </xf>
    <xf numFmtId="164" fontId="3" fillId="8" borderId="3" xfId="0" applyNumberFormat="1" applyFont="1" applyFill="1" applyBorder="1" applyAlignment="1" applyProtection="1">
      <alignment horizontal="right" vertical="center"/>
      <protection locked="0" hidden="1"/>
    </xf>
    <xf numFmtId="4" fontId="2" fillId="0" borderId="3" xfId="0" applyNumberFormat="1" applyFont="1" applyFill="1" applyBorder="1" applyAlignment="1" applyProtection="1">
      <alignment horizontal="right" vertical="center"/>
      <protection locked="0" hidden="1"/>
    </xf>
    <xf numFmtId="0" fontId="3" fillId="0" borderId="2" xfId="0" applyFont="1" applyFill="1" applyBorder="1" applyAlignment="1" applyProtection="1">
      <alignment horizontal="right" vertical="center"/>
      <protection locked="0" hidden="1"/>
    </xf>
    <xf numFmtId="0" fontId="3" fillId="0" borderId="3" xfId="0" applyFont="1" applyFill="1" applyBorder="1" applyAlignment="1" applyProtection="1">
      <alignment horizontal="right" vertical="center"/>
      <protection locked="0" hidden="1"/>
    </xf>
    <xf numFmtId="4" fontId="2" fillId="7" borderId="3" xfId="0" applyNumberFormat="1" applyFont="1" applyFill="1" applyBorder="1" applyAlignment="1" applyProtection="1">
      <alignment horizontal="right" vertical="center" wrapText="1"/>
      <protection locked="0" hidden="1"/>
    </xf>
    <xf numFmtId="4" fontId="3" fillId="7" borderId="3" xfId="0" applyNumberFormat="1" applyFont="1" applyFill="1" applyBorder="1" applyAlignment="1" applyProtection="1">
      <alignment vertical="center" wrapText="1"/>
      <protection locked="0" hidden="1"/>
    </xf>
    <xf numFmtId="4" fontId="3" fillId="0" borderId="3" xfId="0" applyNumberFormat="1" applyFont="1" applyFill="1" applyBorder="1" applyAlignment="1" applyProtection="1">
      <alignment horizontal="right" vertical="center"/>
      <protection locked="0" hidden="1"/>
    </xf>
    <xf numFmtId="0" fontId="13" fillId="7" borderId="3" xfId="0" applyFont="1" applyFill="1" applyBorder="1" applyAlignment="1" applyProtection="1">
      <alignment horizontal="center" vertical="center" wrapText="1"/>
      <protection locked="0" hidden="1"/>
    </xf>
    <xf numFmtId="49" fontId="13" fillId="7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13" fillId="7" borderId="3" xfId="0" applyFont="1" applyFill="1" applyBorder="1" applyAlignment="1" applyProtection="1">
      <alignment horizontal="center"/>
      <protection locked="0" hidden="1"/>
    </xf>
    <xf numFmtId="49" fontId="13" fillId="7" borderId="3" xfId="0" applyNumberFormat="1" applyFont="1" applyFill="1" applyBorder="1" applyAlignment="1" applyProtection="1">
      <alignment horizontal="center" vertical="center"/>
      <protection locked="0" hidden="1"/>
    </xf>
    <xf numFmtId="0" fontId="13" fillId="3" borderId="0" xfId="0" applyFont="1" applyFill="1" applyProtection="1">
      <protection locked="0" hidden="1"/>
    </xf>
    <xf numFmtId="164" fontId="3" fillId="8" borderId="3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164" fontId="3" fillId="3" borderId="3" xfId="0" applyNumberFormat="1" applyFont="1" applyFill="1" applyBorder="1" applyAlignment="1">
      <alignment horizontal="right" vertical="center"/>
    </xf>
    <xf numFmtId="164" fontId="3" fillId="9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9" borderId="3" xfId="0" applyNumberFormat="1" applyFont="1" applyFill="1" applyBorder="1" applyAlignment="1" applyProtection="1">
      <alignment horizontal="right" vertical="center"/>
      <protection locked="0" hidden="1"/>
    </xf>
    <xf numFmtId="0" fontId="3" fillId="8" borderId="3" xfId="0" applyFont="1" applyFill="1" applyBorder="1" applyProtection="1">
      <protection locked="0" hidden="1"/>
    </xf>
    <xf numFmtId="0" fontId="3" fillId="8" borderId="0" xfId="0" applyFont="1" applyFill="1" applyAlignment="1" applyProtection="1">
      <alignment vertical="center"/>
      <protection locked="0" hidden="1"/>
    </xf>
    <xf numFmtId="4" fontId="3" fillId="8" borderId="0" xfId="0" applyNumberFormat="1" applyFont="1" applyFill="1" applyProtection="1">
      <protection locked="0" hidden="1"/>
    </xf>
    <xf numFmtId="0" fontId="3" fillId="43" borderId="0" xfId="0" applyFont="1" applyFill="1" applyAlignment="1" applyProtection="1">
      <alignment vertical="center"/>
      <protection locked="0" hidden="1"/>
    </xf>
    <xf numFmtId="4" fontId="3" fillId="43" borderId="3" xfId="0" applyNumberFormat="1" applyFont="1" applyFill="1" applyBorder="1" applyAlignment="1" applyProtection="1">
      <alignment horizontal="right" vertical="center"/>
      <protection locked="0" hidden="1"/>
    </xf>
    <xf numFmtId="0" fontId="3" fillId="43" borderId="0" xfId="0" applyFont="1" applyFill="1" applyProtection="1">
      <protection locked="0" hidden="1"/>
    </xf>
    <xf numFmtId="164" fontId="2" fillId="43" borderId="3" xfId="0" applyNumberFormat="1" applyFont="1" applyFill="1" applyBorder="1" applyAlignment="1" applyProtection="1">
      <alignment horizontal="right" vertical="center"/>
      <protection locked="0" hidden="1"/>
    </xf>
    <xf numFmtId="4" fontId="3" fillId="8" borderId="3" xfId="0" applyNumberFormat="1" applyFont="1" applyFill="1" applyBorder="1" applyAlignment="1">
      <alignment horizontal="right" vertical="top" shrinkToFit="1"/>
    </xf>
    <xf numFmtId="0" fontId="2" fillId="0" borderId="3" xfId="0" applyFont="1" applyFill="1" applyBorder="1" applyAlignment="1">
      <alignment horizontal="left" vertical="center" wrapText="1"/>
    </xf>
    <xf numFmtId="164" fontId="2" fillId="45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46" borderId="3" xfId="0" applyNumberFormat="1" applyFont="1" applyFill="1" applyBorder="1" applyAlignment="1" applyProtection="1">
      <alignment horizontal="right" vertical="center"/>
      <protection locked="0" hidden="1"/>
    </xf>
    <xf numFmtId="0" fontId="3" fillId="47" borderId="0" xfId="0" applyFont="1" applyFill="1" applyAlignment="1" applyProtection="1">
      <alignment vertical="center"/>
      <protection locked="0" hidden="1"/>
    </xf>
    <xf numFmtId="164" fontId="3" fillId="47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47" borderId="3" xfId="0" applyNumberFormat="1" applyFont="1" applyFill="1" applyBorder="1" applyAlignment="1" applyProtection="1">
      <alignment horizontal="right" vertical="center"/>
      <protection locked="0" hidden="1"/>
    </xf>
    <xf numFmtId="4" fontId="2" fillId="47" borderId="3" xfId="0" applyNumberFormat="1" applyFont="1" applyFill="1" applyBorder="1" applyAlignment="1" applyProtection="1">
      <alignment horizontal="right" vertical="center"/>
      <protection locked="0" hidden="1"/>
    </xf>
    <xf numFmtId="0" fontId="3" fillId="47" borderId="0" xfId="0" applyFont="1" applyFill="1" applyProtection="1">
      <protection locked="0" hidden="1"/>
    </xf>
    <xf numFmtId="4" fontId="3" fillId="47" borderId="3" xfId="0" applyNumberFormat="1" applyFont="1" applyFill="1" applyBorder="1" applyAlignment="1">
      <alignment horizontal="right" vertical="top" shrinkToFit="1"/>
    </xf>
    <xf numFmtId="3" fontId="13" fillId="7" borderId="3" xfId="0" applyNumberFormat="1" applyFont="1" applyFill="1" applyBorder="1" applyAlignment="1" applyProtection="1">
      <alignment horizontal="center" vertical="center"/>
      <protection locked="0" hidden="1"/>
    </xf>
    <xf numFmtId="1" fontId="13" fillId="7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6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41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42" borderId="3" xfId="0" applyNumberFormat="1" applyFont="1" applyFill="1" applyBorder="1" applyAlignment="1" applyProtection="1">
      <alignment horizontal="center" vertical="center"/>
      <protection locked="0" hidden="1"/>
    </xf>
    <xf numFmtId="0" fontId="13" fillId="5" borderId="3" xfId="0" applyFont="1" applyFill="1" applyBorder="1" applyAlignment="1" applyProtection="1">
      <alignment horizontal="center" vertical="center"/>
      <protection locked="0" hidden="1"/>
    </xf>
    <xf numFmtId="49" fontId="13" fillId="43" borderId="3" xfId="0" applyNumberFormat="1" applyFont="1" applyFill="1" applyBorder="1" applyAlignment="1" applyProtection="1">
      <alignment horizontal="center" vertical="center"/>
      <protection locked="0" hidden="1"/>
    </xf>
    <xf numFmtId="3" fontId="13" fillId="8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47" borderId="3" xfId="0" applyNumberFormat="1" applyFont="1" applyFill="1" applyBorder="1" applyAlignment="1" applyProtection="1">
      <alignment horizontal="center" vertical="center"/>
      <protection locked="0" hidden="1"/>
    </xf>
    <xf numFmtId="164" fontId="2" fillId="48" borderId="3" xfId="0" applyNumberFormat="1" applyFont="1" applyFill="1" applyBorder="1" applyAlignment="1" applyProtection="1">
      <alignment horizontal="right" vertical="center"/>
      <protection locked="0" hidden="1"/>
    </xf>
    <xf numFmtId="4" fontId="2" fillId="8" borderId="3" xfId="0" applyNumberFormat="1" applyFont="1" applyFill="1" applyBorder="1" applyAlignment="1">
      <alignment horizontal="right" vertical="top" shrinkToFit="1"/>
    </xf>
    <xf numFmtId="164" fontId="3" fillId="49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49" borderId="3" xfId="0" applyNumberFormat="1" applyFont="1" applyFill="1" applyBorder="1" applyAlignment="1" applyProtection="1">
      <alignment horizontal="right" vertical="center"/>
      <protection locked="0" hidden="1"/>
    </xf>
    <xf numFmtId="49" fontId="13" fillId="49" borderId="3" xfId="0" applyNumberFormat="1" applyFont="1" applyFill="1" applyBorder="1" applyAlignment="1" applyProtection="1">
      <alignment horizontal="center" vertical="center"/>
      <protection locked="0" hidden="1"/>
    </xf>
    <xf numFmtId="164" fontId="3" fillId="6" borderId="3" xfId="0" applyNumberFormat="1" applyFont="1" applyFill="1" applyBorder="1" applyAlignment="1" applyProtection="1">
      <alignment horizontal="right" vertical="center"/>
      <protection locked="0" hidden="1"/>
    </xf>
    <xf numFmtId="4" fontId="2" fillId="6" borderId="3" xfId="0" applyNumberFormat="1" applyFont="1" applyFill="1" applyBorder="1" applyAlignment="1" applyProtection="1">
      <alignment horizontal="right" vertical="center"/>
      <protection locked="0" hidden="1"/>
    </xf>
    <xf numFmtId="4" fontId="3" fillId="47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50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50" borderId="3" xfId="0" applyNumberFormat="1" applyFont="1" applyFill="1" applyBorder="1" applyAlignment="1" applyProtection="1">
      <alignment horizontal="right" vertical="center"/>
      <protection locked="0" hidden="1"/>
    </xf>
    <xf numFmtId="4" fontId="2" fillId="50" borderId="3" xfId="0" applyNumberFormat="1" applyFont="1" applyFill="1" applyBorder="1" applyAlignment="1" applyProtection="1">
      <alignment horizontal="right" vertical="center"/>
      <protection locked="0" hidden="1"/>
    </xf>
    <xf numFmtId="43" fontId="3" fillId="5" borderId="0" xfId="0" applyNumberFormat="1" applyFont="1" applyFill="1" applyProtection="1">
      <protection locked="0" hidden="1"/>
    </xf>
    <xf numFmtId="43" fontId="3" fillId="5" borderId="0" xfId="45" applyFont="1" applyFill="1" applyAlignment="1" applyProtection="1">
      <alignment horizontal="right" vertical="center"/>
      <protection locked="0" hidden="1"/>
    </xf>
    <xf numFmtId="4" fontId="3" fillId="2" borderId="0" xfId="0" applyNumberFormat="1" applyFont="1" applyFill="1" applyProtection="1">
      <protection locked="0" hidden="1"/>
    </xf>
    <xf numFmtId="164" fontId="3" fillId="2" borderId="0" xfId="0" applyNumberFormat="1" applyFont="1" applyFill="1" applyProtection="1">
      <protection locked="0" hidden="1"/>
    </xf>
    <xf numFmtId="4" fontId="3" fillId="5" borderId="0" xfId="0" applyNumberFormat="1" applyFont="1" applyFill="1" applyProtection="1">
      <protection locked="0" hidden="1"/>
    </xf>
    <xf numFmtId="4" fontId="3" fillId="8" borderId="3" xfId="0" applyNumberFormat="1" applyFont="1" applyFill="1" applyBorder="1" applyAlignment="1">
      <alignment horizontal="right" vertical="center" shrinkToFit="1"/>
    </xf>
    <xf numFmtId="4" fontId="3" fillId="8" borderId="3" xfId="0" applyNumberFormat="1" applyFont="1" applyFill="1" applyBorder="1" applyAlignment="1" applyProtection="1">
      <alignment vertical="center" wrapText="1"/>
      <protection locked="0" hidden="1"/>
    </xf>
    <xf numFmtId="4" fontId="2" fillId="8" borderId="3" xfId="0" applyNumberFormat="1" applyFont="1" applyFill="1" applyBorder="1" applyAlignment="1" applyProtection="1">
      <alignment horizontal="right" vertical="center" wrapText="1"/>
      <protection locked="0" hidden="1"/>
    </xf>
    <xf numFmtId="4" fontId="3" fillId="41" borderId="3" xfId="0" applyNumberFormat="1" applyFont="1" applyFill="1" applyBorder="1" applyAlignment="1" applyProtection="1">
      <alignment horizontal="right" vertical="center"/>
      <protection locked="0" hidden="1"/>
    </xf>
    <xf numFmtId="4" fontId="2" fillId="41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42" borderId="3" xfId="0" applyNumberFormat="1" applyFont="1" applyFill="1" applyBorder="1" applyAlignment="1" applyProtection="1">
      <alignment horizontal="right" vertical="center"/>
      <protection locked="0" hidden="1"/>
    </xf>
    <xf numFmtId="4" fontId="2" fillId="42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44" borderId="3" xfId="0" applyNumberFormat="1" applyFont="1" applyFill="1" applyBorder="1" applyAlignment="1" applyProtection="1">
      <alignment horizontal="right" vertical="center"/>
      <protection locked="0" hidden="1"/>
    </xf>
    <xf numFmtId="4" fontId="2" fillId="44" borderId="3" xfId="0" applyNumberFormat="1" applyFont="1" applyFill="1" applyBorder="1" applyAlignment="1" applyProtection="1">
      <alignment horizontal="right" vertical="center"/>
      <protection locked="0" hidden="1"/>
    </xf>
    <xf numFmtId="164" fontId="3" fillId="48" borderId="3" xfId="0" applyNumberFormat="1" applyFont="1" applyFill="1" applyBorder="1" applyAlignment="1" applyProtection="1">
      <alignment horizontal="right" vertical="center"/>
      <protection locked="0" hidden="1"/>
    </xf>
    <xf numFmtId="49" fontId="13" fillId="45" borderId="3" xfId="0" applyNumberFormat="1" applyFont="1" applyFill="1" applyBorder="1" applyAlignment="1" applyProtection="1">
      <alignment horizontal="center" vertical="center"/>
      <protection locked="0" hidden="1"/>
    </xf>
    <xf numFmtId="49" fontId="30" fillId="45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45" borderId="3" xfId="0" applyNumberFormat="1" applyFont="1" applyFill="1" applyBorder="1" applyAlignment="1" applyProtection="1">
      <alignment horizontal="right" vertical="center"/>
      <protection locked="0" hidden="1"/>
    </xf>
    <xf numFmtId="4" fontId="2" fillId="45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51" borderId="3" xfId="0" applyNumberFormat="1" applyFont="1" applyFill="1" applyBorder="1" applyAlignment="1" applyProtection="1">
      <alignment horizontal="right" vertical="center"/>
      <protection locked="0" hidden="1"/>
    </xf>
    <xf numFmtId="0" fontId="3" fillId="51" borderId="3" xfId="0" applyFont="1" applyFill="1" applyBorder="1" applyAlignment="1" applyProtection="1">
      <alignment horizontal="right" vertical="center"/>
      <protection locked="0" hidden="1"/>
    </xf>
    <xf numFmtId="0" fontId="13" fillId="51" borderId="3" xfId="0" applyFont="1" applyFill="1" applyBorder="1" applyAlignment="1" applyProtection="1">
      <alignment horizontal="center" vertical="center"/>
      <protection locked="0" hidden="1"/>
    </xf>
    <xf numFmtId="4" fontId="3" fillId="51" borderId="3" xfId="0" applyNumberFormat="1" applyFont="1" applyFill="1" applyBorder="1" applyAlignment="1" applyProtection="1">
      <alignment horizontal="right" vertical="center"/>
      <protection locked="0" hidden="1"/>
    </xf>
    <xf numFmtId="4" fontId="2" fillId="51" borderId="3" xfId="0" applyNumberFormat="1" applyFont="1" applyFill="1" applyBorder="1" applyAlignment="1" applyProtection="1">
      <alignment horizontal="right" vertical="center"/>
      <protection locked="0" hidden="1"/>
    </xf>
    <xf numFmtId="0" fontId="3" fillId="51" borderId="0" xfId="0" applyFont="1" applyFill="1" applyProtection="1">
      <protection locked="0" hidden="1"/>
    </xf>
    <xf numFmtId="4" fontId="3" fillId="51" borderId="0" xfId="0" applyNumberFormat="1" applyFont="1" applyFill="1" applyProtection="1">
      <protection locked="0" hidden="1"/>
    </xf>
    <xf numFmtId="0" fontId="3" fillId="51" borderId="0" xfId="0" applyFont="1" applyFill="1" applyAlignment="1" applyProtection="1">
      <alignment vertical="center"/>
      <protection locked="0" hidden="1"/>
    </xf>
    <xf numFmtId="49" fontId="13" fillId="51" borderId="3" xfId="0" applyNumberFormat="1" applyFont="1" applyFill="1" applyBorder="1" applyAlignment="1" applyProtection="1">
      <alignment horizontal="center" vertical="center"/>
      <protection locked="0" hidden="1"/>
    </xf>
    <xf numFmtId="164" fontId="2" fillId="8" borderId="3" xfId="0" applyNumberFormat="1" applyFont="1" applyFill="1" applyBorder="1" applyAlignment="1" applyProtection="1">
      <alignment horizontal="right" vertical="center"/>
      <protection locked="0" hidden="1"/>
    </xf>
    <xf numFmtId="49" fontId="13" fillId="8" borderId="3" xfId="0" applyNumberFormat="1" applyFont="1" applyFill="1" applyBorder="1" applyAlignment="1" applyProtection="1">
      <alignment horizontal="center" vertical="center"/>
      <protection locked="0" hidden="1"/>
    </xf>
    <xf numFmtId="0" fontId="3" fillId="0" borderId="0" xfId="0" applyFont="1" applyFill="1" applyAlignment="1" applyProtection="1">
      <alignment vertical="center"/>
      <protection locked="0" hidden="1"/>
    </xf>
    <xf numFmtId="0" fontId="3" fillId="3" borderId="0" xfId="0" applyFont="1" applyFill="1" applyProtection="1">
      <protection locked="0" hidden="1"/>
    </xf>
    <xf numFmtId="164" fontId="3" fillId="3" borderId="3" xfId="0" applyNumberFormat="1" applyFont="1" applyFill="1" applyBorder="1" applyAlignment="1" applyProtection="1">
      <alignment horizontal="right" vertical="center"/>
      <protection locked="0" hidden="1"/>
    </xf>
    <xf numFmtId="4" fontId="2" fillId="3" borderId="3" xfId="0" applyNumberFormat="1" applyFont="1" applyFill="1" applyBorder="1" applyAlignment="1" applyProtection="1">
      <alignment horizontal="right" vertical="center"/>
      <protection locked="0" hidden="1"/>
    </xf>
    <xf numFmtId="4" fontId="2" fillId="8" borderId="3" xfId="0" applyNumberFormat="1" applyFont="1" applyFill="1" applyBorder="1" applyAlignment="1" applyProtection="1">
      <alignment horizontal="right" vertical="center"/>
      <protection locked="0" hidden="1"/>
    </xf>
    <xf numFmtId="0" fontId="3" fillId="8" borderId="0" xfId="0" applyFont="1" applyFill="1" applyProtection="1">
      <protection locked="0" hidden="1"/>
    </xf>
    <xf numFmtId="4" fontId="3" fillId="8" borderId="3" xfId="0" applyNumberFormat="1" applyFont="1" applyFill="1" applyBorder="1" applyAlignment="1" applyProtection="1">
      <alignment horizontal="right" vertical="center"/>
      <protection locked="0" hidden="1"/>
    </xf>
    <xf numFmtId="0" fontId="13" fillId="0" borderId="3" xfId="0" applyFont="1" applyFill="1" applyBorder="1" applyAlignment="1" applyProtection="1">
      <alignment horizontal="center" vertical="center"/>
      <protection locked="0" hidden="1"/>
    </xf>
    <xf numFmtId="0" fontId="4" fillId="0" borderId="3" xfId="0" applyFont="1" applyFill="1" applyBorder="1" applyAlignment="1" applyProtection="1">
      <alignment horizontal="center" vertical="center" wrapText="1"/>
      <protection locked="0" hidden="1"/>
    </xf>
    <xf numFmtId="0" fontId="4" fillId="7" borderId="3" xfId="0" applyFont="1" applyFill="1" applyBorder="1" applyAlignment="1" applyProtection="1">
      <alignment horizontal="center" vertical="center" wrapText="1"/>
      <protection locked="0" hidden="1"/>
    </xf>
    <xf numFmtId="0" fontId="4" fillId="3" borderId="3" xfId="0" applyFont="1" applyFill="1" applyBorder="1" applyAlignment="1" applyProtection="1">
      <alignment horizontal="center" vertical="center" wrapText="1"/>
      <protection locked="0" hidden="1"/>
    </xf>
    <xf numFmtId="0" fontId="4" fillId="8" borderId="3" xfId="0" applyFont="1" applyFill="1" applyBorder="1" applyAlignment="1" applyProtection="1">
      <alignment horizontal="center" vertical="center" wrapText="1"/>
      <protection locked="0" hidden="1"/>
    </xf>
    <xf numFmtId="0" fontId="4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8" borderId="3" xfId="0" applyNumberFormat="1" applyFont="1" applyFill="1" applyBorder="1" applyAlignment="1">
      <alignment horizontal="center" vertical="center" wrapText="1"/>
    </xf>
    <xf numFmtId="0" fontId="4" fillId="41" borderId="3" xfId="0" applyFont="1" applyFill="1" applyBorder="1" applyAlignment="1" applyProtection="1">
      <alignment horizontal="center" vertical="center" wrapText="1"/>
      <protection locked="0" hidden="1"/>
    </xf>
    <xf numFmtId="0" fontId="4" fillId="5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1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1" borderId="3" xfId="0" applyFont="1" applyFill="1" applyBorder="1" applyAlignment="1" applyProtection="1">
      <alignment horizontal="center" vertical="center" wrapText="1"/>
      <protection locked="0" hidden="1"/>
    </xf>
    <xf numFmtId="49" fontId="4" fillId="47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43" borderId="3" xfId="0" applyFont="1" applyFill="1" applyBorder="1" applyAlignment="1" applyProtection="1">
      <alignment horizontal="center" vertical="center" wrapText="1"/>
      <protection locked="0" hidden="1"/>
    </xf>
    <xf numFmtId="49" fontId="4" fillId="47" borderId="3" xfId="0" applyNumberFormat="1" applyFont="1" applyFill="1" applyBorder="1" applyAlignment="1">
      <alignment horizontal="center" vertical="center" wrapText="1"/>
    </xf>
    <xf numFmtId="0" fontId="4" fillId="47" borderId="3" xfId="0" applyFont="1" applyFill="1" applyBorder="1" applyAlignment="1" applyProtection="1">
      <alignment horizontal="center" vertical="center" wrapText="1"/>
      <protection locked="0" hidden="1"/>
    </xf>
    <xf numFmtId="0" fontId="4" fillId="47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3" borderId="0" xfId="0" applyFont="1" applyFill="1" applyAlignment="1" applyProtection="1">
      <alignment horizontal="center" vertical="center" wrapText="1"/>
      <protection locked="0" hidden="1"/>
    </xf>
    <xf numFmtId="0" fontId="4" fillId="0" borderId="3" xfId="0" applyFont="1" applyFill="1" applyBorder="1" applyAlignment="1" applyProtection="1">
      <alignment vertical="center"/>
      <protection locked="0" hidden="1"/>
    </xf>
    <xf numFmtId="0" fontId="4" fillId="3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4" fillId="3" borderId="3" xfId="0" applyNumberFormat="1" applyFont="1" applyFill="1" applyBorder="1" applyAlignment="1" applyProtection="1">
      <alignment horizontal="center" vertical="center"/>
      <protection locked="0" hidden="1"/>
    </xf>
    <xf numFmtId="0" fontId="4" fillId="9" borderId="3" xfId="0" applyFont="1" applyFill="1" applyBorder="1" applyAlignment="1" applyProtection="1">
      <alignment horizontal="center" vertical="center" wrapText="1"/>
      <protection locked="0" hidden="1"/>
    </xf>
    <xf numFmtId="0" fontId="4" fillId="50" borderId="3" xfId="0" applyFont="1" applyFill="1" applyBorder="1" applyAlignment="1" applyProtection="1">
      <alignment horizontal="center" vertical="center" wrapText="1"/>
      <protection locked="0" hidden="1"/>
    </xf>
    <xf numFmtId="0" fontId="4" fillId="49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 applyProtection="1">
      <alignment horizontal="center" vertical="center"/>
      <protection locked="0" hidden="1"/>
    </xf>
    <xf numFmtId="164" fontId="4" fillId="42" borderId="3" xfId="0" applyNumberFormat="1" applyFont="1" applyFill="1" applyBorder="1" applyAlignment="1" applyProtection="1">
      <alignment horizontal="center" vertical="center"/>
      <protection locked="0" hidden="1"/>
    </xf>
    <xf numFmtId="164" fontId="4" fillId="5" borderId="3" xfId="0" applyNumberFormat="1" applyFont="1" applyFill="1" applyBorder="1" applyAlignment="1" applyProtection="1">
      <alignment horizontal="center" vertical="center"/>
      <protection locked="0" hidden="1"/>
    </xf>
    <xf numFmtId="164" fontId="4" fillId="0" borderId="3" xfId="0" applyNumberFormat="1" applyFont="1" applyFill="1" applyBorder="1" applyAlignment="1" applyProtection="1">
      <alignment horizontal="center" vertical="center"/>
      <protection locked="0" hidden="1"/>
    </xf>
    <xf numFmtId="164" fontId="4" fillId="51" borderId="3" xfId="0" applyNumberFormat="1" applyFont="1" applyFill="1" applyBorder="1" applyAlignment="1" applyProtection="1">
      <alignment horizontal="center" vertical="center"/>
      <protection locked="0" hidden="1"/>
    </xf>
    <xf numFmtId="4" fontId="4" fillId="51" borderId="3" xfId="0" applyNumberFormat="1" applyFont="1" applyFill="1" applyBorder="1" applyAlignment="1" applyProtection="1">
      <alignment horizontal="center" vertical="center"/>
      <protection locked="0" hidden="1"/>
    </xf>
    <xf numFmtId="0" fontId="4" fillId="3" borderId="0" xfId="0" applyFont="1" applyFill="1" applyProtection="1">
      <protection locked="0" hidden="1"/>
    </xf>
    <xf numFmtId="0" fontId="3" fillId="3" borderId="0" xfId="0" applyFont="1" applyFill="1" applyAlignment="1" applyProtection="1">
      <alignment vertical="center"/>
      <protection locked="0" hidden="1"/>
    </xf>
    <xf numFmtId="0" fontId="3" fillId="0" borderId="0" xfId="0" applyFont="1" applyFill="1" applyBorder="1" applyProtection="1">
      <protection locked="0" hidden="1"/>
    </xf>
    <xf numFmtId="4" fontId="3" fillId="8" borderId="0" xfId="0" applyNumberFormat="1" applyFont="1" applyFill="1" applyBorder="1" applyProtection="1">
      <protection locked="0" hidden="1"/>
    </xf>
    <xf numFmtId="0" fontId="3" fillId="0" borderId="3" xfId="0" applyFont="1" applyFill="1" applyBorder="1" applyAlignment="1" applyProtection="1">
      <alignment horizontal="center" vertical="center"/>
      <protection locked="0" hidden="1"/>
    </xf>
    <xf numFmtId="0" fontId="32" fillId="0" borderId="0" xfId="0" applyFont="1"/>
    <xf numFmtId="0" fontId="4" fillId="8" borderId="3" xfId="0" applyNumberFormat="1" applyFont="1" applyFill="1" applyBorder="1" applyAlignment="1" applyProtection="1">
      <alignment horizontal="center" vertical="center"/>
      <protection locked="0" hidden="1"/>
    </xf>
    <xf numFmtId="0" fontId="3" fillId="8" borderId="3" xfId="0" applyFont="1" applyFill="1" applyBorder="1" applyAlignment="1" applyProtection="1">
      <alignment vertical="center"/>
      <protection locked="0" hidden="1"/>
    </xf>
    <xf numFmtId="0" fontId="32" fillId="0" borderId="0" xfId="0" applyFont="1" applyAlignment="1">
      <alignment vertical="center"/>
    </xf>
    <xf numFmtId="0" fontId="3" fillId="0" borderId="3" xfId="0" applyFont="1" applyFill="1" applyBorder="1" applyAlignment="1" applyProtection="1">
      <alignment vertical="center"/>
      <protection locked="0" hidden="1"/>
    </xf>
    <xf numFmtId="0" fontId="4" fillId="45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9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6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42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4" fillId="3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0" borderId="3" xfId="0" applyFont="1" applyFill="1" applyBorder="1" applyAlignment="1" applyProtection="1">
      <alignment horizontal="left" vertical="center" wrapText="1"/>
      <protection locked="0" hidden="1"/>
    </xf>
    <xf numFmtId="0" fontId="1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2" fontId="4" fillId="0" borderId="3" xfId="0" applyNumberFormat="1" applyFont="1" applyFill="1" applyBorder="1" applyAlignment="1" applyProtection="1">
      <alignment horizontal="center" vertical="center" wrapText="1"/>
      <protection locked="0" hidden="1"/>
    </xf>
    <xf numFmtId="4" fontId="8" fillId="47" borderId="3" xfId="0" applyNumberFormat="1" applyFont="1" applyFill="1" applyBorder="1" applyAlignment="1" applyProtection="1">
      <alignment horizontal="right" vertical="center"/>
      <protection locked="0" hidden="1"/>
    </xf>
    <xf numFmtId="0" fontId="3" fillId="0" borderId="3" xfId="45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 applyProtection="1">
      <alignment horizontal="center" vertical="center" wrapText="1"/>
      <protection locked="0" hidden="1"/>
    </xf>
    <xf numFmtId="0" fontId="4" fillId="0" borderId="3" xfId="0" applyFont="1" applyFill="1" applyBorder="1" applyAlignment="1">
      <alignment horizontal="center" vertical="center" wrapText="1"/>
    </xf>
    <xf numFmtId="0" fontId="3" fillId="8" borderId="0" xfId="0" applyFont="1" applyFill="1" applyBorder="1" applyProtection="1">
      <protection locked="0" hidden="1"/>
    </xf>
    <xf numFmtId="0" fontId="2" fillId="8" borderId="3" xfId="2" applyFont="1" applyFill="1" applyBorder="1" applyAlignment="1" applyProtection="1">
      <alignment horizontal="center" vertical="center" wrapText="1"/>
      <protection locked="0" hidden="1"/>
    </xf>
    <xf numFmtId="0" fontId="31" fillId="8" borderId="3" xfId="2" applyFont="1" applyFill="1" applyBorder="1" applyAlignment="1" applyProtection="1">
      <alignment horizontal="center" vertical="center" wrapText="1"/>
      <protection locked="0" hidden="1"/>
    </xf>
    <xf numFmtId="0" fontId="3" fillId="47" borderId="3" xfId="45" applyNumberFormat="1" applyFont="1" applyFill="1" applyBorder="1" applyAlignment="1">
      <alignment horizontal="center" vertical="center" wrapText="1"/>
    </xf>
    <xf numFmtId="0" fontId="4" fillId="47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0" fillId="0" borderId="3" xfId="0" applyNumberFormat="1" applyBorder="1"/>
    <xf numFmtId="164" fontId="34" fillId="0" borderId="3" xfId="0" applyNumberFormat="1" applyFont="1" applyBorder="1" applyAlignment="1">
      <alignment horizontal="center" vertical="center"/>
    </xf>
    <xf numFmtId="0" fontId="10" fillId="7" borderId="3" xfId="0" applyFont="1" applyFill="1" applyBorder="1" applyAlignment="1" applyProtection="1">
      <alignment horizontal="center" vertical="center" wrapText="1"/>
      <protection locked="0" hidden="1"/>
    </xf>
    <xf numFmtId="0" fontId="2" fillId="8" borderId="3" xfId="1" applyFont="1" applyFill="1" applyBorder="1" applyAlignment="1" applyProtection="1">
      <alignment horizontal="center" vertical="center" wrapText="1"/>
      <protection locked="0" hidden="1"/>
    </xf>
    <xf numFmtId="49" fontId="2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6" fillId="8" borderId="3" xfId="0" applyFont="1" applyFill="1" applyBorder="1" applyAlignment="1" applyProtection="1">
      <alignment horizontal="center" vertical="center" wrapText="1"/>
      <protection locked="0" hidden="1"/>
    </xf>
    <xf numFmtId="0" fontId="3" fillId="8" borderId="3" xfId="47" applyNumberFormat="1" applyFont="1" applyFill="1" applyBorder="1" applyAlignment="1">
      <alignment horizontal="center" vertical="center" wrapText="1"/>
    </xf>
    <xf numFmtId="0" fontId="3" fillId="8" borderId="3" xfId="46" applyFont="1" applyFill="1" applyBorder="1" applyAlignment="1">
      <alignment horizontal="center" vertical="center" wrapText="1"/>
    </xf>
    <xf numFmtId="49" fontId="2" fillId="8" borderId="3" xfId="0" applyNumberFormat="1" applyFont="1" applyFill="1" applyBorder="1" applyAlignment="1" applyProtection="1">
      <alignment horizontal="center" vertical="center"/>
      <protection locked="0" hidden="1"/>
    </xf>
    <xf numFmtId="0" fontId="2" fillId="8" borderId="3" xfId="0" applyFont="1" applyFill="1" applyBorder="1" applyAlignment="1" applyProtection="1">
      <alignment horizontal="center" vertical="center" wrapText="1"/>
      <protection locked="0" hidden="1"/>
    </xf>
    <xf numFmtId="0" fontId="8" fillId="0" borderId="3" xfId="45" applyNumberFormat="1" applyFont="1" applyFill="1" applyBorder="1" applyAlignment="1">
      <alignment horizontal="center" vertical="center" wrapText="1"/>
    </xf>
    <xf numFmtId="0" fontId="2" fillId="8" borderId="3" xfId="1" applyFont="1" applyFill="1" applyBorder="1" applyAlignment="1">
      <alignment horizontal="center" vertical="center" wrapText="1"/>
    </xf>
    <xf numFmtId="49" fontId="7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3" fillId="8" borderId="3" xfId="1" applyNumberFormat="1" applyFont="1" applyFill="1" applyBorder="1" applyAlignment="1">
      <alignment horizontal="center" vertical="center" wrapText="1"/>
    </xf>
    <xf numFmtId="0" fontId="3" fillId="8" borderId="3" xfId="45" applyNumberFormat="1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3" fillId="8" borderId="3" xfId="1" applyFont="1" applyFill="1" applyBorder="1" applyAlignment="1">
      <alignment horizontal="center" vertical="center" wrapText="1"/>
    </xf>
    <xf numFmtId="49" fontId="2" fillId="9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50" borderId="3" xfId="0" applyNumberFormat="1" applyFont="1" applyFill="1" applyBorder="1" applyAlignment="1" applyProtection="1">
      <alignment horizontal="center" vertical="center" wrapText="1"/>
      <protection locked="0" hidden="1"/>
    </xf>
    <xf numFmtId="1" fontId="2" fillId="49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6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8" fillId="8" borderId="3" xfId="0" applyFont="1" applyFill="1" applyBorder="1" applyAlignment="1" applyProtection="1">
      <alignment horizontal="center" vertical="center" wrapText="1"/>
      <protection locked="0" hidden="1"/>
    </xf>
    <xf numFmtId="49" fontId="2" fillId="41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42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10" fillId="5" borderId="3" xfId="0" applyFont="1" applyFill="1" applyBorder="1" applyAlignment="1" applyProtection="1">
      <alignment horizontal="center" vertical="center" wrapText="1"/>
      <protection locked="0" hidden="1"/>
    </xf>
    <xf numFmtId="0" fontId="10" fillId="0" borderId="3" xfId="0" applyFont="1" applyFill="1" applyBorder="1" applyAlignment="1" applyProtection="1">
      <alignment horizontal="center" vertical="center" wrapText="1"/>
      <protection locked="0" hidden="1"/>
    </xf>
    <xf numFmtId="0" fontId="31" fillId="51" borderId="3" xfId="0" applyFont="1" applyFill="1" applyBorder="1" applyAlignment="1" applyProtection="1">
      <alignment horizontal="center" vertical="center" wrapText="1"/>
      <protection locked="0" hidden="1"/>
    </xf>
    <xf numFmtId="0" fontId="31" fillId="51" borderId="3" xfId="3" applyNumberFormat="1" applyFont="1" applyFill="1" applyBorder="1" applyAlignment="1" applyProtection="1">
      <alignment horizontal="center" vertical="center" wrapText="1"/>
      <protection locked="0" hidden="1"/>
    </xf>
    <xf numFmtId="0" fontId="3" fillId="47" borderId="3" xfId="3" applyNumberFormat="1" applyFont="1" applyFill="1" applyBorder="1" applyAlignment="1" applyProtection="1">
      <alignment horizontal="center" vertical="center" wrapText="1"/>
      <protection locked="0" hidden="1"/>
    </xf>
    <xf numFmtId="0" fontId="8" fillId="47" borderId="3" xfId="0" applyFont="1" applyFill="1" applyBorder="1" applyAlignment="1" applyProtection="1">
      <alignment horizontal="center" vertical="center" wrapText="1"/>
      <protection locked="0" hidden="1"/>
    </xf>
    <xf numFmtId="0" fontId="6" fillId="47" borderId="3" xfId="0" applyFont="1" applyFill="1" applyBorder="1" applyAlignment="1">
      <alignment horizontal="center" vertical="center" wrapText="1"/>
    </xf>
    <xf numFmtId="0" fontId="3" fillId="47" borderId="3" xfId="0" applyFont="1" applyFill="1" applyBorder="1" applyAlignment="1" applyProtection="1">
      <alignment horizontal="center" vertical="center" wrapText="1"/>
      <protection locked="0" hidden="1"/>
    </xf>
    <xf numFmtId="0" fontId="6" fillId="47" borderId="3" xfId="0" applyFont="1" applyFill="1" applyBorder="1" applyAlignment="1" applyProtection="1">
      <alignment horizontal="center" vertical="center" wrapText="1"/>
      <protection locked="0" hidden="1"/>
    </xf>
    <xf numFmtId="0" fontId="3" fillId="47" borderId="3" xfId="47" applyNumberFormat="1" applyFont="1" applyFill="1" applyBorder="1" applyAlignment="1">
      <alignment horizontal="center" vertical="center" wrapText="1"/>
    </xf>
    <xf numFmtId="0" fontId="3" fillId="47" borderId="3" xfId="46" applyFont="1" applyFill="1" applyBorder="1" applyAlignment="1">
      <alignment horizontal="center" vertical="center" wrapText="1"/>
    </xf>
    <xf numFmtId="0" fontId="3" fillId="47" borderId="3" xfId="0" applyFont="1" applyFill="1" applyBorder="1" applyAlignment="1">
      <alignment horizontal="center" vertical="center" wrapText="1"/>
    </xf>
    <xf numFmtId="0" fontId="8" fillId="47" borderId="3" xfId="0" applyFont="1" applyFill="1" applyBorder="1" applyAlignment="1">
      <alignment horizontal="center" vertical="center" wrapText="1"/>
    </xf>
    <xf numFmtId="0" fontId="3" fillId="47" borderId="3" xfId="1" applyFont="1" applyFill="1" applyBorder="1" applyAlignment="1">
      <alignment horizontal="center" vertical="center" wrapText="1"/>
    </xf>
    <xf numFmtId="0" fontId="10" fillId="51" borderId="3" xfId="0" applyFont="1" applyFill="1" applyBorder="1" applyAlignment="1">
      <alignment horizontal="center" vertical="center" wrapText="1"/>
    </xf>
    <xf numFmtId="165" fontId="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41" borderId="3" xfId="0" applyFont="1" applyFill="1" applyBorder="1" applyAlignment="1">
      <alignment horizontal="center" vertical="center" wrapText="1"/>
    </xf>
    <xf numFmtId="0" fontId="4" fillId="41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41" borderId="3" xfId="0" applyNumberFormat="1" applyFont="1" applyFill="1" applyBorder="1" applyAlignment="1">
      <alignment horizontal="right" vertical="center"/>
    </xf>
    <xf numFmtId="164" fontId="2" fillId="41" borderId="3" xfId="0" applyNumberFormat="1" applyFont="1" applyFill="1" applyBorder="1" applyAlignment="1" applyProtection="1">
      <alignment horizontal="right" vertical="center"/>
      <protection locked="0" hidden="1"/>
    </xf>
    <xf numFmtId="0" fontId="3" fillId="0" borderId="3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3" fillId="0" borderId="3" xfId="47" applyNumberFormat="1" applyFont="1" applyFill="1" applyBorder="1" applyAlignment="1">
      <alignment horizontal="center" vertical="center" wrapText="1"/>
    </xf>
    <xf numFmtId="0" fontId="8" fillId="0" borderId="3" xfId="47" applyNumberFormat="1" applyFont="1" applyFill="1" applyBorder="1" applyAlignment="1">
      <alignment horizontal="center" vertical="center" wrapText="1"/>
    </xf>
    <xf numFmtId="0" fontId="8" fillId="47" borderId="3" xfId="47" applyNumberFormat="1" applyFont="1" applyFill="1" applyBorder="1" applyAlignment="1">
      <alignment horizontal="center" vertical="center" wrapText="1"/>
    </xf>
    <xf numFmtId="0" fontId="3" fillId="52" borderId="0" xfId="0" applyFont="1" applyFill="1" applyAlignment="1" applyProtection="1">
      <alignment vertical="center"/>
      <protection locked="0" hidden="1"/>
    </xf>
    <xf numFmtId="49" fontId="13" fillId="52" borderId="3" xfId="0" applyNumberFormat="1" applyFont="1" applyFill="1" applyBorder="1" applyAlignment="1" applyProtection="1">
      <alignment horizontal="center" vertical="center"/>
      <protection locked="0" hidden="1"/>
    </xf>
    <xf numFmtId="0" fontId="3" fillId="52" borderId="3" xfId="0" applyFont="1" applyFill="1" applyBorder="1" applyAlignment="1">
      <alignment horizontal="center" vertical="center" wrapText="1"/>
    </xf>
    <xf numFmtId="0" fontId="8" fillId="52" borderId="3" xfId="0" applyFont="1" applyFill="1" applyBorder="1" applyAlignment="1" applyProtection="1">
      <alignment horizontal="center" vertical="center" wrapText="1"/>
      <protection locked="0" hidden="1"/>
    </xf>
    <xf numFmtId="49" fontId="4" fillId="52" borderId="3" xfId="0" applyNumberFormat="1" applyFont="1" applyFill="1" applyBorder="1" applyAlignment="1" applyProtection="1">
      <alignment horizontal="center" vertical="center" wrapText="1"/>
      <protection locked="0" hidden="1"/>
    </xf>
    <xf numFmtId="4" fontId="3" fillId="52" borderId="3" xfId="0" applyNumberFormat="1" applyFont="1" applyFill="1" applyBorder="1" applyAlignment="1" applyProtection="1">
      <alignment horizontal="right" vertical="center"/>
      <protection locked="0" hidden="1"/>
    </xf>
    <xf numFmtId="4" fontId="2" fillId="52" borderId="3" xfId="0" applyNumberFormat="1" applyFont="1" applyFill="1" applyBorder="1" applyAlignment="1" applyProtection="1">
      <alignment horizontal="right" vertical="center"/>
      <protection locked="0" hidden="1"/>
    </xf>
    <xf numFmtId="0" fontId="3" fillId="52" borderId="0" xfId="0" applyFont="1" applyFill="1" applyProtection="1">
      <protection locked="0" hidden="1"/>
    </xf>
    <xf numFmtId="4" fontId="33" fillId="8" borderId="3" xfId="0" applyNumberFormat="1" applyFont="1" applyFill="1" applyBorder="1" applyAlignment="1">
      <alignment vertical="center"/>
    </xf>
    <xf numFmtId="0" fontId="35" fillId="0" borderId="3" xfId="47" applyNumberFormat="1" applyFont="1" applyFill="1" applyBorder="1" applyAlignment="1">
      <alignment horizontal="center" vertical="center" wrapText="1"/>
    </xf>
    <xf numFmtId="4" fontId="2" fillId="41" borderId="3" xfId="0" applyNumberFormat="1" applyFont="1" applyFill="1" applyBorder="1" applyAlignment="1" applyProtection="1">
      <alignment horizontal="right" vertical="center" wrapText="1"/>
      <protection locked="0" hidden="1"/>
    </xf>
    <xf numFmtId="4" fontId="2" fillId="41" borderId="3" xfId="0" applyNumberFormat="1" applyFont="1" applyFill="1" applyBorder="1" applyProtection="1">
      <protection locked="0" hidden="1"/>
    </xf>
    <xf numFmtId="0" fontId="2" fillId="41" borderId="3" xfId="0" applyFont="1" applyFill="1" applyBorder="1" applyProtection="1">
      <protection locked="0" hidden="1"/>
    </xf>
    <xf numFmtId="164" fontId="3" fillId="41" borderId="3" xfId="0" applyNumberFormat="1" applyFont="1" applyFill="1" applyBorder="1" applyAlignment="1" applyProtection="1">
      <alignment horizontal="right" vertical="center"/>
      <protection locked="0" hidden="1"/>
    </xf>
    <xf numFmtId="4" fontId="3" fillId="41" borderId="3" xfId="0" applyNumberFormat="1" applyFont="1" applyFill="1" applyBorder="1" applyAlignment="1">
      <alignment horizontal="right" vertical="top" shrinkToFit="1"/>
    </xf>
    <xf numFmtId="49" fontId="2" fillId="41" borderId="3" xfId="0" applyNumberFormat="1" applyFont="1" applyFill="1" applyBorder="1" applyProtection="1">
      <protection locked="0" hidden="1"/>
    </xf>
    <xf numFmtId="0" fontId="2" fillId="41" borderId="0" xfId="0" applyFont="1" applyFill="1" applyProtection="1">
      <protection locked="0" hidden="1"/>
    </xf>
    <xf numFmtId="4" fontId="36" fillId="0" borderId="0" xfId="0" applyNumberFormat="1" applyFont="1" applyBorder="1"/>
    <xf numFmtId="4" fontId="2" fillId="8" borderId="0" xfId="0" applyNumberFormat="1" applyFont="1" applyFill="1" applyProtection="1">
      <protection locked="0" hidden="1"/>
    </xf>
    <xf numFmtId="4" fontId="3" fillId="53" borderId="3" xfId="0" applyNumberFormat="1" applyFont="1" applyFill="1" applyBorder="1" applyAlignment="1">
      <alignment horizontal="right" vertical="top" shrinkToFit="1"/>
    </xf>
    <xf numFmtId="164" fontId="2" fillId="53" borderId="3" xfId="0" applyNumberFormat="1" applyFont="1" applyFill="1" applyBorder="1" applyAlignment="1" applyProtection="1">
      <alignment horizontal="right" vertical="center"/>
      <protection locked="0" hidden="1"/>
    </xf>
    <xf numFmtId="0" fontId="4" fillId="53" borderId="3" xfId="0" applyFont="1" applyFill="1" applyBorder="1" applyAlignment="1" applyProtection="1">
      <alignment horizontal="center" vertical="center" wrapText="1"/>
      <protection locked="0" hidden="1"/>
    </xf>
    <xf numFmtId="0" fontId="3" fillId="53" borderId="3" xfId="0" applyFont="1" applyFill="1" applyBorder="1" applyAlignment="1">
      <alignment horizontal="center" vertical="center" wrapText="1"/>
    </xf>
    <xf numFmtId="4" fontId="3" fillId="54" borderId="3" xfId="0" applyNumberFormat="1" applyFont="1" applyFill="1" applyBorder="1" applyAlignment="1">
      <alignment horizontal="right" vertical="top" shrinkToFit="1"/>
    </xf>
    <xf numFmtId="49" fontId="6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38" fillId="6" borderId="3" xfId="0" applyNumberFormat="1" applyFont="1" applyFill="1" applyBorder="1" applyAlignment="1" applyProtection="1">
      <alignment horizontal="center" vertical="center"/>
      <protection locked="0" hidden="1"/>
    </xf>
    <xf numFmtId="0" fontId="2" fillId="0" borderId="0" xfId="0" applyFont="1" applyFill="1" applyProtection="1">
      <protection locked="0" hidden="1"/>
    </xf>
    <xf numFmtId="0" fontId="37" fillId="47" borderId="3" xfId="0" applyFont="1" applyFill="1" applyBorder="1" applyAlignment="1" applyProtection="1">
      <alignment horizontal="center" vertical="center" wrapText="1"/>
      <protection locked="0" hidden="1"/>
    </xf>
    <xf numFmtId="0" fontId="4" fillId="47" borderId="14" xfId="0" applyNumberFormat="1" applyFont="1" applyFill="1" applyBorder="1" applyAlignment="1" applyProtection="1">
      <alignment horizontal="center" vertical="center" wrapText="1"/>
      <protection locked="0" hidden="1"/>
    </xf>
    <xf numFmtId="0" fontId="3" fillId="8" borderId="3" xfId="2" applyFont="1" applyFill="1" applyBorder="1" applyAlignment="1" applyProtection="1">
      <alignment horizontal="center" vertical="center" wrapText="1"/>
      <protection locked="0" hidden="1"/>
    </xf>
    <xf numFmtId="0" fontId="3" fillId="8" borderId="0" xfId="0" applyFont="1" applyFill="1" applyAlignment="1" applyProtection="1">
      <alignment horizontal="right" vertical="top"/>
      <protection locked="0" hidden="1"/>
    </xf>
    <xf numFmtId="4" fontId="4" fillId="8" borderId="3" xfId="0" applyNumberFormat="1" applyFont="1" applyFill="1" applyBorder="1" applyAlignment="1" applyProtection="1">
      <alignment horizontal="center" vertical="center"/>
      <protection locked="0" hidden="1"/>
    </xf>
    <xf numFmtId="0" fontId="3" fillId="47" borderId="0" xfId="0" applyFont="1" applyFill="1" applyAlignment="1" applyProtection="1">
      <alignment horizontal="right" vertical="top"/>
      <protection locked="0" hidden="1"/>
    </xf>
    <xf numFmtId="0" fontId="3" fillId="51" borderId="0" xfId="0" applyFont="1" applyFill="1" applyAlignment="1" applyProtection="1">
      <alignment horizontal="right" vertical="top"/>
      <protection locked="0" hidden="1"/>
    </xf>
    <xf numFmtId="0" fontId="37" fillId="8" borderId="3" xfId="0" applyFont="1" applyFill="1" applyBorder="1" applyAlignment="1" applyProtection="1">
      <alignment horizontal="center" vertical="center" wrapText="1"/>
      <protection locked="0" hidden="1"/>
    </xf>
    <xf numFmtId="164" fontId="4" fillId="47" borderId="3" xfId="0" applyNumberFormat="1" applyFont="1" applyFill="1" applyBorder="1" applyAlignment="1" applyProtection="1">
      <alignment horizontal="center" vertical="center"/>
      <protection locked="0" hidden="1"/>
    </xf>
    <xf numFmtId="0" fontId="4" fillId="8" borderId="14" xfId="0" applyNumberFormat="1" applyFont="1" applyFill="1" applyBorder="1" applyAlignment="1" applyProtection="1">
      <alignment horizontal="center" vertical="center" wrapText="1"/>
      <protection locked="0" hidden="1"/>
    </xf>
    <xf numFmtId="0" fontId="39" fillId="47" borderId="3" xfId="47" applyNumberFormat="1" applyFont="1" applyFill="1" applyBorder="1" applyAlignment="1">
      <alignment horizontal="center" vertical="center" wrapText="1"/>
    </xf>
    <xf numFmtId="4" fontId="4" fillId="47" borderId="3" xfId="0" applyNumberFormat="1" applyFont="1" applyFill="1" applyBorder="1" applyAlignment="1">
      <alignment horizontal="center" vertical="center" shrinkToFit="1"/>
    </xf>
    <xf numFmtId="4" fontId="4" fillId="8" borderId="3" xfId="0" applyNumberFormat="1" applyFont="1" applyFill="1" applyBorder="1" applyAlignment="1">
      <alignment horizontal="center" vertical="center" shrinkToFit="1"/>
    </xf>
    <xf numFmtId="4" fontId="4" fillId="52" borderId="3" xfId="0" applyNumberFormat="1" applyFont="1" applyFill="1" applyBorder="1" applyAlignment="1" applyProtection="1">
      <alignment horizontal="center" vertical="center"/>
      <protection locked="0" hidden="1"/>
    </xf>
    <xf numFmtId="4" fontId="3" fillId="53" borderId="3" xfId="0" applyNumberFormat="1" applyFont="1" applyFill="1" applyBorder="1" applyAlignment="1">
      <alignment horizontal="right" vertical="center" shrinkToFit="1"/>
    </xf>
    <xf numFmtId="4" fontId="3" fillId="54" borderId="3" xfId="0" applyNumberFormat="1" applyFont="1" applyFill="1" applyBorder="1" applyAlignment="1">
      <alignment horizontal="right" vertical="center" shrinkToFit="1"/>
    </xf>
    <xf numFmtId="4" fontId="3" fillId="47" borderId="3" xfId="0" applyNumberFormat="1" applyFont="1" applyFill="1" applyBorder="1" applyAlignment="1">
      <alignment horizontal="right" vertical="center" shrinkToFit="1"/>
    </xf>
    <xf numFmtId="164" fontId="0" fillId="0" borderId="3" xfId="0" applyNumberFormat="1" applyBorder="1" applyAlignment="1">
      <alignment vertical="center"/>
    </xf>
    <xf numFmtId="4" fontId="3" fillId="0" borderId="0" xfId="46" applyNumberFormat="1" applyFont="1"/>
    <xf numFmtId="49" fontId="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3" fillId="43" borderId="3" xfId="0" applyNumberFormat="1" applyFont="1" applyFill="1" applyBorder="1" applyAlignment="1" applyProtection="1">
      <alignment horizontal="center" vertical="center" wrapText="1"/>
      <protection locked="0" hidden="1"/>
    </xf>
    <xf numFmtId="4" fontId="3" fillId="55" borderId="3" xfId="0" applyNumberFormat="1" applyFont="1" applyFill="1" applyBorder="1" applyAlignment="1" applyProtection="1">
      <alignment horizontal="right" vertical="center"/>
      <protection locked="0" hidden="1"/>
    </xf>
    <xf numFmtId="0" fontId="3" fillId="55" borderId="3" xfId="0" applyFont="1" applyFill="1" applyBorder="1" applyAlignment="1">
      <alignment horizontal="center" vertical="center" wrapText="1"/>
    </xf>
    <xf numFmtId="0" fontId="3" fillId="55" borderId="0" xfId="0" applyFont="1" applyFill="1" applyAlignment="1" applyProtection="1">
      <alignment vertical="center"/>
      <protection locked="0" hidden="1"/>
    </xf>
    <xf numFmtId="49" fontId="13" fillId="55" borderId="3" xfId="0" applyNumberFormat="1" applyFont="1" applyFill="1" applyBorder="1" applyAlignment="1" applyProtection="1">
      <alignment horizontal="center" vertical="center"/>
      <protection locked="0" hidden="1"/>
    </xf>
    <xf numFmtId="49" fontId="6" fillId="55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4" fillId="55" borderId="3" xfId="0" applyFont="1" applyFill="1" applyBorder="1" applyAlignment="1" applyProtection="1">
      <alignment horizontal="center" vertical="center" wrapText="1"/>
      <protection locked="0" hidden="1"/>
    </xf>
    <xf numFmtId="0" fontId="3" fillId="55" borderId="0" xfId="0" applyFont="1" applyFill="1" applyProtection="1">
      <protection locked="0" hidden="1"/>
    </xf>
    <xf numFmtId="0" fontId="2" fillId="0" borderId="3" xfId="0" applyFont="1" applyFill="1" applyBorder="1" applyAlignment="1">
      <alignment horizontal="center" vertical="center" wrapText="1"/>
    </xf>
    <xf numFmtId="0" fontId="6" fillId="8" borderId="3" xfId="0" applyFont="1" applyFill="1" applyBorder="1" applyAlignment="1">
      <alignment horizontal="center" vertical="center" wrapText="1"/>
    </xf>
    <xf numFmtId="49" fontId="13" fillId="8" borderId="15" xfId="0" applyNumberFormat="1" applyFont="1" applyFill="1" applyBorder="1" applyAlignment="1" applyProtection="1">
      <alignment horizontal="center" vertical="center" wrapText="1"/>
      <protection locked="0" hidden="1"/>
    </xf>
    <xf numFmtId="0" fontId="40" fillId="0" borderId="0" xfId="0" applyFont="1" applyAlignment="1">
      <alignment vertical="center" wrapText="1"/>
    </xf>
    <xf numFmtId="0" fontId="40" fillId="47" borderId="0" xfId="0" applyFont="1" applyFill="1" applyAlignment="1">
      <alignment vertical="center" wrapText="1"/>
    </xf>
    <xf numFmtId="0" fontId="0" fillId="8" borderId="0" xfId="0" applyFill="1"/>
    <xf numFmtId="4" fontId="41" fillId="8" borderId="3" xfId="0" applyNumberFormat="1" applyFont="1" applyFill="1" applyBorder="1"/>
    <xf numFmtId="4" fontId="3" fillId="8" borderId="0" xfId="0" applyNumberFormat="1" applyFont="1" applyFill="1" applyAlignment="1" applyProtection="1">
      <alignment vertical="top"/>
      <protection locked="0" hidden="1"/>
    </xf>
    <xf numFmtId="4" fontId="3" fillId="3" borderId="3" xfId="0" applyNumberFormat="1" applyFont="1" applyFill="1" applyBorder="1" applyAlignment="1">
      <alignment horizontal="right" vertical="center"/>
    </xf>
    <xf numFmtId="49" fontId="6" fillId="47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2" fillId="41" borderId="3" xfId="0" applyFont="1" applyFill="1" applyBorder="1" applyAlignment="1" applyProtection="1">
      <alignment horizontal="left" vertical="center" wrapText="1"/>
      <protection locked="0" hidden="1"/>
    </xf>
    <xf numFmtId="4" fontId="2" fillId="8" borderId="3" xfId="46" applyNumberFormat="1" applyFont="1" applyFill="1" applyBorder="1" applyAlignment="1">
      <alignment vertical="center" shrinkToFit="1"/>
    </xf>
    <xf numFmtId="0" fontId="3" fillId="8" borderId="0" xfId="0" applyFont="1" applyFill="1" applyAlignment="1" applyProtection="1">
      <alignment vertical="top"/>
      <protection locked="0" hidden="1"/>
    </xf>
    <xf numFmtId="4" fontId="3" fillId="0" borderId="3" xfId="0" applyNumberFormat="1" applyFont="1" applyFill="1" applyBorder="1" applyAlignment="1" applyProtection="1">
      <alignment horizontal="right" vertical="top"/>
      <protection locked="0" hidden="1"/>
    </xf>
    <xf numFmtId="4" fontId="3" fillId="51" borderId="0" xfId="0" applyNumberFormat="1" applyFont="1" applyFill="1" applyAlignment="1" applyProtection="1">
      <alignment vertical="top"/>
      <protection locked="0" hidden="1"/>
    </xf>
    <xf numFmtId="0" fontId="3" fillId="51" borderId="0" xfId="0" applyFont="1" applyFill="1" applyAlignment="1" applyProtection="1">
      <alignment vertical="top"/>
      <protection locked="0" hidden="1"/>
    </xf>
    <xf numFmtId="0" fontId="3" fillId="52" borderId="0" xfId="0" applyFont="1" applyFill="1" applyAlignment="1" applyProtection="1">
      <alignment vertical="top"/>
      <protection locked="0" hidden="1"/>
    </xf>
    <xf numFmtId="0" fontId="3" fillId="55" borderId="0" xfId="0" applyFont="1" applyFill="1" applyAlignment="1" applyProtection="1">
      <alignment vertical="top"/>
      <protection locked="0" hidden="1"/>
    </xf>
    <xf numFmtId="0" fontId="3" fillId="47" borderId="0" xfId="0" applyFont="1" applyFill="1" applyAlignment="1" applyProtection="1">
      <alignment vertical="top"/>
      <protection locked="0" hidden="1"/>
    </xf>
    <xf numFmtId="4" fontId="3" fillId="0" borderId="3" xfId="46" applyNumberFormat="1" applyFont="1" applyBorder="1" applyAlignment="1">
      <alignment vertical="top" shrinkToFit="1"/>
    </xf>
    <xf numFmtId="4" fontId="3" fillId="8" borderId="0" xfId="0" applyNumberFormat="1" applyFont="1" applyFill="1" applyBorder="1" applyAlignment="1" applyProtection="1">
      <protection locked="0" hidden="1"/>
    </xf>
    <xf numFmtId="0" fontId="3" fillId="0" borderId="3" xfId="0" applyFont="1" applyFill="1" applyBorder="1" applyProtection="1">
      <protection locked="0" hidden="1"/>
    </xf>
    <xf numFmtId="49" fontId="13" fillId="47" borderId="3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8" borderId="3" xfId="0" applyNumberFormat="1" applyFont="1" applyFill="1" applyBorder="1" applyAlignment="1" applyProtection="1">
      <alignment horizontal="left" vertical="center" wrapText="1"/>
      <protection locked="0" hidden="1"/>
    </xf>
    <xf numFmtId="49" fontId="4" fillId="8" borderId="15" xfId="0" applyNumberFormat="1" applyFont="1" applyFill="1" applyBorder="1" applyAlignment="1" applyProtection="1">
      <alignment horizontal="center" vertical="center" wrapText="1"/>
      <protection locked="0" hidden="1"/>
    </xf>
    <xf numFmtId="49" fontId="13" fillId="48" borderId="3" xfId="0" applyNumberFormat="1" applyFont="1" applyFill="1" applyBorder="1" applyAlignment="1" applyProtection="1">
      <alignment horizontal="center" vertical="center"/>
      <protection locked="0" hidden="1"/>
    </xf>
    <xf numFmtId="49" fontId="13" fillId="44" borderId="3" xfId="0" applyNumberFormat="1" applyFont="1" applyFill="1" applyBorder="1" applyAlignment="1" applyProtection="1">
      <alignment horizontal="center" vertical="center"/>
      <protection locked="0" hidden="1"/>
    </xf>
    <xf numFmtId="0" fontId="2" fillId="42" borderId="3" xfId="45" applyNumberFormat="1" applyFont="1" applyFill="1" applyBorder="1" applyAlignment="1">
      <alignment horizontal="center" vertical="center" wrapText="1"/>
    </xf>
    <xf numFmtId="0" fontId="4" fillId="42" borderId="3" xfId="0" applyFont="1" applyFill="1" applyBorder="1" applyAlignment="1" applyProtection="1">
      <alignment horizontal="center" vertical="center" wrapText="1"/>
      <protection locked="0" hidden="1"/>
    </xf>
    <xf numFmtId="164" fontId="3" fillId="42" borderId="3" xfId="0" applyNumberFormat="1" applyFont="1" applyFill="1" applyBorder="1" applyAlignment="1">
      <alignment horizontal="right" vertical="center"/>
    </xf>
    <xf numFmtId="164" fontId="2" fillId="42" borderId="3" xfId="0" applyNumberFormat="1" applyFont="1" applyFill="1" applyBorder="1" applyAlignment="1" applyProtection="1">
      <alignment horizontal="right" vertical="center"/>
      <protection locked="0" hidden="1"/>
    </xf>
    <xf numFmtId="4" fontId="42" fillId="5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" fontId="42" fillId="2" borderId="3" xfId="46" applyNumberFormat="1" applyFont="1" applyFill="1" applyBorder="1" applyAlignment="1">
      <alignment vertical="justify" shrinkToFit="1"/>
    </xf>
    <xf numFmtId="49" fontId="13" fillId="56" borderId="3" xfId="0" applyNumberFormat="1" applyFont="1" applyFill="1" applyBorder="1" applyAlignment="1" applyProtection="1">
      <alignment horizontal="center" vertical="center"/>
      <protection locked="0" hidden="1"/>
    </xf>
    <xf numFmtId="0" fontId="4" fillId="56" borderId="3" xfId="0" applyNumberFormat="1" applyFont="1" applyFill="1" applyBorder="1" applyAlignment="1" applyProtection="1">
      <alignment horizontal="center" vertical="center" wrapText="1"/>
      <protection locked="0" hidden="1"/>
    </xf>
    <xf numFmtId="164" fontId="3" fillId="56" borderId="3" xfId="0" applyNumberFormat="1" applyFont="1" applyFill="1" applyBorder="1" applyAlignment="1">
      <alignment horizontal="right" vertical="center"/>
    </xf>
    <xf numFmtId="164" fontId="2" fillId="56" borderId="3" xfId="0" applyNumberFormat="1" applyFont="1" applyFill="1" applyBorder="1" applyAlignment="1" applyProtection="1">
      <alignment horizontal="right" vertical="center"/>
      <protection locked="0" hidden="1"/>
    </xf>
    <xf numFmtId="0" fontId="2" fillId="56" borderId="3" xfId="2" applyFont="1" applyFill="1" applyBorder="1" applyAlignment="1" applyProtection="1">
      <alignment horizontal="center" vertical="center" wrapText="1"/>
      <protection locked="0" hidden="1"/>
    </xf>
    <xf numFmtId="4" fontId="3" fillId="41" borderId="3" xfId="46" applyNumberFormat="1" applyFont="1" applyFill="1" applyBorder="1" applyAlignment="1">
      <alignment vertical="justify" shrinkToFit="1"/>
    </xf>
    <xf numFmtId="0" fontId="3" fillId="47" borderId="3" xfId="2" applyFont="1" applyFill="1" applyBorder="1" applyAlignment="1" applyProtection="1">
      <alignment horizontal="center" vertical="center" wrapText="1"/>
      <protection locked="0" hidden="1"/>
    </xf>
    <xf numFmtId="0" fontId="7" fillId="8" borderId="3" xfId="0" applyFont="1" applyFill="1" applyBorder="1" applyAlignment="1" applyProtection="1">
      <alignment horizontal="center" vertical="center" wrapText="1"/>
      <protection locked="0" hidden="1"/>
    </xf>
    <xf numFmtId="0" fontId="3" fillId="57" borderId="0" xfId="0" applyFont="1" applyFill="1" applyAlignment="1" applyProtection="1">
      <alignment vertical="top"/>
      <protection locked="0" hidden="1"/>
    </xf>
    <xf numFmtId="4" fontId="2" fillId="57" borderId="3" xfId="0" applyNumberFormat="1" applyFont="1" applyFill="1" applyBorder="1" applyAlignment="1" applyProtection="1">
      <alignment horizontal="right" vertical="center"/>
      <protection locked="0" hidden="1"/>
    </xf>
    <xf numFmtId="164" fontId="2" fillId="57" borderId="3" xfId="0" applyNumberFormat="1" applyFont="1" applyFill="1" applyBorder="1" applyAlignment="1" applyProtection="1">
      <alignment horizontal="right" vertical="center"/>
      <protection locked="0" hidden="1"/>
    </xf>
    <xf numFmtId="4" fontId="2" fillId="49" borderId="3" xfId="0" applyNumberFormat="1" applyFont="1" applyFill="1" applyBorder="1" applyAlignment="1" applyProtection="1">
      <alignment horizontal="right" vertical="center" wrapText="1"/>
      <protection locked="0" hidden="1"/>
    </xf>
    <xf numFmtId="4" fontId="2" fillId="49" borderId="3" xfId="0" applyNumberFormat="1" applyFont="1" applyFill="1" applyBorder="1" applyAlignment="1" applyProtection="1">
      <alignment horizontal="right" vertical="center"/>
      <protection locked="0" hidden="1"/>
    </xf>
    <xf numFmtId="4" fontId="33" fillId="57" borderId="3" xfId="0" applyNumberFormat="1" applyFont="1" applyFill="1" applyBorder="1" applyAlignment="1">
      <alignment vertical="center"/>
    </xf>
    <xf numFmtId="0" fontId="4" fillId="8" borderId="15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8" borderId="3" xfId="0" applyNumberFormat="1" applyFont="1" applyFill="1" applyBorder="1" applyProtection="1">
      <protection locked="0" hidden="1"/>
    </xf>
    <xf numFmtId="164" fontId="3" fillId="8" borderId="0" xfId="0" applyNumberFormat="1" applyFont="1" applyFill="1" applyProtection="1">
      <protection locked="0" hidden="1"/>
    </xf>
    <xf numFmtId="0" fontId="3" fillId="8" borderId="3" xfId="1" applyFont="1" applyFill="1" applyBorder="1" applyAlignment="1">
      <alignment horizontal="justify" vertical="center" wrapText="1"/>
    </xf>
    <xf numFmtId="164" fontId="3" fillId="58" borderId="3" xfId="0" applyNumberFormat="1" applyFont="1" applyFill="1" applyBorder="1" applyAlignment="1" applyProtection="1">
      <alignment horizontal="right" vertical="center"/>
      <protection locked="0" hidden="1"/>
    </xf>
    <xf numFmtId="4" fontId="3" fillId="58" borderId="3" xfId="0" applyNumberFormat="1" applyFont="1" applyFill="1" applyBorder="1" applyAlignment="1" applyProtection="1">
      <alignment horizontal="right" vertical="center"/>
      <protection locked="0" hidden="1"/>
    </xf>
    <xf numFmtId="4" fontId="8" fillId="58" borderId="3" xfId="0" applyNumberFormat="1" applyFont="1" applyFill="1" applyBorder="1" applyAlignment="1" applyProtection="1">
      <alignment horizontal="right" vertical="center"/>
      <protection locked="0" hidden="1"/>
    </xf>
    <xf numFmtId="4" fontId="3" fillId="58" borderId="3" xfId="0" applyNumberFormat="1" applyFont="1" applyFill="1" applyBorder="1" applyAlignment="1">
      <alignment horizontal="right" vertical="top" shrinkToFit="1"/>
    </xf>
    <xf numFmtId="164" fontId="0" fillId="8" borderId="3" xfId="0" applyNumberFormat="1" applyFill="1" applyBorder="1"/>
    <xf numFmtId="4" fontId="2" fillId="8" borderId="3" xfId="0" applyNumberFormat="1" applyFont="1" applyFill="1" applyBorder="1" applyProtection="1">
      <protection locked="0" hidden="1"/>
    </xf>
    <xf numFmtId="166" fontId="7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4" fontId="42" fillId="2" borderId="0" xfId="46" applyNumberFormat="1" applyFont="1" applyFill="1" applyBorder="1" applyAlignment="1">
      <alignment vertical="justify" shrinkToFit="1"/>
    </xf>
    <xf numFmtId="0" fontId="3" fillId="0" borderId="3" xfId="0" applyFont="1" applyFill="1" applyBorder="1" applyAlignment="1" applyProtection="1">
      <alignment vertical="center"/>
      <protection locked="0" hidden="1"/>
    </xf>
    <xf numFmtId="1" fontId="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3" fontId="11" fillId="0" borderId="3" xfId="50" applyNumberFormat="1" applyBorder="1" applyAlignment="1">
      <alignment wrapText="1"/>
    </xf>
    <xf numFmtId="49" fontId="13" fillId="8" borderId="3" xfId="0" applyNumberFormat="1" applyFont="1" applyFill="1" applyBorder="1" applyAlignment="1" applyProtection="1">
      <alignment horizontal="center" vertical="center" wrapText="1"/>
      <protection locked="0" hidden="1"/>
    </xf>
    <xf numFmtId="0" fontId="3" fillId="0" borderId="1" xfId="0" applyFont="1" applyFill="1" applyBorder="1" applyAlignment="1" applyProtection="1">
      <alignment horizontal="center" vertical="center"/>
      <protection locked="0" hidden="1"/>
    </xf>
    <xf numFmtId="0" fontId="0" fillId="0" borderId="1" xfId="0" applyBorder="1" applyAlignment="1"/>
    <xf numFmtId="0" fontId="5" fillId="0" borderId="0" xfId="0" applyNumberFormat="1" applyFont="1" applyFill="1" applyBorder="1" applyAlignment="1">
      <alignment horizontal="left" wrapText="1"/>
    </xf>
    <xf numFmtId="0" fontId="0" fillId="0" borderId="0" xfId="0" applyNumberFormat="1" applyAlignment="1">
      <alignment wrapText="1"/>
    </xf>
    <xf numFmtId="0" fontId="3" fillId="0" borderId="3" xfId="0" applyFont="1" applyFill="1" applyBorder="1" applyAlignment="1" applyProtection="1">
      <alignment vertical="center"/>
      <protection locked="0" hidden="1"/>
    </xf>
    <xf numFmtId="0" fontId="3" fillId="0" borderId="3" xfId="0" applyFont="1" applyFill="1" applyBorder="1" applyAlignment="1" applyProtection="1">
      <alignment horizontal="center" vertical="center" wrapText="1"/>
      <protection locked="0" hidden="1"/>
    </xf>
    <xf numFmtId="0" fontId="2" fillId="41" borderId="3" xfId="0" applyFont="1" applyFill="1" applyBorder="1" applyAlignment="1" applyProtection="1">
      <alignment horizontal="left" vertical="center" wrapText="1"/>
      <protection locked="0" hidden="1"/>
    </xf>
    <xf numFmtId="0" fontId="2" fillId="8" borderId="3" xfId="0" applyFont="1" applyFill="1" applyBorder="1" applyAlignment="1" applyProtection="1">
      <alignment vertical="center"/>
      <protection locked="0" hidden="1"/>
    </xf>
    <xf numFmtId="49" fontId="3" fillId="0" borderId="13" xfId="0" applyNumberFormat="1" applyFont="1" applyFill="1" applyBorder="1" applyAlignment="1">
      <alignment horizontal="left" wrapText="1"/>
    </xf>
    <xf numFmtId="0" fontId="32" fillId="0" borderId="13" xfId="0" applyFont="1" applyBorder="1" applyAlignment="1">
      <alignment wrapText="1"/>
    </xf>
    <xf numFmtId="4" fontId="3" fillId="59" borderId="3" xfId="0" applyNumberFormat="1" applyFont="1" applyFill="1" applyBorder="1" applyAlignment="1" applyProtection="1">
      <alignment horizontal="right" vertical="center"/>
      <protection locked="0" hidden="1"/>
    </xf>
  </cellXfs>
  <cellStyles count="51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2" builtinId="20" customBuiltin="1"/>
    <cellStyle name="Вывод" xfId="13" builtinId="21" customBuiltin="1"/>
    <cellStyle name="Вычисление" xfId="14" builtinId="22" customBuiltin="1"/>
    <cellStyle name="Заголовок 1" xfId="5" builtinId="16" customBuiltin="1"/>
    <cellStyle name="Заголовок 2" xfId="6" builtinId="17" customBuiltin="1"/>
    <cellStyle name="Заголовок 3" xfId="7" builtinId="18" customBuiltin="1"/>
    <cellStyle name="Заголовок 4" xfId="8" builtinId="19" customBuiltin="1"/>
    <cellStyle name="Итог" xfId="20" builtinId="25" customBuiltin="1"/>
    <cellStyle name="Контрольная ячейка" xfId="16" builtinId="23" customBuiltin="1"/>
    <cellStyle name="Название" xfId="4" builtinId="15" customBuiltin="1"/>
    <cellStyle name="Нейтральный" xfId="11" builtinId="28" customBuiltin="1"/>
    <cellStyle name="Обычный" xfId="0" builtinId="0"/>
    <cellStyle name="Обычный 2" xfId="46"/>
    <cellStyle name="Обычный 3" xfId="48"/>
    <cellStyle name="Обычный 4" xfId="50"/>
    <cellStyle name="Обычный_Лист2_1" xfId="2"/>
    <cellStyle name="Обычный_Приложения 8, 9, 10 (1)" xfId="1"/>
    <cellStyle name="Плохой" xfId="10" builtinId="27" customBuiltin="1"/>
    <cellStyle name="Пояснение" xfId="19" builtinId="53" customBuiltin="1"/>
    <cellStyle name="Примечание" xfId="18" builtinId="10" customBuiltin="1"/>
    <cellStyle name="Связанная ячейка" xfId="15" builtinId="24" customBuiltin="1"/>
    <cellStyle name="Текст предупреждения" xfId="17" builtinId="11" customBuiltin="1"/>
    <cellStyle name="Финансовый" xfId="45" builtinId="3"/>
    <cellStyle name="Финансовый 2" xfId="47"/>
    <cellStyle name="Финансовый 3" xfId="49"/>
    <cellStyle name="Финансовый_Лист2" xfId="3"/>
    <cellStyle name="Хороший" xfId="9" builtinId="26" customBuiltin="1"/>
  </cellStyles>
  <dxfs count="0"/>
  <tableStyles count="0" defaultTableStyle="TableStyleMedium9" defaultPivotStyle="PivotStyleLight16"/>
  <colors>
    <mruColors>
      <color rgb="FFFFFF66"/>
      <color rgb="FFFF99FF"/>
      <color rgb="FF99FF33"/>
      <color rgb="FFDBE5F1"/>
      <color rgb="FF0CF433"/>
      <color rgb="FFFCD5B4"/>
      <color rgb="FFCCC0DA"/>
      <color rgb="FFD8D8D8"/>
      <color rgb="FFFDE9D9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T73"/>
  <sheetViews>
    <sheetView view="pageBreakPreview" zoomScale="75" zoomScaleSheetLayoutView="75" workbookViewId="0">
      <pane xSplit="2" ySplit="4" topLeftCell="EM18" activePane="bottomRight" state="frozen"/>
      <selection pane="topRight" activeCell="C1" sqref="C1"/>
      <selection pane="bottomLeft" activeCell="A5" sqref="A5"/>
      <selection pane="bottomRight" sqref="A1:B45"/>
    </sheetView>
  </sheetViews>
  <sheetFormatPr defaultRowHeight="15" x14ac:dyDescent="0.25"/>
  <cols>
    <col min="1" max="1" width="3.28515625" style="10" customWidth="1"/>
    <col min="2" max="2" width="25.140625" style="10" customWidth="1"/>
    <col min="3" max="3" width="17.140625" style="11" customWidth="1"/>
    <col min="4" max="4" width="19.28515625" style="102" customWidth="1"/>
    <col min="5" max="5" width="17" style="10" customWidth="1"/>
    <col min="6" max="12" width="23" style="106" customWidth="1"/>
    <col min="13" max="13" width="16.7109375" style="106" customWidth="1"/>
    <col min="14" max="14" width="23" style="106" customWidth="1"/>
    <col min="15" max="15" width="19.42578125" style="106" customWidth="1"/>
    <col min="16" max="18" width="25" style="106" customWidth="1"/>
    <col min="19" max="19" width="18.140625" style="106" customWidth="1"/>
    <col min="20" max="20" width="23" style="106" customWidth="1"/>
    <col min="21" max="21" width="25.42578125" style="106" customWidth="1"/>
    <col min="22" max="22" width="20.42578125" style="106" customWidth="1"/>
    <col min="23" max="23" width="19.85546875" style="106" customWidth="1"/>
    <col min="24" max="26" width="23" style="106" customWidth="1"/>
    <col min="27" max="27" width="19.5703125" style="106" customWidth="1"/>
    <col min="28" max="31" width="23" style="106" customWidth="1"/>
    <col min="32" max="32" width="18.28515625" style="106" customWidth="1"/>
    <col min="33" max="33" width="23" style="106" customWidth="1"/>
    <col min="34" max="34" width="17.28515625" style="106" customWidth="1"/>
    <col min="35" max="38" width="23" style="106" customWidth="1"/>
    <col min="39" max="39" width="18.7109375" style="106" customWidth="1"/>
    <col min="40" max="40" width="19.140625" style="106" customWidth="1"/>
    <col min="41" max="46" width="23" style="106" customWidth="1"/>
    <col min="47" max="47" width="19" style="106" customWidth="1"/>
    <col min="48" max="48" width="24.42578125" style="106" customWidth="1"/>
    <col min="49" max="49" width="19.5703125" style="106" customWidth="1"/>
    <col min="50" max="50" width="18" style="106" customWidth="1"/>
    <col min="51" max="52" width="23" style="106" customWidth="1"/>
    <col min="53" max="53" width="18.7109375" style="106" customWidth="1"/>
    <col min="54" max="57" width="23" style="106" customWidth="1"/>
    <col min="58" max="58" width="18.7109375" style="106" customWidth="1"/>
    <col min="59" max="59" width="23.5703125" style="106" customWidth="1"/>
    <col min="60" max="60" width="20.7109375" style="106" customWidth="1"/>
    <col min="61" max="61" width="24.5703125" style="106" customWidth="1"/>
    <col min="62" max="62" width="23" style="106" customWidth="1"/>
    <col min="63" max="63" width="23" style="102" customWidth="1"/>
    <col min="64" max="65" width="23" style="106" customWidth="1"/>
    <col min="66" max="66" width="18.5703125" style="10" customWidth="1"/>
    <col min="67" max="67" width="17.85546875" style="106" customWidth="1"/>
    <col min="68" max="69" width="24.85546875" style="102" customWidth="1"/>
    <col min="70" max="70" width="16.7109375" style="102" customWidth="1"/>
    <col min="71" max="71" width="23" style="106" customWidth="1"/>
    <col min="72" max="72" width="18" style="106" customWidth="1"/>
    <col min="73" max="74" width="20.42578125" style="106" customWidth="1"/>
    <col min="75" max="75" width="21.28515625" style="106" customWidth="1"/>
    <col min="76" max="76" width="18.85546875" style="106" customWidth="1"/>
    <col min="77" max="77" width="18.42578125" style="10" customWidth="1"/>
    <col min="78" max="79" width="18.85546875" style="102" customWidth="1"/>
    <col min="80" max="80" width="26.7109375" style="102" customWidth="1"/>
    <col min="81" max="81" width="17.85546875" style="102" customWidth="1"/>
    <col min="82" max="82" width="23.7109375" style="102" customWidth="1"/>
    <col min="83" max="83" width="21.42578125" style="16" customWidth="1"/>
    <col min="84" max="84" width="20.7109375" style="106" customWidth="1"/>
    <col min="85" max="85" width="25.140625" style="16" customWidth="1"/>
    <col min="86" max="86" width="21.28515625" style="16" customWidth="1"/>
    <col min="87" max="87" width="18.28515625" style="10" customWidth="1"/>
    <col min="88" max="88" width="22.140625" style="102" customWidth="1"/>
    <col min="89" max="89" width="17.42578125" style="10" customWidth="1"/>
    <col min="90" max="90" width="22.140625" style="106" customWidth="1"/>
    <col min="91" max="91" width="21.7109375" style="10" customWidth="1"/>
    <col min="92" max="92" width="21.28515625" style="102" customWidth="1"/>
    <col min="93" max="93" width="18.5703125" style="102" customWidth="1"/>
    <col min="94" max="94" width="23" style="102" customWidth="1"/>
    <col min="95" max="95" width="18.7109375" style="106" customWidth="1"/>
    <col min="96" max="98" width="25" style="10" customWidth="1"/>
    <col min="99" max="99" width="16.85546875" style="10" customWidth="1"/>
    <col min="100" max="100" width="25.28515625" style="10" customWidth="1"/>
    <col min="101" max="108" width="23" style="10" customWidth="1"/>
    <col min="109" max="109" width="18.140625" style="102" customWidth="1"/>
    <col min="110" max="112" width="23" style="12" customWidth="1"/>
    <col min="113" max="113" width="21.42578125" style="12" customWidth="1"/>
    <col min="114" max="116" width="23" style="12" customWidth="1"/>
    <col min="117" max="117" width="23.42578125" style="12" customWidth="1"/>
    <col min="118" max="118" width="18.28515625" style="12" customWidth="1"/>
    <col min="119" max="123" width="23" style="106" customWidth="1"/>
    <col min="124" max="124" width="24.140625" style="106" customWidth="1"/>
    <col min="125" max="125" width="23" style="106" customWidth="1"/>
    <col min="126" max="126" width="23.5703125" style="106" customWidth="1"/>
    <col min="127" max="127" width="20.7109375" style="102" customWidth="1"/>
    <col min="128" max="129" width="23" style="12" customWidth="1"/>
    <col min="130" max="130" width="20.42578125" style="12" customWidth="1"/>
    <col min="131" max="132" width="23" style="12" customWidth="1"/>
    <col min="133" max="133" width="20.28515625" style="102" customWidth="1"/>
    <col min="134" max="135" width="23" style="12" customWidth="1"/>
    <col min="136" max="136" width="22.85546875" style="12" customWidth="1"/>
    <col min="137" max="137" width="24.140625" style="12" customWidth="1"/>
    <col min="138" max="138" width="23" style="12" customWidth="1"/>
    <col min="139" max="139" width="23.5703125" style="12" customWidth="1"/>
    <col min="140" max="140" width="23" style="12" customWidth="1"/>
    <col min="141" max="141" width="19.7109375" style="106" customWidth="1"/>
    <col min="142" max="144" width="23" style="12" customWidth="1"/>
    <col min="145" max="145" width="18.28515625" style="102" customWidth="1"/>
    <col min="146" max="146" width="23" style="12" customWidth="1"/>
    <col min="147" max="147" width="22.85546875" style="106" customWidth="1"/>
    <col min="148" max="148" width="23.7109375" style="102" customWidth="1"/>
    <col min="149" max="149" width="21.7109375" style="106" customWidth="1"/>
    <col min="150" max="150" width="23" style="106" customWidth="1"/>
    <col min="151" max="151" width="23" style="102" customWidth="1"/>
    <col min="152" max="152" width="18.7109375" style="13" customWidth="1"/>
    <col min="153" max="153" width="19.85546875" style="10" customWidth="1"/>
    <col min="154" max="154" width="19.42578125" style="13" customWidth="1"/>
    <col min="155" max="155" width="18.5703125" style="95" customWidth="1"/>
    <col min="156" max="157" width="27.140625" style="106" customWidth="1"/>
    <col min="158" max="159" width="23" style="106" customWidth="1"/>
    <col min="160" max="160" width="21.7109375" style="106" customWidth="1"/>
    <col min="161" max="162" width="23" style="106" customWidth="1"/>
    <col min="163" max="163" width="20.5703125" style="95" customWidth="1"/>
    <col min="164" max="164" width="23" style="106" customWidth="1"/>
    <col min="165" max="166" width="24.28515625" style="106" customWidth="1"/>
    <col min="167" max="167" width="20.28515625" style="227" customWidth="1"/>
    <col min="168" max="168" width="23" style="274" customWidth="1"/>
    <col min="169" max="172" width="23" style="227" customWidth="1"/>
    <col min="173" max="173" width="23" style="106" customWidth="1"/>
    <col min="174" max="175" width="24.7109375" style="49" customWidth="1"/>
    <col min="176" max="176" width="28.140625" style="49" customWidth="1"/>
    <col min="177" max="177" width="23" style="49" customWidth="1"/>
    <col min="178" max="179" width="27.28515625" style="49" customWidth="1"/>
    <col min="180" max="180" width="24" style="106" customWidth="1"/>
    <col min="181" max="181" width="26.5703125" style="106" customWidth="1"/>
    <col min="182" max="182" width="21.7109375" style="39" customWidth="1"/>
    <col min="183" max="183" width="23" style="39" customWidth="1"/>
    <col min="184" max="199" width="23" style="49" customWidth="1"/>
    <col min="200" max="200" width="23.140625" style="49" customWidth="1"/>
    <col min="201" max="202" width="23" style="49" customWidth="1"/>
    <col min="203" max="205" width="24.140625" style="49" customWidth="1"/>
    <col min="206" max="206" width="19.7109375" style="95" customWidth="1"/>
    <col min="207" max="207" width="24.5703125" style="102" customWidth="1"/>
    <col min="208" max="208" width="24" style="106" customWidth="1"/>
    <col min="209" max="210" width="23" style="106" customWidth="1"/>
    <col min="211" max="211" width="26.5703125" style="106" customWidth="1"/>
    <col min="212" max="212" width="23.28515625" style="49" customWidth="1"/>
    <col min="213" max="236" width="23" style="49" customWidth="1"/>
    <col min="237" max="237" width="22.140625" style="49" customWidth="1"/>
    <col min="238" max="238" width="21.42578125" style="106" customWidth="1"/>
    <col min="239" max="239" width="20.7109375" style="106" customWidth="1"/>
    <col min="240" max="240" width="21.5703125" style="106" customWidth="1"/>
    <col min="241" max="241" width="20.28515625" style="95" customWidth="1"/>
    <col min="242" max="242" width="27" style="106" customWidth="1"/>
    <col min="243" max="243" width="24.42578125" style="106" customWidth="1"/>
    <col min="244" max="244" width="23.5703125" style="106" customWidth="1"/>
    <col min="245" max="245" width="21.5703125" style="106" customWidth="1"/>
    <col min="246" max="247" width="23" style="106" customWidth="1"/>
    <col min="248" max="248" width="24" style="106" customWidth="1"/>
    <col min="249" max="249" width="26.5703125" style="106" customWidth="1"/>
    <col min="250" max="250" width="26.5703125" customWidth="1"/>
    <col min="251" max="251" width="20.42578125" style="106" customWidth="1"/>
    <col min="252" max="252" width="23" style="106" customWidth="1"/>
    <col min="253" max="253" width="23.85546875" style="280" customWidth="1"/>
    <col min="254" max="254" width="9.140625" style="145"/>
    <col min="255" max="16384" width="9.140625" style="102"/>
  </cols>
  <sheetData>
    <row r="1" spans="1:254" s="10" customFormat="1" x14ac:dyDescent="0.25">
      <c r="A1" s="342" t="s">
        <v>387</v>
      </c>
      <c r="B1" s="343"/>
      <c r="C1" s="10" t="s">
        <v>264</v>
      </c>
      <c r="E1" s="101"/>
      <c r="F1" s="106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106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  <c r="AS1" s="35"/>
      <c r="AT1" s="35"/>
      <c r="AU1" s="35"/>
      <c r="AV1" s="35"/>
      <c r="AW1" s="35"/>
      <c r="AX1" s="35"/>
      <c r="AY1" s="35"/>
      <c r="AZ1" s="35"/>
      <c r="BA1" s="35"/>
      <c r="BB1" s="35"/>
      <c r="BC1" s="35"/>
      <c r="BD1" s="35"/>
      <c r="BE1" s="35"/>
      <c r="BF1" s="35"/>
      <c r="BG1" s="35"/>
      <c r="BH1" s="35"/>
      <c r="BI1" s="35"/>
      <c r="BJ1" s="35"/>
      <c r="BK1" s="101"/>
      <c r="BL1" s="35"/>
      <c r="BM1" s="35"/>
      <c r="BN1" s="101"/>
      <c r="BO1" s="101"/>
      <c r="BP1" s="101"/>
      <c r="BQ1" s="101"/>
      <c r="BR1" s="101"/>
      <c r="BS1" s="35"/>
      <c r="BT1" s="35"/>
      <c r="BU1" s="35"/>
      <c r="BV1" s="35"/>
      <c r="BW1" s="35"/>
      <c r="BX1" s="101"/>
      <c r="BY1" s="101"/>
      <c r="BZ1" s="101"/>
      <c r="CA1" s="101"/>
      <c r="CB1" s="101"/>
      <c r="CC1" s="101"/>
      <c r="CD1" s="101"/>
      <c r="CE1" s="101"/>
      <c r="CF1" s="35"/>
      <c r="CG1" s="101"/>
      <c r="CH1" s="101"/>
      <c r="CI1" s="101"/>
      <c r="CJ1" s="101"/>
      <c r="CK1" s="101"/>
      <c r="CL1" s="35"/>
      <c r="CM1" s="101"/>
      <c r="CN1" s="101"/>
      <c r="CO1" s="101"/>
      <c r="CP1" s="101"/>
      <c r="CQ1" s="35"/>
      <c r="CR1" s="101"/>
      <c r="CS1" s="101"/>
      <c r="CT1" s="101"/>
      <c r="CU1" s="101"/>
      <c r="CV1" s="101"/>
      <c r="CW1" s="101"/>
      <c r="CX1" s="101"/>
      <c r="CY1" s="101"/>
      <c r="CZ1" s="101"/>
      <c r="DA1" s="101"/>
      <c r="DB1" s="101"/>
      <c r="DC1" s="101"/>
      <c r="DD1" s="101"/>
      <c r="DE1" s="101"/>
      <c r="DF1" s="101"/>
      <c r="DG1" s="101"/>
      <c r="DH1" s="101"/>
      <c r="DI1" s="101"/>
      <c r="DJ1" s="101"/>
      <c r="DK1" s="101"/>
      <c r="DL1" s="101"/>
      <c r="DM1" s="101"/>
      <c r="DN1" s="101"/>
      <c r="DO1" s="35"/>
      <c r="DP1" s="35"/>
      <c r="DQ1" s="35"/>
      <c r="DR1" s="35"/>
      <c r="DS1" s="35"/>
      <c r="DT1" s="35"/>
      <c r="DU1" s="35"/>
      <c r="DV1" s="35"/>
      <c r="DW1" s="101"/>
      <c r="DX1" s="101"/>
      <c r="DY1" s="101"/>
      <c r="DZ1" s="101"/>
      <c r="EA1" s="101"/>
      <c r="EB1" s="101"/>
      <c r="EC1" s="101"/>
      <c r="ED1" s="101"/>
      <c r="EE1" s="101"/>
      <c r="EF1" s="101"/>
      <c r="EG1" s="101"/>
      <c r="EH1" s="101"/>
      <c r="EI1" s="101"/>
      <c r="EJ1" s="101"/>
      <c r="EK1" s="35"/>
      <c r="EL1" s="101"/>
      <c r="EM1" s="101"/>
      <c r="EN1" s="101"/>
      <c r="EO1" s="101"/>
      <c r="EP1" s="101"/>
      <c r="EQ1" s="101"/>
      <c r="ER1" s="101"/>
      <c r="ES1" s="35"/>
      <c r="ET1" s="35"/>
      <c r="EU1" s="101"/>
      <c r="EV1" s="19"/>
      <c r="EW1" s="19"/>
    </row>
    <row r="2" spans="1:254" s="28" customFormat="1" ht="28.5" customHeight="1" x14ac:dyDescent="0.2">
      <c r="A2" s="346"/>
      <c r="B2" s="347" t="s">
        <v>0</v>
      </c>
      <c r="C2" s="24" t="s">
        <v>112</v>
      </c>
      <c r="D2" s="25" t="s">
        <v>1</v>
      </c>
      <c r="E2" s="26"/>
      <c r="F2" s="27" t="s">
        <v>165</v>
      </c>
      <c r="G2" s="27" t="s">
        <v>166</v>
      </c>
      <c r="H2" s="27" t="s">
        <v>167</v>
      </c>
      <c r="I2" s="27" t="s">
        <v>168</v>
      </c>
      <c r="J2" s="27" t="s">
        <v>169</v>
      </c>
      <c r="K2" s="27" t="s">
        <v>170</v>
      </c>
      <c r="L2" s="27" t="s">
        <v>178</v>
      </c>
      <c r="M2" s="26"/>
      <c r="N2" s="27" t="s">
        <v>172</v>
      </c>
      <c r="O2" s="25" t="s">
        <v>2</v>
      </c>
      <c r="P2" s="27" t="s">
        <v>157</v>
      </c>
      <c r="Q2" s="27" t="s">
        <v>381</v>
      </c>
      <c r="R2" s="27" t="s">
        <v>382</v>
      </c>
      <c r="S2" s="27" t="s">
        <v>3</v>
      </c>
      <c r="T2" s="27" t="s">
        <v>181</v>
      </c>
      <c r="U2" s="51" t="s">
        <v>323</v>
      </c>
      <c r="V2" s="27" t="s">
        <v>4</v>
      </c>
      <c r="W2" s="27"/>
      <c r="X2" s="27" t="s">
        <v>147</v>
      </c>
      <c r="Y2" s="27" t="s">
        <v>176</v>
      </c>
      <c r="Z2" s="27" t="s">
        <v>271</v>
      </c>
      <c r="AA2" s="27"/>
      <c r="AB2" s="27" t="s">
        <v>148</v>
      </c>
      <c r="AC2" s="27" t="s">
        <v>161</v>
      </c>
      <c r="AD2" s="27" t="s">
        <v>173</v>
      </c>
      <c r="AE2" s="27" t="s">
        <v>326</v>
      </c>
      <c r="AF2" s="27"/>
      <c r="AG2" s="27" t="s">
        <v>187</v>
      </c>
      <c r="AH2" s="27"/>
      <c r="AI2" s="27" t="s">
        <v>162</v>
      </c>
      <c r="AJ2" s="27" t="s">
        <v>171</v>
      </c>
      <c r="AK2" s="27" t="s">
        <v>174</v>
      </c>
      <c r="AL2" s="27" t="s">
        <v>177</v>
      </c>
      <c r="AM2" s="27" t="s">
        <v>5</v>
      </c>
      <c r="AN2" s="51"/>
      <c r="AO2" s="27" t="s">
        <v>159</v>
      </c>
      <c r="AP2" s="27" t="s">
        <v>160</v>
      </c>
      <c r="AQ2" s="27" t="s">
        <v>184</v>
      </c>
      <c r="AR2" s="27" t="s">
        <v>175</v>
      </c>
      <c r="AS2" s="27" t="s">
        <v>179</v>
      </c>
      <c r="AT2" s="27" t="s">
        <v>180</v>
      </c>
      <c r="AU2" s="27"/>
      <c r="AV2" s="27" t="s">
        <v>182</v>
      </c>
      <c r="AW2" s="24">
        <v>14</v>
      </c>
      <c r="AX2" s="52">
        <v>1401</v>
      </c>
      <c r="AY2" s="27" t="s">
        <v>201</v>
      </c>
      <c r="AZ2" s="27" t="s">
        <v>202</v>
      </c>
      <c r="BA2" s="27" t="s">
        <v>6</v>
      </c>
      <c r="BB2" s="27" t="s">
        <v>151</v>
      </c>
      <c r="BC2" s="27" t="s">
        <v>152</v>
      </c>
      <c r="BD2" s="27" t="s">
        <v>226</v>
      </c>
      <c r="BE2" s="27" t="s">
        <v>227</v>
      </c>
      <c r="BF2" s="27" t="s">
        <v>7</v>
      </c>
      <c r="BG2" s="27" t="s">
        <v>328</v>
      </c>
      <c r="BH2" s="27" t="s">
        <v>329</v>
      </c>
      <c r="BI2" s="27" t="s">
        <v>295</v>
      </c>
      <c r="BJ2" s="27" t="s">
        <v>236</v>
      </c>
      <c r="BK2" s="27" t="s">
        <v>263</v>
      </c>
      <c r="BL2" s="27" t="s">
        <v>163</v>
      </c>
      <c r="BM2" s="27" t="s">
        <v>164</v>
      </c>
      <c r="BN2" s="86" t="s">
        <v>113</v>
      </c>
      <c r="BO2" s="86"/>
      <c r="BP2" s="86" t="s">
        <v>183</v>
      </c>
      <c r="BQ2" s="86" t="s">
        <v>372</v>
      </c>
      <c r="BR2" s="54" t="s">
        <v>240</v>
      </c>
      <c r="BS2" s="54" t="s">
        <v>241</v>
      </c>
      <c r="BT2" s="55" t="s">
        <v>369</v>
      </c>
      <c r="BU2" s="55" t="s">
        <v>371</v>
      </c>
      <c r="BV2" s="312" t="s">
        <v>375</v>
      </c>
      <c r="BW2" s="312" t="s">
        <v>377</v>
      </c>
      <c r="BX2" s="300" t="s">
        <v>115</v>
      </c>
      <c r="BY2" s="301" t="s">
        <v>120</v>
      </c>
      <c r="BZ2" s="64" t="s">
        <v>123</v>
      </c>
      <c r="CA2" s="64"/>
      <c r="CB2" s="64" t="s">
        <v>390</v>
      </c>
      <c r="CC2" s="64"/>
      <c r="CD2" s="64" t="s">
        <v>331</v>
      </c>
      <c r="CE2" s="64" t="s">
        <v>158</v>
      </c>
      <c r="CF2" s="64" t="s">
        <v>158</v>
      </c>
      <c r="CG2" s="64" t="s">
        <v>291</v>
      </c>
      <c r="CH2" s="64" t="s">
        <v>367</v>
      </c>
      <c r="CI2" s="64"/>
      <c r="CJ2" s="64" t="s">
        <v>244</v>
      </c>
      <c r="CK2" s="64"/>
      <c r="CL2" s="64" t="s">
        <v>247</v>
      </c>
      <c r="CM2" s="64" t="s">
        <v>248</v>
      </c>
      <c r="CN2" s="53" t="s">
        <v>126</v>
      </c>
      <c r="CO2" s="53"/>
      <c r="CP2" s="53" t="s">
        <v>300</v>
      </c>
      <c r="CQ2" s="245"/>
      <c r="CR2" s="53" t="s">
        <v>284</v>
      </c>
      <c r="CS2" s="53" t="s">
        <v>337</v>
      </c>
      <c r="CT2" s="53" t="s">
        <v>338</v>
      </c>
      <c r="CU2" s="53"/>
      <c r="CV2" s="53" t="s">
        <v>303</v>
      </c>
      <c r="CW2" s="53" t="s">
        <v>189</v>
      </c>
      <c r="CX2" s="53" t="s">
        <v>146</v>
      </c>
      <c r="CY2" s="53" t="s">
        <v>285</v>
      </c>
      <c r="CZ2" s="53" t="s">
        <v>190</v>
      </c>
      <c r="DA2" s="53" t="s">
        <v>191</v>
      </c>
      <c r="DB2" s="53" t="s">
        <v>347</v>
      </c>
      <c r="DC2" s="53"/>
      <c r="DD2" s="53" t="s">
        <v>350</v>
      </c>
      <c r="DE2" s="53"/>
      <c r="DF2" s="53" t="s">
        <v>304</v>
      </c>
      <c r="DG2" s="53" t="s">
        <v>153</v>
      </c>
      <c r="DH2" s="53" t="s">
        <v>192</v>
      </c>
      <c r="DI2" s="53"/>
      <c r="DJ2" s="53" t="s">
        <v>286</v>
      </c>
      <c r="DK2" s="53" t="s">
        <v>287</v>
      </c>
      <c r="DL2" s="53" t="s">
        <v>310</v>
      </c>
      <c r="DM2" s="53" t="s">
        <v>341</v>
      </c>
      <c r="DN2" s="53"/>
      <c r="DO2" s="53" t="s">
        <v>154</v>
      </c>
      <c r="DP2" s="53" t="s">
        <v>313</v>
      </c>
      <c r="DQ2" s="53" t="s">
        <v>315</v>
      </c>
      <c r="DR2" s="53" t="s">
        <v>353</v>
      </c>
      <c r="DS2" s="53"/>
      <c r="DT2" s="53" t="s">
        <v>342</v>
      </c>
      <c r="DU2" s="53"/>
      <c r="DV2" s="53" t="s">
        <v>343</v>
      </c>
      <c r="DW2" s="53"/>
      <c r="DX2" s="53" t="s">
        <v>155</v>
      </c>
      <c r="DY2" s="53" t="s">
        <v>354</v>
      </c>
      <c r="DZ2" s="53"/>
      <c r="EA2" s="53" t="s">
        <v>289</v>
      </c>
      <c r="EB2" s="53" t="s">
        <v>344</v>
      </c>
      <c r="EC2" s="53"/>
      <c r="ED2" s="53" t="s">
        <v>194</v>
      </c>
      <c r="EE2" s="53" t="s">
        <v>355</v>
      </c>
      <c r="EF2" s="53"/>
      <c r="EG2" s="53" t="s">
        <v>356</v>
      </c>
      <c r="EH2" s="53" t="s">
        <v>316</v>
      </c>
      <c r="EI2" s="53" t="s">
        <v>360</v>
      </c>
      <c r="EJ2" s="53" t="s">
        <v>339</v>
      </c>
      <c r="EK2" s="53"/>
      <c r="EL2" s="53" t="s">
        <v>156</v>
      </c>
      <c r="EM2" s="53" t="s">
        <v>364</v>
      </c>
      <c r="EN2" s="53" t="s">
        <v>363</v>
      </c>
      <c r="EO2" s="53"/>
      <c r="EP2" s="53" t="s">
        <v>366</v>
      </c>
      <c r="EQ2" s="54" t="s">
        <v>127</v>
      </c>
      <c r="ER2" s="54" t="s">
        <v>346</v>
      </c>
      <c r="ES2" s="55" t="s">
        <v>129</v>
      </c>
      <c r="ET2" s="55" t="s">
        <v>320</v>
      </c>
      <c r="EU2" s="55" t="s">
        <v>292</v>
      </c>
      <c r="EV2" s="56"/>
      <c r="EW2" s="108"/>
    </row>
    <row r="3" spans="1:254" ht="198.75" customHeight="1" x14ac:dyDescent="0.25">
      <c r="A3" s="346"/>
      <c r="B3" s="347"/>
      <c r="C3" s="171" t="s">
        <v>111</v>
      </c>
      <c r="D3" s="172" t="s">
        <v>8</v>
      </c>
      <c r="E3" s="173" t="s">
        <v>9</v>
      </c>
      <c r="F3" s="161" t="s">
        <v>203</v>
      </c>
      <c r="G3" s="174" t="s">
        <v>205</v>
      </c>
      <c r="H3" s="175" t="s">
        <v>195</v>
      </c>
      <c r="I3" s="174" t="s">
        <v>204</v>
      </c>
      <c r="J3" s="174" t="s">
        <v>206</v>
      </c>
      <c r="K3" s="174" t="s">
        <v>207</v>
      </c>
      <c r="L3" s="176" t="s">
        <v>196</v>
      </c>
      <c r="M3" s="177" t="s">
        <v>10</v>
      </c>
      <c r="N3" s="175" t="s">
        <v>197</v>
      </c>
      <c r="O3" s="178" t="s">
        <v>12</v>
      </c>
      <c r="P3" s="174" t="s">
        <v>13</v>
      </c>
      <c r="Q3" s="319" t="s">
        <v>380</v>
      </c>
      <c r="R3" s="336">
        <v>309</v>
      </c>
      <c r="S3" s="172" t="s">
        <v>14</v>
      </c>
      <c r="T3" s="179" t="s">
        <v>222</v>
      </c>
      <c r="U3" s="209" t="s">
        <v>324</v>
      </c>
      <c r="V3" s="180" t="s">
        <v>18</v>
      </c>
      <c r="W3" s="181" t="s">
        <v>19</v>
      </c>
      <c r="X3" s="182" t="s">
        <v>208</v>
      </c>
      <c r="Y3" s="183" t="s">
        <v>209</v>
      </c>
      <c r="Z3" s="254" t="s">
        <v>272</v>
      </c>
      <c r="AA3" s="181" t="s">
        <v>21</v>
      </c>
      <c r="AB3" s="182" t="s">
        <v>208</v>
      </c>
      <c r="AC3" s="183" t="s">
        <v>210</v>
      </c>
      <c r="AD3" s="183" t="s">
        <v>211</v>
      </c>
      <c r="AE3" s="278" t="s">
        <v>327</v>
      </c>
      <c r="AF3" s="181" t="s">
        <v>25</v>
      </c>
      <c r="AG3" s="242" t="s">
        <v>212</v>
      </c>
      <c r="AH3" s="181" t="s">
        <v>27</v>
      </c>
      <c r="AI3" s="183" t="s">
        <v>213</v>
      </c>
      <c r="AJ3" s="184" t="s">
        <v>214</v>
      </c>
      <c r="AK3" s="183" t="s">
        <v>215</v>
      </c>
      <c r="AL3" s="185" t="s">
        <v>216</v>
      </c>
      <c r="AM3" s="172" t="s">
        <v>29</v>
      </c>
      <c r="AN3" s="181" t="s">
        <v>30</v>
      </c>
      <c r="AO3" s="183" t="s">
        <v>31</v>
      </c>
      <c r="AP3" s="183" t="s">
        <v>217</v>
      </c>
      <c r="AQ3" s="186" t="s">
        <v>218</v>
      </c>
      <c r="AR3" s="183" t="s">
        <v>209</v>
      </c>
      <c r="AS3" s="183" t="s">
        <v>219</v>
      </c>
      <c r="AT3" s="183" t="s">
        <v>220</v>
      </c>
      <c r="AU3" s="181" t="s">
        <v>32</v>
      </c>
      <c r="AV3" s="184" t="s">
        <v>33</v>
      </c>
      <c r="AW3" s="172" t="s">
        <v>110</v>
      </c>
      <c r="AX3" s="172" t="s">
        <v>34</v>
      </c>
      <c r="AY3" s="175" t="s">
        <v>198</v>
      </c>
      <c r="AZ3" s="175" t="s">
        <v>199</v>
      </c>
      <c r="BA3" s="164" t="s">
        <v>37</v>
      </c>
      <c r="BB3" s="183" t="s">
        <v>221</v>
      </c>
      <c r="BC3" s="183" t="s">
        <v>224</v>
      </c>
      <c r="BD3" s="160" t="s">
        <v>230</v>
      </c>
      <c r="BE3" s="160" t="s">
        <v>231</v>
      </c>
      <c r="BF3" s="164" t="s">
        <v>39</v>
      </c>
      <c r="BG3" s="249" t="s">
        <v>330</v>
      </c>
      <c r="BH3" s="249" t="s">
        <v>265</v>
      </c>
      <c r="BI3" s="174" t="s">
        <v>296</v>
      </c>
      <c r="BJ3" s="160" t="s">
        <v>237</v>
      </c>
      <c r="BK3" s="160" t="s">
        <v>232</v>
      </c>
      <c r="BL3" s="183" t="s">
        <v>41</v>
      </c>
      <c r="BM3" s="186" t="s">
        <v>200</v>
      </c>
      <c r="BN3" s="87" t="s">
        <v>114</v>
      </c>
      <c r="BO3" s="173" t="s">
        <v>28</v>
      </c>
      <c r="BP3" s="168" t="s">
        <v>238</v>
      </c>
      <c r="BQ3" s="161" t="s">
        <v>373</v>
      </c>
      <c r="BR3" s="210" t="s">
        <v>239</v>
      </c>
      <c r="BS3" s="183" t="s">
        <v>242</v>
      </c>
      <c r="BT3" s="302" t="s">
        <v>370</v>
      </c>
      <c r="BU3" s="249" t="s">
        <v>265</v>
      </c>
      <c r="BV3" s="316" t="s">
        <v>376</v>
      </c>
      <c r="BW3" s="249" t="s">
        <v>378</v>
      </c>
      <c r="BX3" s="187" t="s">
        <v>119</v>
      </c>
      <c r="BY3" s="188" t="s">
        <v>121</v>
      </c>
      <c r="BZ3" s="189" t="s">
        <v>122</v>
      </c>
      <c r="CA3" s="173" t="s">
        <v>19</v>
      </c>
      <c r="CB3" s="339" t="s">
        <v>388</v>
      </c>
      <c r="CC3" s="181" t="s">
        <v>21</v>
      </c>
      <c r="CD3" s="244" t="s">
        <v>332</v>
      </c>
      <c r="CE3" s="174" t="s">
        <v>22</v>
      </c>
      <c r="CF3" s="174" t="s">
        <v>23</v>
      </c>
      <c r="CG3" s="174" t="s">
        <v>24</v>
      </c>
      <c r="CH3" s="249" t="s">
        <v>265</v>
      </c>
      <c r="CI3" s="181" t="s">
        <v>27</v>
      </c>
      <c r="CJ3" s="214" t="s">
        <v>243</v>
      </c>
      <c r="CK3" s="181" t="s">
        <v>32</v>
      </c>
      <c r="CL3" s="184" t="s">
        <v>245</v>
      </c>
      <c r="CM3" s="215" t="s">
        <v>246</v>
      </c>
      <c r="CN3" s="190" t="s">
        <v>125</v>
      </c>
      <c r="CO3" s="173" t="s">
        <v>298</v>
      </c>
      <c r="CP3" s="266" t="s">
        <v>299</v>
      </c>
      <c r="CQ3" s="181" t="s">
        <v>283</v>
      </c>
      <c r="CR3" s="244" t="s">
        <v>280</v>
      </c>
      <c r="CS3" s="244" t="s">
        <v>335</v>
      </c>
      <c r="CT3" s="244" t="s">
        <v>336</v>
      </c>
      <c r="CU3" s="181" t="s">
        <v>16</v>
      </c>
      <c r="CV3" s="244" t="s">
        <v>302</v>
      </c>
      <c r="CW3" s="160" t="s">
        <v>251</v>
      </c>
      <c r="CX3" s="217" t="s">
        <v>252</v>
      </c>
      <c r="CY3" s="214" t="s">
        <v>253</v>
      </c>
      <c r="CZ3" s="229" t="s">
        <v>254</v>
      </c>
      <c r="DA3" s="218" t="s">
        <v>255</v>
      </c>
      <c r="DB3" s="218" t="s">
        <v>348</v>
      </c>
      <c r="DC3" s="181" t="s">
        <v>349</v>
      </c>
      <c r="DD3" s="218" t="s">
        <v>351</v>
      </c>
      <c r="DE3" s="181" t="s">
        <v>17</v>
      </c>
      <c r="DF3" s="184" t="s">
        <v>305</v>
      </c>
      <c r="DG3" s="184" t="s">
        <v>306</v>
      </c>
      <c r="DH3" s="161" t="s">
        <v>256</v>
      </c>
      <c r="DI3" s="181" t="s">
        <v>269</v>
      </c>
      <c r="DJ3" s="168" t="s">
        <v>270</v>
      </c>
      <c r="DK3" s="168" t="s">
        <v>288</v>
      </c>
      <c r="DL3" s="184" t="s">
        <v>290</v>
      </c>
      <c r="DM3" s="184" t="s">
        <v>340</v>
      </c>
      <c r="DN3" s="181" t="s">
        <v>145</v>
      </c>
      <c r="DO3" s="168" t="s">
        <v>311</v>
      </c>
      <c r="DP3" s="168" t="s">
        <v>312</v>
      </c>
      <c r="DQ3" s="168" t="s">
        <v>314</v>
      </c>
      <c r="DR3" s="218" t="s">
        <v>348</v>
      </c>
      <c r="DS3" s="181" t="s">
        <v>19</v>
      </c>
      <c r="DT3" s="184" t="s">
        <v>340</v>
      </c>
      <c r="DU3" s="181" t="s">
        <v>21</v>
      </c>
      <c r="DV3" s="184" t="s">
        <v>340</v>
      </c>
      <c r="DW3" s="181" t="s">
        <v>27</v>
      </c>
      <c r="DX3" s="191" t="s">
        <v>258</v>
      </c>
      <c r="DY3" s="218" t="s">
        <v>348</v>
      </c>
      <c r="DZ3" s="181" t="s">
        <v>28</v>
      </c>
      <c r="EA3" s="184" t="s">
        <v>270</v>
      </c>
      <c r="EB3" s="184" t="s">
        <v>340</v>
      </c>
      <c r="EC3" s="181" t="s">
        <v>124</v>
      </c>
      <c r="ED3" s="168" t="s">
        <v>259</v>
      </c>
      <c r="EE3" s="218" t="s">
        <v>348</v>
      </c>
      <c r="EF3" s="275">
        <v>1003</v>
      </c>
      <c r="EG3" s="168" t="s">
        <v>357</v>
      </c>
      <c r="EH3" s="168" t="s">
        <v>317</v>
      </c>
      <c r="EI3" s="168" t="s">
        <v>361</v>
      </c>
      <c r="EJ3" s="161" t="s">
        <v>256</v>
      </c>
      <c r="EK3" s="172">
        <v>1102</v>
      </c>
      <c r="EL3" s="168" t="s">
        <v>260</v>
      </c>
      <c r="EM3" s="218" t="s">
        <v>348</v>
      </c>
      <c r="EN3" s="218" t="s">
        <v>348</v>
      </c>
      <c r="EO3" s="164">
        <v>1403</v>
      </c>
      <c r="EP3" s="161" t="s">
        <v>40</v>
      </c>
      <c r="EQ3" s="192" t="s">
        <v>128</v>
      </c>
      <c r="ER3" s="266" t="s">
        <v>11</v>
      </c>
      <c r="ES3" s="193" t="s">
        <v>130</v>
      </c>
      <c r="ET3" s="276" t="s">
        <v>321</v>
      </c>
      <c r="EU3" s="168" t="s">
        <v>131</v>
      </c>
      <c r="EV3" s="194" t="s">
        <v>42</v>
      </c>
      <c r="EW3" s="195"/>
    </row>
    <row r="4" spans="1:254" s="126" customFormat="1" ht="15.75" customHeight="1" x14ac:dyDescent="0.25">
      <c r="A4" s="109"/>
      <c r="B4" s="109" t="s">
        <v>43</v>
      </c>
      <c r="C4" s="110" t="s">
        <v>44</v>
      </c>
      <c r="D4" s="111" t="s">
        <v>44</v>
      </c>
      <c r="E4" s="112" t="s">
        <v>44</v>
      </c>
      <c r="F4" s="113" t="s">
        <v>45</v>
      </c>
      <c r="G4" s="113" t="s">
        <v>45</v>
      </c>
      <c r="H4" s="113" t="s">
        <v>45</v>
      </c>
      <c r="I4" s="113" t="s">
        <v>45</v>
      </c>
      <c r="J4" s="113" t="s">
        <v>45</v>
      </c>
      <c r="K4" s="113" t="s">
        <v>45</v>
      </c>
      <c r="L4" s="113" t="s">
        <v>45</v>
      </c>
      <c r="M4" s="113" t="s">
        <v>44</v>
      </c>
      <c r="N4" s="113" t="s">
        <v>45</v>
      </c>
      <c r="O4" s="113" t="s">
        <v>44</v>
      </c>
      <c r="P4" s="113" t="s">
        <v>48</v>
      </c>
      <c r="Q4" s="113" t="s">
        <v>44</v>
      </c>
      <c r="R4" s="113" t="s">
        <v>44</v>
      </c>
      <c r="S4" s="113" t="s">
        <v>44</v>
      </c>
      <c r="T4" s="113" t="s">
        <v>50</v>
      </c>
      <c r="U4" s="277" t="s">
        <v>325</v>
      </c>
      <c r="V4" s="113" t="s">
        <v>44</v>
      </c>
      <c r="W4" s="113" t="s">
        <v>44</v>
      </c>
      <c r="X4" s="112" t="s">
        <v>49</v>
      </c>
      <c r="Y4" s="113" t="s">
        <v>45</v>
      </c>
      <c r="Z4" s="256" t="s">
        <v>49</v>
      </c>
      <c r="AA4" s="113" t="s">
        <v>44</v>
      </c>
      <c r="AB4" s="112" t="s">
        <v>49</v>
      </c>
      <c r="AC4" s="113" t="s">
        <v>45</v>
      </c>
      <c r="AD4" s="112" t="s">
        <v>45</v>
      </c>
      <c r="AE4" s="112" t="s">
        <v>49</v>
      </c>
      <c r="AF4" s="112" t="s">
        <v>44</v>
      </c>
      <c r="AG4" s="241" t="s">
        <v>49</v>
      </c>
      <c r="AH4" s="113" t="s">
        <v>44</v>
      </c>
      <c r="AI4" s="113" t="s">
        <v>45</v>
      </c>
      <c r="AJ4" s="113" t="s">
        <v>45</v>
      </c>
      <c r="AK4" s="113" t="s">
        <v>45</v>
      </c>
      <c r="AL4" s="113" t="s">
        <v>45</v>
      </c>
      <c r="AM4" s="113" t="s">
        <v>44</v>
      </c>
      <c r="AN4" s="113" t="s">
        <v>44</v>
      </c>
      <c r="AO4" s="113" t="s">
        <v>55</v>
      </c>
      <c r="AP4" s="113" t="s">
        <v>56</v>
      </c>
      <c r="AQ4" s="113" t="s">
        <v>57</v>
      </c>
      <c r="AR4" s="113" t="s">
        <v>57</v>
      </c>
      <c r="AS4" s="113" t="s">
        <v>57</v>
      </c>
      <c r="AT4" s="113" t="s">
        <v>57</v>
      </c>
      <c r="AU4" s="113" t="s">
        <v>44</v>
      </c>
      <c r="AV4" s="113" t="s">
        <v>44</v>
      </c>
      <c r="AW4" s="112" t="s">
        <v>44</v>
      </c>
      <c r="AX4" s="112" t="s">
        <v>44</v>
      </c>
      <c r="AY4" s="112" t="s">
        <v>44</v>
      </c>
      <c r="AZ4" s="112" t="s">
        <v>58</v>
      </c>
      <c r="BA4" s="112" t="s">
        <v>44</v>
      </c>
      <c r="BB4" s="112" t="s">
        <v>44</v>
      </c>
      <c r="BC4" s="114" t="s">
        <v>59</v>
      </c>
      <c r="BD4" s="112" t="s">
        <v>228</v>
      </c>
      <c r="BE4" s="112" t="s">
        <v>228</v>
      </c>
      <c r="BF4" s="112" t="s">
        <v>44</v>
      </c>
      <c r="BG4" s="112" t="s">
        <v>50</v>
      </c>
      <c r="BH4" s="112" t="s">
        <v>266</v>
      </c>
      <c r="BI4" s="112" t="s">
        <v>44</v>
      </c>
      <c r="BJ4" s="112" t="s">
        <v>44</v>
      </c>
      <c r="BK4" s="162" t="s">
        <v>49</v>
      </c>
      <c r="BL4" s="113" t="s">
        <v>45</v>
      </c>
      <c r="BM4" s="113" t="s">
        <v>45</v>
      </c>
      <c r="BN4" s="150" t="s">
        <v>44</v>
      </c>
      <c r="BO4" s="113" t="s">
        <v>44</v>
      </c>
      <c r="BP4" s="113" t="s">
        <v>54</v>
      </c>
      <c r="BQ4" s="256" t="s">
        <v>374</v>
      </c>
      <c r="BR4" s="211"/>
      <c r="BS4" s="112" t="s">
        <v>49</v>
      </c>
      <c r="BT4" s="303" t="s">
        <v>44</v>
      </c>
      <c r="BU4" s="113" t="s">
        <v>47</v>
      </c>
      <c r="BV4" s="313" t="s">
        <v>44</v>
      </c>
      <c r="BW4" s="112" t="s">
        <v>49</v>
      </c>
      <c r="BX4" s="151" t="s">
        <v>44</v>
      </c>
      <c r="BY4" s="131" t="s">
        <v>44</v>
      </c>
      <c r="BZ4" s="132" t="s">
        <v>44</v>
      </c>
      <c r="CA4" s="113" t="s">
        <v>44</v>
      </c>
      <c r="CB4" s="113" t="s">
        <v>389</v>
      </c>
      <c r="CC4" s="113" t="s">
        <v>44</v>
      </c>
      <c r="CD4" s="256" t="s">
        <v>333</v>
      </c>
      <c r="CE4" s="114" t="s">
        <v>53</v>
      </c>
      <c r="CF4" s="114" t="s">
        <v>53</v>
      </c>
      <c r="CG4" s="114" t="s">
        <v>53</v>
      </c>
      <c r="CH4" s="113" t="s">
        <v>47</v>
      </c>
      <c r="CI4" s="112" t="s">
        <v>44</v>
      </c>
      <c r="CJ4" s="114" t="s">
        <v>185</v>
      </c>
      <c r="CK4" s="113" t="s">
        <v>44</v>
      </c>
      <c r="CL4" s="113" t="s">
        <v>262</v>
      </c>
      <c r="CM4" s="113" t="s">
        <v>45</v>
      </c>
      <c r="CN4" s="152" t="s">
        <v>44</v>
      </c>
      <c r="CO4" s="113" t="s">
        <v>44</v>
      </c>
      <c r="CP4" s="112" t="s">
        <v>49</v>
      </c>
      <c r="CQ4" s="113" t="s">
        <v>44</v>
      </c>
      <c r="CR4" s="113" t="s">
        <v>281</v>
      </c>
      <c r="CS4" s="113" t="s">
        <v>45</v>
      </c>
      <c r="CT4" s="113" t="s">
        <v>45</v>
      </c>
      <c r="CU4" s="113" t="s">
        <v>44</v>
      </c>
      <c r="CV4" s="112" t="s">
        <v>51</v>
      </c>
      <c r="CW4" s="112" t="s">
        <v>49</v>
      </c>
      <c r="CX4" s="112" t="s">
        <v>49</v>
      </c>
      <c r="CY4" s="114" t="s">
        <v>49</v>
      </c>
      <c r="CZ4" s="114" t="s">
        <v>49</v>
      </c>
      <c r="DA4" s="114" t="s">
        <v>49</v>
      </c>
      <c r="DB4" s="114" t="s">
        <v>49</v>
      </c>
      <c r="DC4" s="114" t="s">
        <v>44</v>
      </c>
      <c r="DD4" s="114" t="s">
        <v>52</v>
      </c>
      <c r="DE4" s="114" t="s">
        <v>44</v>
      </c>
      <c r="DF4" s="114" t="s">
        <v>308</v>
      </c>
      <c r="DG4" s="114" t="s">
        <v>52</v>
      </c>
      <c r="DH4" s="114" t="s">
        <v>49</v>
      </c>
      <c r="DI4" s="114" t="s">
        <v>44</v>
      </c>
      <c r="DJ4" s="114" t="s">
        <v>52</v>
      </c>
      <c r="DK4" s="114" t="s">
        <v>49</v>
      </c>
      <c r="DL4" s="114" t="s">
        <v>49</v>
      </c>
      <c r="DM4" s="114" t="s">
        <v>52</v>
      </c>
      <c r="DN4" s="114" t="s">
        <v>44</v>
      </c>
      <c r="DO4" s="114" t="s">
        <v>51</v>
      </c>
      <c r="DP4" s="114" t="s">
        <v>47</v>
      </c>
      <c r="DQ4" s="114" t="s">
        <v>47</v>
      </c>
      <c r="DR4" s="114" t="s">
        <v>49</v>
      </c>
      <c r="DS4" s="114" t="s">
        <v>44</v>
      </c>
      <c r="DT4" s="114" t="s">
        <v>52</v>
      </c>
      <c r="DU4" s="114" t="s">
        <v>44</v>
      </c>
      <c r="DV4" s="114" t="s">
        <v>52</v>
      </c>
      <c r="DW4" s="112" t="s">
        <v>44</v>
      </c>
      <c r="DX4" s="114" t="s">
        <v>51</v>
      </c>
      <c r="DY4" s="114" t="s">
        <v>49</v>
      </c>
      <c r="DZ4" s="114" t="s">
        <v>44</v>
      </c>
      <c r="EA4" s="114" t="s">
        <v>52</v>
      </c>
      <c r="EB4" s="114" t="s">
        <v>52</v>
      </c>
      <c r="EC4" s="113" t="s">
        <v>44</v>
      </c>
      <c r="ED4" s="114" t="s">
        <v>51</v>
      </c>
      <c r="EE4" s="114" t="s">
        <v>49</v>
      </c>
      <c r="EF4" s="114" t="s">
        <v>44</v>
      </c>
      <c r="EG4" s="114" t="s">
        <v>358</v>
      </c>
      <c r="EH4" s="114" t="s">
        <v>318</v>
      </c>
      <c r="EI4" s="114" t="s">
        <v>358</v>
      </c>
      <c r="EJ4" s="114" t="s">
        <v>49</v>
      </c>
      <c r="EK4" s="114" t="s">
        <v>44</v>
      </c>
      <c r="EL4" s="114" t="s">
        <v>51</v>
      </c>
      <c r="EM4" s="114" t="s">
        <v>49</v>
      </c>
      <c r="EN4" s="114" t="s">
        <v>49</v>
      </c>
      <c r="EO4" s="112" t="s">
        <v>44</v>
      </c>
      <c r="EP4" s="112" t="s">
        <v>44</v>
      </c>
      <c r="EQ4" s="116" t="s">
        <v>44</v>
      </c>
      <c r="ER4" s="113" t="s">
        <v>46</v>
      </c>
      <c r="ES4" s="154" t="s">
        <v>44</v>
      </c>
      <c r="ET4" s="115" t="s">
        <v>49</v>
      </c>
      <c r="EU4" s="115" t="s">
        <v>49</v>
      </c>
      <c r="EV4" s="117" t="s">
        <v>44</v>
      </c>
      <c r="EW4" s="118" t="s">
        <v>44</v>
      </c>
    </row>
    <row r="5" spans="1:254" x14ac:dyDescent="0.25">
      <c r="A5" s="144">
        <v>1</v>
      </c>
      <c r="B5" s="1" t="s">
        <v>60</v>
      </c>
      <c r="C5" s="22">
        <f>D5+O5+S5+V5+AM5+AW5+Q5</f>
        <v>384934599</v>
      </c>
      <c r="D5" s="2">
        <f>E5+M5</f>
        <v>602500</v>
      </c>
      <c r="E5" s="77">
        <f>SUM(F5:L5)</f>
        <v>601800</v>
      </c>
      <c r="F5" s="41">
        <v>162200</v>
      </c>
      <c r="G5" s="41">
        <v>8200</v>
      </c>
      <c r="H5" s="17"/>
      <c r="I5" s="17"/>
      <c r="J5" s="41">
        <v>377600</v>
      </c>
      <c r="K5" s="17"/>
      <c r="L5" s="41">
        <v>53800</v>
      </c>
      <c r="M5" s="17">
        <f>SUM(N5)</f>
        <v>700</v>
      </c>
      <c r="N5" s="41">
        <v>700</v>
      </c>
      <c r="O5" s="17">
        <f>P5</f>
        <v>1261500</v>
      </c>
      <c r="P5" s="41">
        <v>1261500</v>
      </c>
      <c r="Q5" s="41">
        <f>R5</f>
        <v>0</v>
      </c>
      <c r="R5" s="41"/>
      <c r="S5" s="17">
        <f>T5</f>
        <v>438599</v>
      </c>
      <c r="T5" s="41">
        <f>2700100-2261501</f>
        <v>438599</v>
      </c>
      <c r="U5" s="41"/>
      <c r="V5" s="17">
        <f>W5+AA5+AF5+AH5</f>
        <v>147525900</v>
      </c>
      <c r="W5" s="17">
        <f>X5+Y5+Z5</f>
        <v>1421400</v>
      </c>
      <c r="X5" s="41">
        <v>899300</v>
      </c>
      <c r="Y5" s="41">
        <v>22100</v>
      </c>
      <c r="Z5" s="41">
        <v>500000</v>
      </c>
      <c r="AA5" s="17">
        <f>SUM(AB5:AE5)</f>
        <v>136989800</v>
      </c>
      <c r="AB5" s="17">
        <v>2047800</v>
      </c>
      <c r="AC5" s="41">
        <v>131615600</v>
      </c>
      <c r="AD5" s="41">
        <v>3326400</v>
      </c>
      <c r="AE5" s="41"/>
      <c r="AF5" s="17">
        <f>SUM(AG5)</f>
        <v>7356700</v>
      </c>
      <c r="AG5" s="239">
        <f>7356700</f>
        <v>7356700</v>
      </c>
      <c r="AH5" s="41">
        <f>SUM(AI5:AL5)</f>
        <v>1758000</v>
      </c>
      <c r="AI5" s="41">
        <v>81400</v>
      </c>
      <c r="AJ5" s="41">
        <v>1561900</v>
      </c>
      <c r="AK5" s="41">
        <v>96300</v>
      </c>
      <c r="AL5" s="41">
        <v>18400</v>
      </c>
      <c r="AM5" s="41">
        <f>AN5+AU5</f>
        <v>11861100</v>
      </c>
      <c r="AN5" s="41">
        <f>SUM(AO5:AT5)</f>
        <v>11861100</v>
      </c>
      <c r="AO5" s="41">
        <v>3154100</v>
      </c>
      <c r="AP5" s="41">
        <v>8626300</v>
      </c>
      <c r="AQ5" s="41"/>
      <c r="AR5" s="41">
        <v>80700</v>
      </c>
      <c r="AS5" s="17"/>
      <c r="AT5" s="17"/>
      <c r="AU5" s="17"/>
      <c r="AV5" s="17"/>
      <c r="AW5" s="17">
        <f>AX5+BA5+BF5</f>
        <v>223245000</v>
      </c>
      <c r="AX5" s="107">
        <f>SUM(AY5:AZ5)</f>
        <v>153132000</v>
      </c>
      <c r="AY5" s="107"/>
      <c r="AZ5" s="41">
        <v>153132000</v>
      </c>
      <c r="BA5" s="107">
        <f>SUM(BB5:BC5)</f>
        <v>44285800</v>
      </c>
      <c r="BB5" s="107"/>
      <c r="BC5" s="107">
        <v>44285800</v>
      </c>
      <c r="BD5" s="107"/>
      <c r="BE5" s="107"/>
      <c r="BF5" s="41">
        <f>SUM(BG5:BM5)</f>
        <v>25827200</v>
      </c>
      <c r="BG5" s="41">
        <v>600000</v>
      </c>
      <c r="BH5" s="41">
        <v>1000000</v>
      </c>
      <c r="BI5" s="41"/>
      <c r="BJ5" s="41"/>
      <c r="BK5" s="243">
        <v>19546000</v>
      </c>
      <c r="BL5" s="41">
        <v>4451000</v>
      </c>
      <c r="BM5" s="41">
        <v>230200</v>
      </c>
      <c r="BN5" s="88">
        <f>BO5</f>
        <v>78200</v>
      </c>
      <c r="BO5" s="17">
        <f>BP5+BQ5</f>
        <v>78200</v>
      </c>
      <c r="BP5" s="30">
        <v>78200</v>
      </c>
      <c r="BQ5" s="30"/>
      <c r="BR5" s="212">
        <f>BS5</f>
        <v>0</v>
      </c>
      <c r="BS5" s="29">
        <v>0</v>
      </c>
      <c r="BT5" s="304">
        <f>BU5</f>
        <v>116000</v>
      </c>
      <c r="BU5" s="29">
        <v>116000</v>
      </c>
      <c r="BV5" s="314">
        <f>BW5</f>
        <v>0</v>
      </c>
      <c r="BW5" s="29"/>
      <c r="BX5" s="32"/>
      <c r="BY5" s="68"/>
      <c r="BZ5" s="62">
        <f>CC5+CI5+CK5+CA5</f>
        <v>28815000</v>
      </c>
      <c r="CA5" s="17">
        <f>CB5</f>
        <v>17555000</v>
      </c>
      <c r="CB5" s="340">
        <v>17555000</v>
      </c>
      <c r="CC5" s="103">
        <f>CD5+CE5+CH5</f>
        <v>11252000</v>
      </c>
      <c r="CD5" s="103">
        <v>7200000</v>
      </c>
      <c r="CE5" s="14">
        <f>CF5+CG5</f>
        <v>4052000</v>
      </c>
      <c r="CF5" s="31">
        <v>1038000</v>
      </c>
      <c r="CG5" s="14">
        <v>3014000</v>
      </c>
      <c r="CH5" s="14"/>
      <c r="CI5" s="14">
        <f>CJ5</f>
        <v>8000</v>
      </c>
      <c r="CJ5" s="31">
        <v>8000</v>
      </c>
      <c r="CK5" s="14">
        <f>CL5+CM5</f>
        <v>0</v>
      </c>
      <c r="CL5" s="29">
        <v>0</v>
      </c>
      <c r="CM5" s="30">
        <v>0</v>
      </c>
      <c r="CN5" s="65">
        <f>CO5+CQ5+CU5+DC5+DE5+DI5+DN5+DS5+DU5+DW5+DZ5+EC5+EF5+EK5+EO5</f>
        <v>37367300</v>
      </c>
      <c r="CO5" s="17">
        <f>CP5</f>
        <v>0</v>
      </c>
      <c r="CP5" s="17"/>
      <c r="CQ5" s="17">
        <f>CR5+CS5+CT5</f>
        <v>2261500</v>
      </c>
      <c r="CR5" s="17"/>
      <c r="CS5" s="17">
        <v>2259915.6</v>
      </c>
      <c r="CT5" s="17">
        <v>1584.4</v>
      </c>
      <c r="CU5" s="17">
        <f>SUM(CV5:DB5)</f>
        <v>25363800</v>
      </c>
      <c r="CV5" s="17"/>
      <c r="CW5" s="17">
        <v>5492900</v>
      </c>
      <c r="CX5" s="283">
        <v>5524300</v>
      </c>
      <c r="CY5" s="14">
        <v>7846600</v>
      </c>
      <c r="CZ5" s="14">
        <v>6500000</v>
      </c>
      <c r="DA5" s="14">
        <v>0</v>
      </c>
      <c r="DB5" s="14"/>
      <c r="DC5" s="14">
        <f>DD5</f>
        <v>0</v>
      </c>
      <c r="DD5" s="14"/>
      <c r="DE5" s="103">
        <f t="shared" ref="DE5:DE35" si="0">SUM(DF5:DH5)</f>
        <v>0</v>
      </c>
      <c r="DF5" s="17"/>
      <c r="DG5" s="17"/>
      <c r="DH5" s="17"/>
      <c r="DI5" s="17">
        <f>DJ5+DK5+DL5</f>
        <v>9615000</v>
      </c>
      <c r="DJ5" s="17"/>
      <c r="DK5" s="17">
        <v>9615000</v>
      </c>
      <c r="DL5" s="17"/>
      <c r="DM5" s="17"/>
      <c r="DN5" s="17">
        <f>DO5+DP5+DQ5+DR5</f>
        <v>127000</v>
      </c>
      <c r="DO5" s="17"/>
      <c r="DP5" s="17">
        <v>0</v>
      </c>
      <c r="DQ5" s="17">
        <v>127000</v>
      </c>
      <c r="DR5" s="17"/>
      <c r="DS5" s="17"/>
      <c r="DT5" s="17"/>
      <c r="DU5" s="17"/>
      <c r="DV5" s="17"/>
      <c r="DW5" s="17"/>
      <c r="DX5" s="17"/>
      <c r="DY5" s="17"/>
      <c r="DZ5" s="17">
        <f>EA5</f>
        <v>0</v>
      </c>
      <c r="EA5" s="17"/>
      <c r="EB5" s="17"/>
      <c r="EC5" s="17"/>
      <c r="ED5" s="17"/>
      <c r="EE5" s="17"/>
      <c r="EF5" s="17">
        <f>SUM(EG5:EJ5)</f>
        <v>0</v>
      </c>
      <c r="EG5" s="17">
        <v>0</v>
      </c>
      <c r="EH5" s="17">
        <v>0</v>
      </c>
      <c r="EI5" s="17"/>
      <c r="EJ5" s="17"/>
      <c r="EK5" s="17">
        <f>SUM(EL5:EN5)</f>
        <v>0</v>
      </c>
      <c r="EL5" s="17"/>
      <c r="EM5" s="17"/>
      <c r="EN5" s="17"/>
      <c r="EO5" s="3">
        <f>EP5</f>
        <v>0</v>
      </c>
      <c r="EP5" s="107">
        <v>0</v>
      </c>
      <c r="EQ5" s="79">
        <f>ER5</f>
        <v>0</v>
      </c>
      <c r="ER5" s="103"/>
      <c r="ES5" s="81">
        <f>ET5+EU5</f>
        <v>0</v>
      </c>
      <c r="ET5" s="17"/>
      <c r="EU5" s="103"/>
      <c r="EV5" s="4">
        <f>C5++BN5+BR5+BT5+BV5+BX5+BY5+BZ5+CN5+EQ5+ES5</f>
        <v>451311099</v>
      </c>
      <c r="EW5" s="23">
        <f>'Ут.План на 01.09.2013'!C6-EV5</f>
        <v>0</v>
      </c>
    </row>
    <row r="6" spans="1:254" x14ac:dyDescent="0.25">
      <c r="A6" s="144">
        <v>2</v>
      </c>
      <c r="B6" s="1" t="s">
        <v>61</v>
      </c>
      <c r="C6" s="22">
        <f>D6+O6+S6+V6+AM6+AW6+Q6</f>
        <v>179017444</v>
      </c>
      <c r="D6" s="2">
        <f>E6+M6</f>
        <v>549500</v>
      </c>
      <c r="E6" s="77">
        <f>SUM(F6:L6)</f>
        <v>548900</v>
      </c>
      <c r="F6" s="41">
        <v>153200</v>
      </c>
      <c r="G6" s="41">
        <v>4700</v>
      </c>
      <c r="H6" s="17"/>
      <c r="I6" s="17"/>
      <c r="J6" s="41">
        <v>341100</v>
      </c>
      <c r="K6" s="17"/>
      <c r="L6" s="41">
        <v>49900</v>
      </c>
      <c r="M6" s="17">
        <f>SUM(N6)</f>
        <v>600</v>
      </c>
      <c r="N6" s="41">
        <v>600</v>
      </c>
      <c r="O6" s="17">
        <f>P6</f>
        <v>1086300</v>
      </c>
      <c r="P6" s="41">
        <v>1086300</v>
      </c>
      <c r="Q6" s="41">
        <f>R6</f>
        <v>0</v>
      </c>
      <c r="R6" s="41"/>
      <c r="S6" s="17">
        <f>T6</f>
        <v>391144</v>
      </c>
      <c r="T6" s="41">
        <f>1590000-1198856</f>
        <v>391144</v>
      </c>
      <c r="U6" s="41"/>
      <c r="V6" s="17">
        <f>W6+AA6+AF6+AH6</f>
        <v>91459900</v>
      </c>
      <c r="W6" s="17">
        <f>X6+Y6+Z6</f>
        <v>0</v>
      </c>
      <c r="X6" s="34"/>
      <c r="Y6" s="34">
        <v>0</v>
      </c>
      <c r="Z6" s="34"/>
      <c r="AA6" s="17">
        <f>SUM(AB6:AE6)</f>
        <v>86429300</v>
      </c>
      <c r="AB6" s="17"/>
      <c r="AC6" s="41">
        <v>83186500</v>
      </c>
      <c r="AD6" s="41">
        <v>2242800</v>
      </c>
      <c r="AE6" s="41">
        <v>1000000</v>
      </c>
      <c r="AF6" s="17">
        <f>SUM(AG6)</f>
        <v>4151100</v>
      </c>
      <c r="AG6" s="239">
        <f>3924100+227000</f>
        <v>4151100</v>
      </c>
      <c r="AH6" s="41">
        <f>SUM(AI6:AL6)</f>
        <v>879500</v>
      </c>
      <c r="AI6" s="41">
        <v>34900</v>
      </c>
      <c r="AJ6" s="41">
        <v>781000</v>
      </c>
      <c r="AK6" s="41">
        <v>61300</v>
      </c>
      <c r="AL6" s="41">
        <v>2300</v>
      </c>
      <c r="AM6" s="41">
        <f>AN6+AU6</f>
        <v>4902100</v>
      </c>
      <c r="AN6" s="41">
        <f>SUM(AO6:AT6)</f>
        <v>4902100</v>
      </c>
      <c r="AO6" s="41">
        <v>695200</v>
      </c>
      <c r="AP6" s="41">
        <v>4194100</v>
      </c>
      <c r="AQ6" s="41"/>
      <c r="AR6" s="41">
        <v>12800</v>
      </c>
      <c r="AS6" s="17"/>
      <c r="AT6" s="17"/>
      <c r="AU6" s="17"/>
      <c r="AV6" s="17"/>
      <c r="AW6" s="17">
        <f>AX6+BA6+BF6</f>
        <v>80628500</v>
      </c>
      <c r="AX6" s="107">
        <f>SUM(AY6:AZ6)</f>
        <v>67703000</v>
      </c>
      <c r="AY6" s="107"/>
      <c r="AZ6" s="41">
        <v>67703000</v>
      </c>
      <c r="BA6" s="107">
        <f>SUM(BB6:BC6)</f>
        <v>3300000</v>
      </c>
      <c r="BB6" s="107"/>
      <c r="BC6" s="107">
        <f>2000000+1300000</f>
        <v>3300000</v>
      </c>
      <c r="BD6" s="107"/>
      <c r="BE6" s="107"/>
      <c r="BF6" s="41">
        <f>SUM(BG6:BM6)</f>
        <v>9625500</v>
      </c>
      <c r="BG6" s="41"/>
      <c r="BH6" s="41">
        <v>1306200</v>
      </c>
      <c r="BI6" s="41"/>
      <c r="BJ6" s="41"/>
      <c r="BK6" s="243">
        <v>5575900</v>
      </c>
      <c r="BL6" s="41">
        <v>2531000</v>
      </c>
      <c r="BM6" s="41">
        <v>212400</v>
      </c>
      <c r="BN6" s="88">
        <f>BO6</f>
        <v>68000</v>
      </c>
      <c r="BO6" s="17">
        <f>BP6+BQ6</f>
        <v>68000</v>
      </c>
      <c r="BP6" s="30">
        <v>68000</v>
      </c>
      <c r="BQ6" s="30"/>
      <c r="BR6" s="212">
        <f>BS6</f>
        <v>0</v>
      </c>
      <c r="BS6" s="29">
        <v>0</v>
      </c>
      <c r="BT6" s="304">
        <f>BU6</f>
        <v>0</v>
      </c>
      <c r="BU6" s="29"/>
      <c r="BV6" s="314">
        <f>BW6</f>
        <v>0</v>
      </c>
      <c r="BW6" s="29"/>
      <c r="BX6" s="32"/>
      <c r="BY6" s="68"/>
      <c r="BZ6" s="62">
        <f>CC6+CI6+CK6+CA6</f>
        <v>3377400</v>
      </c>
      <c r="CA6" s="17">
        <f>CB6</f>
        <v>365000</v>
      </c>
      <c r="CB6" s="340">
        <v>365000</v>
      </c>
      <c r="CC6" s="103">
        <f>CD6+CE6+CH6</f>
        <v>3007400</v>
      </c>
      <c r="CD6" s="103">
        <v>500000</v>
      </c>
      <c r="CE6" s="14">
        <f>CF6+CG6</f>
        <v>2507400</v>
      </c>
      <c r="CF6" s="31">
        <v>642400</v>
      </c>
      <c r="CG6" s="14">
        <v>1865000</v>
      </c>
      <c r="CH6" s="14"/>
      <c r="CI6" s="14">
        <f>CJ6</f>
        <v>5000</v>
      </c>
      <c r="CJ6" s="31">
        <v>5000</v>
      </c>
      <c r="CK6" s="14">
        <f>CL6+CM6</f>
        <v>0</v>
      </c>
      <c r="CL6" s="29">
        <v>0</v>
      </c>
      <c r="CM6" s="30">
        <v>0</v>
      </c>
      <c r="CN6" s="65">
        <f>CO6+CQ6+CU6+DC6+DE6+DI6+DN6+DS6+DU6+DW6+DZ6+EC6+EF6+EK6+EO6</f>
        <v>13243834</v>
      </c>
      <c r="CO6" s="17">
        <f>CP6</f>
        <v>0</v>
      </c>
      <c r="CP6" s="17"/>
      <c r="CQ6" s="17">
        <f>CR6+CS6+CT6</f>
        <v>1198900</v>
      </c>
      <c r="CR6" s="17"/>
      <c r="CS6" s="17">
        <v>1198732.6000000001</v>
      </c>
      <c r="CT6" s="17">
        <v>167.4</v>
      </c>
      <c r="CU6" s="17">
        <f>SUM(CV6:DB6)</f>
        <v>7689900</v>
      </c>
      <c r="CV6" s="17"/>
      <c r="CW6" s="17">
        <v>3653800</v>
      </c>
      <c r="CX6" s="283">
        <v>436100</v>
      </c>
      <c r="CY6" s="14">
        <v>0</v>
      </c>
      <c r="CZ6" s="14">
        <v>3600000</v>
      </c>
      <c r="DA6" s="14">
        <v>0</v>
      </c>
      <c r="DB6" s="14"/>
      <c r="DC6" s="14">
        <f t="shared" ref="DC6:DC35" si="1">DD6</f>
        <v>0</v>
      </c>
      <c r="DD6" s="14"/>
      <c r="DE6" s="103">
        <f t="shared" si="0"/>
        <v>0</v>
      </c>
      <c r="DF6" s="17"/>
      <c r="DG6" s="17"/>
      <c r="DH6" s="17"/>
      <c r="DI6" s="17">
        <f t="shared" ref="DI6:DI35" si="2">DJ6+DK6+DL6</f>
        <v>4355034</v>
      </c>
      <c r="DJ6" s="17"/>
      <c r="DK6" s="17">
        <v>4355034</v>
      </c>
      <c r="DL6" s="17"/>
      <c r="DM6" s="17"/>
      <c r="DN6" s="17">
        <f t="shared" ref="DN6:DN35" si="3">DO6+DP6+DQ6+DR6</f>
        <v>0</v>
      </c>
      <c r="DO6" s="17"/>
      <c r="DP6" s="17">
        <v>0</v>
      </c>
      <c r="DQ6" s="17">
        <v>0</v>
      </c>
      <c r="DR6" s="17"/>
      <c r="DS6" s="17"/>
      <c r="DT6" s="17"/>
      <c r="DU6" s="17"/>
      <c r="DV6" s="17"/>
      <c r="DW6" s="17"/>
      <c r="DX6" s="17"/>
      <c r="DY6" s="17"/>
      <c r="DZ6" s="17">
        <f t="shared" ref="DZ6:DZ35" si="4">EA6</f>
        <v>0</v>
      </c>
      <c r="EA6" s="17"/>
      <c r="EB6" s="17"/>
      <c r="EC6" s="17"/>
      <c r="ED6" s="17"/>
      <c r="EE6" s="17"/>
      <c r="EF6" s="17">
        <f t="shared" ref="EF6:EF35" si="5">SUM(EG6:EJ6)</f>
        <v>0</v>
      </c>
      <c r="EG6" s="17">
        <v>0</v>
      </c>
      <c r="EH6" s="17">
        <v>0</v>
      </c>
      <c r="EI6" s="17"/>
      <c r="EJ6" s="17"/>
      <c r="EK6" s="17">
        <f t="shared" ref="EK6:EK35" si="6">SUM(EL6:EN6)</f>
        <v>0</v>
      </c>
      <c r="EL6" s="17"/>
      <c r="EM6" s="17"/>
      <c r="EN6" s="17"/>
      <c r="EO6" s="3">
        <f t="shared" ref="EO6:EO35" si="7">EP6</f>
        <v>0</v>
      </c>
      <c r="EP6" s="107">
        <v>0</v>
      </c>
      <c r="EQ6" s="79">
        <f t="shared" ref="EQ6:EQ35" si="8">ER6</f>
        <v>0</v>
      </c>
      <c r="ER6" s="103"/>
      <c r="ES6" s="81">
        <f t="shared" ref="ES6:ES35" si="9">ET6+EU6</f>
        <v>800000</v>
      </c>
      <c r="ET6" s="17"/>
      <c r="EU6" s="103">
        <v>800000</v>
      </c>
      <c r="EV6" s="4">
        <f>C6++BN6+BR6+BT6+BV6+BX6+BY6+BZ6+CN6+EQ6+ES6</f>
        <v>196506678</v>
      </c>
      <c r="EW6" s="23">
        <f>'Ут.План на 01.09.2013'!C7-EV6</f>
        <v>0</v>
      </c>
    </row>
    <row r="7" spans="1:254" ht="15" customHeight="1" x14ac:dyDescent="0.25">
      <c r="A7" s="144">
        <v>3</v>
      </c>
      <c r="B7" s="1" t="s">
        <v>62</v>
      </c>
      <c r="C7" s="22">
        <f>D7+O7+S7+V7+AM7+AW7+Q7</f>
        <v>130551956</v>
      </c>
      <c r="D7" s="2">
        <f>E7+M7</f>
        <v>863300</v>
      </c>
      <c r="E7" s="77">
        <f>SUM(F7:L7)</f>
        <v>862600</v>
      </c>
      <c r="F7" s="41">
        <v>153200</v>
      </c>
      <c r="G7" s="41">
        <v>3800</v>
      </c>
      <c r="H7" s="17"/>
      <c r="I7" s="17">
        <v>310700</v>
      </c>
      <c r="J7" s="41">
        <v>341100</v>
      </c>
      <c r="K7" s="17"/>
      <c r="L7" s="41">
        <v>53800</v>
      </c>
      <c r="M7" s="17">
        <f>SUM(N7)</f>
        <v>700</v>
      </c>
      <c r="N7" s="41">
        <v>700</v>
      </c>
      <c r="O7" s="17">
        <f>P7</f>
        <v>896200</v>
      </c>
      <c r="P7" s="41">
        <v>896200</v>
      </c>
      <c r="Q7" s="41">
        <f>R7</f>
        <v>0</v>
      </c>
      <c r="R7" s="41"/>
      <c r="S7" s="17">
        <f>T7</f>
        <v>2856</v>
      </c>
      <c r="T7" s="41">
        <f>91000-88144</f>
        <v>2856</v>
      </c>
      <c r="U7" s="41"/>
      <c r="V7" s="17">
        <f>W7+AA7+AF7+AH7</f>
        <v>88656600</v>
      </c>
      <c r="W7" s="17">
        <f>X7+Y7+Z7</f>
        <v>0</v>
      </c>
      <c r="X7" s="34"/>
      <c r="Y7" s="34">
        <v>0</v>
      </c>
      <c r="Z7" s="34"/>
      <c r="AA7" s="17">
        <f>SUM(AB7:AE7)</f>
        <v>86196100</v>
      </c>
      <c r="AB7" s="17"/>
      <c r="AC7" s="41">
        <v>83751700</v>
      </c>
      <c r="AD7" s="41">
        <v>2444400</v>
      </c>
      <c r="AE7" s="41"/>
      <c r="AF7" s="17">
        <f>SUM(AG7)</f>
        <v>1781400</v>
      </c>
      <c r="AG7" s="239">
        <f>1105400+676000</f>
        <v>1781400</v>
      </c>
      <c r="AH7" s="41">
        <f>SUM(AI7:AL7)</f>
        <v>679100</v>
      </c>
      <c r="AI7" s="41">
        <v>23200</v>
      </c>
      <c r="AJ7" s="41">
        <v>585800</v>
      </c>
      <c r="AK7" s="41">
        <v>70100</v>
      </c>
      <c r="AL7" s="34"/>
      <c r="AM7" s="41">
        <f>AN7+AU7</f>
        <v>3932500</v>
      </c>
      <c r="AN7" s="41">
        <f>SUM(AO7:AT7)</f>
        <v>3932500</v>
      </c>
      <c r="AO7" s="41">
        <v>461900</v>
      </c>
      <c r="AP7" s="41">
        <v>3470600</v>
      </c>
      <c r="AQ7" s="41"/>
      <c r="AR7" s="41"/>
      <c r="AS7" s="17"/>
      <c r="AT7" s="17"/>
      <c r="AU7" s="17"/>
      <c r="AV7" s="17"/>
      <c r="AW7" s="17">
        <f>AX7+BA7+BF7</f>
        <v>36200500</v>
      </c>
      <c r="AX7" s="107">
        <f>SUM(AY7:AZ7)</f>
        <v>23887000</v>
      </c>
      <c r="AY7" s="107"/>
      <c r="AZ7" s="41">
        <v>23887000</v>
      </c>
      <c r="BA7" s="107">
        <f>SUM(BB7:BC7)</f>
        <v>3000000</v>
      </c>
      <c r="BB7" s="107"/>
      <c r="BC7" s="107">
        <v>3000000</v>
      </c>
      <c r="BD7" s="107"/>
      <c r="BE7" s="107"/>
      <c r="BF7" s="41">
        <f>SUM(BG7:BM7)</f>
        <v>9313500</v>
      </c>
      <c r="BG7" s="41">
        <v>3800000</v>
      </c>
      <c r="BH7" s="41"/>
      <c r="BI7" s="41"/>
      <c r="BJ7" s="41"/>
      <c r="BK7" s="243">
        <v>3218300</v>
      </c>
      <c r="BL7" s="41">
        <v>2065000</v>
      </c>
      <c r="BM7" s="41">
        <v>230200</v>
      </c>
      <c r="BN7" s="88">
        <f>BO7</f>
        <v>115000</v>
      </c>
      <c r="BO7" s="17">
        <f>BP7+BQ7</f>
        <v>115000</v>
      </c>
      <c r="BP7" s="30">
        <v>115000</v>
      </c>
      <c r="BQ7" s="30"/>
      <c r="BR7" s="212">
        <f>BS7</f>
        <v>190500</v>
      </c>
      <c r="BS7" s="29">
        <v>190500</v>
      </c>
      <c r="BT7" s="304">
        <f>BU7</f>
        <v>0</v>
      </c>
      <c r="BU7" s="29"/>
      <c r="BV7" s="314">
        <f>BW7</f>
        <v>0</v>
      </c>
      <c r="BW7" s="29"/>
      <c r="BX7" s="32"/>
      <c r="BY7" s="68"/>
      <c r="BZ7" s="62">
        <f>CC7+CI7+CK7+CA7</f>
        <v>6037900</v>
      </c>
      <c r="CA7" s="17">
        <f>CB7</f>
        <v>3000000</v>
      </c>
      <c r="CB7" s="340">
        <v>3000000</v>
      </c>
      <c r="CC7" s="103">
        <f>CD7+CE7+CH7</f>
        <v>3032900</v>
      </c>
      <c r="CD7" s="103">
        <v>500000</v>
      </c>
      <c r="CE7" s="14">
        <f>CF7+CG7</f>
        <v>2532900</v>
      </c>
      <c r="CF7" s="31">
        <v>648900</v>
      </c>
      <c r="CG7" s="14">
        <v>1884000</v>
      </c>
      <c r="CH7" s="14"/>
      <c r="CI7" s="14">
        <f>CJ7</f>
        <v>5000</v>
      </c>
      <c r="CJ7" s="31">
        <v>5000</v>
      </c>
      <c r="CK7" s="14">
        <f>CL7+CM7</f>
        <v>0</v>
      </c>
      <c r="CL7" s="29">
        <v>0</v>
      </c>
      <c r="CM7" s="30">
        <v>0</v>
      </c>
      <c r="CN7" s="65">
        <f>CO7+CQ7+CU7+DC7+DE7+DI7+DN7+DS7+DU7+DW7+DZ7+EC7+EF7+EK7+EO7</f>
        <v>10378800</v>
      </c>
      <c r="CO7" s="17">
        <f>CP7</f>
        <v>0</v>
      </c>
      <c r="CP7" s="17"/>
      <c r="CQ7" s="17">
        <f>CR7+CS7+CT7</f>
        <v>88100</v>
      </c>
      <c r="CR7" s="17"/>
      <c r="CS7" s="17">
        <v>88089.2</v>
      </c>
      <c r="CT7" s="17">
        <v>10.8</v>
      </c>
      <c r="CU7" s="17">
        <f>SUM(CV7:DB7)</f>
        <v>9430700</v>
      </c>
      <c r="CV7" s="17"/>
      <c r="CW7" s="17">
        <v>3558700</v>
      </c>
      <c r="CX7" s="283">
        <v>290800</v>
      </c>
      <c r="CY7" s="14">
        <v>0</v>
      </c>
      <c r="CZ7" s="14">
        <v>5581200</v>
      </c>
      <c r="DA7" s="14">
        <v>0</v>
      </c>
      <c r="DB7" s="14"/>
      <c r="DC7" s="14">
        <f t="shared" si="1"/>
        <v>0</v>
      </c>
      <c r="DD7" s="14"/>
      <c r="DE7" s="103">
        <f t="shared" si="0"/>
        <v>0</v>
      </c>
      <c r="DF7" s="17"/>
      <c r="DG7" s="17"/>
      <c r="DH7" s="17"/>
      <c r="DI7" s="17">
        <f t="shared" si="2"/>
        <v>860000</v>
      </c>
      <c r="DJ7" s="17"/>
      <c r="DK7" s="17">
        <v>860000</v>
      </c>
      <c r="DL7" s="17"/>
      <c r="DM7" s="17"/>
      <c r="DN7" s="17">
        <f t="shared" si="3"/>
        <v>0</v>
      </c>
      <c r="DO7" s="17"/>
      <c r="DP7" s="17">
        <v>0</v>
      </c>
      <c r="DQ7" s="17">
        <v>0</v>
      </c>
      <c r="DR7" s="17"/>
      <c r="DS7" s="17"/>
      <c r="DT7" s="17"/>
      <c r="DU7" s="17"/>
      <c r="DV7" s="17"/>
      <c r="DW7" s="17"/>
      <c r="DX7" s="17"/>
      <c r="DY7" s="17"/>
      <c r="DZ7" s="17">
        <f t="shared" si="4"/>
        <v>0</v>
      </c>
      <c r="EA7" s="17"/>
      <c r="EB7" s="17"/>
      <c r="EC7" s="17"/>
      <c r="ED7" s="17"/>
      <c r="EE7" s="17"/>
      <c r="EF7" s="17">
        <f t="shared" si="5"/>
        <v>0</v>
      </c>
      <c r="EG7" s="17">
        <v>0</v>
      </c>
      <c r="EH7" s="17">
        <v>0</v>
      </c>
      <c r="EI7" s="17"/>
      <c r="EJ7" s="17"/>
      <c r="EK7" s="17">
        <f t="shared" si="6"/>
        <v>0</v>
      </c>
      <c r="EL7" s="17"/>
      <c r="EM7" s="17"/>
      <c r="EN7" s="17"/>
      <c r="EO7" s="3">
        <f t="shared" si="7"/>
        <v>0</v>
      </c>
      <c r="EP7" s="107">
        <v>0</v>
      </c>
      <c r="EQ7" s="79">
        <f t="shared" si="8"/>
        <v>0</v>
      </c>
      <c r="ER7" s="103"/>
      <c r="ES7" s="81">
        <f t="shared" si="9"/>
        <v>0</v>
      </c>
      <c r="ET7" s="17"/>
      <c r="EU7" s="103"/>
      <c r="EV7" s="4">
        <f>C7++BN7+BR7+BT7+BV7+BX7+BY7+BZ7+CN7+EQ7+ES7</f>
        <v>147274156</v>
      </c>
      <c r="EW7" s="23">
        <f>'Ут.План на 01.09.2013'!C8-EV7</f>
        <v>0</v>
      </c>
    </row>
    <row r="8" spans="1:254" x14ac:dyDescent="0.25">
      <c r="A8" s="144">
        <v>4</v>
      </c>
      <c r="B8" s="1" t="s">
        <v>63</v>
      </c>
      <c r="C8" s="22">
        <f>D8+O8+S8+V8+AM8+AW8+Q8</f>
        <v>258207035</v>
      </c>
      <c r="D8" s="2">
        <f>E8+M8</f>
        <v>717000</v>
      </c>
      <c r="E8" s="77">
        <f>SUM(F8:L8)</f>
        <v>716500</v>
      </c>
      <c r="F8" s="41">
        <v>324200</v>
      </c>
      <c r="G8" s="41">
        <v>9000</v>
      </c>
      <c r="H8" s="17"/>
      <c r="I8" s="17"/>
      <c r="J8" s="41">
        <v>341100</v>
      </c>
      <c r="K8" s="17"/>
      <c r="L8" s="41">
        <v>42200</v>
      </c>
      <c r="M8" s="17">
        <f>SUM(N8)</f>
        <v>500</v>
      </c>
      <c r="N8" s="41">
        <v>500</v>
      </c>
      <c r="O8" s="17">
        <f>P8</f>
        <v>619500</v>
      </c>
      <c r="P8" s="41">
        <v>619500</v>
      </c>
      <c r="Q8" s="41">
        <f>R8</f>
        <v>0</v>
      </c>
      <c r="R8" s="41"/>
      <c r="S8" s="17">
        <f>T8</f>
        <v>751435</v>
      </c>
      <c r="T8" s="41">
        <f>4190000-3438565</f>
        <v>751435</v>
      </c>
      <c r="U8" s="41"/>
      <c r="V8" s="17">
        <f>W8+AA8+AF8+AH8</f>
        <v>125361500</v>
      </c>
      <c r="W8" s="17">
        <f>X8+Y8+Z8</f>
        <v>18500</v>
      </c>
      <c r="X8" s="34"/>
      <c r="Y8" s="41">
        <f>12000+6500</f>
        <v>18500</v>
      </c>
      <c r="Z8" s="41"/>
      <c r="AA8" s="17">
        <f>SUM(AB8:AE8)</f>
        <v>122880800</v>
      </c>
      <c r="AB8" s="17"/>
      <c r="AC8" s="41">
        <v>117840800</v>
      </c>
      <c r="AD8" s="41">
        <v>5040000</v>
      </c>
      <c r="AE8" s="41"/>
      <c r="AF8" s="17">
        <f>SUM(AG8)</f>
        <v>1058400</v>
      </c>
      <c r="AG8" s="239">
        <v>1058400</v>
      </c>
      <c r="AH8" s="41">
        <f>SUM(AI8:AL8)</f>
        <v>1403800</v>
      </c>
      <c r="AI8" s="41">
        <v>81400</v>
      </c>
      <c r="AJ8" s="41">
        <v>1171400</v>
      </c>
      <c r="AK8" s="41">
        <v>148800</v>
      </c>
      <c r="AL8" s="41">
        <v>2200</v>
      </c>
      <c r="AM8" s="41">
        <f>AN8+AU8</f>
        <v>13313800</v>
      </c>
      <c r="AN8" s="41">
        <f>SUM(AO8:AT8)</f>
        <v>13313800</v>
      </c>
      <c r="AO8" s="41">
        <v>4855900</v>
      </c>
      <c r="AP8" s="41">
        <v>8311300</v>
      </c>
      <c r="AQ8" s="41"/>
      <c r="AR8" s="41"/>
      <c r="AS8" s="17">
        <f>66600+50000+30000</f>
        <v>146600</v>
      </c>
      <c r="AT8" s="17"/>
      <c r="AU8" s="17"/>
      <c r="AV8" s="17"/>
      <c r="AW8" s="17">
        <f>AX8+BA8+BF8</f>
        <v>117443800</v>
      </c>
      <c r="AX8" s="107">
        <f>SUM(AY8:AZ8)</f>
        <v>75920000</v>
      </c>
      <c r="AY8" s="107"/>
      <c r="AZ8" s="41">
        <v>75920000</v>
      </c>
      <c r="BA8" s="107">
        <f>SUM(BB8:BC8)</f>
        <v>24500000</v>
      </c>
      <c r="BB8" s="107"/>
      <c r="BC8" s="107">
        <v>24500000</v>
      </c>
      <c r="BD8" s="107"/>
      <c r="BE8" s="107"/>
      <c r="BF8" s="41">
        <f>SUM(BG8:BM8)</f>
        <v>17023800</v>
      </c>
      <c r="BG8" s="41"/>
      <c r="BH8" s="41"/>
      <c r="BI8" s="41"/>
      <c r="BJ8" s="41"/>
      <c r="BK8" s="243">
        <v>11985700</v>
      </c>
      <c r="BL8" s="41">
        <v>4861000</v>
      </c>
      <c r="BM8" s="41">
        <v>177100</v>
      </c>
      <c r="BN8" s="88">
        <f>BO8</f>
        <v>102000</v>
      </c>
      <c r="BO8" s="17">
        <f>BP8+BQ8</f>
        <v>102000</v>
      </c>
      <c r="BP8" s="30">
        <v>102000</v>
      </c>
      <c r="BQ8" s="30"/>
      <c r="BR8" s="212">
        <f>BS8</f>
        <v>0</v>
      </c>
      <c r="BS8" s="29">
        <v>0</v>
      </c>
      <c r="BT8" s="304">
        <f>BU8</f>
        <v>0</v>
      </c>
      <c r="BU8" s="29"/>
      <c r="BV8" s="314">
        <f>BW8</f>
        <v>0</v>
      </c>
      <c r="BW8" s="29"/>
      <c r="BX8" s="32"/>
      <c r="BY8" s="68"/>
      <c r="BZ8" s="62">
        <f>CC8+CI8+CK8+CA8</f>
        <v>14402900</v>
      </c>
      <c r="CA8" s="17">
        <f>CB8</f>
        <v>9050200</v>
      </c>
      <c r="CB8" s="340">
        <v>9050200</v>
      </c>
      <c r="CC8" s="103">
        <f>CD8+CE8+CH8</f>
        <v>5343500</v>
      </c>
      <c r="CD8" s="103">
        <v>700000</v>
      </c>
      <c r="CE8" s="14">
        <f>CF8+CG8</f>
        <v>4643500</v>
      </c>
      <c r="CF8" s="31">
        <v>1189500</v>
      </c>
      <c r="CG8" s="14">
        <v>3454000</v>
      </c>
      <c r="CH8" s="14"/>
      <c r="CI8" s="14">
        <f>CJ8</f>
        <v>9200</v>
      </c>
      <c r="CJ8" s="31">
        <v>9200</v>
      </c>
      <c r="CK8" s="14">
        <f>CL8+CM8</f>
        <v>0</v>
      </c>
      <c r="CL8" s="29">
        <v>0</v>
      </c>
      <c r="CM8" s="30">
        <v>0</v>
      </c>
      <c r="CN8" s="65">
        <f>CO8+CQ8+CU8+DC8+DE8+DI8+DN8+DS8+DU8+DW8+DZ8+EC8+EF8+EK8+EO8</f>
        <v>35473750</v>
      </c>
      <c r="CO8" s="17">
        <f>CP8</f>
        <v>0</v>
      </c>
      <c r="CP8" s="17"/>
      <c r="CQ8" s="17">
        <f>CR8+CS8+CT8</f>
        <v>3438600</v>
      </c>
      <c r="CR8" s="17"/>
      <c r="CS8" s="17">
        <v>3437071.9</v>
      </c>
      <c r="CT8" s="17">
        <v>1528.1</v>
      </c>
      <c r="CU8" s="17">
        <f>SUM(CV8:DB8)</f>
        <v>19523400</v>
      </c>
      <c r="CV8" s="17"/>
      <c r="CW8" s="17">
        <v>5949500</v>
      </c>
      <c r="CX8" s="283">
        <v>5066700</v>
      </c>
      <c r="CY8" s="14">
        <v>8507200</v>
      </c>
      <c r="CZ8" s="14">
        <v>0</v>
      </c>
      <c r="DA8" s="14">
        <v>0</v>
      </c>
      <c r="DB8" s="14"/>
      <c r="DC8" s="14">
        <f t="shared" si="1"/>
        <v>0</v>
      </c>
      <c r="DD8" s="14"/>
      <c r="DE8" s="103">
        <f t="shared" si="0"/>
        <v>0</v>
      </c>
      <c r="DF8" s="17"/>
      <c r="DG8" s="17"/>
      <c r="DH8" s="17"/>
      <c r="DI8" s="17">
        <f t="shared" si="2"/>
        <v>12298000</v>
      </c>
      <c r="DJ8" s="17"/>
      <c r="DK8" s="17">
        <v>12298000</v>
      </c>
      <c r="DL8" s="17"/>
      <c r="DM8" s="17"/>
      <c r="DN8" s="17">
        <f t="shared" si="3"/>
        <v>0</v>
      </c>
      <c r="DO8" s="17"/>
      <c r="DP8" s="17">
        <v>0</v>
      </c>
      <c r="DQ8" s="17">
        <v>0</v>
      </c>
      <c r="DR8" s="17"/>
      <c r="DS8" s="17"/>
      <c r="DT8" s="17"/>
      <c r="DU8" s="17"/>
      <c r="DV8" s="17"/>
      <c r="DW8" s="17"/>
      <c r="DX8" s="17"/>
      <c r="DY8" s="17"/>
      <c r="DZ8" s="17">
        <f t="shared" si="4"/>
        <v>0</v>
      </c>
      <c r="EA8" s="17"/>
      <c r="EB8" s="17"/>
      <c r="EC8" s="17"/>
      <c r="ED8" s="17"/>
      <c r="EE8" s="17"/>
      <c r="EF8" s="17">
        <f t="shared" si="5"/>
        <v>213750</v>
      </c>
      <c r="EG8" s="17">
        <v>128250</v>
      </c>
      <c r="EH8" s="17">
        <v>85500</v>
      </c>
      <c r="EI8" s="17"/>
      <c r="EJ8" s="17"/>
      <c r="EK8" s="17">
        <f t="shared" si="6"/>
        <v>0</v>
      </c>
      <c r="EL8" s="17"/>
      <c r="EM8" s="17"/>
      <c r="EN8" s="17"/>
      <c r="EO8" s="3">
        <f t="shared" si="7"/>
        <v>0</v>
      </c>
      <c r="EP8" s="107">
        <v>0</v>
      </c>
      <c r="EQ8" s="79">
        <f t="shared" si="8"/>
        <v>0</v>
      </c>
      <c r="ER8" s="103"/>
      <c r="ES8" s="81">
        <f t="shared" si="9"/>
        <v>0</v>
      </c>
      <c r="ET8" s="17"/>
      <c r="EU8" s="103"/>
      <c r="EV8" s="4">
        <f>C8++BN8+BR8+BT8+BV8+BX8+BY8+BZ8+CN8+EQ8+ES8</f>
        <v>308185685</v>
      </c>
      <c r="EW8" s="23">
        <f>'Ут.План на 01.09.2013'!C9-EV8</f>
        <v>0</v>
      </c>
    </row>
    <row r="9" spans="1:254" x14ac:dyDescent="0.25">
      <c r="A9" s="144">
        <v>5</v>
      </c>
      <c r="B9" s="1" t="s">
        <v>64</v>
      </c>
      <c r="C9" s="22">
        <f>D9+O9+S9+V9+AM9+AW9+Q9</f>
        <v>385261522</v>
      </c>
      <c r="D9" s="2">
        <f>E9+M9</f>
        <v>1204900</v>
      </c>
      <c r="E9" s="77">
        <f>SUM(F9:L9)</f>
        <v>1204000</v>
      </c>
      <c r="F9" s="41">
        <v>342300</v>
      </c>
      <c r="G9" s="41">
        <f>22800+14400</f>
        <v>37200</v>
      </c>
      <c r="H9" s="17"/>
      <c r="I9" s="17"/>
      <c r="J9" s="41">
        <v>755400</v>
      </c>
      <c r="K9" s="17"/>
      <c r="L9" s="41">
        <v>69100</v>
      </c>
      <c r="M9" s="17">
        <f>SUM(N9)</f>
        <v>900</v>
      </c>
      <c r="N9" s="41">
        <v>900</v>
      </c>
      <c r="O9" s="17">
        <f>P9</f>
        <v>1655000</v>
      </c>
      <c r="P9" s="41">
        <v>1655000</v>
      </c>
      <c r="Q9" s="41">
        <f>R9</f>
        <v>0</v>
      </c>
      <c r="R9" s="41"/>
      <c r="S9" s="17">
        <f>T9</f>
        <v>2498702</v>
      </c>
      <c r="T9" s="41">
        <f>5350700-2851998</f>
        <v>2498702</v>
      </c>
      <c r="U9" s="41"/>
      <c r="V9" s="17">
        <f>W9+AA9+AF9+AH9</f>
        <v>273343700</v>
      </c>
      <c r="W9" s="17">
        <f>X9+Y9+Z9</f>
        <v>2712400</v>
      </c>
      <c r="X9" s="41">
        <v>2257000</v>
      </c>
      <c r="Y9" s="41">
        <f>25400+30000</f>
        <v>55400</v>
      </c>
      <c r="Z9" s="41">
        <v>400000</v>
      </c>
      <c r="AA9" s="17">
        <f>SUM(AB9:AE9)</f>
        <v>263299900</v>
      </c>
      <c r="AB9" s="17">
        <v>1462700</v>
      </c>
      <c r="AC9" s="41">
        <v>253783200</v>
      </c>
      <c r="AD9" s="41">
        <v>6804000</v>
      </c>
      <c r="AE9" s="41">
        <v>1250000</v>
      </c>
      <c r="AF9" s="17">
        <f>SUM(AG9)</f>
        <v>3410400</v>
      </c>
      <c r="AG9" s="239">
        <f>3528000-117600</f>
        <v>3410400</v>
      </c>
      <c r="AH9" s="41">
        <f>SUM(AI9:AL9)</f>
        <v>3921000</v>
      </c>
      <c r="AI9" s="41">
        <v>174500</v>
      </c>
      <c r="AJ9" s="41">
        <v>3514300</v>
      </c>
      <c r="AK9" s="41">
        <v>227600</v>
      </c>
      <c r="AL9" s="41">
        <v>4600</v>
      </c>
      <c r="AM9" s="41">
        <f>AN9+AU9</f>
        <v>24612600</v>
      </c>
      <c r="AN9" s="41">
        <f>SUM(AO9:AT9)</f>
        <v>24612600</v>
      </c>
      <c r="AO9" s="41">
        <f>7985800-2500000</f>
        <v>5485800</v>
      </c>
      <c r="AP9" s="41">
        <v>18140400</v>
      </c>
      <c r="AQ9" s="41">
        <v>30000</v>
      </c>
      <c r="AR9" s="41">
        <v>8000</v>
      </c>
      <c r="AS9" s="17">
        <f>466200-50000+80000</f>
        <v>496200</v>
      </c>
      <c r="AT9" s="17">
        <f>492200-40000</f>
        <v>452200</v>
      </c>
      <c r="AU9" s="17"/>
      <c r="AV9" s="17"/>
      <c r="AW9" s="17">
        <f>AX9+BA9+BF9</f>
        <v>81946620</v>
      </c>
      <c r="AX9" s="107">
        <f>SUM(AY9:AZ9)</f>
        <v>47484000</v>
      </c>
      <c r="AY9" s="107"/>
      <c r="AZ9" s="41">
        <v>47484000</v>
      </c>
      <c r="BA9" s="107">
        <f>SUM(BB9:BC9)</f>
        <v>3000000</v>
      </c>
      <c r="BB9" s="107"/>
      <c r="BC9" s="107">
        <v>3000000</v>
      </c>
      <c r="BD9" s="107"/>
      <c r="BE9" s="107"/>
      <c r="BF9" s="41">
        <f>SUM(BG9:BM9)</f>
        <v>31462620</v>
      </c>
      <c r="BG9" s="41"/>
      <c r="BH9" s="41">
        <v>224920</v>
      </c>
      <c r="BI9" s="41"/>
      <c r="BJ9" s="41"/>
      <c r="BK9" s="243">
        <v>18579700</v>
      </c>
      <c r="BL9" s="41">
        <v>12357000</v>
      </c>
      <c r="BM9" s="41">
        <v>301000</v>
      </c>
      <c r="BN9" s="88">
        <f>BO9</f>
        <v>89000</v>
      </c>
      <c r="BO9" s="17">
        <f>BP9+BQ9</f>
        <v>89000</v>
      </c>
      <c r="BP9" s="30">
        <v>89000</v>
      </c>
      <c r="BQ9" s="30"/>
      <c r="BR9" s="212">
        <f>BS9</f>
        <v>0</v>
      </c>
      <c r="BS9" s="29">
        <v>0</v>
      </c>
      <c r="BT9" s="304">
        <f>BU9</f>
        <v>0</v>
      </c>
      <c r="BU9" s="29"/>
      <c r="BV9" s="314">
        <f>BW9</f>
        <v>0</v>
      </c>
      <c r="BW9" s="29"/>
      <c r="BX9" s="32"/>
      <c r="BY9" s="68"/>
      <c r="BZ9" s="62">
        <f>CC9+CI9+CK9+CA9</f>
        <v>27536700</v>
      </c>
      <c r="CA9" s="17">
        <f>CB9</f>
        <v>11160000</v>
      </c>
      <c r="CB9" s="340">
        <v>11160000</v>
      </c>
      <c r="CC9" s="103">
        <f>CD9+CE9+CH9</f>
        <v>16357800</v>
      </c>
      <c r="CD9" s="103">
        <v>5800000</v>
      </c>
      <c r="CE9" s="14">
        <f>CF9+CG9</f>
        <v>9557800</v>
      </c>
      <c r="CF9" s="31">
        <v>2448800</v>
      </c>
      <c r="CG9" s="14">
        <v>7109000</v>
      </c>
      <c r="CH9" s="14">
        <v>1000000</v>
      </c>
      <c r="CI9" s="14">
        <f>CJ9</f>
        <v>18900</v>
      </c>
      <c r="CJ9" s="31">
        <v>18900</v>
      </c>
      <c r="CK9" s="14">
        <f>CL9+CM9</f>
        <v>0</v>
      </c>
      <c r="CL9" s="29">
        <v>0</v>
      </c>
      <c r="CM9" s="30">
        <v>0</v>
      </c>
      <c r="CN9" s="65">
        <f>CO9+CQ9+CU9+DC9+DE9+DI9+DN9+DS9+DU9+DW9+DZ9+EC9+EF9+EK9+EO9</f>
        <v>65902477.600000001</v>
      </c>
      <c r="CO9" s="17">
        <f>CP9</f>
        <v>0</v>
      </c>
      <c r="CP9" s="17"/>
      <c r="CQ9" s="17">
        <f>CR9+CS9+CT9</f>
        <v>2851977.6</v>
      </c>
      <c r="CR9" s="17"/>
      <c r="CS9" s="17">
        <v>2849275</v>
      </c>
      <c r="CT9" s="17">
        <v>2702.6</v>
      </c>
      <c r="CU9" s="17">
        <f>SUM(CV9:DB9)</f>
        <v>46593500</v>
      </c>
      <c r="CV9" s="17"/>
      <c r="CW9" s="17">
        <v>9340900</v>
      </c>
      <c r="CX9" s="283">
        <v>22902200</v>
      </c>
      <c r="CY9" s="14">
        <v>14350400</v>
      </c>
      <c r="CZ9" s="14">
        <v>0</v>
      </c>
      <c r="DA9" s="14">
        <v>0</v>
      </c>
      <c r="DB9" s="14"/>
      <c r="DC9" s="14">
        <f t="shared" si="1"/>
        <v>0</v>
      </c>
      <c r="DD9" s="14"/>
      <c r="DE9" s="103">
        <f t="shared" si="0"/>
        <v>0</v>
      </c>
      <c r="DF9" s="17"/>
      <c r="DG9" s="17"/>
      <c r="DH9" s="17"/>
      <c r="DI9" s="17">
        <f t="shared" si="2"/>
        <v>16416000</v>
      </c>
      <c r="DJ9" s="17"/>
      <c r="DK9" s="17">
        <v>16416000</v>
      </c>
      <c r="DL9" s="17"/>
      <c r="DM9" s="17"/>
      <c r="DN9" s="17">
        <f t="shared" si="3"/>
        <v>41000</v>
      </c>
      <c r="DO9" s="17"/>
      <c r="DP9" s="17">
        <v>0</v>
      </c>
      <c r="DQ9" s="17">
        <v>41000</v>
      </c>
      <c r="DR9" s="17"/>
      <c r="DS9" s="17"/>
      <c r="DT9" s="17"/>
      <c r="DU9" s="17"/>
      <c r="DV9" s="17"/>
      <c r="DW9" s="17"/>
      <c r="DX9" s="17"/>
      <c r="DY9" s="17"/>
      <c r="DZ9" s="17">
        <f t="shared" si="4"/>
        <v>0</v>
      </c>
      <c r="EA9" s="17"/>
      <c r="EB9" s="17"/>
      <c r="EC9" s="17"/>
      <c r="ED9" s="17"/>
      <c r="EE9" s="17"/>
      <c r="EF9" s="17">
        <f t="shared" si="5"/>
        <v>0</v>
      </c>
      <c r="EG9" s="17">
        <v>0</v>
      </c>
      <c r="EH9" s="17">
        <v>0</v>
      </c>
      <c r="EI9" s="17"/>
      <c r="EJ9" s="17"/>
      <c r="EK9" s="17">
        <f t="shared" si="6"/>
        <v>0</v>
      </c>
      <c r="EL9" s="17"/>
      <c r="EM9" s="17"/>
      <c r="EN9" s="17"/>
      <c r="EO9" s="3">
        <f t="shared" si="7"/>
        <v>0</v>
      </c>
      <c r="EP9" s="107">
        <v>0</v>
      </c>
      <c r="EQ9" s="79">
        <f t="shared" si="8"/>
        <v>0</v>
      </c>
      <c r="ER9" s="103"/>
      <c r="ES9" s="81">
        <f t="shared" si="9"/>
        <v>0</v>
      </c>
      <c r="ET9" s="17"/>
      <c r="EU9" s="103"/>
      <c r="EV9" s="4">
        <f>C9++BN9+BR9+BT9+BV9+BX9+BY9+BZ9+CN9+EQ9+ES9</f>
        <v>478789699.60000002</v>
      </c>
      <c r="EW9" s="23">
        <f>'Ут.План на 01.09.2013'!C10-EV9</f>
        <v>0</v>
      </c>
    </row>
    <row r="10" spans="1:254" x14ac:dyDescent="0.25">
      <c r="A10" s="144">
        <v>6</v>
      </c>
      <c r="B10" s="1" t="s">
        <v>65</v>
      </c>
      <c r="C10" s="22">
        <f>D10+O10+S10+V10+AM10+AW10+Q10</f>
        <v>119551700</v>
      </c>
      <c r="D10" s="2">
        <f>E10+M10</f>
        <v>559400</v>
      </c>
      <c r="E10" s="77">
        <f>SUM(F10:L10)</f>
        <v>558900</v>
      </c>
      <c r="F10" s="41">
        <v>153200</v>
      </c>
      <c r="G10" s="41">
        <v>4200</v>
      </c>
      <c r="H10" s="17"/>
      <c r="I10" s="17"/>
      <c r="J10" s="41">
        <v>341100</v>
      </c>
      <c r="K10" s="17">
        <v>22000</v>
      </c>
      <c r="L10" s="41">
        <v>38400</v>
      </c>
      <c r="M10" s="17">
        <f>SUM(N10)</f>
        <v>500</v>
      </c>
      <c r="N10" s="41">
        <v>500</v>
      </c>
      <c r="O10" s="17">
        <f>P10</f>
        <v>682100</v>
      </c>
      <c r="P10" s="41">
        <v>682100</v>
      </c>
      <c r="Q10" s="41">
        <f>R10</f>
        <v>0</v>
      </c>
      <c r="R10" s="41"/>
      <c r="S10" s="17">
        <f>T10</f>
        <v>0</v>
      </c>
      <c r="T10" s="41">
        <f>10000-10000</f>
        <v>0</v>
      </c>
      <c r="U10" s="41"/>
      <c r="V10" s="17">
        <f>W10+AA10+AF10+AH10</f>
        <v>83764400</v>
      </c>
      <c r="W10" s="17">
        <f>X10+Y10+Z10</f>
        <v>0</v>
      </c>
      <c r="X10" s="34"/>
      <c r="Y10" s="34"/>
      <c r="Z10" s="34"/>
      <c r="AA10" s="17">
        <f>SUM(AB10:AE10)</f>
        <v>81211800</v>
      </c>
      <c r="AB10" s="17"/>
      <c r="AC10" s="41">
        <v>78439800</v>
      </c>
      <c r="AD10" s="41">
        <v>2772000</v>
      </c>
      <c r="AE10" s="41"/>
      <c r="AF10" s="17">
        <f>SUM(AG10)</f>
        <v>1646400</v>
      </c>
      <c r="AG10" s="239">
        <f>1693400-47000</f>
        <v>1646400</v>
      </c>
      <c r="AH10" s="41">
        <f>SUM(AI10:AL10)</f>
        <v>906200</v>
      </c>
      <c r="AI10" s="41">
        <v>46400</v>
      </c>
      <c r="AJ10" s="41">
        <v>781000</v>
      </c>
      <c r="AK10" s="41">
        <v>78800</v>
      </c>
      <c r="AL10" s="34"/>
      <c r="AM10" s="41">
        <f>AN10+AU10</f>
        <v>3354700</v>
      </c>
      <c r="AN10" s="41">
        <f>SUM(AO10:AT10)</f>
        <v>3354700</v>
      </c>
      <c r="AO10" s="41">
        <v>987100</v>
      </c>
      <c r="AP10" s="41">
        <v>2367600</v>
      </c>
      <c r="AQ10" s="41"/>
      <c r="AR10" s="17"/>
      <c r="AS10" s="17"/>
      <c r="AT10" s="17"/>
      <c r="AU10" s="17"/>
      <c r="AV10" s="17"/>
      <c r="AW10" s="17">
        <f>AX10+BA10+BF10</f>
        <v>31191100</v>
      </c>
      <c r="AX10" s="107">
        <f>SUM(AY10:AZ10)</f>
        <v>23334000</v>
      </c>
      <c r="AY10" s="107"/>
      <c r="AZ10" s="41">
        <v>23334000</v>
      </c>
      <c r="BA10" s="107">
        <f>SUM(BB10:BC10)</f>
        <v>0</v>
      </c>
      <c r="BB10" s="107"/>
      <c r="BC10" s="107"/>
      <c r="BD10" s="107"/>
      <c r="BE10" s="107"/>
      <c r="BF10" s="41">
        <f>SUM(BG10:BM10)</f>
        <v>7857100</v>
      </c>
      <c r="BG10" s="41"/>
      <c r="BH10" s="41"/>
      <c r="BI10" s="41"/>
      <c r="BJ10" s="41"/>
      <c r="BK10" s="243">
        <v>5407800</v>
      </c>
      <c r="BL10" s="41">
        <v>2290000</v>
      </c>
      <c r="BM10" s="41">
        <v>159300</v>
      </c>
      <c r="BN10" s="88">
        <f>BO10</f>
        <v>70000</v>
      </c>
      <c r="BO10" s="17">
        <f>BP10+BQ10</f>
        <v>70000</v>
      </c>
      <c r="BP10" s="30">
        <v>70000</v>
      </c>
      <c r="BQ10" s="30"/>
      <c r="BR10" s="212">
        <f>BS10</f>
        <v>0</v>
      </c>
      <c r="BS10" s="29">
        <v>0</v>
      </c>
      <c r="BT10" s="304">
        <f>BU10</f>
        <v>0</v>
      </c>
      <c r="BU10" s="29"/>
      <c r="BV10" s="314">
        <f>BW10</f>
        <v>0</v>
      </c>
      <c r="BW10" s="29"/>
      <c r="BX10" s="32"/>
      <c r="BY10" s="68"/>
      <c r="BZ10" s="62">
        <f>CC10+CI10+CK10+CA10</f>
        <v>43426500</v>
      </c>
      <c r="CA10" s="17">
        <f>CB10</f>
        <v>40300000</v>
      </c>
      <c r="CB10" s="340">
        <v>40300000</v>
      </c>
      <c r="CC10" s="103">
        <f>CD10+CE10+CH10</f>
        <v>3121100</v>
      </c>
      <c r="CD10" s="103">
        <v>500000</v>
      </c>
      <c r="CE10" s="14">
        <f>CF10+CG10</f>
        <v>2621100</v>
      </c>
      <c r="CF10" s="31">
        <f>697100-100000</f>
        <v>597100</v>
      </c>
      <c r="CG10" s="14">
        <v>2024000</v>
      </c>
      <c r="CH10" s="14"/>
      <c r="CI10" s="14">
        <f>CJ10</f>
        <v>5400</v>
      </c>
      <c r="CJ10" s="31">
        <v>5400</v>
      </c>
      <c r="CK10" s="14">
        <f>CL10+CM10</f>
        <v>0</v>
      </c>
      <c r="CL10" s="29">
        <v>0</v>
      </c>
      <c r="CM10" s="30">
        <v>0</v>
      </c>
      <c r="CN10" s="65">
        <f>CO10+CQ10+CU10+DC10+DE10+DI10+DN10+DS10+DU10+DW10+DZ10+EC10+EF10+EK10+EO10</f>
        <v>13929100</v>
      </c>
      <c r="CO10" s="17">
        <f>CP10</f>
        <v>0</v>
      </c>
      <c r="CP10" s="17"/>
      <c r="CQ10" s="17">
        <f>CR10+CS10+CT10</f>
        <v>10000</v>
      </c>
      <c r="CR10" s="17"/>
      <c r="CS10" s="17">
        <v>10000</v>
      </c>
      <c r="CT10" s="17"/>
      <c r="CU10" s="17">
        <f>SUM(CV10:DB10)</f>
        <v>12629100</v>
      </c>
      <c r="CV10" s="17"/>
      <c r="CW10" s="17">
        <v>3181700</v>
      </c>
      <c r="CX10" s="283">
        <v>1163000</v>
      </c>
      <c r="CY10" s="14">
        <v>4484400</v>
      </c>
      <c r="CZ10" s="14">
        <v>3800000</v>
      </c>
      <c r="DA10" s="14">
        <v>0</v>
      </c>
      <c r="DB10" s="14"/>
      <c r="DC10" s="14">
        <f t="shared" si="1"/>
        <v>0</v>
      </c>
      <c r="DD10" s="14"/>
      <c r="DE10" s="103">
        <f t="shared" si="0"/>
        <v>0</v>
      </c>
      <c r="DF10" s="17"/>
      <c r="DG10" s="17"/>
      <c r="DH10" s="17"/>
      <c r="DI10" s="17">
        <f t="shared" si="2"/>
        <v>1290000</v>
      </c>
      <c r="DJ10" s="17"/>
      <c r="DK10" s="17">
        <v>1290000</v>
      </c>
      <c r="DL10" s="17"/>
      <c r="DM10" s="17"/>
      <c r="DN10" s="17">
        <f t="shared" si="3"/>
        <v>0</v>
      </c>
      <c r="DO10" s="17"/>
      <c r="DP10" s="17">
        <v>0</v>
      </c>
      <c r="DQ10" s="17">
        <v>0</v>
      </c>
      <c r="DR10" s="17"/>
      <c r="DS10" s="17"/>
      <c r="DT10" s="17"/>
      <c r="DU10" s="17"/>
      <c r="DV10" s="17"/>
      <c r="DW10" s="17"/>
      <c r="DX10" s="17"/>
      <c r="DY10" s="17"/>
      <c r="DZ10" s="17">
        <f t="shared" si="4"/>
        <v>0</v>
      </c>
      <c r="EA10" s="17"/>
      <c r="EB10" s="17"/>
      <c r="EC10" s="17"/>
      <c r="ED10" s="17"/>
      <c r="EE10" s="17"/>
      <c r="EF10" s="17">
        <f t="shared" si="5"/>
        <v>0</v>
      </c>
      <c r="EG10" s="17">
        <v>0</v>
      </c>
      <c r="EH10" s="17">
        <v>0</v>
      </c>
      <c r="EI10" s="17"/>
      <c r="EJ10" s="17"/>
      <c r="EK10" s="17">
        <f t="shared" si="6"/>
        <v>0</v>
      </c>
      <c r="EL10" s="17"/>
      <c r="EM10" s="17"/>
      <c r="EN10" s="17"/>
      <c r="EO10" s="3">
        <f t="shared" si="7"/>
        <v>0</v>
      </c>
      <c r="EP10" s="107">
        <v>0</v>
      </c>
      <c r="EQ10" s="79">
        <f t="shared" si="8"/>
        <v>0</v>
      </c>
      <c r="ER10" s="103"/>
      <c r="ES10" s="81">
        <f t="shared" si="9"/>
        <v>2155191</v>
      </c>
      <c r="ET10" s="17">
        <v>2155191</v>
      </c>
      <c r="EU10" s="103"/>
      <c r="EV10" s="4">
        <f>C10++BN10+BR10+BT10+BV10+BX10+BY10+BZ10+CN10+EQ10+ES10</f>
        <v>179132491</v>
      </c>
      <c r="EW10" s="23">
        <f>'Ут.План на 01.09.2013'!C11-EV10</f>
        <v>0</v>
      </c>
    </row>
    <row r="11" spans="1:254" x14ac:dyDescent="0.25">
      <c r="A11" s="144">
        <v>7</v>
      </c>
      <c r="B11" s="1" t="s">
        <v>66</v>
      </c>
      <c r="C11" s="22">
        <f>D11+O11+S11+V11+AM11+AW11+Q11</f>
        <v>342438400</v>
      </c>
      <c r="D11" s="2">
        <f>E11+M11</f>
        <v>589400</v>
      </c>
      <c r="E11" s="77">
        <f>SUM(F11:L11)</f>
        <v>588900</v>
      </c>
      <c r="F11" s="41">
        <v>162200</v>
      </c>
      <c r="G11" s="41">
        <v>6900</v>
      </c>
      <c r="H11" s="17"/>
      <c r="I11" s="17"/>
      <c r="J11" s="41">
        <v>377600</v>
      </c>
      <c r="K11" s="17"/>
      <c r="L11" s="41">
        <v>42200</v>
      </c>
      <c r="M11" s="17">
        <f>SUM(N11)</f>
        <v>500</v>
      </c>
      <c r="N11" s="41">
        <v>500</v>
      </c>
      <c r="O11" s="17">
        <f>P11</f>
        <v>982200</v>
      </c>
      <c r="P11" s="41">
        <v>982200</v>
      </c>
      <c r="Q11" s="41">
        <f>R11</f>
        <v>0</v>
      </c>
      <c r="R11" s="41"/>
      <c r="S11" s="17">
        <f>T11</f>
        <v>0</v>
      </c>
      <c r="T11" s="41">
        <f>280900-280900</f>
        <v>0</v>
      </c>
      <c r="U11" s="41"/>
      <c r="V11" s="17">
        <f>W11+AA11+AF11+AH11</f>
        <v>139915200</v>
      </c>
      <c r="W11" s="17">
        <f>X11+Y11+Z11</f>
        <v>15100</v>
      </c>
      <c r="X11" s="34"/>
      <c r="Y11" s="41">
        <v>15100</v>
      </c>
      <c r="Z11" s="41"/>
      <c r="AA11" s="17">
        <f>SUM(AB11:AE11)</f>
        <v>134770600</v>
      </c>
      <c r="AB11" s="17"/>
      <c r="AC11" s="41">
        <v>129982600</v>
      </c>
      <c r="AD11" s="41">
        <v>4788000</v>
      </c>
      <c r="AE11" s="41"/>
      <c r="AF11" s="17">
        <f>SUM(AG11)</f>
        <v>3722800</v>
      </c>
      <c r="AG11" s="239">
        <f>3185900+536900</f>
        <v>3722800</v>
      </c>
      <c r="AH11" s="41">
        <f>SUM(AI11:AL11)</f>
        <v>1406700</v>
      </c>
      <c r="AI11" s="41">
        <v>93000</v>
      </c>
      <c r="AJ11" s="41">
        <v>1171400</v>
      </c>
      <c r="AK11" s="41">
        <v>131300</v>
      </c>
      <c r="AL11" s="41">
        <v>11000</v>
      </c>
      <c r="AM11" s="41">
        <f>AN11+AU11</f>
        <v>17769500</v>
      </c>
      <c r="AN11" s="41">
        <f>SUM(AO11:AT11)</f>
        <v>17769500</v>
      </c>
      <c r="AO11" s="41">
        <v>2359600</v>
      </c>
      <c r="AP11" s="41">
        <v>15163900</v>
      </c>
      <c r="AQ11" s="41"/>
      <c r="AR11" s="41">
        <v>46200</v>
      </c>
      <c r="AS11" s="17">
        <v>199800</v>
      </c>
      <c r="AT11" s="17"/>
      <c r="AU11" s="17"/>
      <c r="AV11" s="17"/>
      <c r="AW11" s="17">
        <f>AX11+BA11+BF11</f>
        <v>183182100</v>
      </c>
      <c r="AX11" s="107">
        <f>SUM(AY11:AZ11)</f>
        <v>153907000</v>
      </c>
      <c r="AY11" s="107"/>
      <c r="AZ11" s="41">
        <v>153907000</v>
      </c>
      <c r="BA11" s="107">
        <f>SUM(BB11:BC11)</f>
        <v>12002300</v>
      </c>
      <c r="BB11" s="107"/>
      <c r="BC11" s="107">
        <v>12002300</v>
      </c>
      <c r="BD11" s="107"/>
      <c r="BE11" s="107"/>
      <c r="BF11" s="41">
        <f>SUM(BG11:BM11)</f>
        <v>17272800</v>
      </c>
      <c r="BG11" s="41"/>
      <c r="BH11" s="41">
        <v>1125800</v>
      </c>
      <c r="BI11" s="41"/>
      <c r="BJ11" s="41"/>
      <c r="BK11" s="243">
        <v>12257900</v>
      </c>
      <c r="BL11" s="41">
        <v>3712000</v>
      </c>
      <c r="BM11" s="41">
        <v>177100</v>
      </c>
      <c r="BN11" s="88">
        <f>BO11</f>
        <v>57000</v>
      </c>
      <c r="BO11" s="17">
        <f>BP11+BQ11</f>
        <v>57000</v>
      </c>
      <c r="BP11" s="30">
        <v>57000</v>
      </c>
      <c r="BQ11" s="30"/>
      <c r="BR11" s="212">
        <f>BS11</f>
        <v>0</v>
      </c>
      <c r="BS11" s="29">
        <v>0</v>
      </c>
      <c r="BT11" s="304">
        <f>BU11</f>
        <v>0</v>
      </c>
      <c r="BU11" s="29"/>
      <c r="BV11" s="314">
        <f>BW11</f>
        <v>0</v>
      </c>
      <c r="BW11" s="29"/>
      <c r="BX11" s="32"/>
      <c r="BY11" s="68"/>
      <c r="BZ11" s="62">
        <f>CC11+CI11+CK11+CA11</f>
        <v>19741900</v>
      </c>
      <c r="CA11" s="17">
        <f>CB11</f>
        <v>14000000</v>
      </c>
      <c r="CB11" s="340">
        <v>14000000</v>
      </c>
      <c r="CC11" s="103">
        <f>CD11+CE11+CH11</f>
        <v>5733500</v>
      </c>
      <c r="CD11" s="103">
        <v>1500000</v>
      </c>
      <c r="CE11" s="14">
        <f>CF11+CG11</f>
        <v>4233500</v>
      </c>
      <c r="CF11" s="31">
        <v>1084500</v>
      </c>
      <c r="CG11" s="14">
        <v>3149000</v>
      </c>
      <c r="CH11" s="14"/>
      <c r="CI11" s="14">
        <f>CJ11</f>
        <v>8400</v>
      </c>
      <c r="CJ11" s="31">
        <v>8400</v>
      </c>
      <c r="CK11" s="14">
        <f>CL11+CM11</f>
        <v>0</v>
      </c>
      <c r="CL11" s="29">
        <v>0</v>
      </c>
      <c r="CM11" s="30">
        <v>0</v>
      </c>
      <c r="CN11" s="65">
        <f>CO11+CQ11+CU11+DC11+DE11+DI11+DN11+DS11+DU11+DW11+DZ11+EC11+EF11+EK11+EO11</f>
        <v>17375300</v>
      </c>
      <c r="CO11" s="17">
        <f>CP11</f>
        <v>0</v>
      </c>
      <c r="CP11" s="17"/>
      <c r="CQ11" s="17">
        <f>CR11+CS11+CT11</f>
        <v>280900</v>
      </c>
      <c r="CR11" s="17"/>
      <c r="CS11" s="17">
        <v>280900</v>
      </c>
      <c r="CT11" s="17"/>
      <c r="CU11" s="17">
        <f>SUM(CV11:DB11)</f>
        <v>13932400</v>
      </c>
      <c r="CV11" s="17"/>
      <c r="CW11" s="17">
        <v>4392600</v>
      </c>
      <c r="CX11" s="283">
        <v>533000</v>
      </c>
      <c r="CY11" s="14">
        <v>6306800</v>
      </c>
      <c r="CZ11" s="14">
        <v>2700000</v>
      </c>
      <c r="DA11" s="296"/>
      <c r="DB11" s="296"/>
      <c r="DC11" s="14">
        <f t="shared" si="1"/>
        <v>0</v>
      </c>
      <c r="DD11" s="296"/>
      <c r="DE11" s="103">
        <f t="shared" si="0"/>
        <v>0</v>
      </c>
      <c r="DF11" s="17"/>
      <c r="DG11" s="17"/>
      <c r="DH11" s="17"/>
      <c r="DI11" s="17">
        <f t="shared" si="2"/>
        <v>2150000</v>
      </c>
      <c r="DJ11" s="17"/>
      <c r="DK11" s="17">
        <v>2150000</v>
      </c>
      <c r="DL11" s="17"/>
      <c r="DM11" s="17"/>
      <c r="DN11" s="17">
        <f t="shared" si="3"/>
        <v>12000</v>
      </c>
      <c r="DO11" s="17"/>
      <c r="DP11" s="17">
        <v>0</v>
      </c>
      <c r="DQ11" s="17">
        <v>12000</v>
      </c>
      <c r="DR11" s="17"/>
      <c r="DS11" s="17"/>
      <c r="DT11" s="17"/>
      <c r="DU11" s="17"/>
      <c r="DV11" s="17"/>
      <c r="DW11" s="17"/>
      <c r="DX11" s="17"/>
      <c r="DY11" s="17"/>
      <c r="DZ11" s="17">
        <f t="shared" si="4"/>
        <v>0</v>
      </c>
      <c r="EA11" s="17"/>
      <c r="EB11" s="17"/>
      <c r="EC11" s="17"/>
      <c r="ED11" s="17"/>
      <c r="EE11" s="17"/>
      <c r="EF11" s="17">
        <f t="shared" si="5"/>
        <v>0</v>
      </c>
      <c r="EG11" s="17">
        <v>0</v>
      </c>
      <c r="EH11" s="17">
        <v>0</v>
      </c>
      <c r="EI11" s="17"/>
      <c r="EJ11" s="17"/>
      <c r="EK11" s="17">
        <f t="shared" si="6"/>
        <v>1000000</v>
      </c>
      <c r="EL11" s="17">
        <v>1000000</v>
      </c>
      <c r="EM11" s="17"/>
      <c r="EN11" s="17"/>
      <c r="EO11" s="3">
        <f t="shared" si="7"/>
        <v>0</v>
      </c>
      <c r="EP11" s="107">
        <v>0</v>
      </c>
      <c r="EQ11" s="79">
        <f t="shared" si="8"/>
        <v>0</v>
      </c>
      <c r="ER11" s="103"/>
      <c r="ES11" s="81">
        <f t="shared" si="9"/>
        <v>0</v>
      </c>
      <c r="ET11" s="17"/>
      <c r="EU11" s="103"/>
      <c r="EV11" s="4">
        <f>C11++BN11+BR11+BT11+BV11+BX11+BY11+BZ11+CN11+EQ11+ES11</f>
        <v>379612600</v>
      </c>
      <c r="EW11" s="23">
        <f>'Ут.План на 01.09.2013'!C12-EV11</f>
        <v>0</v>
      </c>
    </row>
    <row r="12" spans="1:254" x14ac:dyDescent="0.25">
      <c r="A12" s="144">
        <v>8</v>
      </c>
      <c r="B12" s="1" t="s">
        <v>67</v>
      </c>
      <c r="C12" s="22">
        <f>D12+O12+S12+V12+AM12+AW12+Q12</f>
        <v>210356200</v>
      </c>
      <c r="D12" s="2">
        <f>E12+M12</f>
        <v>727900</v>
      </c>
      <c r="E12" s="77">
        <f>SUM(F12:L12)</f>
        <v>727500</v>
      </c>
      <c r="F12" s="41">
        <v>324200</v>
      </c>
      <c r="G12" s="41">
        <v>9400</v>
      </c>
      <c r="H12" s="17"/>
      <c r="I12" s="17"/>
      <c r="J12" s="41">
        <v>359300</v>
      </c>
      <c r="K12" s="17"/>
      <c r="L12" s="41">
        <v>34600</v>
      </c>
      <c r="M12" s="17">
        <f>SUM(N12)</f>
        <v>400</v>
      </c>
      <c r="N12" s="41">
        <v>400</v>
      </c>
      <c r="O12" s="17">
        <f>P12</f>
        <v>1315100</v>
      </c>
      <c r="P12" s="41">
        <v>1315100</v>
      </c>
      <c r="Q12" s="41">
        <f>R12</f>
        <v>0</v>
      </c>
      <c r="R12" s="41"/>
      <c r="S12" s="17">
        <f>T12</f>
        <v>0</v>
      </c>
      <c r="T12" s="41">
        <f>10000-10000</f>
        <v>0</v>
      </c>
      <c r="U12" s="41"/>
      <c r="V12" s="17">
        <f>W12+AA12+AF12+AH12</f>
        <v>153242400</v>
      </c>
      <c r="W12" s="17">
        <f>X12+Y12+Z12</f>
        <v>2831800</v>
      </c>
      <c r="X12" s="41">
        <v>2821300</v>
      </c>
      <c r="Y12" s="41">
        <v>10500</v>
      </c>
      <c r="Z12" s="41"/>
      <c r="AA12" s="17">
        <f>SUM(AB12:AE12)</f>
        <v>146671000</v>
      </c>
      <c r="AB12" s="17">
        <v>845100</v>
      </c>
      <c r="AC12" s="41">
        <v>143391600</v>
      </c>
      <c r="AD12" s="41">
        <v>2434300</v>
      </c>
      <c r="AE12" s="41"/>
      <c r="AF12" s="17">
        <f>SUM(AG12)</f>
        <v>2024400</v>
      </c>
      <c r="AG12" s="239">
        <f>2106700-82300</f>
        <v>2024400</v>
      </c>
      <c r="AH12" s="41">
        <f>SUM(AI12:AL12)</f>
        <v>1715200</v>
      </c>
      <c r="AI12" s="41">
        <v>81300</v>
      </c>
      <c r="AJ12" s="41">
        <v>1561900</v>
      </c>
      <c r="AK12" s="41">
        <v>70100</v>
      </c>
      <c r="AL12" s="41">
        <v>1900</v>
      </c>
      <c r="AM12" s="41">
        <f>AN12+AU12</f>
        <v>15392300</v>
      </c>
      <c r="AN12" s="41">
        <f>SUM(AO12:AT12)</f>
        <v>15392300</v>
      </c>
      <c r="AO12" s="41">
        <v>4030200</v>
      </c>
      <c r="AP12" s="41">
        <v>11218900</v>
      </c>
      <c r="AQ12" s="41"/>
      <c r="AR12" s="17">
        <v>10000</v>
      </c>
      <c r="AS12" s="17">
        <v>133200</v>
      </c>
      <c r="AT12" s="17"/>
      <c r="AU12" s="17"/>
      <c r="AV12" s="17"/>
      <c r="AW12" s="17">
        <f>AX12+BA12+BF12</f>
        <v>39678500</v>
      </c>
      <c r="AX12" s="107">
        <f>SUM(AY12:AZ12)</f>
        <v>20032000</v>
      </c>
      <c r="AY12" s="107"/>
      <c r="AZ12" s="41">
        <v>20032000</v>
      </c>
      <c r="BA12" s="107">
        <f>SUM(BB12:BC12)</f>
        <v>4800000</v>
      </c>
      <c r="BB12" s="107"/>
      <c r="BC12" s="107">
        <v>4800000</v>
      </c>
      <c r="BD12" s="107"/>
      <c r="BE12" s="107"/>
      <c r="BF12" s="41">
        <f>SUM(BG12:BM12)</f>
        <v>14846500</v>
      </c>
      <c r="BG12" s="41"/>
      <c r="BH12" s="41"/>
      <c r="BI12" s="41"/>
      <c r="BJ12" s="41"/>
      <c r="BK12" s="243">
        <v>9598800</v>
      </c>
      <c r="BL12" s="41">
        <v>5106000</v>
      </c>
      <c r="BM12" s="41">
        <v>141700</v>
      </c>
      <c r="BN12" s="88">
        <f>BO12</f>
        <v>0</v>
      </c>
      <c r="BO12" s="17">
        <f>BP12+BQ12</f>
        <v>0</v>
      </c>
      <c r="BP12" s="30"/>
      <c r="BQ12" s="30"/>
      <c r="BR12" s="212">
        <f>BS12</f>
        <v>190500</v>
      </c>
      <c r="BS12" s="29">
        <v>190500</v>
      </c>
      <c r="BT12" s="304">
        <f>BU12</f>
        <v>0</v>
      </c>
      <c r="BU12" s="29"/>
      <c r="BV12" s="314">
        <f>BW12</f>
        <v>0</v>
      </c>
      <c r="BW12" s="29"/>
      <c r="BX12" s="32"/>
      <c r="BY12" s="68"/>
      <c r="BZ12" s="62">
        <f>CC12+CI12+CK12+CA12</f>
        <v>10428800</v>
      </c>
      <c r="CA12" s="17">
        <f>CB12</f>
        <v>0</v>
      </c>
      <c r="CB12" s="340">
        <v>0</v>
      </c>
      <c r="CC12" s="103">
        <f>CD12+CE12+CH12</f>
        <v>10141200</v>
      </c>
      <c r="CD12" s="103">
        <v>5550000</v>
      </c>
      <c r="CE12" s="14">
        <f>CF12+CG12</f>
        <v>4591200</v>
      </c>
      <c r="CF12" s="31">
        <f>653200+250000</f>
        <v>903200</v>
      </c>
      <c r="CG12" s="14">
        <v>3688000</v>
      </c>
      <c r="CH12" s="14"/>
      <c r="CI12" s="14">
        <f>CJ12</f>
        <v>8400</v>
      </c>
      <c r="CJ12" s="31">
        <v>8400</v>
      </c>
      <c r="CK12" s="14">
        <f>CL12+CM12</f>
        <v>279200</v>
      </c>
      <c r="CL12" s="29">
        <v>278500</v>
      </c>
      <c r="CM12" s="30">
        <v>700</v>
      </c>
      <c r="CN12" s="65">
        <f>CO12+CQ12+CU12+DC12+DE12+DI12+DN12+DS12+DU12+DW12+DZ12+EC12+EF12+EK12+EO12</f>
        <v>55390029</v>
      </c>
      <c r="CO12" s="17">
        <f>CP12</f>
        <v>0</v>
      </c>
      <c r="CP12" s="17"/>
      <c r="CQ12" s="17">
        <f>CR12+CS12+CT12</f>
        <v>10000</v>
      </c>
      <c r="CR12" s="17"/>
      <c r="CS12" s="17">
        <v>10000</v>
      </c>
      <c r="CT12" s="17"/>
      <c r="CU12" s="17">
        <f>SUM(CV12:DB12)</f>
        <v>32849800</v>
      </c>
      <c r="CV12" s="17"/>
      <c r="CW12" s="17">
        <v>3971600</v>
      </c>
      <c r="CX12" s="283">
        <v>12807600</v>
      </c>
      <c r="CY12" s="14">
        <v>6070600</v>
      </c>
      <c r="CZ12" s="14">
        <v>0</v>
      </c>
      <c r="DA12" s="14">
        <v>10000000</v>
      </c>
      <c r="DB12" s="14"/>
      <c r="DC12" s="14">
        <f t="shared" si="1"/>
        <v>0</v>
      </c>
      <c r="DD12" s="14"/>
      <c r="DE12" s="103">
        <f t="shared" si="0"/>
        <v>0</v>
      </c>
      <c r="DF12" s="17"/>
      <c r="DG12" s="17"/>
      <c r="DH12" s="17"/>
      <c r="DI12" s="17">
        <f t="shared" si="2"/>
        <v>17530229</v>
      </c>
      <c r="DJ12" s="17"/>
      <c r="DK12" s="17">
        <v>17530229</v>
      </c>
      <c r="DL12" s="17"/>
      <c r="DM12" s="17"/>
      <c r="DN12" s="17">
        <f t="shared" si="3"/>
        <v>5000000</v>
      </c>
      <c r="DO12" s="17">
        <v>5000000</v>
      </c>
      <c r="DP12" s="17">
        <v>0</v>
      </c>
      <c r="DQ12" s="17">
        <v>0</v>
      </c>
      <c r="DR12" s="17"/>
      <c r="DS12" s="17"/>
      <c r="DT12" s="17"/>
      <c r="DU12" s="17"/>
      <c r="DV12" s="17"/>
      <c r="DW12" s="17"/>
      <c r="DX12" s="17"/>
      <c r="DY12" s="17"/>
      <c r="DZ12" s="17">
        <f t="shared" si="4"/>
        <v>0</v>
      </c>
      <c r="EA12" s="17"/>
      <c r="EB12" s="17"/>
      <c r="EC12" s="17"/>
      <c r="ED12" s="17"/>
      <c r="EE12" s="17"/>
      <c r="EF12" s="17">
        <f t="shared" si="5"/>
        <v>0</v>
      </c>
      <c r="EG12" s="17">
        <v>0</v>
      </c>
      <c r="EH12" s="17">
        <v>0</v>
      </c>
      <c r="EI12" s="17"/>
      <c r="EJ12" s="17"/>
      <c r="EK12" s="17">
        <f t="shared" si="6"/>
        <v>0</v>
      </c>
      <c r="EL12" s="17"/>
      <c r="EM12" s="17"/>
      <c r="EN12" s="17"/>
      <c r="EO12" s="3">
        <f t="shared" si="7"/>
        <v>0</v>
      </c>
      <c r="EP12" s="107">
        <v>0</v>
      </c>
      <c r="EQ12" s="79">
        <f t="shared" si="8"/>
        <v>0</v>
      </c>
      <c r="ER12" s="103"/>
      <c r="ES12" s="81">
        <f t="shared" si="9"/>
        <v>0</v>
      </c>
      <c r="ET12" s="17"/>
      <c r="EU12" s="103"/>
      <c r="EV12" s="4">
        <f>C12++BN12+BR12+BT12+BV12+BX12+BY12+BZ12+CN12+EQ12+ES12</f>
        <v>276365529</v>
      </c>
      <c r="EW12" s="23">
        <f>'Ут.План на 01.09.2013'!C13-EV12</f>
        <v>0</v>
      </c>
    </row>
    <row r="13" spans="1:254" x14ac:dyDescent="0.25">
      <c r="A13" s="144">
        <v>9</v>
      </c>
      <c r="B13" s="1" t="s">
        <v>68</v>
      </c>
      <c r="C13" s="22">
        <f>D13+O13+S13+V13+AM13+AW13+Q13</f>
        <v>214257825</v>
      </c>
      <c r="D13" s="2">
        <f>E13+M13</f>
        <v>1134700</v>
      </c>
      <c r="E13" s="77">
        <f>SUM(F13:L13)</f>
        <v>1134400</v>
      </c>
      <c r="F13" s="41">
        <v>195400</v>
      </c>
      <c r="G13" s="41">
        <v>4000</v>
      </c>
      <c r="H13" s="17">
        <v>457800</v>
      </c>
      <c r="I13" s="17"/>
      <c r="J13" s="41">
        <v>427100</v>
      </c>
      <c r="K13" s="17">
        <v>27000</v>
      </c>
      <c r="L13" s="41">
        <v>23100</v>
      </c>
      <c r="M13" s="17">
        <f>SUM(N13)</f>
        <v>300</v>
      </c>
      <c r="N13" s="41">
        <v>300</v>
      </c>
      <c r="O13" s="17">
        <f>P13</f>
        <v>789900</v>
      </c>
      <c r="P13" s="41">
        <v>789900</v>
      </c>
      <c r="Q13" s="41">
        <f>R13</f>
        <v>0</v>
      </c>
      <c r="R13" s="41"/>
      <c r="S13" s="17">
        <f>T13</f>
        <v>73325</v>
      </c>
      <c r="T13" s="41">
        <f>510500-437175</f>
        <v>73325</v>
      </c>
      <c r="U13" s="41"/>
      <c r="V13" s="17">
        <f>W13+AA13+AF13+AH13</f>
        <v>111053500</v>
      </c>
      <c r="W13" s="17">
        <f>X13+Y13+Z13</f>
        <v>3000300</v>
      </c>
      <c r="X13" s="41">
        <v>1833800</v>
      </c>
      <c r="Y13" s="41">
        <v>16500</v>
      </c>
      <c r="Z13" s="41">
        <v>1150000</v>
      </c>
      <c r="AA13" s="17">
        <f>SUM(AB13:AE13)</f>
        <v>106206800</v>
      </c>
      <c r="AB13" s="17">
        <v>1592700</v>
      </c>
      <c r="AC13" s="41">
        <v>103795100</v>
      </c>
      <c r="AD13" s="41">
        <v>819000</v>
      </c>
      <c r="AE13" s="41"/>
      <c r="AF13" s="17">
        <f>SUM(AG13)</f>
        <v>1163500</v>
      </c>
      <c r="AG13" s="239">
        <f>397800+765700</f>
        <v>1163500</v>
      </c>
      <c r="AH13" s="41">
        <f>SUM(AI13:AL13)</f>
        <v>682900</v>
      </c>
      <c r="AI13" s="41">
        <v>60100</v>
      </c>
      <c r="AJ13" s="41">
        <v>585800</v>
      </c>
      <c r="AK13" s="41">
        <v>34000</v>
      </c>
      <c r="AL13" s="41">
        <v>3000</v>
      </c>
      <c r="AM13" s="41">
        <f>AN13+AU13</f>
        <v>7690600</v>
      </c>
      <c r="AN13" s="41">
        <f>SUM(AO13:AT13)</f>
        <v>7690600</v>
      </c>
      <c r="AO13" s="41">
        <v>2285900</v>
      </c>
      <c r="AP13" s="41">
        <v>5145000</v>
      </c>
      <c r="AQ13" s="41">
        <f>175400-30000</f>
        <v>145400</v>
      </c>
      <c r="AR13" s="17"/>
      <c r="AS13" s="17">
        <f>144300-30000</f>
        <v>114300</v>
      </c>
      <c r="AT13" s="17"/>
      <c r="AU13" s="17"/>
      <c r="AV13" s="17"/>
      <c r="AW13" s="17">
        <f>AX13+BA13+BF13</f>
        <v>93515800</v>
      </c>
      <c r="AX13" s="107">
        <f>SUM(AY13:AZ13)</f>
        <v>40811000</v>
      </c>
      <c r="AY13" s="107"/>
      <c r="AZ13" s="41">
        <v>40811000</v>
      </c>
      <c r="BA13" s="107">
        <f>SUM(BB13:BC13)</f>
        <v>36245000</v>
      </c>
      <c r="BB13" s="107"/>
      <c r="BC13" s="107">
        <v>36245000</v>
      </c>
      <c r="BD13" s="107"/>
      <c r="BE13" s="107"/>
      <c r="BF13" s="41">
        <f>SUM(BG13:BM13)</f>
        <v>16459800</v>
      </c>
      <c r="BG13" s="41"/>
      <c r="BH13" s="41"/>
      <c r="BI13" s="41"/>
      <c r="BJ13" s="41"/>
      <c r="BK13" s="243">
        <v>14228300</v>
      </c>
      <c r="BL13" s="41">
        <v>2143000</v>
      </c>
      <c r="BM13" s="41">
        <v>88500</v>
      </c>
      <c r="BN13" s="88">
        <f>BO13</f>
        <v>49000</v>
      </c>
      <c r="BO13" s="17">
        <f>BP13+BQ13</f>
        <v>49000</v>
      </c>
      <c r="BP13" s="30">
        <v>49000</v>
      </c>
      <c r="BQ13" s="30"/>
      <c r="BR13" s="212">
        <f>BS13</f>
        <v>0</v>
      </c>
      <c r="BS13" s="29">
        <v>0</v>
      </c>
      <c r="BT13" s="304">
        <f>BU13</f>
        <v>0</v>
      </c>
      <c r="BU13" s="29"/>
      <c r="BV13" s="314">
        <f>BW13</f>
        <v>0</v>
      </c>
      <c r="BW13" s="29"/>
      <c r="BX13" s="32"/>
      <c r="BY13" s="68"/>
      <c r="BZ13" s="62">
        <f>CC13+CI13+CK13+CA13</f>
        <v>10249800</v>
      </c>
      <c r="CA13" s="17">
        <f>CB13</f>
        <v>7291600</v>
      </c>
      <c r="CB13" s="340">
        <v>7291600</v>
      </c>
      <c r="CC13" s="103">
        <f>CD13+CE13+CH13</f>
        <v>2953200</v>
      </c>
      <c r="CD13" s="103">
        <v>400000</v>
      </c>
      <c r="CE13" s="14">
        <f>CF13+CG13</f>
        <v>2553200</v>
      </c>
      <c r="CF13" s="31">
        <v>396200</v>
      </c>
      <c r="CG13" s="14">
        <v>2157000</v>
      </c>
      <c r="CH13" s="14"/>
      <c r="CI13" s="14">
        <f>CJ13</f>
        <v>5000</v>
      </c>
      <c r="CJ13" s="31">
        <v>5000</v>
      </c>
      <c r="CK13" s="14">
        <f>CL13+CM13</f>
        <v>0</v>
      </c>
      <c r="CL13" s="29">
        <v>0</v>
      </c>
      <c r="CM13" s="30">
        <v>0</v>
      </c>
      <c r="CN13" s="65">
        <f>CO13+CQ13+CU13+DC13+DE13+DI13+DN13+DS13+DU13+DW13+DZ13+EC13+EF13+EK13+EO13</f>
        <v>43633881</v>
      </c>
      <c r="CO13" s="17">
        <f>CP13</f>
        <v>0</v>
      </c>
      <c r="CP13" s="17"/>
      <c r="CQ13" s="17">
        <f>CR13+CS13+CT13</f>
        <v>437200</v>
      </c>
      <c r="CR13" s="17"/>
      <c r="CS13" s="17">
        <v>437013.6</v>
      </c>
      <c r="CT13" s="17">
        <v>186.4</v>
      </c>
      <c r="CU13" s="17">
        <f>SUM(CV13:DB13)</f>
        <v>24514500</v>
      </c>
      <c r="CV13" s="17"/>
      <c r="CW13" s="17">
        <v>9584000</v>
      </c>
      <c r="CX13" s="283">
        <v>2423000</v>
      </c>
      <c r="CY13" s="14">
        <v>12507500</v>
      </c>
      <c r="CZ13" s="14">
        <v>0</v>
      </c>
      <c r="DA13" s="14">
        <v>0</v>
      </c>
      <c r="DB13" s="14"/>
      <c r="DC13" s="14">
        <f t="shared" si="1"/>
        <v>0</v>
      </c>
      <c r="DD13" s="14"/>
      <c r="DE13" s="103">
        <f t="shared" si="0"/>
        <v>0</v>
      </c>
      <c r="DF13" s="17"/>
      <c r="DG13" s="17"/>
      <c r="DH13" s="17">
        <f>5000000-5000000</f>
        <v>0</v>
      </c>
      <c r="DI13" s="17">
        <f>DJ13+DK13+DL13+DM13</f>
        <v>6182181</v>
      </c>
      <c r="DJ13" s="17">
        <v>200000</v>
      </c>
      <c r="DK13" s="17">
        <v>5327781</v>
      </c>
      <c r="DL13" s="17"/>
      <c r="DM13" s="17">
        <v>654400</v>
      </c>
      <c r="DN13" s="17">
        <f t="shared" si="3"/>
        <v>0</v>
      </c>
      <c r="DO13" s="17"/>
      <c r="DP13" s="17">
        <v>0</v>
      </c>
      <c r="DQ13" s="17">
        <v>0</v>
      </c>
      <c r="DR13" s="17"/>
      <c r="DS13" s="17"/>
      <c r="DT13" s="17"/>
      <c r="DU13" s="17"/>
      <c r="DV13" s="17"/>
      <c r="DW13" s="17"/>
      <c r="DX13" s="17"/>
      <c r="DY13" s="17"/>
      <c r="DZ13" s="17">
        <f t="shared" si="4"/>
        <v>0</v>
      </c>
      <c r="EA13" s="17"/>
      <c r="EB13" s="17"/>
      <c r="EC13" s="17"/>
      <c r="ED13" s="17"/>
      <c r="EE13" s="17"/>
      <c r="EF13" s="17">
        <f t="shared" si="5"/>
        <v>12500000</v>
      </c>
      <c r="EG13" s="17">
        <v>0</v>
      </c>
      <c r="EH13" s="17">
        <v>0</v>
      </c>
      <c r="EI13" s="17">
        <v>7500000</v>
      </c>
      <c r="EJ13" s="17">
        <v>5000000</v>
      </c>
      <c r="EK13" s="17">
        <f t="shared" si="6"/>
        <v>0</v>
      </c>
      <c r="EL13" s="17"/>
      <c r="EM13" s="17"/>
      <c r="EN13" s="17"/>
      <c r="EO13" s="3">
        <f t="shared" si="7"/>
        <v>0</v>
      </c>
      <c r="EP13" s="107">
        <v>0</v>
      </c>
      <c r="EQ13" s="79">
        <f t="shared" si="8"/>
        <v>0</v>
      </c>
      <c r="ER13" s="103"/>
      <c r="ES13" s="81">
        <f t="shared" si="9"/>
        <v>0</v>
      </c>
      <c r="ET13" s="17"/>
      <c r="EU13" s="103"/>
      <c r="EV13" s="4">
        <f>C13++BN13+BR13+BT13+BV13+BX13+BY13+BZ13+CN13+EQ13+ES13</f>
        <v>268190506</v>
      </c>
      <c r="EW13" s="23">
        <f>'Ут.План на 01.09.2013'!C14-EV13</f>
        <v>0</v>
      </c>
    </row>
    <row r="14" spans="1:254" x14ac:dyDescent="0.25">
      <c r="A14" s="144">
        <v>10</v>
      </c>
      <c r="B14" s="1" t="s">
        <v>69</v>
      </c>
      <c r="C14" s="22">
        <f>D14+O14+S14+V14+AM14+AW14+Q14</f>
        <v>119182900</v>
      </c>
      <c r="D14" s="2">
        <f>E14+M14</f>
        <v>855600</v>
      </c>
      <c r="E14" s="77">
        <f>SUM(F14:L14)</f>
        <v>855000</v>
      </c>
      <c r="F14" s="41">
        <v>153200</v>
      </c>
      <c r="G14" s="41">
        <v>3900</v>
      </c>
      <c r="H14" s="17"/>
      <c r="I14" s="17">
        <v>310700</v>
      </c>
      <c r="J14" s="41">
        <v>341100</v>
      </c>
      <c r="K14" s="17"/>
      <c r="L14" s="41">
        <v>46100</v>
      </c>
      <c r="M14" s="17">
        <f>SUM(N14)</f>
        <v>600</v>
      </c>
      <c r="N14" s="41">
        <v>600</v>
      </c>
      <c r="O14" s="17">
        <f>P14</f>
        <v>778000</v>
      </c>
      <c r="P14" s="41">
        <v>778000</v>
      </c>
      <c r="Q14" s="41">
        <f>R14</f>
        <v>0</v>
      </c>
      <c r="R14" s="41"/>
      <c r="S14" s="17">
        <f>T14</f>
        <v>0</v>
      </c>
      <c r="T14" s="41">
        <f>10000-10000</f>
        <v>0</v>
      </c>
      <c r="U14" s="41"/>
      <c r="V14" s="17">
        <f>W14+AA14+AF14+AH14</f>
        <v>76941400</v>
      </c>
      <c r="W14" s="17">
        <f>X14+Y14+Z14</f>
        <v>237000</v>
      </c>
      <c r="X14" s="34"/>
      <c r="Y14" s="34"/>
      <c r="Z14" s="34">
        <v>237000</v>
      </c>
      <c r="AA14" s="17">
        <f>SUM(AB14:AE14)</f>
        <v>75025900</v>
      </c>
      <c r="AB14" s="17"/>
      <c r="AC14" s="41">
        <v>72596600</v>
      </c>
      <c r="AD14" s="41">
        <v>2429300</v>
      </c>
      <c r="AE14" s="41"/>
      <c r="AF14" s="17">
        <f>SUM(AG14)</f>
        <v>987800</v>
      </c>
      <c r="AG14" s="239">
        <f>893800+94000</f>
        <v>987800</v>
      </c>
      <c r="AH14" s="41">
        <f>SUM(AI14:AL14)</f>
        <v>690700</v>
      </c>
      <c r="AI14" s="41">
        <v>34800</v>
      </c>
      <c r="AJ14" s="41">
        <v>585800</v>
      </c>
      <c r="AK14" s="41">
        <v>70100</v>
      </c>
      <c r="AL14" s="34"/>
      <c r="AM14" s="41">
        <f>AN14+AU14</f>
        <v>6494800</v>
      </c>
      <c r="AN14" s="41">
        <f>SUM(AO14:AT14)</f>
        <v>6494800</v>
      </c>
      <c r="AO14" s="41">
        <v>904500</v>
      </c>
      <c r="AP14" s="41">
        <v>5590300</v>
      </c>
      <c r="AQ14" s="41"/>
      <c r="AR14" s="17"/>
      <c r="AS14" s="17"/>
      <c r="AT14" s="17"/>
      <c r="AU14" s="17"/>
      <c r="AV14" s="17"/>
      <c r="AW14" s="17">
        <f>AX14+BA14+BF14</f>
        <v>34113100</v>
      </c>
      <c r="AX14" s="107">
        <f>SUM(AY14:AZ14)</f>
        <v>27498000</v>
      </c>
      <c r="AY14" s="107"/>
      <c r="AZ14" s="41">
        <v>27498000</v>
      </c>
      <c r="BA14" s="107">
        <f>SUM(BB14:BC14)</f>
        <v>500000</v>
      </c>
      <c r="BB14" s="107"/>
      <c r="BC14" s="107">
        <f>500000</f>
        <v>500000</v>
      </c>
      <c r="BD14" s="107"/>
      <c r="BE14" s="107"/>
      <c r="BF14" s="41">
        <f>SUM(BG14:BM14)</f>
        <v>6115100</v>
      </c>
      <c r="BG14" s="41"/>
      <c r="BH14" s="41"/>
      <c r="BI14" s="41"/>
      <c r="BJ14" s="41"/>
      <c r="BK14" s="243">
        <v>3825300</v>
      </c>
      <c r="BL14" s="41">
        <v>2095000</v>
      </c>
      <c r="BM14" s="41">
        <v>194800</v>
      </c>
      <c r="BN14" s="88">
        <f>BO14</f>
        <v>44000</v>
      </c>
      <c r="BO14" s="17">
        <f>BP14+BQ14</f>
        <v>44000</v>
      </c>
      <c r="BP14" s="30">
        <v>44000</v>
      </c>
      <c r="BQ14" s="30"/>
      <c r="BR14" s="212">
        <f>BS14</f>
        <v>0</v>
      </c>
      <c r="BS14" s="29">
        <v>0</v>
      </c>
      <c r="BT14" s="304">
        <f>BU14</f>
        <v>0</v>
      </c>
      <c r="BU14" s="29"/>
      <c r="BV14" s="314">
        <f>BW14</f>
        <v>0</v>
      </c>
      <c r="BW14" s="29"/>
      <c r="BX14" s="32"/>
      <c r="BY14" s="68"/>
      <c r="BZ14" s="62">
        <f>CC14+CI14+CK14+CA14</f>
        <v>10013100</v>
      </c>
      <c r="CA14" s="17">
        <f>CB14</f>
        <v>4295500</v>
      </c>
      <c r="CB14" s="340">
        <v>4295500</v>
      </c>
      <c r="CC14" s="103">
        <f>CD14+CE14+CH14</f>
        <v>5713100</v>
      </c>
      <c r="CD14" s="103">
        <v>3400000</v>
      </c>
      <c r="CE14" s="14">
        <f>CF14+CG14</f>
        <v>2313100</v>
      </c>
      <c r="CF14" s="30">
        <v>348100</v>
      </c>
      <c r="CG14" s="14">
        <v>1965000</v>
      </c>
      <c r="CH14" s="14"/>
      <c r="CI14" s="14">
        <f>CJ14</f>
        <v>4500</v>
      </c>
      <c r="CJ14" s="30">
        <v>4500</v>
      </c>
      <c r="CK14" s="14">
        <f>CL14+CM14</f>
        <v>0</v>
      </c>
      <c r="CL14" s="29">
        <v>0</v>
      </c>
      <c r="CM14" s="30">
        <v>0</v>
      </c>
      <c r="CN14" s="65">
        <f>CO14+CQ14+CU14+DC14+DE14+DI14+DN14+DS14+DU14+DW14+DZ14+EC14+EF14+EK14+EO14</f>
        <v>4412100</v>
      </c>
      <c r="CO14" s="17">
        <f>CP14</f>
        <v>0</v>
      </c>
      <c r="CP14" s="17"/>
      <c r="CQ14" s="17">
        <f>CR14+CS14+CT14</f>
        <v>10000</v>
      </c>
      <c r="CR14" s="17"/>
      <c r="CS14" s="17">
        <v>10000</v>
      </c>
      <c r="CT14" s="17"/>
      <c r="CU14" s="17">
        <f>SUM(CV14:DB14)</f>
        <v>2854100</v>
      </c>
      <c r="CV14" s="17"/>
      <c r="CW14" s="17">
        <v>2466400</v>
      </c>
      <c r="CX14" s="283">
        <v>387700</v>
      </c>
      <c r="CY14" s="14">
        <v>0</v>
      </c>
      <c r="CZ14" s="14">
        <v>0</v>
      </c>
      <c r="DA14" s="14">
        <v>0</v>
      </c>
      <c r="DB14" s="14"/>
      <c r="DC14" s="14">
        <f t="shared" si="1"/>
        <v>0</v>
      </c>
      <c r="DD14" s="14"/>
      <c r="DE14" s="103">
        <f t="shared" si="0"/>
        <v>0</v>
      </c>
      <c r="DF14" s="17"/>
      <c r="DG14" s="17"/>
      <c r="DH14" s="17"/>
      <c r="DI14" s="17">
        <f t="shared" si="2"/>
        <v>1548000</v>
      </c>
      <c r="DJ14" s="17"/>
      <c r="DK14" s="17">
        <v>1548000</v>
      </c>
      <c r="DL14" s="17"/>
      <c r="DM14" s="17"/>
      <c r="DN14" s="17">
        <f t="shared" si="3"/>
        <v>0</v>
      </c>
      <c r="DO14" s="17"/>
      <c r="DP14" s="17">
        <v>0</v>
      </c>
      <c r="DQ14" s="17">
        <v>0</v>
      </c>
      <c r="DR14" s="17"/>
      <c r="DS14" s="17"/>
      <c r="DT14" s="17"/>
      <c r="DU14" s="17"/>
      <c r="DV14" s="17"/>
      <c r="DW14" s="17"/>
      <c r="DX14" s="17"/>
      <c r="DY14" s="17"/>
      <c r="DZ14" s="17">
        <f t="shared" si="4"/>
        <v>0</v>
      </c>
      <c r="EA14" s="17"/>
      <c r="EB14" s="17"/>
      <c r="EC14" s="17"/>
      <c r="ED14" s="17"/>
      <c r="EE14" s="17"/>
      <c r="EF14" s="17">
        <f t="shared" si="5"/>
        <v>0</v>
      </c>
      <c r="EG14" s="17">
        <v>0</v>
      </c>
      <c r="EH14" s="17">
        <v>0</v>
      </c>
      <c r="EI14" s="17"/>
      <c r="EJ14" s="17"/>
      <c r="EK14" s="17">
        <f t="shared" si="6"/>
        <v>0</v>
      </c>
      <c r="EL14" s="17"/>
      <c r="EM14" s="17"/>
      <c r="EN14" s="17"/>
      <c r="EO14" s="3">
        <f t="shared" si="7"/>
        <v>0</v>
      </c>
      <c r="EP14" s="107">
        <v>0</v>
      </c>
      <c r="EQ14" s="79">
        <f t="shared" si="8"/>
        <v>0</v>
      </c>
      <c r="ER14" s="103"/>
      <c r="ES14" s="81">
        <f t="shared" si="9"/>
        <v>0</v>
      </c>
      <c r="ET14" s="17"/>
      <c r="EU14" s="103"/>
      <c r="EV14" s="4">
        <f>C14++BN14+BR14+BT14+BV14+BX14+BY14+BZ14+CN14+EQ14+ES14</f>
        <v>133652100</v>
      </c>
      <c r="EW14" s="23">
        <f>'Ут.План на 01.09.2013'!C15-EV14</f>
        <v>0</v>
      </c>
    </row>
    <row r="15" spans="1:254" x14ac:dyDescent="0.25">
      <c r="A15" s="144">
        <v>11</v>
      </c>
      <c r="B15" s="1" t="s">
        <v>70</v>
      </c>
      <c r="C15" s="22">
        <f>D15+O15+S15+V15+AM15+AW15+Q15</f>
        <v>313499276</v>
      </c>
      <c r="D15" s="2">
        <f>E15+M15</f>
        <v>790800</v>
      </c>
      <c r="E15" s="77">
        <f>SUM(F15:L15)</f>
        <v>790100</v>
      </c>
      <c r="F15" s="41">
        <v>342200</v>
      </c>
      <c r="G15" s="41">
        <v>16500</v>
      </c>
      <c r="H15" s="17"/>
      <c r="I15" s="17"/>
      <c r="J15" s="41">
        <v>377600</v>
      </c>
      <c r="K15" s="17"/>
      <c r="L15" s="41">
        <v>53800</v>
      </c>
      <c r="M15" s="17">
        <f>SUM(N15)</f>
        <v>700</v>
      </c>
      <c r="N15" s="41">
        <v>700</v>
      </c>
      <c r="O15" s="17">
        <f>P15</f>
        <v>1355500</v>
      </c>
      <c r="P15" s="41">
        <v>1355500</v>
      </c>
      <c r="Q15" s="41">
        <f>R15</f>
        <v>0</v>
      </c>
      <c r="R15" s="41"/>
      <c r="S15" s="17">
        <f>T15</f>
        <v>89276</v>
      </c>
      <c r="T15" s="41">
        <f>1050000-960724</f>
        <v>89276</v>
      </c>
      <c r="U15" s="41"/>
      <c r="V15" s="17">
        <f>W15+AA15+AF15+AH15</f>
        <v>218576500</v>
      </c>
      <c r="W15" s="17">
        <f>X15+Y15+Z15</f>
        <v>2396200</v>
      </c>
      <c r="X15" s="41">
        <v>1974900</v>
      </c>
      <c r="Y15" s="41">
        <v>21100</v>
      </c>
      <c r="Z15" s="41">
        <v>400200</v>
      </c>
      <c r="AA15" s="17">
        <f>SUM(AB15:AE15)</f>
        <v>211237700</v>
      </c>
      <c r="AB15" s="17">
        <v>1137700</v>
      </c>
      <c r="AC15" s="41">
        <v>204556000</v>
      </c>
      <c r="AD15" s="41">
        <v>5544000</v>
      </c>
      <c r="AE15" s="41"/>
      <c r="AF15" s="17">
        <f>SUM(AG15)</f>
        <v>2359100</v>
      </c>
      <c r="AG15" s="239">
        <v>2359100</v>
      </c>
      <c r="AH15" s="41">
        <f>SUM(AI15:AL15)</f>
        <v>2583500</v>
      </c>
      <c r="AI15" s="41">
        <v>104600</v>
      </c>
      <c r="AJ15" s="41">
        <v>2342800</v>
      </c>
      <c r="AK15" s="41">
        <v>132300</v>
      </c>
      <c r="AL15" s="41">
        <v>3800</v>
      </c>
      <c r="AM15" s="41">
        <f>AN15+AU15</f>
        <v>17966500</v>
      </c>
      <c r="AN15" s="41">
        <f>SUM(AO15:AT15)</f>
        <v>17966500</v>
      </c>
      <c r="AO15" s="41">
        <v>5563100</v>
      </c>
      <c r="AP15" s="41">
        <v>12250200</v>
      </c>
      <c r="AQ15" s="41"/>
      <c r="AR15" s="17"/>
      <c r="AS15" s="17">
        <f>133200-20000</f>
        <v>113200</v>
      </c>
      <c r="AT15" s="17">
        <v>40000</v>
      </c>
      <c r="AU15" s="17"/>
      <c r="AV15" s="17"/>
      <c r="AW15" s="17">
        <f>AX15+BA15+BF15</f>
        <v>74720700</v>
      </c>
      <c r="AX15" s="107">
        <f>SUM(AY15:AZ15)</f>
        <v>45467000</v>
      </c>
      <c r="AY15" s="107"/>
      <c r="AZ15" s="41">
        <v>45467000</v>
      </c>
      <c r="BA15" s="107">
        <f>SUM(BB15:BC15)</f>
        <v>7982300</v>
      </c>
      <c r="BB15" s="107"/>
      <c r="BC15" s="107">
        <v>7982300</v>
      </c>
      <c r="BD15" s="107"/>
      <c r="BE15" s="107"/>
      <c r="BF15" s="41">
        <f>SUM(BG15:BM15)</f>
        <v>21271400</v>
      </c>
      <c r="BG15" s="41"/>
      <c r="BH15" s="41"/>
      <c r="BI15" s="41"/>
      <c r="BJ15" s="41"/>
      <c r="BK15" s="243">
        <v>12095200</v>
      </c>
      <c r="BL15" s="41">
        <v>8946000</v>
      </c>
      <c r="BM15" s="41">
        <v>230200</v>
      </c>
      <c r="BN15" s="88">
        <f>BO15</f>
        <v>0</v>
      </c>
      <c r="BO15" s="17">
        <f>BP15+BQ15</f>
        <v>0</v>
      </c>
      <c r="BP15" s="30"/>
      <c r="BQ15" s="30"/>
      <c r="BR15" s="212">
        <f>BS15</f>
        <v>0</v>
      </c>
      <c r="BS15" s="29">
        <v>0</v>
      </c>
      <c r="BT15" s="304">
        <f>BU15</f>
        <v>0</v>
      </c>
      <c r="BU15" s="29"/>
      <c r="BV15" s="314">
        <f>BW15</f>
        <v>0</v>
      </c>
      <c r="BW15" s="29"/>
      <c r="BX15" s="32"/>
      <c r="BY15" s="68"/>
      <c r="BZ15" s="62">
        <f>CC15+CI15+CK15+CA15</f>
        <v>18613200</v>
      </c>
      <c r="CA15" s="17">
        <f>CB15</f>
        <v>1516500</v>
      </c>
      <c r="CB15" s="340">
        <v>1516500</v>
      </c>
      <c r="CC15" s="103">
        <f>CD15+CE15+CH15</f>
        <v>17083700</v>
      </c>
      <c r="CD15" s="103">
        <v>10500000</v>
      </c>
      <c r="CE15" s="14">
        <f>CF15+CG15</f>
        <v>6583700</v>
      </c>
      <c r="CF15" s="31">
        <v>1686700</v>
      </c>
      <c r="CG15" s="14">
        <v>4897000</v>
      </c>
      <c r="CH15" s="14"/>
      <c r="CI15" s="14">
        <f>CJ15</f>
        <v>13000</v>
      </c>
      <c r="CJ15" s="31">
        <v>13000</v>
      </c>
      <c r="CK15" s="14">
        <f>CL15+CM15</f>
        <v>0</v>
      </c>
      <c r="CL15" s="29">
        <v>0</v>
      </c>
      <c r="CM15" s="30">
        <v>0</v>
      </c>
      <c r="CN15" s="65">
        <f>CO15+CQ15+CU15+DC15+DE15+DI15+DN15+DS15+DU15+DW15+DZ15+EC15+EF15+EK15+EO15</f>
        <v>57369498</v>
      </c>
      <c r="CO15" s="17">
        <f>CP15</f>
        <v>0</v>
      </c>
      <c r="CP15" s="17"/>
      <c r="CQ15" s="17">
        <f>CR15+CS15+CT15</f>
        <v>960700</v>
      </c>
      <c r="CR15" s="17"/>
      <c r="CS15" s="17">
        <v>960413.6</v>
      </c>
      <c r="CT15" s="17">
        <v>286.39999999999998</v>
      </c>
      <c r="CU15" s="17">
        <f>SUM(CV15:DB15)</f>
        <v>44212400</v>
      </c>
      <c r="CV15" s="17"/>
      <c r="CW15" s="17">
        <v>9485500</v>
      </c>
      <c r="CX15" s="283">
        <v>5912000</v>
      </c>
      <c r="CY15" s="14">
        <v>13814900</v>
      </c>
      <c r="CZ15" s="14">
        <v>15000000</v>
      </c>
      <c r="DA15" s="14">
        <v>0</v>
      </c>
      <c r="DB15" s="14"/>
      <c r="DC15" s="14">
        <f t="shared" si="1"/>
        <v>0</v>
      </c>
      <c r="DD15" s="14"/>
      <c r="DE15" s="103">
        <f t="shared" si="0"/>
        <v>0</v>
      </c>
      <c r="DF15" s="17"/>
      <c r="DG15" s="17"/>
      <c r="DH15" s="17"/>
      <c r="DI15" s="17">
        <f t="shared" si="2"/>
        <v>11576000</v>
      </c>
      <c r="DJ15" s="17"/>
      <c r="DK15" s="17">
        <v>11576000</v>
      </c>
      <c r="DL15" s="17"/>
      <c r="DM15" s="17"/>
      <c r="DN15" s="17">
        <f t="shared" si="3"/>
        <v>18000</v>
      </c>
      <c r="DO15" s="17"/>
      <c r="DP15" s="17">
        <v>0</v>
      </c>
      <c r="DQ15" s="17">
        <v>18000</v>
      </c>
      <c r="DR15" s="17"/>
      <c r="DS15" s="17"/>
      <c r="DT15" s="17"/>
      <c r="DU15" s="17"/>
      <c r="DV15" s="17"/>
      <c r="DW15" s="17"/>
      <c r="DX15" s="17"/>
      <c r="DY15" s="17"/>
      <c r="DZ15" s="17">
        <f t="shared" si="4"/>
        <v>0</v>
      </c>
      <c r="EA15" s="17"/>
      <c r="EB15" s="17"/>
      <c r="EC15" s="17"/>
      <c r="ED15" s="17"/>
      <c r="EE15" s="17"/>
      <c r="EF15" s="17">
        <f t="shared" si="5"/>
        <v>602398</v>
      </c>
      <c r="EG15" s="17">
        <v>602398</v>
      </c>
      <c r="EH15" s="17">
        <v>0</v>
      </c>
      <c r="EI15" s="17"/>
      <c r="EJ15" s="17"/>
      <c r="EK15" s="17">
        <f t="shared" si="6"/>
        <v>0</v>
      </c>
      <c r="EL15" s="17"/>
      <c r="EM15" s="17"/>
      <c r="EN15" s="17"/>
      <c r="EO15" s="3">
        <f t="shared" si="7"/>
        <v>0</v>
      </c>
      <c r="EP15" s="107">
        <v>0</v>
      </c>
      <c r="EQ15" s="79">
        <f t="shared" si="8"/>
        <v>0</v>
      </c>
      <c r="ER15" s="103"/>
      <c r="ES15" s="81">
        <f t="shared" si="9"/>
        <v>0</v>
      </c>
      <c r="ET15" s="17"/>
      <c r="EU15" s="103"/>
      <c r="EV15" s="4">
        <f>C15++BN15+BR15+BT15+BV15+BX15+BY15+BZ15+CN15+EQ15+ES15</f>
        <v>389481974</v>
      </c>
      <c r="EW15" s="23">
        <f>'Ут.План на 01.09.2013'!C16-EV15</f>
        <v>0</v>
      </c>
    </row>
    <row r="16" spans="1:254" s="141" customFormat="1" ht="25.5" customHeight="1" x14ac:dyDescent="0.2">
      <c r="A16" s="144">
        <v>12</v>
      </c>
      <c r="B16" s="1" t="s">
        <v>71</v>
      </c>
      <c r="C16" s="22">
        <f>D16+O16+S16+V16+AM16+AW16+Q16</f>
        <v>459235862</v>
      </c>
      <c r="D16" s="2">
        <f>E16+M16</f>
        <v>1300000</v>
      </c>
      <c r="E16" s="77">
        <f>SUM(F16:L16)</f>
        <v>1299500</v>
      </c>
      <c r="F16" s="76">
        <v>358300</v>
      </c>
      <c r="G16" s="76">
        <v>143600</v>
      </c>
      <c r="H16" s="17"/>
      <c r="I16" s="17"/>
      <c r="J16" s="76">
        <v>755400</v>
      </c>
      <c r="K16" s="17"/>
      <c r="L16" s="76">
        <v>42200</v>
      </c>
      <c r="M16" s="17">
        <f>SUM(N16)</f>
        <v>500</v>
      </c>
      <c r="N16" s="76">
        <v>500</v>
      </c>
      <c r="O16" s="17">
        <f>P16</f>
        <v>738200</v>
      </c>
      <c r="P16" s="76">
        <v>738200</v>
      </c>
      <c r="Q16" s="41">
        <f>R16</f>
        <v>0</v>
      </c>
      <c r="R16" s="76"/>
      <c r="S16" s="17">
        <f>T16</f>
        <v>207212</v>
      </c>
      <c r="T16" s="76">
        <f>3990900-3783688</f>
        <v>207212</v>
      </c>
      <c r="U16" s="76"/>
      <c r="V16" s="17">
        <f>W16+AA16+AF16+AH16</f>
        <v>287953550</v>
      </c>
      <c r="W16" s="17">
        <f>X16+Y16+Z16</f>
        <v>2492950</v>
      </c>
      <c r="X16" s="147"/>
      <c r="Y16" s="76">
        <f>13400+40750</f>
        <v>54150</v>
      </c>
      <c r="Z16" s="76">
        <v>2438800</v>
      </c>
      <c r="AA16" s="17">
        <f>SUM(AB16:AE16)</f>
        <v>279798300</v>
      </c>
      <c r="AB16" s="17"/>
      <c r="AC16" s="76">
        <v>274592000</v>
      </c>
      <c r="AD16" s="76">
        <v>5206300</v>
      </c>
      <c r="AE16" s="76"/>
      <c r="AF16" s="17">
        <f>SUM(AG16)</f>
        <v>1364200</v>
      </c>
      <c r="AG16" s="261">
        <f>1411200-47000</f>
        <v>1364200</v>
      </c>
      <c r="AH16" s="76">
        <f>SUM(AI16:AL16)</f>
        <v>4298100</v>
      </c>
      <c r="AI16" s="76">
        <v>302300</v>
      </c>
      <c r="AJ16" s="76">
        <v>3904800</v>
      </c>
      <c r="AK16" s="76">
        <v>88600</v>
      </c>
      <c r="AL16" s="76">
        <v>2400</v>
      </c>
      <c r="AM16" s="76">
        <f>AN16+AU16</f>
        <v>43062800</v>
      </c>
      <c r="AN16" s="76">
        <f>SUM(AO16:AT16)</f>
        <v>43062800</v>
      </c>
      <c r="AO16" s="76">
        <f>11841100+2500000</f>
        <v>14341100</v>
      </c>
      <c r="AP16" s="76">
        <v>28573200</v>
      </c>
      <c r="AQ16" s="76">
        <v>106500</v>
      </c>
      <c r="AR16" s="17">
        <v>42000</v>
      </c>
      <c r="AS16" s="17">
        <f>155400-155400</f>
        <v>0</v>
      </c>
      <c r="AT16" s="17"/>
      <c r="AU16" s="17"/>
      <c r="AV16" s="17"/>
      <c r="AW16" s="17">
        <f>AX16+BA16+BF16</f>
        <v>125974100</v>
      </c>
      <c r="AX16" s="107">
        <f>SUM(AY16:AZ16)</f>
        <v>66941000</v>
      </c>
      <c r="AY16" s="107"/>
      <c r="AZ16" s="76">
        <v>66941000</v>
      </c>
      <c r="BA16" s="107">
        <f>SUM(BB16:BC16)</f>
        <v>0</v>
      </c>
      <c r="BB16" s="107"/>
      <c r="BC16" s="107"/>
      <c r="BD16" s="107"/>
      <c r="BE16" s="107"/>
      <c r="BF16" s="41">
        <f>SUM(BG16:BM16)</f>
        <v>59033100</v>
      </c>
      <c r="BG16" s="76"/>
      <c r="BH16" s="76"/>
      <c r="BI16" s="76"/>
      <c r="BJ16" s="76"/>
      <c r="BK16" s="262">
        <v>43357000</v>
      </c>
      <c r="BL16" s="76">
        <v>15499000</v>
      </c>
      <c r="BM16" s="76">
        <v>177100</v>
      </c>
      <c r="BN16" s="88">
        <f>BO16</f>
        <v>90000</v>
      </c>
      <c r="BO16" s="17">
        <f>BP16+BQ16</f>
        <v>90000</v>
      </c>
      <c r="BP16" s="30">
        <v>90000</v>
      </c>
      <c r="BQ16" s="30"/>
      <c r="BR16" s="212">
        <f>BS16</f>
        <v>0</v>
      </c>
      <c r="BS16" s="29">
        <v>0</v>
      </c>
      <c r="BT16" s="304">
        <f>BU16</f>
        <v>0</v>
      </c>
      <c r="BU16" s="29"/>
      <c r="BV16" s="314">
        <f>BW16</f>
        <v>0</v>
      </c>
      <c r="BW16" s="29"/>
      <c r="BX16" s="32"/>
      <c r="BY16" s="68"/>
      <c r="BZ16" s="62">
        <f>CC16+CI16+CK16+CA16</f>
        <v>32602800</v>
      </c>
      <c r="CA16" s="17">
        <f>CB16</f>
        <v>17000000</v>
      </c>
      <c r="CB16" s="340">
        <v>17000000</v>
      </c>
      <c r="CC16" s="103">
        <f>CD16+CE16+CH16</f>
        <v>15582900</v>
      </c>
      <c r="CD16" s="103">
        <v>5400000</v>
      </c>
      <c r="CE16" s="14">
        <f>CF16+CG16</f>
        <v>10182900</v>
      </c>
      <c r="CF16" s="31">
        <v>2064900</v>
      </c>
      <c r="CG16" s="14">
        <v>8118000</v>
      </c>
      <c r="CH16" s="14"/>
      <c r="CI16" s="14">
        <f>CJ16</f>
        <v>19900</v>
      </c>
      <c r="CJ16" s="31">
        <v>19900</v>
      </c>
      <c r="CK16" s="14">
        <f>CL16+CM16</f>
        <v>0</v>
      </c>
      <c r="CL16" s="29">
        <v>0</v>
      </c>
      <c r="CM16" s="30">
        <v>0</v>
      </c>
      <c r="CN16" s="65">
        <f>CO16+CQ16+CU16+DC16+DE16+DI16+DN16+DS16+DU16+DW16+DZ16+EC16+EF16+EK16+EO16</f>
        <v>392656700</v>
      </c>
      <c r="CO16" s="17">
        <f>CP16</f>
        <v>0</v>
      </c>
      <c r="CP16" s="17"/>
      <c r="CQ16" s="17">
        <f>CR16+CS16+CT16</f>
        <v>3783700</v>
      </c>
      <c r="CR16" s="17"/>
      <c r="CS16" s="17">
        <v>3780594.6</v>
      </c>
      <c r="CT16" s="17">
        <v>3105.4</v>
      </c>
      <c r="CU16" s="17">
        <f>SUM(CV16:DB16)</f>
        <v>48585100</v>
      </c>
      <c r="CV16" s="17"/>
      <c r="CW16" s="17">
        <v>9137500</v>
      </c>
      <c r="CX16" s="283">
        <v>9691800</v>
      </c>
      <c r="CY16" s="14">
        <v>14755800</v>
      </c>
      <c r="CZ16" s="14">
        <v>0</v>
      </c>
      <c r="DA16" s="14">
        <v>0</v>
      </c>
      <c r="DB16" s="14">
        <v>15000000</v>
      </c>
      <c r="DC16" s="14">
        <f t="shared" si="1"/>
        <v>0</v>
      </c>
      <c r="DD16" s="14"/>
      <c r="DE16" s="103">
        <f t="shared" si="0"/>
        <v>0</v>
      </c>
      <c r="DF16" s="17"/>
      <c r="DG16" s="17"/>
      <c r="DH16" s="17"/>
      <c r="DI16" s="17">
        <f t="shared" si="2"/>
        <v>0</v>
      </c>
      <c r="DJ16" s="17"/>
      <c r="DK16" s="17">
        <v>0</v>
      </c>
      <c r="DL16" s="17"/>
      <c r="DM16" s="17"/>
      <c r="DN16" s="17">
        <f t="shared" si="3"/>
        <v>203675000</v>
      </c>
      <c r="DO16" s="17">
        <v>198630000</v>
      </c>
      <c r="DP16" s="17">
        <v>0</v>
      </c>
      <c r="DQ16" s="17">
        <v>45000</v>
      </c>
      <c r="DR16" s="17">
        <v>5000000</v>
      </c>
      <c r="DS16" s="17"/>
      <c r="DT16" s="17"/>
      <c r="DU16" s="17"/>
      <c r="DV16" s="17"/>
      <c r="DW16" s="17">
        <f>DY16</f>
        <v>10000000</v>
      </c>
      <c r="DX16" s="17"/>
      <c r="DY16" s="17">
        <v>10000000</v>
      </c>
      <c r="DZ16" s="17">
        <f t="shared" si="4"/>
        <v>0</v>
      </c>
      <c r="EA16" s="17"/>
      <c r="EB16" s="17"/>
      <c r="EC16" s="17">
        <f>EE16</f>
        <v>5000000</v>
      </c>
      <c r="ED16" s="17"/>
      <c r="EE16" s="17">
        <v>5000000</v>
      </c>
      <c r="EF16" s="17">
        <f t="shared" si="5"/>
        <v>112900</v>
      </c>
      <c r="EG16" s="17">
        <v>0</v>
      </c>
      <c r="EH16" s="17">
        <v>112900</v>
      </c>
      <c r="EI16" s="17"/>
      <c r="EJ16" s="17"/>
      <c r="EK16" s="17">
        <f t="shared" si="6"/>
        <v>121500000</v>
      </c>
      <c r="EL16" s="17"/>
      <c r="EM16" s="17">
        <v>27000000</v>
      </c>
      <c r="EN16" s="17">
        <v>94500000</v>
      </c>
      <c r="EO16" s="3">
        <f t="shared" si="7"/>
        <v>0</v>
      </c>
      <c r="EP16" s="107">
        <v>0</v>
      </c>
      <c r="EQ16" s="79">
        <f t="shared" si="8"/>
        <v>0</v>
      </c>
      <c r="ER16" s="103"/>
      <c r="ES16" s="81">
        <f t="shared" si="9"/>
        <v>0</v>
      </c>
      <c r="ET16" s="17"/>
      <c r="EU16" s="103"/>
      <c r="EV16" s="4">
        <f>C16++BN16+BR16+BT16+BV16+BX16+BY16+BZ16+CN16+EQ16+ES16</f>
        <v>884585362</v>
      </c>
      <c r="EW16" s="23">
        <f>'Ут.План на 01.09.2013'!C17-EV16</f>
        <v>0</v>
      </c>
      <c r="IT16" s="148"/>
    </row>
    <row r="17" spans="1:153" x14ac:dyDescent="0.25">
      <c r="A17" s="144">
        <v>13</v>
      </c>
      <c r="B17" s="1" t="s">
        <v>72</v>
      </c>
      <c r="C17" s="22">
        <f>D17+O17+S17+V17+AM17+AW17+Q17</f>
        <v>257903069</v>
      </c>
      <c r="D17" s="2">
        <f>E17+M17</f>
        <v>697300</v>
      </c>
      <c r="E17" s="77">
        <f>SUM(F17:L17)</f>
        <v>696500</v>
      </c>
      <c r="F17" s="41">
        <v>162200</v>
      </c>
      <c r="G17" s="41">
        <v>8600</v>
      </c>
      <c r="H17" s="17"/>
      <c r="I17" s="17"/>
      <c r="J17" s="41">
        <v>359300</v>
      </c>
      <c r="K17" s="17">
        <v>105000</v>
      </c>
      <c r="L17" s="41">
        <v>61400</v>
      </c>
      <c r="M17" s="17">
        <f>SUM(N17)</f>
        <v>800</v>
      </c>
      <c r="N17" s="41">
        <v>800</v>
      </c>
      <c r="O17" s="17">
        <f>P17</f>
        <v>963600</v>
      </c>
      <c r="P17" s="41">
        <v>963600</v>
      </c>
      <c r="Q17" s="41">
        <f>R17</f>
        <v>0</v>
      </c>
      <c r="R17" s="41"/>
      <c r="S17" s="17">
        <f>T17</f>
        <v>80469</v>
      </c>
      <c r="T17" s="41">
        <f>590500-510031</f>
        <v>80469</v>
      </c>
      <c r="U17" s="41"/>
      <c r="V17" s="17">
        <f>W17+AA17+AF17+AH17</f>
        <v>141615200</v>
      </c>
      <c r="W17" s="17">
        <f>X17+Y17+Z17</f>
        <v>1875300</v>
      </c>
      <c r="X17" s="34"/>
      <c r="Y17" s="41">
        <v>4300</v>
      </c>
      <c r="Z17" s="41">
        <v>1871000</v>
      </c>
      <c r="AA17" s="17">
        <f>SUM(AB17:AE17)</f>
        <v>133812100</v>
      </c>
      <c r="AB17" s="17"/>
      <c r="AC17" s="41">
        <v>129282100</v>
      </c>
      <c r="AD17" s="41">
        <v>3780000</v>
      </c>
      <c r="AE17" s="41">
        <v>750000</v>
      </c>
      <c r="AF17" s="17">
        <f>SUM(AG17)</f>
        <v>4563000</v>
      </c>
      <c r="AG17" s="239">
        <f>4518000+45000</f>
        <v>4563000</v>
      </c>
      <c r="AH17" s="41">
        <f>SUM(AI17:AL17)</f>
        <v>1364800</v>
      </c>
      <c r="AI17" s="41">
        <v>69600</v>
      </c>
      <c r="AJ17" s="41">
        <v>1171400</v>
      </c>
      <c r="AK17" s="41">
        <v>122500</v>
      </c>
      <c r="AL17" s="41">
        <v>1300</v>
      </c>
      <c r="AM17" s="41">
        <f>AN17+AU17</f>
        <v>11561100</v>
      </c>
      <c r="AN17" s="41">
        <f>SUM(AO17:AT17)</f>
        <v>11561100</v>
      </c>
      <c r="AO17" s="41">
        <v>2205500</v>
      </c>
      <c r="AP17" s="41">
        <v>9136100</v>
      </c>
      <c r="AQ17" s="41"/>
      <c r="AR17" s="17">
        <v>3000</v>
      </c>
      <c r="AS17" s="17">
        <f>166500+50000</f>
        <v>216500</v>
      </c>
      <c r="AT17" s="17"/>
      <c r="AU17" s="17"/>
      <c r="AV17" s="17"/>
      <c r="AW17" s="17">
        <f>AX17+BA17+BF17</f>
        <v>102985400</v>
      </c>
      <c r="AX17" s="107">
        <f>SUM(AY17:AZ17)</f>
        <v>58487000</v>
      </c>
      <c r="AY17" s="107"/>
      <c r="AZ17" s="41">
        <v>58487000</v>
      </c>
      <c r="BA17" s="107">
        <f>SUM(BB17:BC17)</f>
        <v>32094000</v>
      </c>
      <c r="BB17" s="107"/>
      <c r="BC17" s="107">
        <v>32094000</v>
      </c>
      <c r="BD17" s="107"/>
      <c r="BE17" s="107"/>
      <c r="BF17" s="41">
        <f>SUM(BG17:BM17)</f>
        <v>12404400</v>
      </c>
      <c r="BG17" s="41"/>
      <c r="BH17" s="41"/>
      <c r="BI17" s="41"/>
      <c r="BJ17" s="41"/>
      <c r="BK17" s="243">
        <v>7463800</v>
      </c>
      <c r="BL17" s="41">
        <v>4675000</v>
      </c>
      <c r="BM17" s="41">
        <v>265600</v>
      </c>
      <c r="BN17" s="88">
        <f>BO17</f>
        <v>1131000</v>
      </c>
      <c r="BO17" s="17">
        <f>BP17+BQ17</f>
        <v>1131000</v>
      </c>
      <c r="BP17" s="30">
        <v>141000</v>
      </c>
      <c r="BQ17" s="30">
        <v>990000</v>
      </c>
      <c r="BR17" s="212">
        <f>BS17</f>
        <v>0</v>
      </c>
      <c r="BS17" s="29">
        <v>0</v>
      </c>
      <c r="BT17" s="304">
        <f>BU17</f>
        <v>0</v>
      </c>
      <c r="BU17" s="29"/>
      <c r="BV17" s="314">
        <f>BW17</f>
        <v>0</v>
      </c>
      <c r="BW17" s="29"/>
      <c r="BX17" s="32"/>
      <c r="BY17" s="68"/>
      <c r="BZ17" s="62">
        <f>CC17+CI17+CK17+CA17</f>
        <v>18599300</v>
      </c>
      <c r="CA17" s="17">
        <f>CB17</f>
        <v>7524600</v>
      </c>
      <c r="CB17" s="340">
        <v>7524600</v>
      </c>
      <c r="CC17" s="103">
        <f>CD17+CE17+CH17</f>
        <v>11065700</v>
      </c>
      <c r="CD17" s="103">
        <v>6500000</v>
      </c>
      <c r="CE17" s="14">
        <f>CF17+CG17</f>
        <v>4565700</v>
      </c>
      <c r="CF17" s="31">
        <v>1169700</v>
      </c>
      <c r="CG17" s="14">
        <v>3396000</v>
      </c>
      <c r="CH17" s="14"/>
      <c r="CI17" s="14">
        <f>CJ17</f>
        <v>9000</v>
      </c>
      <c r="CJ17" s="31">
        <v>9000</v>
      </c>
      <c r="CK17" s="14">
        <f>CL17+CM17</f>
        <v>0</v>
      </c>
      <c r="CL17" s="29">
        <v>0</v>
      </c>
      <c r="CM17" s="30">
        <v>0</v>
      </c>
      <c r="CN17" s="65">
        <f>CO17+CQ17+CU17+DC17+DE17+DI17+DN17+DS17+DU17+DW17+DZ17+EC17+EF17+EK17+EO17</f>
        <v>43732762</v>
      </c>
      <c r="CO17" s="17">
        <f>CP17</f>
        <v>0</v>
      </c>
      <c r="CP17" s="17"/>
      <c r="CQ17" s="17">
        <f>CR17+CS17+CT17</f>
        <v>510000</v>
      </c>
      <c r="CR17" s="17"/>
      <c r="CS17" s="17">
        <v>509917.8</v>
      </c>
      <c r="CT17" s="17">
        <v>82.2</v>
      </c>
      <c r="CU17" s="17">
        <f>SUM(CV17:DB17)</f>
        <v>29854700</v>
      </c>
      <c r="CV17" s="17"/>
      <c r="CW17" s="17">
        <v>7840700</v>
      </c>
      <c r="CX17" s="283">
        <v>1986800</v>
      </c>
      <c r="CY17" s="14">
        <v>10847000</v>
      </c>
      <c r="CZ17" s="14">
        <v>9180200</v>
      </c>
      <c r="DA17" s="14">
        <v>0</v>
      </c>
      <c r="DB17" s="14"/>
      <c r="DC17" s="14">
        <f t="shared" si="1"/>
        <v>0</v>
      </c>
      <c r="DD17" s="14"/>
      <c r="DE17" s="103">
        <f t="shared" si="0"/>
        <v>0</v>
      </c>
      <c r="DF17" s="17"/>
      <c r="DG17" s="17"/>
      <c r="DH17" s="17"/>
      <c r="DI17" s="17">
        <f t="shared" si="2"/>
        <v>5368062</v>
      </c>
      <c r="DJ17" s="17"/>
      <c r="DK17" s="17">
        <v>5368062</v>
      </c>
      <c r="DL17" s="17"/>
      <c r="DM17" s="17"/>
      <c r="DN17" s="17">
        <f t="shared" si="3"/>
        <v>0</v>
      </c>
      <c r="DO17" s="17"/>
      <c r="DP17" s="17">
        <v>0</v>
      </c>
      <c r="DQ17" s="17">
        <v>0</v>
      </c>
      <c r="DR17" s="17"/>
      <c r="DS17" s="17"/>
      <c r="DT17" s="17"/>
      <c r="DU17" s="17"/>
      <c r="DV17" s="17"/>
      <c r="DW17" s="17">
        <f t="shared" ref="DW17:DW33" si="10">SUM(DX17:DX17)</f>
        <v>5000000</v>
      </c>
      <c r="DX17" s="17">
        <v>5000000</v>
      </c>
      <c r="DY17" s="17"/>
      <c r="DZ17" s="17">
        <f t="shared" si="4"/>
        <v>0</v>
      </c>
      <c r="EA17" s="17"/>
      <c r="EB17" s="17"/>
      <c r="EC17" s="17">
        <f>ED17</f>
        <v>1000000</v>
      </c>
      <c r="ED17" s="17">
        <v>1000000</v>
      </c>
      <c r="EE17" s="17"/>
      <c r="EF17" s="17">
        <f t="shared" si="5"/>
        <v>0</v>
      </c>
      <c r="EG17" s="17">
        <v>0</v>
      </c>
      <c r="EH17" s="17">
        <v>0</v>
      </c>
      <c r="EI17" s="17"/>
      <c r="EJ17" s="17"/>
      <c r="EK17" s="17">
        <f t="shared" si="6"/>
        <v>2000000</v>
      </c>
      <c r="EL17" s="17">
        <v>2000000</v>
      </c>
      <c r="EM17" s="17"/>
      <c r="EN17" s="17"/>
      <c r="EO17" s="3">
        <f t="shared" si="7"/>
        <v>0</v>
      </c>
      <c r="EP17" s="107">
        <v>0</v>
      </c>
      <c r="EQ17" s="79">
        <f t="shared" si="8"/>
        <v>0</v>
      </c>
      <c r="ER17" s="103"/>
      <c r="ES17" s="81">
        <f t="shared" si="9"/>
        <v>800000</v>
      </c>
      <c r="ET17" s="17"/>
      <c r="EU17" s="103">
        <v>800000</v>
      </c>
      <c r="EV17" s="4">
        <f>C17++BN17+BR17+BT17+BV17+BX17+BY17+BZ17+CN17+EQ17+ES17</f>
        <v>322166131</v>
      </c>
      <c r="EW17" s="23">
        <f>'Ут.План на 01.09.2013'!C18-EV17</f>
        <v>0</v>
      </c>
    </row>
    <row r="18" spans="1:153" x14ac:dyDescent="0.25">
      <c r="A18" s="144">
        <v>14</v>
      </c>
      <c r="B18" s="1" t="s">
        <v>73</v>
      </c>
      <c r="C18" s="22">
        <f>D18+O18+S18+V18+AM18+AW18+Q18</f>
        <v>177145300</v>
      </c>
      <c r="D18" s="2">
        <f>E18+M18</f>
        <v>576900</v>
      </c>
      <c r="E18" s="77">
        <f>SUM(F18:L18)</f>
        <v>576200</v>
      </c>
      <c r="F18" s="41">
        <v>153200</v>
      </c>
      <c r="G18" s="41">
        <v>6100</v>
      </c>
      <c r="H18" s="17"/>
      <c r="I18" s="17"/>
      <c r="J18" s="41">
        <v>359300</v>
      </c>
      <c r="K18" s="17"/>
      <c r="L18" s="41">
        <v>57600</v>
      </c>
      <c r="M18" s="17">
        <f>SUM(N18)</f>
        <v>700</v>
      </c>
      <c r="N18" s="41">
        <v>700</v>
      </c>
      <c r="O18" s="17">
        <f>P18</f>
        <v>947100</v>
      </c>
      <c r="P18" s="41">
        <v>947100</v>
      </c>
      <c r="Q18" s="41">
        <f>R18</f>
        <v>0</v>
      </c>
      <c r="R18" s="41"/>
      <c r="S18" s="17">
        <f>T18</f>
        <v>0</v>
      </c>
      <c r="T18" s="41">
        <f>1450000-1450000</f>
        <v>0</v>
      </c>
      <c r="U18" s="41"/>
      <c r="V18" s="17">
        <f>W18+AA18+AF18+AH18</f>
        <v>121981900</v>
      </c>
      <c r="W18" s="17">
        <f>X18+Y18+Z18</f>
        <v>40500</v>
      </c>
      <c r="X18" s="34"/>
      <c r="Y18" s="41">
        <v>40500</v>
      </c>
      <c r="Z18" s="41"/>
      <c r="AA18" s="17">
        <f>SUM(AB18:AE18)</f>
        <v>119944700</v>
      </c>
      <c r="AB18" s="17"/>
      <c r="AC18" s="41">
        <v>115651100</v>
      </c>
      <c r="AD18" s="41">
        <v>3293600</v>
      </c>
      <c r="AE18" s="41">
        <v>1000000</v>
      </c>
      <c r="AF18" s="17">
        <f>SUM(AG18)</f>
        <v>1062800</v>
      </c>
      <c r="AG18" s="239">
        <f>898200+164600</f>
        <v>1062800</v>
      </c>
      <c r="AH18" s="41">
        <f>SUM(AI18:AL18)</f>
        <v>933900</v>
      </c>
      <c r="AI18" s="41">
        <v>58100</v>
      </c>
      <c r="AJ18" s="41">
        <v>781000</v>
      </c>
      <c r="AK18" s="41">
        <v>87600</v>
      </c>
      <c r="AL18" s="41">
        <v>7200</v>
      </c>
      <c r="AM18" s="41">
        <f>AN18+AU18</f>
        <v>10946900</v>
      </c>
      <c r="AN18" s="41">
        <f>SUM(AO18:AT18)</f>
        <v>10946900</v>
      </c>
      <c r="AO18" s="41">
        <v>1697000</v>
      </c>
      <c r="AP18" s="41">
        <v>9249900</v>
      </c>
      <c r="AQ18" s="41"/>
      <c r="AR18" s="17"/>
      <c r="AS18" s="17"/>
      <c r="AT18" s="17"/>
      <c r="AU18" s="17"/>
      <c r="AV18" s="17"/>
      <c r="AW18" s="17">
        <f>AX18+BA18+BF18</f>
        <v>42692500</v>
      </c>
      <c r="AX18" s="107">
        <f>SUM(AY18:AZ18)</f>
        <v>26773000</v>
      </c>
      <c r="AY18" s="107"/>
      <c r="AZ18" s="41">
        <v>26773000</v>
      </c>
      <c r="BA18" s="107">
        <f>SUM(BB18:BC18)</f>
        <v>5500000</v>
      </c>
      <c r="BB18" s="107"/>
      <c r="BC18" s="107">
        <v>5500000</v>
      </c>
      <c r="BD18" s="107"/>
      <c r="BE18" s="107"/>
      <c r="BF18" s="41">
        <f>SUM(BG18:BM18)</f>
        <v>10419500</v>
      </c>
      <c r="BG18" s="41"/>
      <c r="BH18" s="41"/>
      <c r="BI18" s="41"/>
      <c r="BJ18" s="41"/>
      <c r="BK18" s="243">
        <v>6892700</v>
      </c>
      <c r="BL18" s="41">
        <v>3279000</v>
      </c>
      <c r="BM18" s="41">
        <v>247800</v>
      </c>
      <c r="BN18" s="88">
        <f>BO18</f>
        <v>80000</v>
      </c>
      <c r="BO18" s="17">
        <f>BP18+BQ18</f>
        <v>80000</v>
      </c>
      <c r="BP18" s="30">
        <v>80000</v>
      </c>
      <c r="BQ18" s="30"/>
      <c r="BR18" s="212">
        <f>BS18</f>
        <v>0</v>
      </c>
      <c r="BS18" s="29">
        <v>0</v>
      </c>
      <c r="BT18" s="304">
        <f>BU18</f>
        <v>0</v>
      </c>
      <c r="BU18" s="29"/>
      <c r="BV18" s="314">
        <f>BW18</f>
        <v>0</v>
      </c>
      <c r="BW18" s="29"/>
      <c r="BX18" s="32"/>
      <c r="BY18" s="68"/>
      <c r="BZ18" s="62">
        <f>CC18+CI18+CK18+CA18</f>
        <v>4355400</v>
      </c>
      <c r="CA18" s="17">
        <f>CB18</f>
        <v>225000</v>
      </c>
      <c r="CB18" s="340">
        <v>225000</v>
      </c>
      <c r="CC18" s="103">
        <f>CD18+CE18+CH18</f>
        <v>4123200</v>
      </c>
      <c r="CD18" s="103">
        <v>500000</v>
      </c>
      <c r="CE18" s="14">
        <f>CF18+CG18</f>
        <v>3623200</v>
      </c>
      <c r="CF18" s="31">
        <v>928200</v>
      </c>
      <c r="CG18" s="14">
        <v>2695000</v>
      </c>
      <c r="CH18" s="14"/>
      <c r="CI18" s="14">
        <f>CJ18</f>
        <v>7200</v>
      </c>
      <c r="CJ18" s="31">
        <v>7200</v>
      </c>
      <c r="CK18" s="14">
        <f>CL18+CM18</f>
        <v>0</v>
      </c>
      <c r="CL18" s="29">
        <v>0</v>
      </c>
      <c r="CM18" s="30">
        <v>0</v>
      </c>
      <c r="CN18" s="65">
        <f>CO18+CQ18+CU18+DC18+DE18+DI18+DN18+DS18+DU18+DW18+DZ18+EC18+EF18+EK18+EO18</f>
        <v>13000700</v>
      </c>
      <c r="CO18" s="17">
        <f>CP18</f>
        <v>0</v>
      </c>
      <c r="CP18" s="17"/>
      <c r="CQ18" s="17">
        <f>CR18+CS18+CT18</f>
        <v>1450000</v>
      </c>
      <c r="CR18" s="17"/>
      <c r="CS18" s="17">
        <v>1449919.4</v>
      </c>
      <c r="CT18" s="17">
        <v>80.599999999999994</v>
      </c>
      <c r="CU18" s="17">
        <f>SUM(CV18:DB18)</f>
        <v>11120700</v>
      </c>
      <c r="CV18" s="17"/>
      <c r="CW18" s="17">
        <v>4469300</v>
      </c>
      <c r="CX18" s="283">
        <v>339200</v>
      </c>
      <c r="CY18" s="14">
        <v>6312200</v>
      </c>
      <c r="CZ18" s="14">
        <v>0</v>
      </c>
      <c r="DA18" s="14">
        <v>0</v>
      </c>
      <c r="DB18" s="14"/>
      <c r="DC18" s="14">
        <f t="shared" si="1"/>
        <v>0</v>
      </c>
      <c r="DD18" s="14"/>
      <c r="DE18" s="103">
        <f t="shared" si="0"/>
        <v>0</v>
      </c>
      <c r="DF18" s="17"/>
      <c r="DG18" s="17"/>
      <c r="DH18" s="17"/>
      <c r="DI18" s="17">
        <f t="shared" si="2"/>
        <v>430000</v>
      </c>
      <c r="DJ18" s="17"/>
      <c r="DK18" s="17">
        <v>430000</v>
      </c>
      <c r="DL18" s="17"/>
      <c r="DM18" s="17"/>
      <c r="DN18" s="17">
        <f t="shared" si="3"/>
        <v>0</v>
      </c>
      <c r="DO18" s="17"/>
      <c r="DP18" s="17">
        <v>0</v>
      </c>
      <c r="DQ18" s="17">
        <v>0</v>
      </c>
      <c r="DR18" s="17"/>
      <c r="DS18" s="17"/>
      <c r="DT18" s="17"/>
      <c r="DU18" s="17"/>
      <c r="DV18" s="17"/>
      <c r="DW18" s="17"/>
      <c r="DX18" s="17"/>
      <c r="DY18" s="17"/>
      <c r="DZ18" s="17">
        <f t="shared" si="4"/>
        <v>0</v>
      </c>
      <c r="EA18" s="17"/>
      <c r="EB18" s="17"/>
      <c r="EC18" s="17"/>
      <c r="ED18" s="17"/>
      <c r="EE18" s="17"/>
      <c r="EF18" s="17">
        <f t="shared" si="5"/>
        <v>0</v>
      </c>
      <c r="EG18" s="17">
        <v>0</v>
      </c>
      <c r="EH18" s="17">
        <v>0</v>
      </c>
      <c r="EI18" s="17"/>
      <c r="EJ18" s="17"/>
      <c r="EK18" s="17">
        <f t="shared" si="6"/>
        <v>0</v>
      </c>
      <c r="EL18" s="17"/>
      <c r="EM18" s="17"/>
      <c r="EN18" s="17"/>
      <c r="EO18" s="3">
        <f t="shared" si="7"/>
        <v>0</v>
      </c>
      <c r="EP18" s="107">
        <v>0</v>
      </c>
      <c r="EQ18" s="79">
        <f t="shared" si="8"/>
        <v>0</v>
      </c>
      <c r="ER18" s="103"/>
      <c r="ES18" s="81">
        <f t="shared" si="9"/>
        <v>0</v>
      </c>
      <c r="ET18" s="17"/>
      <c r="EU18" s="103"/>
      <c r="EV18" s="4">
        <f>C18++BN18+BR18+BT18+BV18+BX18+BY18+BZ18+CN18+EQ18+ES18</f>
        <v>194581400</v>
      </c>
      <c r="EW18" s="23">
        <f>'Ут.План на 01.09.2013'!C19-EV18</f>
        <v>0</v>
      </c>
    </row>
    <row r="19" spans="1:153" x14ac:dyDescent="0.25">
      <c r="A19" s="144">
        <v>15</v>
      </c>
      <c r="B19" s="1" t="s">
        <v>74</v>
      </c>
      <c r="C19" s="22">
        <f>D19+O19+S19+V19+AM19+AW19+Q19</f>
        <v>422870213</v>
      </c>
      <c r="D19" s="2">
        <f>E19+M19</f>
        <v>614400</v>
      </c>
      <c r="E19" s="77">
        <f>SUM(F19:L19)</f>
        <v>613600</v>
      </c>
      <c r="F19" s="41">
        <v>162200</v>
      </c>
      <c r="G19" s="41">
        <v>12400</v>
      </c>
      <c r="H19" s="17"/>
      <c r="I19" s="17"/>
      <c r="J19" s="41">
        <v>377600</v>
      </c>
      <c r="K19" s="17"/>
      <c r="L19" s="41">
        <v>61400</v>
      </c>
      <c r="M19" s="17">
        <f>SUM(N19)</f>
        <v>800</v>
      </c>
      <c r="N19" s="41">
        <v>800</v>
      </c>
      <c r="O19" s="17">
        <f>P19</f>
        <v>1737200</v>
      </c>
      <c r="P19" s="41">
        <v>1737200</v>
      </c>
      <c r="Q19" s="41">
        <f>R19</f>
        <v>0</v>
      </c>
      <c r="R19" s="41"/>
      <c r="S19" s="17">
        <f>T19</f>
        <v>43213</v>
      </c>
      <c r="T19" s="41">
        <f>670500-627287</f>
        <v>43213</v>
      </c>
      <c r="U19" s="41"/>
      <c r="V19" s="17">
        <f>W19+AA19+AF19+AH19</f>
        <v>239449700</v>
      </c>
      <c r="W19" s="17">
        <f>X19+Y19+Z19</f>
        <v>2828000</v>
      </c>
      <c r="X19" s="41">
        <v>1622200</v>
      </c>
      <c r="Y19" s="41">
        <v>55800</v>
      </c>
      <c r="Z19" s="41">
        <v>1150000</v>
      </c>
      <c r="AA19" s="17">
        <f>SUM(AB19:AE19)</f>
        <v>229505600</v>
      </c>
      <c r="AB19" s="17">
        <v>812600</v>
      </c>
      <c r="AC19" s="41">
        <v>220859800</v>
      </c>
      <c r="AD19" s="41">
        <v>7333200</v>
      </c>
      <c r="AE19" s="41">
        <v>500000</v>
      </c>
      <c r="AF19" s="17">
        <f>SUM(AG19)</f>
        <v>4435200</v>
      </c>
      <c r="AG19" s="239">
        <f>5827500-1392300</f>
        <v>4435200</v>
      </c>
      <c r="AH19" s="41">
        <f>SUM(AI19:AL19)</f>
        <v>2680900</v>
      </c>
      <c r="AI19" s="41">
        <v>116200</v>
      </c>
      <c r="AJ19" s="41">
        <v>2342800</v>
      </c>
      <c r="AK19" s="41">
        <v>192600</v>
      </c>
      <c r="AL19" s="41">
        <v>29300</v>
      </c>
      <c r="AM19" s="41">
        <f>AN19+AU19</f>
        <v>17705800</v>
      </c>
      <c r="AN19" s="41">
        <f>SUM(AO19:AT19)</f>
        <v>17705800</v>
      </c>
      <c r="AO19" s="41">
        <v>4561700</v>
      </c>
      <c r="AP19" s="41">
        <v>12896300</v>
      </c>
      <c r="AQ19" s="41"/>
      <c r="AR19" s="41">
        <v>107800</v>
      </c>
      <c r="AS19" s="17">
        <f>100000+40000</f>
        <v>140000</v>
      </c>
      <c r="AT19" s="17"/>
      <c r="AU19" s="17"/>
      <c r="AV19" s="17"/>
      <c r="AW19" s="17">
        <f>AX19+BA19+BF19</f>
        <v>163319900</v>
      </c>
      <c r="AX19" s="107">
        <f>SUM(AY19:AZ19)</f>
        <v>135140000</v>
      </c>
      <c r="AY19" s="107"/>
      <c r="AZ19" s="41">
        <v>135140000</v>
      </c>
      <c r="BA19" s="107">
        <f>SUM(BB19:BC19)</f>
        <v>0</v>
      </c>
      <c r="BB19" s="107"/>
      <c r="BC19" s="107"/>
      <c r="BD19" s="107"/>
      <c r="BE19" s="107"/>
      <c r="BF19" s="41">
        <f>SUM(BG19:BM19)</f>
        <v>28179900</v>
      </c>
      <c r="BG19" s="41"/>
      <c r="BH19" s="41"/>
      <c r="BI19" s="41"/>
      <c r="BJ19" s="41"/>
      <c r="BK19" s="243">
        <v>21226300</v>
      </c>
      <c r="BL19" s="41">
        <v>6688000</v>
      </c>
      <c r="BM19" s="41">
        <v>265600</v>
      </c>
      <c r="BN19" s="88">
        <f>BO19</f>
        <v>67000</v>
      </c>
      <c r="BO19" s="17">
        <f>BP19+BQ19</f>
        <v>67000</v>
      </c>
      <c r="BP19" s="30">
        <v>67000</v>
      </c>
      <c r="BQ19" s="30"/>
      <c r="BR19" s="212">
        <f>BS19</f>
        <v>0</v>
      </c>
      <c r="BS19" s="29">
        <v>0</v>
      </c>
      <c r="BT19" s="304">
        <f>BU19</f>
        <v>0</v>
      </c>
      <c r="BU19" s="29"/>
      <c r="BV19" s="314">
        <f>BW19</f>
        <v>0</v>
      </c>
      <c r="BW19" s="29"/>
      <c r="BX19" s="32"/>
      <c r="BY19" s="68"/>
      <c r="BZ19" s="62">
        <f>CC19+CI19+CK19+CA19</f>
        <v>98319600</v>
      </c>
      <c r="CA19" s="17">
        <f>CB19</f>
        <v>90692000</v>
      </c>
      <c r="CB19" s="340">
        <v>90692000</v>
      </c>
      <c r="CC19" s="103">
        <f>CD19+CE19+CH19</f>
        <v>7613500</v>
      </c>
      <c r="CD19" s="103">
        <v>500000</v>
      </c>
      <c r="CE19" s="14">
        <f>CF19+CG19</f>
        <v>7113500</v>
      </c>
      <c r="CF19" s="31">
        <v>1822500</v>
      </c>
      <c r="CG19" s="14">
        <v>5291000</v>
      </c>
      <c r="CH19" s="14"/>
      <c r="CI19" s="14">
        <f>CJ19</f>
        <v>14100</v>
      </c>
      <c r="CJ19" s="31">
        <v>14100</v>
      </c>
      <c r="CK19" s="14">
        <f>CL19+CM19</f>
        <v>0</v>
      </c>
      <c r="CL19" s="29">
        <v>0</v>
      </c>
      <c r="CM19" s="30">
        <v>0</v>
      </c>
      <c r="CN19" s="65">
        <f>CO19+CQ19+CU19+DC19+DE19+DI19+DN19+DS19+DU19+DW19+DZ19+EC19+EF19+EK19+EO19</f>
        <v>26622000</v>
      </c>
      <c r="CO19" s="17">
        <f>CP19</f>
        <v>0</v>
      </c>
      <c r="CP19" s="17"/>
      <c r="CQ19" s="17">
        <f>CR19+CS19+CT19</f>
        <v>627300</v>
      </c>
      <c r="CR19" s="17"/>
      <c r="CS19" s="17">
        <v>627100.4</v>
      </c>
      <c r="CT19" s="17">
        <v>199.6</v>
      </c>
      <c r="CU19" s="17">
        <f>SUM(CV19:DB19)</f>
        <v>24604700</v>
      </c>
      <c r="CV19" s="17"/>
      <c r="CW19" s="17">
        <v>6902600</v>
      </c>
      <c r="CX19" s="283">
        <v>1211500</v>
      </c>
      <c r="CY19" s="14">
        <v>10090600</v>
      </c>
      <c r="CZ19" s="14">
        <v>6400000</v>
      </c>
      <c r="DA19" s="14">
        <v>0</v>
      </c>
      <c r="DB19" s="14"/>
      <c r="DC19" s="14">
        <f t="shared" si="1"/>
        <v>0</v>
      </c>
      <c r="DD19" s="14"/>
      <c r="DE19" s="103">
        <f t="shared" si="0"/>
        <v>0</v>
      </c>
      <c r="DF19" s="17"/>
      <c r="DG19" s="17"/>
      <c r="DH19" s="17"/>
      <c r="DI19" s="17">
        <f t="shared" si="2"/>
        <v>1290000</v>
      </c>
      <c r="DJ19" s="17"/>
      <c r="DK19" s="17">
        <v>1290000</v>
      </c>
      <c r="DL19" s="17"/>
      <c r="DM19" s="17"/>
      <c r="DN19" s="17">
        <f t="shared" si="3"/>
        <v>100000</v>
      </c>
      <c r="DO19" s="17"/>
      <c r="DP19" s="17">
        <v>85000</v>
      </c>
      <c r="DQ19" s="17">
        <v>15000</v>
      </c>
      <c r="DR19" s="17"/>
      <c r="DS19" s="17"/>
      <c r="DT19" s="17"/>
      <c r="DU19" s="17"/>
      <c r="DV19" s="17"/>
      <c r="DW19" s="17"/>
      <c r="DX19" s="17"/>
      <c r="DY19" s="17"/>
      <c r="DZ19" s="17">
        <f t="shared" si="4"/>
        <v>0</v>
      </c>
      <c r="EA19" s="17"/>
      <c r="EB19" s="17"/>
      <c r="EC19" s="17"/>
      <c r="ED19" s="17"/>
      <c r="EE19" s="17"/>
      <c r="EF19" s="17">
        <f t="shared" si="5"/>
        <v>0</v>
      </c>
      <c r="EG19" s="17">
        <v>0</v>
      </c>
      <c r="EH19" s="17">
        <v>0</v>
      </c>
      <c r="EI19" s="17"/>
      <c r="EJ19" s="17"/>
      <c r="EK19" s="17">
        <f t="shared" si="6"/>
        <v>0</v>
      </c>
      <c r="EL19" s="17"/>
      <c r="EM19" s="17"/>
      <c r="EN19" s="17"/>
      <c r="EO19" s="3">
        <f t="shared" si="7"/>
        <v>0</v>
      </c>
      <c r="EP19" s="107">
        <v>0</v>
      </c>
      <c r="EQ19" s="79">
        <f t="shared" si="8"/>
        <v>0</v>
      </c>
      <c r="ER19" s="103"/>
      <c r="ES19" s="81">
        <f t="shared" si="9"/>
        <v>0</v>
      </c>
      <c r="ET19" s="17"/>
      <c r="EU19" s="103"/>
      <c r="EV19" s="4">
        <f>C19++BN19+BR19+BT19+BV19+BX19+BY19+BZ19+CN19+EQ19+ES19</f>
        <v>547878813</v>
      </c>
      <c r="EW19" s="23">
        <f>'Ут.План на 01.09.2013'!C20-EV19</f>
        <v>0</v>
      </c>
    </row>
    <row r="20" spans="1:153" x14ac:dyDescent="0.25">
      <c r="A20" s="144">
        <v>16</v>
      </c>
      <c r="B20" s="1" t="s">
        <v>75</v>
      </c>
      <c r="C20" s="22">
        <f>D20+O20+S20+V20+AM20+AW20+Q20</f>
        <v>206803620</v>
      </c>
      <c r="D20" s="2">
        <f>E20+M20</f>
        <v>781700</v>
      </c>
      <c r="E20" s="77">
        <f>SUM(F20:L20)</f>
        <v>781300</v>
      </c>
      <c r="F20" s="41">
        <v>342100</v>
      </c>
      <c r="G20" s="41">
        <v>11500</v>
      </c>
      <c r="H20" s="17"/>
      <c r="I20" s="17"/>
      <c r="J20" s="41">
        <v>397000</v>
      </c>
      <c r="K20" s="17"/>
      <c r="L20" s="41">
        <v>30700</v>
      </c>
      <c r="M20" s="17">
        <f>SUM(N20)</f>
        <v>400</v>
      </c>
      <c r="N20" s="41">
        <v>400</v>
      </c>
      <c r="O20" s="17">
        <f>P20</f>
        <v>850300</v>
      </c>
      <c r="P20" s="41">
        <v>850300</v>
      </c>
      <c r="Q20" s="41">
        <f>R20</f>
        <v>0</v>
      </c>
      <c r="R20" s="41"/>
      <c r="S20" s="17">
        <f>T20</f>
        <v>250820</v>
      </c>
      <c r="T20" s="41">
        <f>1600200-1349380</f>
        <v>250820</v>
      </c>
      <c r="U20" s="41"/>
      <c r="V20" s="17">
        <f>W20+AA20+AF20+AH20</f>
        <v>139988200</v>
      </c>
      <c r="W20" s="17">
        <f>X20+Y20+Z20</f>
        <v>476700</v>
      </c>
      <c r="X20" s="41">
        <v>458500</v>
      </c>
      <c r="Y20" s="41">
        <v>18200</v>
      </c>
      <c r="Z20" s="41"/>
      <c r="AA20" s="17">
        <f>SUM(AB20:AE20)</f>
        <v>135593900</v>
      </c>
      <c r="AB20" s="17"/>
      <c r="AC20" s="41">
        <v>133270500</v>
      </c>
      <c r="AD20" s="41">
        <v>2323400</v>
      </c>
      <c r="AE20" s="41"/>
      <c r="AF20" s="17">
        <f>SUM(AG20)</f>
        <v>1999200</v>
      </c>
      <c r="AG20" s="239">
        <f>1422100+577100</f>
        <v>1999200</v>
      </c>
      <c r="AH20" s="41">
        <f>SUM(AI20:AL20)</f>
        <v>1918400</v>
      </c>
      <c r="AI20" s="41">
        <v>73800</v>
      </c>
      <c r="AJ20" s="41">
        <v>1757200</v>
      </c>
      <c r="AK20" s="41">
        <v>74100</v>
      </c>
      <c r="AL20" s="41">
        <v>13300</v>
      </c>
      <c r="AM20" s="41">
        <f>AN20+AU20</f>
        <v>14287300</v>
      </c>
      <c r="AN20" s="41">
        <f>SUM(AO20:AT20)</f>
        <v>14287300</v>
      </c>
      <c r="AO20" s="41">
        <v>3939400</v>
      </c>
      <c r="AP20" s="41">
        <v>10120900</v>
      </c>
      <c r="AQ20" s="41">
        <v>104400</v>
      </c>
      <c r="AR20" s="41">
        <v>56000</v>
      </c>
      <c r="AS20" s="17">
        <v>66600</v>
      </c>
      <c r="AT20" s="17"/>
      <c r="AU20" s="17"/>
      <c r="AV20" s="17"/>
      <c r="AW20" s="17">
        <f>AX20+BA20+BF20</f>
        <v>50645300</v>
      </c>
      <c r="AX20" s="107">
        <f>SUM(AY20:AZ20)</f>
        <v>20663000</v>
      </c>
      <c r="AY20" s="107"/>
      <c r="AZ20" s="41">
        <v>20663000</v>
      </c>
      <c r="BA20" s="107">
        <f>SUM(BB20:BC20)</f>
        <v>13000000</v>
      </c>
      <c r="BB20" s="107"/>
      <c r="BC20" s="107">
        <f>4500000+4000000+4500000</f>
        <v>13000000</v>
      </c>
      <c r="BD20" s="107"/>
      <c r="BE20" s="107"/>
      <c r="BF20" s="41">
        <f>SUM(BG20:BM20)</f>
        <v>16982300</v>
      </c>
      <c r="BG20" s="41"/>
      <c r="BH20" s="41"/>
      <c r="BI20" s="41"/>
      <c r="BJ20" s="41"/>
      <c r="BK20" s="243">
        <v>10636400</v>
      </c>
      <c r="BL20" s="41">
        <v>6222000</v>
      </c>
      <c r="BM20" s="41">
        <v>123900</v>
      </c>
      <c r="BN20" s="88">
        <f>BO20</f>
        <v>68000</v>
      </c>
      <c r="BO20" s="17">
        <f>BP20+BQ20</f>
        <v>68000</v>
      </c>
      <c r="BP20" s="30">
        <v>68000</v>
      </c>
      <c r="BQ20" s="30"/>
      <c r="BR20" s="212">
        <f>BS20</f>
        <v>0</v>
      </c>
      <c r="BS20" s="29">
        <v>0</v>
      </c>
      <c r="BT20" s="304">
        <f>BU20</f>
        <v>0</v>
      </c>
      <c r="BU20" s="29"/>
      <c r="BV20" s="314">
        <f>BW20</f>
        <v>0</v>
      </c>
      <c r="BW20" s="29"/>
      <c r="BX20" s="32"/>
      <c r="BY20" s="68"/>
      <c r="BZ20" s="62">
        <f>CC20+CI20+CK20+CA20</f>
        <v>7608100</v>
      </c>
      <c r="CA20" s="17">
        <f>CB20</f>
        <v>1474500</v>
      </c>
      <c r="CB20" s="340">
        <v>1474500</v>
      </c>
      <c r="CC20" s="103">
        <f>CD20+CE20+CH20</f>
        <v>6122400</v>
      </c>
      <c r="CD20" s="103">
        <v>500000</v>
      </c>
      <c r="CE20" s="14">
        <f>CF20+CG20</f>
        <v>5622400</v>
      </c>
      <c r="CF20" s="31">
        <v>1644400</v>
      </c>
      <c r="CG20" s="14">
        <v>3978000</v>
      </c>
      <c r="CH20" s="14"/>
      <c r="CI20" s="14">
        <f>CJ20</f>
        <v>11200</v>
      </c>
      <c r="CJ20" s="31">
        <v>11200</v>
      </c>
      <c r="CK20" s="14">
        <f>CL20+CM20</f>
        <v>0</v>
      </c>
      <c r="CL20" s="29">
        <v>0</v>
      </c>
      <c r="CM20" s="30">
        <v>0</v>
      </c>
      <c r="CN20" s="65">
        <f>CO20+CQ20+CU20+DC20+DE20+DI20+DN20+DS20+DU20+DW20+DZ20+EC20+EF20+EK20+EO20</f>
        <v>38510057</v>
      </c>
      <c r="CO20" s="17">
        <f>CP20</f>
        <v>0</v>
      </c>
      <c r="CP20" s="17"/>
      <c r="CQ20" s="17">
        <f>CR20+CS20+CT20</f>
        <v>1349400</v>
      </c>
      <c r="CR20" s="17"/>
      <c r="CS20" s="17">
        <v>1348794</v>
      </c>
      <c r="CT20" s="17">
        <v>606</v>
      </c>
      <c r="CU20" s="17">
        <f>SUM(CV20:DB20)</f>
        <v>23840400</v>
      </c>
      <c r="CV20" s="17"/>
      <c r="CW20" s="17">
        <v>8013800</v>
      </c>
      <c r="CX20" s="283">
        <v>7026600</v>
      </c>
      <c r="CY20" s="14">
        <v>0</v>
      </c>
      <c r="CZ20" s="14">
        <v>0</v>
      </c>
      <c r="DA20" s="14">
        <v>8800000</v>
      </c>
      <c r="DB20" s="14"/>
      <c r="DC20" s="14">
        <f t="shared" si="1"/>
        <v>0</v>
      </c>
      <c r="DD20" s="14"/>
      <c r="DE20" s="103">
        <f t="shared" si="0"/>
        <v>0</v>
      </c>
      <c r="DF20" s="17"/>
      <c r="DG20" s="17"/>
      <c r="DH20" s="17"/>
      <c r="DI20" s="17">
        <f t="shared" si="2"/>
        <v>13320257</v>
      </c>
      <c r="DJ20" s="17"/>
      <c r="DK20" s="17">
        <v>13320257</v>
      </c>
      <c r="DL20" s="17"/>
      <c r="DM20" s="17"/>
      <c r="DN20" s="17">
        <f t="shared" si="3"/>
        <v>0</v>
      </c>
      <c r="DO20" s="17"/>
      <c r="DP20" s="17">
        <v>0</v>
      </c>
      <c r="DQ20" s="17">
        <v>0</v>
      </c>
      <c r="DR20" s="17"/>
      <c r="DS20" s="17"/>
      <c r="DT20" s="17"/>
      <c r="DU20" s="17"/>
      <c r="DV20" s="17"/>
      <c r="DW20" s="17"/>
      <c r="DX20" s="17"/>
      <c r="DY20" s="17"/>
      <c r="DZ20" s="17">
        <f t="shared" si="4"/>
        <v>0</v>
      </c>
      <c r="EA20" s="17"/>
      <c r="EB20" s="17"/>
      <c r="EC20" s="17"/>
      <c r="ED20" s="17"/>
      <c r="EE20" s="17"/>
      <c r="EF20" s="17">
        <f t="shared" si="5"/>
        <v>0</v>
      </c>
      <c r="EG20" s="17">
        <v>0</v>
      </c>
      <c r="EH20" s="17">
        <v>0</v>
      </c>
      <c r="EI20" s="17"/>
      <c r="EJ20" s="17"/>
      <c r="EK20" s="17">
        <f t="shared" si="6"/>
        <v>0</v>
      </c>
      <c r="EL20" s="17"/>
      <c r="EM20" s="17"/>
      <c r="EN20" s="17"/>
      <c r="EO20" s="3">
        <f t="shared" si="7"/>
        <v>0</v>
      </c>
      <c r="EP20" s="107">
        <v>0</v>
      </c>
      <c r="EQ20" s="79">
        <f t="shared" si="8"/>
        <v>0</v>
      </c>
      <c r="ER20" s="103"/>
      <c r="ES20" s="81">
        <f t="shared" si="9"/>
        <v>0</v>
      </c>
      <c r="ET20" s="17"/>
      <c r="EU20" s="103"/>
      <c r="EV20" s="4">
        <f>C20++BN20+BR20+BT20+BV20+BX20+BY20+BZ20+CN20+EQ20+ES20</f>
        <v>252989777</v>
      </c>
      <c r="EW20" s="23">
        <f>'Ут.План на 01.09.2013'!C21-EV20</f>
        <v>0</v>
      </c>
    </row>
    <row r="21" spans="1:153" x14ac:dyDescent="0.25">
      <c r="A21" s="144">
        <v>17</v>
      </c>
      <c r="B21" s="1" t="s">
        <v>76</v>
      </c>
      <c r="C21" s="22">
        <f>D21+O21+S21+V21+AM21+AW21+Q21</f>
        <v>281468611</v>
      </c>
      <c r="D21" s="2">
        <f>E21+M21</f>
        <v>759300</v>
      </c>
      <c r="E21" s="77">
        <f>SUM(F21:L21)</f>
        <v>758500</v>
      </c>
      <c r="F21" s="41">
        <v>324200</v>
      </c>
      <c r="G21" s="41">
        <f>67900-28800-26500</f>
        <v>12600</v>
      </c>
      <c r="H21" s="17"/>
      <c r="I21" s="17"/>
      <c r="J21" s="41">
        <v>360300</v>
      </c>
      <c r="K21" s="17"/>
      <c r="L21" s="41">
        <v>61400</v>
      </c>
      <c r="M21" s="17">
        <f>SUM(N21)</f>
        <v>800</v>
      </c>
      <c r="N21" s="41">
        <v>800</v>
      </c>
      <c r="O21" s="17">
        <f>P21</f>
        <v>883500</v>
      </c>
      <c r="P21" s="41">
        <v>883500</v>
      </c>
      <c r="Q21" s="41">
        <f>R21</f>
        <v>0</v>
      </c>
      <c r="R21" s="41"/>
      <c r="S21" s="17">
        <f>T21</f>
        <v>736211</v>
      </c>
      <c r="T21" s="41">
        <f>2300100-1563889</f>
        <v>736211</v>
      </c>
      <c r="U21" s="41"/>
      <c r="V21" s="17">
        <f>W21+AA21+AF21+AH21</f>
        <v>184317400</v>
      </c>
      <c r="W21" s="17">
        <f>X21+Y21+Z21</f>
        <v>1232300</v>
      </c>
      <c r="X21" s="41">
        <v>423200</v>
      </c>
      <c r="Y21" s="41">
        <v>9100</v>
      </c>
      <c r="Z21" s="41">
        <v>800000</v>
      </c>
      <c r="AA21" s="17">
        <f>SUM(AB21:AE21)</f>
        <v>177279300</v>
      </c>
      <c r="AB21" s="17"/>
      <c r="AC21" s="41">
        <v>172133500</v>
      </c>
      <c r="AD21" s="41">
        <v>5145800</v>
      </c>
      <c r="AE21" s="41"/>
      <c r="AF21" s="17">
        <f>SUM(AG21)</f>
        <v>3601400</v>
      </c>
      <c r="AG21" s="239">
        <f>4022300-420900</f>
        <v>3601400</v>
      </c>
      <c r="AH21" s="41">
        <f>SUM(AI21:AL21)</f>
        <v>2204400</v>
      </c>
      <c r="AI21" s="41">
        <v>93000</v>
      </c>
      <c r="AJ21" s="41">
        <v>1952400</v>
      </c>
      <c r="AK21" s="41">
        <v>148800</v>
      </c>
      <c r="AL21" s="41">
        <v>10200</v>
      </c>
      <c r="AM21" s="41">
        <f>AN21+AU21</f>
        <v>17204800</v>
      </c>
      <c r="AN21" s="41">
        <f>SUM(AO21:AT21)</f>
        <v>17204800</v>
      </c>
      <c r="AO21" s="41">
        <v>2516800</v>
      </c>
      <c r="AP21" s="41">
        <v>14640300</v>
      </c>
      <c r="AQ21" s="41"/>
      <c r="AR21" s="41">
        <v>47700</v>
      </c>
      <c r="AS21" s="17"/>
      <c r="AT21" s="17"/>
      <c r="AU21" s="17"/>
      <c r="AV21" s="17"/>
      <c r="AW21" s="17">
        <f>AX21+BA21+BF21</f>
        <v>77567400</v>
      </c>
      <c r="AX21" s="107">
        <f>SUM(AY21:AZ21)</f>
        <v>53466000</v>
      </c>
      <c r="AY21" s="107"/>
      <c r="AZ21" s="41">
        <v>53466000</v>
      </c>
      <c r="BA21" s="107">
        <f>SUM(BB21:BC21)</f>
        <v>8400000</v>
      </c>
      <c r="BB21" s="107"/>
      <c r="BC21" s="107">
        <v>8400000</v>
      </c>
      <c r="BD21" s="107"/>
      <c r="BE21" s="107"/>
      <c r="BF21" s="41">
        <f>SUM(BG21:BM21)</f>
        <v>15701400</v>
      </c>
      <c r="BG21" s="41"/>
      <c r="BH21" s="41"/>
      <c r="BI21" s="41"/>
      <c r="BJ21" s="41"/>
      <c r="BK21" s="243">
        <f>4063800+4527000</f>
        <v>8590800</v>
      </c>
      <c r="BL21" s="41">
        <v>6845000</v>
      </c>
      <c r="BM21" s="41">
        <v>265600</v>
      </c>
      <c r="BN21" s="88">
        <f>BO21</f>
        <v>133000</v>
      </c>
      <c r="BO21" s="17">
        <f>BP21+BQ21</f>
        <v>133000</v>
      </c>
      <c r="BP21" s="30">
        <v>133000</v>
      </c>
      <c r="BQ21" s="30"/>
      <c r="BR21" s="212">
        <f>BS21</f>
        <v>190500</v>
      </c>
      <c r="BS21" s="29">
        <v>190500</v>
      </c>
      <c r="BT21" s="304">
        <f>BU21</f>
        <v>0</v>
      </c>
      <c r="BU21" s="29"/>
      <c r="BV21" s="314">
        <f>BW21</f>
        <v>32000</v>
      </c>
      <c r="BW21" s="29">
        <v>32000</v>
      </c>
      <c r="BX21" s="32"/>
      <c r="BY21" s="68"/>
      <c r="BZ21" s="62">
        <f>CC21+CI21+CK21+CA21</f>
        <v>50871400</v>
      </c>
      <c r="CA21" s="17">
        <f>CB21</f>
        <v>34000000</v>
      </c>
      <c r="CB21" s="340">
        <v>34000000</v>
      </c>
      <c r="CC21" s="103">
        <f>CD21+CE21+CH21</f>
        <v>16548600</v>
      </c>
      <c r="CD21" s="103">
        <v>10500000</v>
      </c>
      <c r="CE21" s="14">
        <f>CF21+CG21</f>
        <v>6048600</v>
      </c>
      <c r="CF21" s="31">
        <v>1549600</v>
      </c>
      <c r="CG21" s="14">
        <v>4499000</v>
      </c>
      <c r="CH21" s="14"/>
      <c r="CI21" s="14">
        <f>CJ21</f>
        <v>11900</v>
      </c>
      <c r="CJ21" s="31">
        <v>11900</v>
      </c>
      <c r="CK21" s="14">
        <f>CL21+CM21</f>
        <v>310900</v>
      </c>
      <c r="CL21" s="29">
        <v>310200</v>
      </c>
      <c r="CM21" s="30">
        <v>700</v>
      </c>
      <c r="CN21" s="65">
        <f>CO21+CQ21+CU21+DC21+DE21+DI21+DN21+DS21+DU21+DW21+DZ21+EC21+EF21+EK21+EO21</f>
        <v>137910340</v>
      </c>
      <c r="CO21" s="17">
        <f>CP21</f>
        <v>0</v>
      </c>
      <c r="CP21" s="17"/>
      <c r="CQ21" s="17">
        <f>CR21+CS21+CT21</f>
        <v>1563900</v>
      </c>
      <c r="CR21" s="17"/>
      <c r="CS21" s="17">
        <v>1562906.9</v>
      </c>
      <c r="CT21" s="17">
        <v>993.1</v>
      </c>
      <c r="CU21" s="17">
        <f>SUM(CV21:DB21)</f>
        <v>123032400</v>
      </c>
      <c r="CV21" s="17"/>
      <c r="CW21" s="17">
        <v>8053300</v>
      </c>
      <c r="CX21" s="283">
        <v>6996900</v>
      </c>
      <c r="CY21" s="14">
        <v>11571200</v>
      </c>
      <c r="CZ21" s="14">
        <v>29000000</v>
      </c>
      <c r="DA21" s="14">
        <v>67411000</v>
      </c>
      <c r="DB21" s="14"/>
      <c r="DC21" s="14">
        <f t="shared" si="1"/>
        <v>0</v>
      </c>
      <c r="DD21" s="14"/>
      <c r="DE21" s="103">
        <f t="shared" si="0"/>
        <v>0</v>
      </c>
      <c r="DF21" s="17"/>
      <c r="DG21" s="17"/>
      <c r="DH21" s="17"/>
      <c r="DI21" s="17">
        <f t="shared" si="2"/>
        <v>13314040</v>
      </c>
      <c r="DJ21" s="17"/>
      <c r="DK21" s="17">
        <v>13314040</v>
      </c>
      <c r="DL21" s="17"/>
      <c r="DM21" s="17"/>
      <c r="DN21" s="17">
        <f t="shared" si="3"/>
        <v>0</v>
      </c>
      <c r="DO21" s="17"/>
      <c r="DP21" s="17">
        <v>0</v>
      </c>
      <c r="DQ21" s="17">
        <v>0</v>
      </c>
      <c r="DR21" s="17"/>
      <c r="DS21" s="17"/>
      <c r="DT21" s="17"/>
      <c r="DU21" s="17"/>
      <c r="DV21" s="17"/>
      <c r="DW21" s="17"/>
      <c r="DX21" s="17"/>
      <c r="DY21" s="17"/>
      <c r="DZ21" s="17">
        <f t="shared" si="4"/>
        <v>0</v>
      </c>
      <c r="EA21" s="17"/>
      <c r="EB21" s="17"/>
      <c r="EC21" s="17"/>
      <c r="ED21" s="17"/>
      <c r="EE21" s="17"/>
      <c r="EF21" s="17">
        <f t="shared" si="5"/>
        <v>0</v>
      </c>
      <c r="EG21" s="17">
        <v>0</v>
      </c>
      <c r="EH21" s="17">
        <v>0</v>
      </c>
      <c r="EI21" s="17"/>
      <c r="EJ21" s="17"/>
      <c r="EK21" s="17">
        <f t="shared" si="6"/>
        <v>0</v>
      </c>
      <c r="EL21" s="17"/>
      <c r="EM21" s="17"/>
      <c r="EN21" s="17"/>
      <c r="EO21" s="3">
        <f t="shared" si="7"/>
        <v>0</v>
      </c>
      <c r="EP21" s="107">
        <v>0</v>
      </c>
      <c r="EQ21" s="79">
        <f t="shared" si="8"/>
        <v>0</v>
      </c>
      <c r="ER21" s="103"/>
      <c r="ES21" s="81">
        <f t="shared" si="9"/>
        <v>0</v>
      </c>
      <c r="ET21" s="17"/>
      <c r="EU21" s="103"/>
      <c r="EV21" s="4">
        <f>C21++BN21+BR21+BT21+BV21+BX21+BY21+BZ21+CN21+EQ21+ES21</f>
        <v>470605851</v>
      </c>
      <c r="EW21" s="23">
        <f>'Ут.План на 01.09.2013'!C22-EV21</f>
        <v>0</v>
      </c>
    </row>
    <row r="22" spans="1:153" x14ac:dyDescent="0.25">
      <c r="A22" s="144">
        <v>18</v>
      </c>
      <c r="B22" s="1" t="s">
        <v>77</v>
      </c>
      <c r="C22" s="22">
        <f>D22+O22+S22+V22+AM22+AW22+Q22</f>
        <v>143035249</v>
      </c>
      <c r="D22" s="2">
        <f>E22+M22</f>
        <v>561200</v>
      </c>
      <c r="E22" s="77">
        <f>SUM(F22:L22)</f>
        <v>560400</v>
      </c>
      <c r="F22" s="41">
        <v>153200</v>
      </c>
      <c r="G22" s="41">
        <v>4700</v>
      </c>
      <c r="H22" s="17"/>
      <c r="I22" s="17"/>
      <c r="J22" s="41">
        <v>341100</v>
      </c>
      <c r="K22" s="17"/>
      <c r="L22" s="41">
        <v>61400</v>
      </c>
      <c r="M22" s="17">
        <f>SUM(N22)</f>
        <v>800</v>
      </c>
      <c r="N22" s="41">
        <v>800</v>
      </c>
      <c r="O22" s="17">
        <f>P22</f>
        <v>876500</v>
      </c>
      <c r="P22" s="41">
        <v>876500</v>
      </c>
      <c r="Q22" s="41">
        <f>R22</f>
        <v>0</v>
      </c>
      <c r="R22" s="41"/>
      <c r="S22" s="17">
        <f>T22</f>
        <v>24149</v>
      </c>
      <c r="T22" s="41">
        <f>250000-225851</f>
        <v>24149</v>
      </c>
      <c r="U22" s="41"/>
      <c r="V22" s="17">
        <f>W22+AA22+AF22+AH22</f>
        <v>103451300</v>
      </c>
      <c r="W22" s="17">
        <f>X22+Y22+Z22</f>
        <v>4500</v>
      </c>
      <c r="X22" s="34"/>
      <c r="Y22" s="41">
        <v>4500</v>
      </c>
      <c r="Z22" s="41"/>
      <c r="AA22" s="17">
        <f>SUM(AB22:AE22)</f>
        <v>101250300</v>
      </c>
      <c r="AB22" s="17"/>
      <c r="AC22" s="41">
        <v>97974300</v>
      </c>
      <c r="AD22" s="41">
        <v>3276000</v>
      </c>
      <c r="AE22" s="41"/>
      <c r="AF22" s="17">
        <f>SUM(AG22)</f>
        <v>1274700</v>
      </c>
      <c r="AG22" s="239">
        <f>882400+392300</f>
        <v>1274700</v>
      </c>
      <c r="AH22" s="41">
        <f>SUM(AI22:AL22)</f>
        <v>921800</v>
      </c>
      <c r="AI22" s="41">
        <v>34800</v>
      </c>
      <c r="AJ22" s="41">
        <v>781000</v>
      </c>
      <c r="AK22" s="41">
        <v>96300</v>
      </c>
      <c r="AL22" s="41">
        <v>9700</v>
      </c>
      <c r="AM22" s="41">
        <f>AN22+AU22</f>
        <v>7380200</v>
      </c>
      <c r="AN22" s="41">
        <f>SUM(AO22:AT22)</f>
        <v>7380200</v>
      </c>
      <c r="AO22" s="41">
        <v>1228600</v>
      </c>
      <c r="AP22" s="41">
        <f>5981900+120000</f>
        <v>6101900</v>
      </c>
      <c r="AQ22" s="41"/>
      <c r="AR22" s="41">
        <v>49700</v>
      </c>
      <c r="AS22" s="17"/>
      <c r="AT22" s="17"/>
      <c r="AU22" s="17"/>
      <c r="AV22" s="17"/>
      <c r="AW22" s="17">
        <f>AX22+BA22+BF22</f>
        <v>30741900</v>
      </c>
      <c r="AX22" s="107">
        <f>SUM(AY22:AZ22)</f>
        <v>23376000</v>
      </c>
      <c r="AY22" s="107"/>
      <c r="AZ22" s="41">
        <v>23376000</v>
      </c>
      <c r="BA22" s="107">
        <f>SUM(BB22:BC22)</f>
        <v>0</v>
      </c>
      <c r="BB22" s="107"/>
      <c r="BC22" s="107"/>
      <c r="BD22" s="107"/>
      <c r="BE22" s="107"/>
      <c r="BF22" s="41">
        <f>SUM(BG22:BM22)</f>
        <v>7365900</v>
      </c>
      <c r="BG22" s="41"/>
      <c r="BH22" s="41"/>
      <c r="BI22" s="41"/>
      <c r="BJ22" s="41"/>
      <c r="BK22" s="243">
        <v>4545300</v>
      </c>
      <c r="BL22" s="41">
        <v>2555000</v>
      </c>
      <c r="BM22" s="41">
        <v>265600</v>
      </c>
      <c r="BN22" s="88">
        <f>BO22</f>
        <v>89000</v>
      </c>
      <c r="BO22" s="17">
        <f>BP22+BQ22</f>
        <v>89000</v>
      </c>
      <c r="BP22" s="30">
        <v>89000</v>
      </c>
      <c r="BQ22" s="30"/>
      <c r="BR22" s="212">
        <f>BS22</f>
        <v>0</v>
      </c>
      <c r="BS22" s="29">
        <v>0</v>
      </c>
      <c r="BT22" s="304">
        <f>BU22</f>
        <v>0</v>
      </c>
      <c r="BU22" s="29"/>
      <c r="BV22" s="314">
        <f>BW22</f>
        <v>0</v>
      </c>
      <c r="BW22" s="29"/>
      <c r="BX22" s="32"/>
      <c r="BY22" s="68"/>
      <c r="BZ22" s="62">
        <f>CC22+CI22+CK22+CA22</f>
        <v>4454900</v>
      </c>
      <c r="CA22" s="17">
        <f>CB22</f>
        <v>1130000</v>
      </c>
      <c r="CB22" s="340">
        <v>1130000</v>
      </c>
      <c r="CC22" s="103">
        <f>CD22+CE22+CH22</f>
        <v>3319100</v>
      </c>
      <c r="CD22" s="103">
        <v>400000</v>
      </c>
      <c r="CE22" s="14">
        <f>CF22+CG22</f>
        <v>2919100</v>
      </c>
      <c r="CF22" s="31">
        <v>748100</v>
      </c>
      <c r="CG22" s="14">
        <v>2171000</v>
      </c>
      <c r="CH22" s="14"/>
      <c r="CI22" s="14">
        <f>CJ22</f>
        <v>5800</v>
      </c>
      <c r="CJ22" s="31">
        <v>5800</v>
      </c>
      <c r="CK22" s="14">
        <f>CL22+CM22</f>
        <v>0</v>
      </c>
      <c r="CL22" s="29">
        <v>0</v>
      </c>
      <c r="CM22" s="30">
        <v>0</v>
      </c>
      <c r="CN22" s="65">
        <f>CO22+CQ22+CU22+DC22+DE22+DI22+DN22+DS22+DU22+DW22+DZ22+EC22+EF22+EK22+EO22</f>
        <v>14222500</v>
      </c>
      <c r="CO22" s="17">
        <f>CP22</f>
        <v>0</v>
      </c>
      <c r="CP22" s="17"/>
      <c r="CQ22" s="17">
        <f>CR22+CS22+CT22</f>
        <v>225800</v>
      </c>
      <c r="CR22" s="17"/>
      <c r="CS22" s="17">
        <v>225741.8</v>
      </c>
      <c r="CT22" s="17">
        <v>58.2</v>
      </c>
      <c r="CU22" s="17">
        <f>SUM(CV22:DB22)</f>
        <v>12706700</v>
      </c>
      <c r="CV22" s="17"/>
      <c r="CW22" s="17">
        <v>5389400</v>
      </c>
      <c r="CX22" s="283">
        <v>0</v>
      </c>
      <c r="CY22" s="14">
        <v>7317300</v>
      </c>
      <c r="CZ22" s="14">
        <v>0</v>
      </c>
      <c r="DA22" s="14">
        <v>0</v>
      </c>
      <c r="DB22" s="14"/>
      <c r="DC22" s="14">
        <f t="shared" si="1"/>
        <v>0</v>
      </c>
      <c r="DD22" s="14"/>
      <c r="DE22" s="103">
        <f t="shared" si="0"/>
        <v>0</v>
      </c>
      <c r="DF22" s="17"/>
      <c r="DG22" s="17"/>
      <c r="DH22" s="17"/>
      <c r="DI22" s="17">
        <f t="shared" si="2"/>
        <v>1290000</v>
      </c>
      <c r="DJ22" s="17"/>
      <c r="DK22" s="17">
        <v>1290000</v>
      </c>
      <c r="DL22" s="17"/>
      <c r="DM22" s="17"/>
      <c r="DN22" s="17">
        <f t="shared" si="3"/>
        <v>0</v>
      </c>
      <c r="DO22" s="17"/>
      <c r="DP22" s="17">
        <v>0</v>
      </c>
      <c r="DQ22" s="17">
        <v>0</v>
      </c>
      <c r="DR22" s="17"/>
      <c r="DS22" s="17"/>
      <c r="DT22" s="17"/>
      <c r="DU22" s="17"/>
      <c r="DV22" s="17"/>
      <c r="DW22" s="17"/>
      <c r="DX22" s="17"/>
      <c r="DY22" s="17"/>
      <c r="DZ22" s="17">
        <f t="shared" si="4"/>
        <v>0</v>
      </c>
      <c r="EA22" s="17"/>
      <c r="EB22" s="17"/>
      <c r="EC22" s="17"/>
      <c r="ED22" s="17"/>
      <c r="EE22" s="17"/>
      <c r="EF22" s="17">
        <f t="shared" si="5"/>
        <v>0</v>
      </c>
      <c r="EG22" s="17">
        <v>0</v>
      </c>
      <c r="EH22" s="17">
        <v>0</v>
      </c>
      <c r="EI22" s="17"/>
      <c r="EJ22" s="17"/>
      <c r="EK22" s="17">
        <f t="shared" si="6"/>
        <v>0</v>
      </c>
      <c r="EL22" s="17"/>
      <c r="EM22" s="17"/>
      <c r="EN22" s="17"/>
      <c r="EO22" s="3">
        <f t="shared" si="7"/>
        <v>0</v>
      </c>
      <c r="EP22" s="107">
        <v>0</v>
      </c>
      <c r="EQ22" s="79">
        <f t="shared" si="8"/>
        <v>0</v>
      </c>
      <c r="ER22" s="103"/>
      <c r="ES22" s="81">
        <f t="shared" si="9"/>
        <v>500000</v>
      </c>
      <c r="ET22" s="17"/>
      <c r="EU22" s="103">
        <v>500000</v>
      </c>
      <c r="EV22" s="4">
        <f>C22++BN22+BR22+BT22+BV22+BX22+BY22+BZ22+CN22+EQ22+ES22</f>
        <v>162301649</v>
      </c>
      <c r="EW22" s="23">
        <f>'Ут.План на 01.09.2013'!C23-EV22</f>
        <v>0</v>
      </c>
    </row>
    <row r="23" spans="1:153" x14ac:dyDescent="0.25">
      <c r="A23" s="144">
        <v>19</v>
      </c>
      <c r="B23" s="1" t="s">
        <v>78</v>
      </c>
      <c r="C23" s="22">
        <f>D23+O23+S23+V23+AM23+AW23+Q23</f>
        <v>418838590</v>
      </c>
      <c r="D23" s="2">
        <f>E23+M23</f>
        <v>1149400</v>
      </c>
      <c r="E23" s="77">
        <f>SUM(F23:L23)</f>
        <v>1148300</v>
      </c>
      <c r="F23" s="41">
        <v>342200</v>
      </c>
      <c r="G23" s="41">
        <v>18500</v>
      </c>
      <c r="H23" s="17"/>
      <c r="I23" s="17"/>
      <c r="J23" s="41">
        <v>707000</v>
      </c>
      <c r="K23" s="17"/>
      <c r="L23" s="41">
        <v>80600</v>
      </c>
      <c r="M23" s="17">
        <f>SUM(N23)</f>
        <v>1100</v>
      </c>
      <c r="N23" s="41">
        <v>1100</v>
      </c>
      <c r="O23" s="17">
        <f>P23</f>
        <v>1950300</v>
      </c>
      <c r="P23" s="41">
        <v>1950300</v>
      </c>
      <c r="Q23" s="41">
        <f>R23</f>
        <v>0</v>
      </c>
      <c r="R23" s="41"/>
      <c r="S23" s="17">
        <f>T23</f>
        <v>124790</v>
      </c>
      <c r="T23" s="41">
        <f>450200-325410</f>
        <v>124790</v>
      </c>
      <c r="U23" s="41"/>
      <c r="V23" s="17">
        <f>W23+AA23+AF23+AH23</f>
        <v>267230700</v>
      </c>
      <c r="W23" s="17">
        <f>X23+Y23+Z23</f>
        <v>6102700</v>
      </c>
      <c r="X23" s="41">
        <v>4902000</v>
      </c>
      <c r="Y23" s="41">
        <v>28700</v>
      </c>
      <c r="Z23" s="41">
        <v>1172000</v>
      </c>
      <c r="AA23" s="17">
        <f>SUM(AB23:AE23)</f>
        <v>252778600</v>
      </c>
      <c r="AB23" s="17">
        <v>1625300</v>
      </c>
      <c r="AC23" s="41">
        <v>246365300</v>
      </c>
      <c r="AD23" s="41">
        <v>4788000</v>
      </c>
      <c r="AE23" s="41"/>
      <c r="AF23" s="17">
        <f>SUM(AG23)</f>
        <v>5204900</v>
      </c>
      <c r="AG23" s="239">
        <v>5204900</v>
      </c>
      <c r="AH23" s="41">
        <f>SUM(AI23:AL23)</f>
        <v>3144500</v>
      </c>
      <c r="AI23" s="41">
        <v>104600</v>
      </c>
      <c r="AJ23" s="41">
        <v>2928600</v>
      </c>
      <c r="AK23" s="41">
        <v>88600</v>
      </c>
      <c r="AL23" s="41">
        <v>22700</v>
      </c>
      <c r="AM23" s="41">
        <f>AN23+AU23</f>
        <v>29463300</v>
      </c>
      <c r="AN23" s="41">
        <f>SUM(AO23:AT23)</f>
        <v>29463300</v>
      </c>
      <c r="AO23" s="41">
        <v>4315300</v>
      </c>
      <c r="AP23" s="41">
        <f>23624300+500000</f>
        <v>24124300</v>
      </c>
      <c r="AQ23" s="41">
        <f>617400+140000</f>
        <v>757400</v>
      </c>
      <c r="AR23" s="41">
        <v>97900</v>
      </c>
      <c r="AS23" s="17">
        <f>333000-100000-64600</f>
        <v>168400</v>
      </c>
      <c r="AT23" s="17"/>
      <c r="AU23" s="17"/>
      <c r="AV23" s="17"/>
      <c r="AW23" s="17">
        <f>AX23+BA23+BF23</f>
        <v>118920100</v>
      </c>
      <c r="AX23" s="107">
        <f>SUM(AY23:AZ23)</f>
        <v>51273000</v>
      </c>
      <c r="AY23" s="107"/>
      <c r="AZ23" s="41">
        <v>51273000</v>
      </c>
      <c r="BA23" s="107">
        <f>SUM(BB23:BC23)</f>
        <v>22000000</v>
      </c>
      <c r="BB23" s="107"/>
      <c r="BC23" s="107">
        <f>12000000+10000000</f>
        <v>22000000</v>
      </c>
      <c r="BD23" s="107"/>
      <c r="BE23" s="107"/>
      <c r="BF23" s="41">
        <f>SUM(BG23:BM23)</f>
        <v>45647100</v>
      </c>
      <c r="BG23" s="41"/>
      <c r="BH23" s="41">
        <f>14000000+7000000</f>
        <v>21000000</v>
      </c>
      <c r="BI23" s="41"/>
      <c r="BJ23" s="41"/>
      <c r="BK23" s="243">
        <v>14293000</v>
      </c>
      <c r="BL23" s="41">
        <v>9999000</v>
      </c>
      <c r="BM23" s="41">
        <v>355100</v>
      </c>
      <c r="BN23" s="88">
        <f>BO23</f>
        <v>106000</v>
      </c>
      <c r="BO23" s="17">
        <f>BP23+BQ23</f>
        <v>106000</v>
      </c>
      <c r="BP23" s="30">
        <v>106000</v>
      </c>
      <c r="BQ23" s="30"/>
      <c r="BR23" s="212">
        <f>BS23</f>
        <v>0</v>
      </c>
      <c r="BS23" s="29">
        <v>0</v>
      </c>
      <c r="BT23" s="304">
        <f>BU23</f>
        <v>0</v>
      </c>
      <c r="BU23" s="29"/>
      <c r="BV23" s="314">
        <f>BW23</f>
        <v>0</v>
      </c>
      <c r="BW23" s="29"/>
      <c r="BX23" s="32"/>
      <c r="BY23" s="68"/>
      <c r="BZ23" s="62">
        <f>CC23+CI23+CK23+CA23</f>
        <v>33341200</v>
      </c>
      <c r="CA23" s="17">
        <f>CB23</f>
        <v>20964000</v>
      </c>
      <c r="CB23" s="340">
        <v>20964000</v>
      </c>
      <c r="CC23" s="103">
        <f>CD23+CE23+CH23</f>
        <v>11695600</v>
      </c>
      <c r="CD23" s="103">
        <v>2500000</v>
      </c>
      <c r="CE23" s="14">
        <f>CF23+CG23</f>
        <v>9195600</v>
      </c>
      <c r="CF23" s="31">
        <f>2368600-50000</f>
        <v>2318600</v>
      </c>
      <c r="CG23" s="14">
        <v>6877000</v>
      </c>
      <c r="CH23" s="14"/>
      <c r="CI23" s="14">
        <f>CJ23</f>
        <v>18300</v>
      </c>
      <c r="CJ23" s="31">
        <v>18300</v>
      </c>
      <c r="CK23" s="14">
        <f>CL23+CM23</f>
        <v>663300</v>
      </c>
      <c r="CL23" s="29">
        <v>661200</v>
      </c>
      <c r="CM23" s="30">
        <v>2100</v>
      </c>
      <c r="CN23" s="65">
        <f>CO23+CQ23+CU23+DC23+DE23+DI23+DN23+DS23+DU23+DW23+DZ23+EC23+EF23+EK23+EO23</f>
        <v>44307630</v>
      </c>
      <c r="CO23" s="17">
        <f>CP23</f>
        <v>660730</v>
      </c>
      <c r="CP23" s="17">
        <v>660730</v>
      </c>
      <c r="CQ23" s="17">
        <f>CR23+CS23+CT23</f>
        <v>325400</v>
      </c>
      <c r="CR23" s="17"/>
      <c r="CS23" s="17">
        <v>325238.3</v>
      </c>
      <c r="CT23" s="17">
        <v>161.69999999999999</v>
      </c>
      <c r="CU23" s="17">
        <f>SUM(CV23:DB23)</f>
        <v>31823500</v>
      </c>
      <c r="CV23" s="17"/>
      <c r="CW23" s="17">
        <v>8579200</v>
      </c>
      <c r="CX23" s="283">
        <v>7848000</v>
      </c>
      <c r="CY23" s="14">
        <v>12896300</v>
      </c>
      <c r="CZ23" s="14">
        <v>2500000</v>
      </c>
      <c r="DA23" s="14">
        <v>0</v>
      </c>
      <c r="DB23" s="14"/>
      <c r="DC23" s="14">
        <f t="shared" si="1"/>
        <v>0</v>
      </c>
      <c r="DD23" s="14"/>
      <c r="DE23" s="103">
        <f t="shared" si="0"/>
        <v>0</v>
      </c>
      <c r="DF23" s="17"/>
      <c r="DG23" s="17"/>
      <c r="DH23" s="17"/>
      <c r="DI23" s="17">
        <f t="shared" si="2"/>
        <v>11498000</v>
      </c>
      <c r="DJ23" s="17"/>
      <c r="DK23" s="17">
        <v>11498000</v>
      </c>
      <c r="DL23" s="17"/>
      <c r="DM23" s="17"/>
      <c r="DN23" s="17">
        <f t="shared" si="3"/>
        <v>0</v>
      </c>
      <c r="DO23" s="17"/>
      <c r="DP23" s="17">
        <v>0</v>
      </c>
      <c r="DQ23" s="17">
        <v>0</v>
      </c>
      <c r="DR23" s="17"/>
      <c r="DS23" s="17"/>
      <c r="DT23" s="17"/>
      <c r="DU23" s="17"/>
      <c r="DV23" s="17"/>
      <c r="DW23" s="17"/>
      <c r="DX23" s="17"/>
      <c r="DY23" s="17"/>
      <c r="DZ23" s="17">
        <f t="shared" si="4"/>
        <v>0</v>
      </c>
      <c r="EA23" s="17"/>
      <c r="EB23" s="17"/>
      <c r="EC23" s="17"/>
      <c r="ED23" s="17"/>
      <c r="EE23" s="17"/>
      <c r="EF23" s="17">
        <f t="shared" si="5"/>
        <v>0</v>
      </c>
      <c r="EG23" s="17">
        <v>0</v>
      </c>
      <c r="EH23" s="17">
        <v>0</v>
      </c>
      <c r="EI23" s="17"/>
      <c r="EJ23" s="17"/>
      <c r="EK23" s="17">
        <f t="shared" si="6"/>
        <v>0</v>
      </c>
      <c r="EL23" s="17"/>
      <c r="EM23" s="17"/>
      <c r="EN23" s="17"/>
      <c r="EO23" s="3">
        <f t="shared" si="7"/>
        <v>0</v>
      </c>
      <c r="EP23" s="107">
        <v>0</v>
      </c>
      <c r="EQ23" s="79">
        <f t="shared" si="8"/>
        <v>0</v>
      </c>
      <c r="ER23" s="103"/>
      <c r="ES23" s="81">
        <f t="shared" si="9"/>
        <v>0</v>
      </c>
      <c r="ET23" s="17"/>
      <c r="EU23" s="103"/>
      <c r="EV23" s="4">
        <f>C23++BN23+BR23+BT23+BV23+BX23+BY23+BZ23+CN23+EQ23+ES23</f>
        <v>496593420</v>
      </c>
      <c r="EW23" s="23">
        <f>'Ут.План на 01.09.2013'!C24-EV23</f>
        <v>0</v>
      </c>
    </row>
    <row r="24" spans="1:153" x14ac:dyDescent="0.25">
      <c r="A24" s="144">
        <v>20</v>
      </c>
      <c r="B24" s="1" t="s">
        <v>79</v>
      </c>
      <c r="C24" s="22">
        <f>D24+O24+S24+V24+AM24+AW24+Q24</f>
        <v>185110100</v>
      </c>
      <c r="D24" s="2">
        <f>E24+M24</f>
        <v>564100</v>
      </c>
      <c r="E24" s="77">
        <f>SUM(F24:L24)</f>
        <v>563500</v>
      </c>
      <c r="F24" s="41">
        <v>153200</v>
      </c>
      <c r="G24" s="41">
        <v>4900</v>
      </c>
      <c r="H24" s="17"/>
      <c r="I24" s="17"/>
      <c r="J24" s="41">
        <v>359300</v>
      </c>
      <c r="K24" s="17"/>
      <c r="L24" s="41">
        <v>46100</v>
      </c>
      <c r="M24" s="17">
        <f>SUM(N24)</f>
        <v>600</v>
      </c>
      <c r="N24" s="41">
        <v>600</v>
      </c>
      <c r="O24" s="17">
        <f>P24</f>
        <v>681300</v>
      </c>
      <c r="P24" s="41">
        <v>681300</v>
      </c>
      <c r="Q24" s="41">
        <f>R24</f>
        <v>0</v>
      </c>
      <c r="R24" s="41"/>
      <c r="S24" s="17">
        <f>T24</f>
        <v>0</v>
      </c>
      <c r="T24" s="41">
        <f>460000-460000</f>
        <v>0</v>
      </c>
      <c r="U24" s="41"/>
      <c r="V24" s="17">
        <f>W24+AA24+AF24+AH24</f>
        <v>92834200</v>
      </c>
      <c r="W24" s="17">
        <f>X24+Y24+Z24</f>
        <v>15100</v>
      </c>
      <c r="X24" s="34"/>
      <c r="Y24" s="41">
        <v>15100</v>
      </c>
      <c r="Z24" s="41"/>
      <c r="AA24" s="17">
        <f>SUM(AB24:AE24)</f>
        <v>90291000</v>
      </c>
      <c r="AB24" s="17"/>
      <c r="AC24" s="41">
        <v>87771000</v>
      </c>
      <c r="AD24" s="41">
        <v>2520000</v>
      </c>
      <c r="AE24" s="41"/>
      <c r="AF24" s="17">
        <f>SUM(AG24)</f>
        <v>1610300</v>
      </c>
      <c r="AG24" s="239">
        <f>1624400-14100</f>
        <v>1610300</v>
      </c>
      <c r="AH24" s="41">
        <f>SUM(AI24:AL24)</f>
        <v>917800</v>
      </c>
      <c r="AI24" s="41">
        <v>46500</v>
      </c>
      <c r="AJ24" s="41">
        <v>781000</v>
      </c>
      <c r="AK24" s="41">
        <v>87600</v>
      </c>
      <c r="AL24" s="41">
        <v>2700</v>
      </c>
      <c r="AM24" s="41">
        <f>AN24+AU24</f>
        <v>7571400</v>
      </c>
      <c r="AN24" s="41">
        <f>SUM(AO24:AT24)</f>
        <v>7571400</v>
      </c>
      <c r="AO24" s="41">
        <v>1081700</v>
      </c>
      <c r="AP24" s="41">
        <v>6489700</v>
      </c>
      <c r="AQ24" s="41"/>
      <c r="AR24" s="41"/>
      <c r="AS24" s="17"/>
      <c r="AT24" s="17"/>
      <c r="AU24" s="17"/>
      <c r="AV24" s="17"/>
      <c r="AW24" s="17">
        <f>AX24+BA24+BF24</f>
        <v>83459100</v>
      </c>
      <c r="AX24" s="107">
        <f>SUM(AY24:AZ24)</f>
        <v>64678000</v>
      </c>
      <c r="AY24" s="107"/>
      <c r="AZ24" s="41">
        <v>64678000</v>
      </c>
      <c r="BA24" s="107">
        <f>SUM(BB24:BC24)</f>
        <v>5500000</v>
      </c>
      <c r="BB24" s="107"/>
      <c r="BC24" s="107">
        <v>5500000</v>
      </c>
      <c r="BD24" s="107"/>
      <c r="BE24" s="107"/>
      <c r="BF24" s="41">
        <f>SUM(BG24:BM24)</f>
        <v>13281100</v>
      </c>
      <c r="BG24" s="41">
        <v>2600000</v>
      </c>
      <c r="BH24" s="41"/>
      <c r="BI24" s="41"/>
      <c r="BJ24" s="41"/>
      <c r="BK24" s="243">
        <v>7833300</v>
      </c>
      <c r="BL24" s="41">
        <v>2652000</v>
      </c>
      <c r="BM24" s="41">
        <v>195800</v>
      </c>
      <c r="BN24" s="88">
        <f>BO24</f>
        <v>121000</v>
      </c>
      <c r="BO24" s="17">
        <f>BP24+BQ24</f>
        <v>121000</v>
      </c>
      <c r="BP24" s="30">
        <v>121000</v>
      </c>
      <c r="BQ24" s="30"/>
      <c r="BR24" s="212">
        <f>BS24</f>
        <v>0</v>
      </c>
      <c r="BS24" s="29">
        <v>0</v>
      </c>
      <c r="BT24" s="304">
        <f>BU24</f>
        <v>0</v>
      </c>
      <c r="BU24" s="29"/>
      <c r="BV24" s="314">
        <f>BW24</f>
        <v>0</v>
      </c>
      <c r="BW24" s="29"/>
      <c r="BX24" s="32"/>
      <c r="BY24" s="68"/>
      <c r="BZ24" s="62">
        <f>CC24+CI24+CK24+CA24</f>
        <v>5200800</v>
      </c>
      <c r="CA24" s="17">
        <f>CB24</f>
        <v>0</v>
      </c>
      <c r="CB24" s="340">
        <v>0</v>
      </c>
      <c r="CC24" s="103">
        <f>CD24+CE24+CH24</f>
        <v>5194500</v>
      </c>
      <c r="CD24" s="103">
        <v>2000000</v>
      </c>
      <c r="CE24" s="14">
        <f>CF24+CG24</f>
        <v>3194500</v>
      </c>
      <c r="CF24" s="31">
        <v>818500</v>
      </c>
      <c r="CG24" s="14">
        <v>2376000</v>
      </c>
      <c r="CH24" s="14"/>
      <c r="CI24" s="14">
        <f>CJ24</f>
        <v>6300</v>
      </c>
      <c r="CJ24" s="31">
        <v>6300</v>
      </c>
      <c r="CK24" s="14">
        <f>CL24+CM24</f>
        <v>0</v>
      </c>
      <c r="CL24" s="29">
        <v>0</v>
      </c>
      <c r="CM24" s="30">
        <v>0</v>
      </c>
      <c r="CN24" s="65">
        <f>CO24+CQ24+CU24+DC24+DE24+DI24+DN24+DS24+DU24+DW24+DZ24+EC24+EF24+EK24+EO24</f>
        <v>10973800</v>
      </c>
      <c r="CO24" s="17">
        <f>CP24</f>
        <v>0</v>
      </c>
      <c r="CP24" s="17"/>
      <c r="CQ24" s="17">
        <f>CR24+CS24+CT24</f>
        <v>460000</v>
      </c>
      <c r="CR24" s="17"/>
      <c r="CS24" s="17">
        <v>459982</v>
      </c>
      <c r="CT24" s="17">
        <v>18</v>
      </c>
      <c r="CU24" s="17">
        <f>SUM(CV24:DB24)</f>
        <v>8793800</v>
      </c>
      <c r="CV24" s="17"/>
      <c r="CW24" s="17">
        <v>3497200</v>
      </c>
      <c r="CX24" s="283">
        <v>339200</v>
      </c>
      <c r="CY24" s="14">
        <v>4957400</v>
      </c>
      <c r="CZ24" s="14">
        <v>0</v>
      </c>
      <c r="DA24" s="14">
        <v>0</v>
      </c>
      <c r="DB24" s="14"/>
      <c r="DC24" s="14">
        <f t="shared" si="1"/>
        <v>0</v>
      </c>
      <c r="DD24" s="14"/>
      <c r="DE24" s="103">
        <f t="shared" si="0"/>
        <v>0</v>
      </c>
      <c r="DF24" s="17"/>
      <c r="DG24" s="17"/>
      <c r="DH24" s="17"/>
      <c r="DI24" s="17">
        <f t="shared" si="2"/>
        <v>1720000</v>
      </c>
      <c r="DJ24" s="17"/>
      <c r="DK24" s="17">
        <v>1720000</v>
      </c>
      <c r="DL24" s="17"/>
      <c r="DM24" s="17"/>
      <c r="DN24" s="17">
        <f t="shared" si="3"/>
        <v>0</v>
      </c>
      <c r="DO24" s="17"/>
      <c r="DP24" s="17">
        <v>0</v>
      </c>
      <c r="DQ24" s="17">
        <v>0</v>
      </c>
      <c r="DR24" s="17"/>
      <c r="DS24" s="17"/>
      <c r="DT24" s="17"/>
      <c r="DU24" s="17"/>
      <c r="DV24" s="17"/>
      <c r="DW24" s="17"/>
      <c r="DX24" s="17"/>
      <c r="DY24" s="17"/>
      <c r="DZ24" s="17">
        <f t="shared" si="4"/>
        <v>0</v>
      </c>
      <c r="EA24" s="17"/>
      <c r="EB24" s="17"/>
      <c r="EC24" s="17"/>
      <c r="ED24" s="17"/>
      <c r="EE24" s="17"/>
      <c r="EF24" s="17">
        <f t="shared" si="5"/>
        <v>0</v>
      </c>
      <c r="EG24" s="17">
        <v>0</v>
      </c>
      <c r="EH24" s="17">
        <v>0</v>
      </c>
      <c r="EI24" s="17"/>
      <c r="EJ24" s="17"/>
      <c r="EK24" s="17">
        <f t="shared" si="6"/>
        <v>0</v>
      </c>
      <c r="EL24" s="17"/>
      <c r="EM24" s="17"/>
      <c r="EN24" s="17"/>
      <c r="EO24" s="3">
        <f t="shared" si="7"/>
        <v>0</v>
      </c>
      <c r="EP24" s="107">
        <v>0</v>
      </c>
      <c r="EQ24" s="79">
        <f t="shared" si="8"/>
        <v>0</v>
      </c>
      <c r="ER24" s="103"/>
      <c r="ES24" s="81">
        <f t="shared" si="9"/>
        <v>0</v>
      </c>
      <c r="ET24" s="17"/>
      <c r="EU24" s="103"/>
      <c r="EV24" s="4">
        <f>C24++BN24+BR24+BT24+BV24+BX24+BY24+BZ24+CN24+EQ24+ES24</f>
        <v>201405700</v>
      </c>
      <c r="EW24" s="23">
        <f>'Ут.План на 01.09.2013'!C25-EV24</f>
        <v>0</v>
      </c>
    </row>
    <row r="25" spans="1:153" ht="25.5" customHeight="1" x14ac:dyDescent="0.25">
      <c r="A25" s="144">
        <v>21</v>
      </c>
      <c r="B25" s="1" t="s">
        <v>80</v>
      </c>
      <c r="C25" s="22">
        <f>D25+O25+S25+V25+AM25+AW25+Q25</f>
        <v>197105381</v>
      </c>
      <c r="D25" s="2">
        <f>E25+M25</f>
        <v>584500</v>
      </c>
      <c r="E25" s="77">
        <f>SUM(F25:L25)</f>
        <v>583800</v>
      </c>
      <c r="F25" s="41">
        <v>162200</v>
      </c>
      <c r="G25" s="41">
        <v>8500</v>
      </c>
      <c r="H25" s="17"/>
      <c r="I25" s="17"/>
      <c r="J25" s="41">
        <v>359300</v>
      </c>
      <c r="K25" s="17"/>
      <c r="L25" s="41">
        <v>53800</v>
      </c>
      <c r="M25" s="17">
        <f>SUM(N25)</f>
        <v>700</v>
      </c>
      <c r="N25" s="41">
        <v>700</v>
      </c>
      <c r="O25" s="17">
        <f>P25</f>
        <v>1288100</v>
      </c>
      <c r="P25" s="41">
        <v>1288100</v>
      </c>
      <c r="Q25" s="41">
        <f>R25</f>
        <v>0</v>
      </c>
      <c r="R25" s="41"/>
      <c r="S25" s="17">
        <f>T25</f>
        <v>48381</v>
      </c>
      <c r="T25" s="41">
        <f>480600-432219</f>
        <v>48381</v>
      </c>
      <c r="U25" s="41"/>
      <c r="V25" s="17">
        <f>W25+AA25+AF25+AH25</f>
        <v>129848200</v>
      </c>
      <c r="W25" s="17">
        <f>X25+Y25+Z25</f>
        <v>1232400</v>
      </c>
      <c r="X25" s="41">
        <v>1199100</v>
      </c>
      <c r="Y25" s="41">
        <v>33300</v>
      </c>
      <c r="Z25" s="41"/>
      <c r="AA25" s="17">
        <f>SUM(AB25:AE25)</f>
        <v>122955600</v>
      </c>
      <c r="AB25" s="17">
        <v>2177800</v>
      </c>
      <c r="AC25" s="41">
        <v>117106200</v>
      </c>
      <c r="AD25" s="41">
        <v>3671600</v>
      </c>
      <c r="AE25" s="41"/>
      <c r="AF25" s="17">
        <f>SUM(AG25)</f>
        <v>4112900</v>
      </c>
      <c r="AG25" s="239">
        <f>4054100+58800</f>
        <v>4112900</v>
      </c>
      <c r="AH25" s="41">
        <f>SUM(AI25:AL25)</f>
        <v>1547300</v>
      </c>
      <c r="AI25" s="41">
        <v>69600</v>
      </c>
      <c r="AJ25" s="41">
        <v>1366700</v>
      </c>
      <c r="AK25" s="41">
        <v>105000</v>
      </c>
      <c r="AL25" s="41">
        <v>6000</v>
      </c>
      <c r="AM25" s="41">
        <f>AN25+AU25</f>
        <v>13631100</v>
      </c>
      <c r="AN25" s="41">
        <f>SUM(AO25:AT25)</f>
        <v>13631100</v>
      </c>
      <c r="AO25" s="41">
        <v>2438100</v>
      </c>
      <c r="AP25" s="41">
        <v>10972800</v>
      </c>
      <c r="AQ25" s="41">
        <v>220200</v>
      </c>
      <c r="AR25" s="41"/>
      <c r="AS25" s="17"/>
      <c r="AT25" s="17"/>
      <c r="AU25" s="17"/>
      <c r="AV25" s="17"/>
      <c r="AW25" s="17">
        <f>AX25+BA25+BF25</f>
        <v>51705100</v>
      </c>
      <c r="AX25" s="107">
        <f>SUM(AY25:AZ25)</f>
        <v>32600000</v>
      </c>
      <c r="AY25" s="107"/>
      <c r="AZ25" s="41">
        <v>32600000</v>
      </c>
      <c r="BA25" s="107">
        <f>SUM(BB25:BC25)</f>
        <v>0</v>
      </c>
      <c r="BB25" s="107"/>
      <c r="BC25" s="107"/>
      <c r="BD25" s="107"/>
      <c r="BE25" s="107"/>
      <c r="BF25" s="41">
        <f>SUM(BG25:BM25)</f>
        <v>19105100</v>
      </c>
      <c r="BG25" s="41"/>
      <c r="BH25" s="41">
        <v>2000000</v>
      </c>
      <c r="BI25" s="41"/>
      <c r="BJ25" s="41"/>
      <c r="BK25" s="243">
        <v>12272900</v>
      </c>
      <c r="BL25" s="41">
        <v>4602000</v>
      </c>
      <c r="BM25" s="41">
        <v>230200</v>
      </c>
      <c r="BN25" s="88">
        <f>BO25</f>
        <v>113000</v>
      </c>
      <c r="BO25" s="17">
        <f>BP25+BQ25</f>
        <v>113000</v>
      </c>
      <c r="BP25" s="30">
        <v>113000</v>
      </c>
      <c r="BQ25" s="30"/>
      <c r="BR25" s="212">
        <f>BS25</f>
        <v>0</v>
      </c>
      <c r="BS25" s="29">
        <v>0</v>
      </c>
      <c r="BT25" s="304">
        <f>BU25</f>
        <v>0</v>
      </c>
      <c r="BU25" s="29"/>
      <c r="BV25" s="314">
        <f>BW25</f>
        <v>96000</v>
      </c>
      <c r="BW25" s="29">
        <v>96000</v>
      </c>
      <c r="BX25" s="32"/>
      <c r="BY25" s="68"/>
      <c r="BZ25" s="62">
        <f>CC25+CI25+CK25+CA25</f>
        <v>13228000</v>
      </c>
      <c r="CA25" s="17">
        <f>CB25</f>
        <v>4630200</v>
      </c>
      <c r="CB25" s="340">
        <v>4630200</v>
      </c>
      <c r="CC25" s="103">
        <f>CD25+CE25+CH25</f>
        <v>8590500</v>
      </c>
      <c r="CD25" s="103">
        <v>5000000</v>
      </c>
      <c r="CE25" s="14">
        <f>CF25+CG25</f>
        <v>3590500</v>
      </c>
      <c r="CF25" s="31">
        <f>945500-100000</f>
        <v>845500</v>
      </c>
      <c r="CG25" s="14">
        <v>2745000</v>
      </c>
      <c r="CH25" s="14"/>
      <c r="CI25" s="14">
        <f>CJ25</f>
        <v>7300</v>
      </c>
      <c r="CJ25" s="31">
        <v>7300</v>
      </c>
      <c r="CK25" s="14">
        <f>CL25+CM25</f>
        <v>0</v>
      </c>
      <c r="CL25" s="29">
        <v>0</v>
      </c>
      <c r="CM25" s="30">
        <v>0</v>
      </c>
      <c r="CN25" s="65">
        <f>CO25+CQ25+CU25+DC25+DE25+DI25+DN25+DS25+DU25+DW25+DZ25+EC25+EF25+EK25+EO25</f>
        <v>20643000</v>
      </c>
      <c r="CO25" s="17">
        <f>CP25</f>
        <v>0</v>
      </c>
      <c r="CP25" s="17"/>
      <c r="CQ25" s="17">
        <f>CR25+CS25+CT25</f>
        <v>432200</v>
      </c>
      <c r="CR25" s="17"/>
      <c r="CS25" s="17">
        <v>432107.1</v>
      </c>
      <c r="CT25" s="17">
        <v>92.9</v>
      </c>
      <c r="CU25" s="17">
        <f>SUM(CV25:DB25)</f>
        <v>17060800</v>
      </c>
      <c r="CV25" s="17"/>
      <c r="CW25" s="17">
        <v>5722000</v>
      </c>
      <c r="CX25" s="283">
        <v>872300</v>
      </c>
      <c r="CY25" s="14">
        <v>8166500</v>
      </c>
      <c r="CZ25" s="14">
        <v>2300000</v>
      </c>
      <c r="DA25" s="14">
        <v>0</v>
      </c>
      <c r="DB25" s="14"/>
      <c r="DC25" s="14">
        <f t="shared" si="1"/>
        <v>0</v>
      </c>
      <c r="DD25" s="14"/>
      <c r="DE25" s="103">
        <f t="shared" si="0"/>
        <v>0</v>
      </c>
      <c r="DF25" s="17"/>
      <c r="DG25" s="17"/>
      <c r="DH25" s="17"/>
      <c r="DI25" s="17">
        <f t="shared" si="2"/>
        <v>3150000</v>
      </c>
      <c r="DJ25" s="17"/>
      <c r="DK25" s="17">
        <v>3150000</v>
      </c>
      <c r="DL25" s="17"/>
      <c r="DM25" s="17"/>
      <c r="DN25" s="17">
        <f t="shared" si="3"/>
        <v>0</v>
      </c>
      <c r="DO25" s="17"/>
      <c r="DP25" s="17">
        <v>0</v>
      </c>
      <c r="DQ25" s="17">
        <v>0</v>
      </c>
      <c r="DR25" s="17"/>
      <c r="DS25" s="17"/>
      <c r="DT25" s="17"/>
      <c r="DU25" s="17"/>
      <c r="DV25" s="17"/>
      <c r="DW25" s="17"/>
      <c r="DX25" s="17"/>
      <c r="DY25" s="17"/>
      <c r="DZ25" s="17">
        <f t="shared" si="4"/>
        <v>0</v>
      </c>
      <c r="EA25" s="17"/>
      <c r="EB25" s="17"/>
      <c r="EC25" s="17"/>
      <c r="ED25" s="17"/>
      <c r="EE25" s="17"/>
      <c r="EF25" s="17">
        <f t="shared" si="5"/>
        <v>0</v>
      </c>
      <c r="EG25" s="17">
        <v>0</v>
      </c>
      <c r="EH25" s="17">
        <v>0</v>
      </c>
      <c r="EI25" s="17"/>
      <c r="EJ25" s="17"/>
      <c r="EK25" s="17">
        <f t="shared" si="6"/>
        <v>0</v>
      </c>
      <c r="EL25" s="17"/>
      <c r="EM25" s="17"/>
      <c r="EN25" s="17"/>
      <c r="EO25" s="3">
        <f t="shared" si="7"/>
        <v>0</v>
      </c>
      <c r="EP25" s="107">
        <v>0</v>
      </c>
      <c r="EQ25" s="79">
        <f t="shared" si="8"/>
        <v>0</v>
      </c>
      <c r="ER25" s="103"/>
      <c r="ES25" s="81">
        <f t="shared" si="9"/>
        <v>0</v>
      </c>
      <c r="ET25" s="17"/>
      <c r="EU25" s="103"/>
      <c r="EV25" s="4">
        <f>C25++BN25+BR25+BT25+BV25+BX25+BY25+BZ25+CN25+EQ25+ES25</f>
        <v>231185381</v>
      </c>
      <c r="EW25" s="23">
        <f>'Ут.План на 01.09.2013'!C26-EV25</f>
        <v>0</v>
      </c>
    </row>
    <row r="26" spans="1:153" x14ac:dyDescent="0.25">
      <c r="A26" s="144">
        <v>22</v>
      </c>
      <c r="B26" s="1" t="s">
        <v>81</v>
      </c>
      <c r="C26" s="22">
        <f>D26+O26+S26+V26+AM26+AW26+Q26</f>
        <v>268067903</v>
      </c>
      <c r="D26" s="2">
        <f>E26+M26</f>
        <v>747700</v>
      </c>
      <c r="E26" s="77">
        <f>SUM(F26:L26)</f>
        <v>747000</v>
      </c>
      <c r="F26" s="41">
        <v>324200</v>
      </c>
      <c r="G26" s="41">
        <v>9700</v>
      </c>
      <c r="H26" s="17"/>
      <c r="I26" s="17"/>
      <c r="J26" s="41">
        <v>359300</v>
      </c>
      <c r="K26" s="17"/>
      <c r="L26" s="41">
        <v>53800</v>
      </c>
      <c r="M26" s="17">
        <f>SUM(N26)</f>
        <v>700</v>
      </c>
      <c r="N26" s="41">
        <v>700</v>
      </c>
      <c r="O26" s="17">
        <f>P26</f>
        <v>1066200</v>
      </c>
      <c r="P26" s="41">
        <v>1066200</v>
      </c>
      <c r="Q26" s="41">
        <f>R26</f>
        <v>0</v>
      </c>
      <c r="R26" s="41"/>
      <c r="S26" s="17">
        <f>T26</f>
        <v>72703</v>
      </c>
      <c r="T26" s="41">
        <f>830900-758197</f>
        <v>72703</v>
      </c>
      <c r="U26" s="41"/>
      <c r="V26" s="17">
        <f>W26+AA26+AF26+AH26</f>
        <v>176169300</v>
      </c>
      <c r="W26" s="17">
        <f>X26+Y26+Z26</f>
        <v>1095900</v>
      </c>
      <c r="X26" s="41">
        <v>1093300</v>
      </c>
      <c r="Y26" s="41">
        <f>9100-6500</f>
        <v>2600</v>
      </c>
      <c r="Z26" s="41"/>
      <c r="AA26" s="17">
        <f>SUM(AB26:AE26)</f>
        <v>168195900</v>
      </c>
      <c r="AB26" s="17">
        <v>1202700</v>
      </c>
      <c r="AC26" s="41">
        <v>162709200</v>
      </c>
      <c r="AD26" s="41">
        <v>4284000</v>
      </c>
      <c r="AE26" s="41"/>
      <c r="AF26" s="17">
        <f>SUM(AG26)</f>
        <v>5181000</v>
      </c>
      <c r="AG26" s="239">
        <f>5461200-280200</f>
        <v>5181000</v>
      </c>
      <c r="AH26" s="41">
        <f>SUM(AI26:AL26)</f>
        <v>1696500</v>
      </c>
      <c r="AI26" s="41">
        <v>45400</v>
      </c>
      <c r="AJ26" s="41">
        <v>1561900</v>
      </c>
      <c r="AK26" s="41">
        <v>87600</v>
      </c>
      <c r="AL26" s="41">
        <v>1600</v>
      </c>
      <c r="AM26" s="41">
        <f>AN26+AU26</f>
        <v>10502500</v>
      </c>
      <c r="AN26" s="41">
        <f>SUM(AO26:AT26)</f>
        <v>10502500</v>
      </c>
      <c r="AO26" s="41">
        <v>1936300</v>
      </c>
      <c r="AP26" s="41">
        <v>8366400</v>
      </c>
      <c r="AQ26" s="41"/>
      <c r="AR26" s="41"/>
      <c r="AS26" s="17">
        <v>199800</v>
      </c>
      <c r="AT26" s="17"/>
      <c r="AU26" s="17"/>
      <c r="AV26" s="17"/>
      <c r="AW26" s="17">
        <f>AX26+BA26+BF26</f>
        <v>79509500</v>
      </c>
      <c r="AX26" s="107">
        <f>SUM(AY26:AZ26)</f>
        <v>35072000</v>
      </c>
      <c r="AY26" s="107"/>
      <c r="AZ26" s="41">
        <v>35072000</v>
      </c>
      <c r="BA26" s="107">
        <f>SUM(BB26:BC26)</f>
        <v>31103800</v>
      </c>
      <c r="BB26" s="107"/>
      <c r="BC26" s="107">
        <v>31103800</v>
      </c>
      <c r="BD26" s="107"/>
      <c r="BE26" s="107"/>
      <c r="BF26" s="41">
        <f>SUM(BG26:BM26)</f>
        <v>13333700</v>
      </c>
      <c r="BG26" s="41"/>
      <c r="BH26" s="41"/>
      <c r="BI26" s="41"/>
      <c r="BJ26" s="41"/>
      <c r="BK26" s="243">
        <v>7863500</v>
      </c>
      <c r="BL26" s="41">
        <v>5239000</v>
      </c>
      <c r="BM26" s="41">
        <v>231200</v>
      </c>
      <c r="BN26" s="88">
        <f>BO26</f>
        <v>92000</v>
      </c>
      <c r="BO26" s="17">
        <f>BP26+BQ26</f>
        <v>92000</v>
      </c>
      <c r="BP26" s="30">
        <v>92000</v>
      </c>
      <c r="BQ26" s="30"/>
      <c r="BR26" s="212">
        <f>BS26</f>
        <v>0</v>
      </c>
      <c r="BS26" s="29">
        <v>0</v>
      </c>
      <c r="BT26" s="304">
        <f>BU26</f>
        <v>0</v>
      </c>
      <c r="BU26" s="29"/>
      <c r="BV26" s="314">
        <f>BW26</f>
        <v>0</v>
      </c>
      <c r="BW26" s="29"/>
      <c r="BX26" s="32"/>
      <c r="BY26" s="68"/>
      <c r="BZ26" s="62">
        <f>CC26+CI26+CK26+CA26</f>
        <v>7379000</v>
      </c>
      <c r="CA26" s="17">
        <f>CB26</f>
        <v>1200000</v>
      </c>
      <c r="CB26" s="340">
        <v>1200000</v>
      </c>
      <c r="CC26" s="103">
        <f>CD26+CE26+CH26</f>
        <v>6168000</v>
      </c>
      <c r="CD26" s="103">
        <v>500000</v>
      </c>
      <c r="CE26" s="14">
        <f>CF26+CG26</f>
        <v>5668000</v>
      </c>
      <c r="CF26" s="31">
        <v>853000</v>
      </c>
      <c r="CG26" s="14">
        <v>4815000</v>
      </c>
      <c r="CH26" s="14"/>
      <c r="CI26" s="14">
        <f>CJ26</f>
        <v>11000</v>
      </c>
      <c r="CJ26" s="31">
        <v>11000</v>
      </c>
      <c r="CK26" s="14">
        <f>CL26+CM26</f>
        <v>0</v>
      </c>
      <c r="CL26" s="29">
        <v>0</v>
      </c>
      <c r="CM26" s="30">
        <v>0</v>
      </c>
      <c r="CN26" s="65">
        <f>CO26+CQ26+CU26+DC26+DE26+DI26+DN26+DS26+DU26+DW26+DZ26+EC26+EF26+EK26+EO26</f>
        <v>31190548</v>
      </c>
      <c r="CO26" s="17">
        <f>CP26</f>
        <v>0</v>
      </c>
      <c r="CP26" s="17"/>
      <c r="CQ26" s="17">
        <f>CR26+CS26+CT26</f>
        <v>758248</v>
      </c>
      <c r="CR26" s="17"/>
      <c r="CS26" s="17">
        <v>757955</v>
      </c>
      <c r="CT26" s="17">
        <v>293</v>
      </c>
      <c r="CU26" s="17">
        <f>SUM(CV26:DB26)</f>
        <v>30376300</v>
      </c>
      <c r="CV26" s="17"/>
      <c r="CW26" s="17">
        <v>7637000</v>
      </c>
      <c r="CX26" s="283">
        <v>12029800</v>
      </c>
      <c r="CY26" s="14">
        <v>10709500</v>
      </c>
      <c r="CZ26" s="14">
        <v>0</v>
      </c>
      <c r="DA26" s="14">
        <v>0</v>
      </c>
      <c r="DB26" s="14"/>
      <c r="DC26" s="14">
        <f t="shared" si="1"/>
        <v>0</v>
      </c>
      <c r="DD26" s="14"/>
      <c r="DE26" s="103">
        <f t="shared" si="0"/>
        <v>0</v>
      </c>
      <c r="DF26" s="17"/>
      <c r="DG26" s="17"/>
      <c r="DH26" s="17"/>
      <c r="DI26" s="17">
        <f t="shared" si="2"/>
        <v>0</v>
      </c>
      <c r="DJ26" s="17"/>
      <c r="DK26" s="17">
        <v>0</v>
      </c>
      <c r="DL26" s="17"/>
      <c r="DM26" s="17"/>
      <c r="DN26" s="17">
        <f t="shared" si="3"/>
        <v>56000</v>
      </c>
      <c r="DO26" s="17"/>
      <c r="DP26" s="17">
        <v>0</v>
      </c>
      <c r="DQ26" s="17">
        <v>56000</v>
      </c>
      <c r="DR26" s="17"/>
      <c r="DS26" s="17"/>
      <c r="DT26" s="17"/>
      <c r="DU26" s="17"/>
      <c r="DV26" s="17"/>
      <c r="DW26" s="17"/>
      <c r="DX26" s="17"/>
      <c r="DY26" s="17"/>
      <c r="DZ26" s="17">
        <f t="shared" si="4"/>
        <v>0</v>
      </c>
      <c r="EA26" s="17"/>
      <c r="EB26" s="17"/>
      <c r="EC26" s="17"/>
      <c r="ED26" s="17"/>
      <c r="EE26" s="17"/>
      <c r="EF26" s="17">
        <f t="shared" si="5"/>
        <v>0</v>
      </c>
      <c r="EG26" s="17">
        <v>0</v>
      </c>
      <c r="EH26" s="17">
        <v>0</v>
      </c>
      <c r="EI26" s="17"/>
      <c r="EJ26" s="17"/>
      <c r="EK26" s="17">
        <f t="shared" si="6"/>
        <v>0</v>
      </c>
      <c r="EL26" s="17"/>
      <c r="EM26" s="17"/>
      <c r="EN26" s="17"/>
      <c r="EO26" s="3">
        <f t="shared" si="7"/>
        <v>0</v>
      </c>
      <c r="EP26" s="107">
        <v>0</v>
      </c>
      <c r="EQ26" s="79">
        <f t="shared" si="8"/>
        <v>0</v>
      </c>
      <c r="ER26" s="103"/>
      <c r="ES26" s="81">
        <f t="shared" si="9"/>
        <v>0</v>
      </c>
      <c r="ET26" s="17"/>
      <c r="EU26" s="103"/>
      <c r="EV26" s="4">
        <f>C26++BN26+BR26+BT26+BV26+BX26+BY26+BZ26+CN26+EQ26+ES26</f>
        <v>306729451</v>
      </c>
      <c r="EW26" s="23">
        <f>'Ут.План на 01.09.2013'!C27-EV26</f>
        <v>0</v>
      </c>
    </row>
    <row r="27" spans="1:153" x14ac:dyDescent="0.25">
      <c r="A27" s="144">
        <v>23</v>
      </c>
      <c r="B27" s="1" t="s">
        <v>82</v>
      </c>
      <c r="C27" s="22">
        <f>D27+O27+S27+V27+AM27+AW27+Q27</f>
        <v>254437853</v>
      </c>
      <c r="D27" s="2">
        <f>E27+M27</f>
        <v>969700</v>
      </c>
      <c r="E27" s="77">
        <f>SUM(F27:L27)</f>
        <v>969000</v>
      </c>
      <c r="F27" s="41">
        <v>324200</v>
      </c>
      <c r="G27" s="41">
        <v>10400</v>
      </c>
      <c r="H27" s="17"/>
      <c r="I27" s="17"/>
      <c r="J27" s="41">
        <v>359300</v>
      </c>
      <c r="K27" s="17">
        <v>217500</v>
      </c>
      <c r="L27" s="41">
        <v>57600</v>
      </c>
      <c r="M27" s="17">
        <f>SUM(N27)</f>
        <v>700</v>
      </c>
      <c r="N27" s="41">
        <v>700</v>
      </c>
      <c r="O27" s="17">
        <f>P27</f>
        <v>1221200</v>
      </c>
      <c r="P27" s="41">
        <v>1221200</v>
      </c>
      <c r="Q27" s="41">
        <f>R27</f>
        <v>0</v>
      </c>
      <c r="R27" s="41"/>
      <c r="S27" s="17">
        <f>T27</f>
        <v>204719</v>
      </c>
      <c r="T27" s="41">
        <f>1204600-999881</f>
        <v>204719</v>
      </c>
      <c r="U27" s="41"/>
      <c r="V27" s="17">
        <f>W27+AA27+AF27+AH27</f>
        <v>164372800</v>
      </c>
      <c r="W27" s="17">
        <f>X27+Y27+Z27</f>
        <v>3033800</v>
      </c>
      <c r="X27" s="41">
        <v>1833800</v>
      </c>
      <c r="Y27" s="34"/>
      <c r="Z27" s="34">
        <v>1200000</v>
      </c>
      <c r="AA27" s="17">
        <f>SUM(AB27:AE27)</f>
        <v>157060000</v>
      </c>
      <c r="AB27" s="17">
        <v>942600</v>
      </c>
      <c r="AC27" s="41">
        <v>152085400</v>
      </c>
      <c r="AD27" s="41">
        <v>4032000</v>
      </c>
      <c r="AE27" s="41"/>
      <c r="AF27" s="17">
        <f>SUM(AG27)</f>
        <v>2527800</v>
      </c>
      <c r="AG27" s="239">
        <v>2527800</v>
      </c>
      <c r="AH27" s="41">
        <f>SUM(AI27:AL27)</f>
        <v>1751200</v>
      </c>
      <c r="AI27" s="41">
        <v>93000</v>
      </c>
      <c r="AJ27" s="41">
        <v>1561900</v>
      </c>
      <c r="AK27" s="41">
        <v>96300</v>
      </c>
      <c r="AL27" s="34"/>
      <c r="AM27" s="41">
        <f>AN27+AU27</f>
        <v>15620500</v>
      </c>
      <c r="AN27" s="41">
        <f>SUM(AO27:AT27)</f>
        <v>15620500</v>
      </c>
      <c r="AO27" s="41">
        <v>3774600</v>
      </c>
      <c r="AP27" s="41">
        <v>11804900</v>
      </c>
      <c r="AQ27" s="41"/>
      <c r="AR27" s="41">
        <v>41000</v>
      </c>
      <c r="AS27" s="17"/>
      <c r="AT27" s="17"/>
      <c r="AU27" s="17"/>
      <c r="AV27" s="17"/>
      <c r="AW27" s="17">
        <f>AX27+BA27+BF27</f>
        <v>72048934</v>
      </c>
      <c r="AX27" s="107">
        <f>SUM(AY27:AZ27)</f>
        <v>46850000</v>
      </c>
      <c r="AY27" s="107"/>
      <c r="AZ27" s="41">
        <v>46850000</v>
      </c>
      <c r="BA27" s="107">
        <f>SUM(BB27:BC27)</f>
        <v>7000000</v>
      </c>
      <c r="BB27" s="107"/>
      <c r="BC27" s="107">
        <v>7000000</v>
      </c>
      <c r="BD27" s="107"/>
      <c r="BE27" s="107"/>
      <c r="BF27" s="41">
        <f>SUM(BG27:BM27)</f>
        <v>18198934</v>
      </c>
      <c r="BG27" s="41"/>
      <c r="BH27" s="41">
        <v>1962434</v>
      </c>
      <c r="BI27" s="41"/>
      <c r="BJ27" s="41"/>
      <c r="BK27" s="243">
        <v>10377700</v>
      </c>
      <c r="BL27" s="41">
        <v>5611000</v>
      </c>
      <c r="BM27" s="41">
        <v>247800</v>
      </c>
      <c r="BN27" s="88">
        <f>BO27</f>
        <v>127000</v>
      </c>
      <c r="BO27" s="17">
        <f>BP27+BQ27</f>
        <v>127000</v>
      </c>
      <c r="BP27" s="30">
        <v>127000</v>
      </c>
      <c r="BQ27" s="30"/>
      <c r="BR27" s="212">
        <f>BS27</f>
        <v>0</v>
      </c>
      <c r="BS27" s="29">
        <v>0</v>
      </c>
      <c r="BT27" s="304">
        <f>BU27</f>
        <v>0</v>
      </c>
      <c r="BU27" s="29"/>
      <c r="BV27" s="314">
        <f>BW27</f>
        <v>0</v>
      </c>
      <c r="BW27" s="29"/>
      <c r="BX27" s="32"/>
      <c r="BY27" s="68"/>
      <c r="BZ27" s="62">
        <f>CC27+CI27+CK27+CA27</f>
        <v>12050000</v>
      </c>
      <c r="CA27" s="17">
        <f>CB27</f>
        <v>6907500</v>
      </c>
      <c r="CB27" s="340">
        <v>6907500</v>
      </c>
      <c r="CC27" s="103">
        <f>CD27+CE27+CH27</f>
        <v>5133300</v>
      </c>
      <c r="CD27" s="103">
        <v>500000</v>
      </c>
      <c r="CE27" s="14">
        <f>CF27+CG27</f>
        <v>4633300</v>
      </c>
      <c r="CF27" s="31">
        <v>1187300</v>
      </c>
      <c r="CG27" s="14">
        <v>3446000</v>
      </c>
      <c r="CH27" s="14"/>
      <c r="CI27" s="14">
        <f>CJ27</f>
        <v>9200</v>
      </c>
      <c r="CJ27" s="31">
        <v>9200</v>
      </c>
      <c r="CK27" s="14">
        <f>CL27+CM27</f>
        <v>0</v>
      </c>
      <c r="CL27" s="29">
        <v>0</v>
      </c>
      <c r="CM27" s="30">
        <v>0</v>
      </c>
      <c r="CN27" s="65">
        <f>CO27+CQ27+CU27+DC27+DE27+DI27+DN27+DS27+DU27+DW27+DZ27+EC27+EF27+EK27+EO27</f>
        <v>28546300</v>
      </c>
      <c r="CO27" s="17">
        <f>CP27</f>
        <v>0</v>
      </c>
      <c r="CP27" s="17"/>
      <c r="CQ27" s="17">
        <f>CR27+CS27+CT27</f>
        <v>999900</v>
      </c>
      <c r="CR27" s="17"/>
      <c r="CS27" s="17">
        <v>999299.4</v>
      </c>
      <c r="CT27" s="17">
        <v>600.6</v>
      </c>
      <c r="CU27" s="17">
        <f>SUM(CV27:DB27)</f>
        <v>18154400</v>
      </c>
      <c r="CV27" s="17"/>
      <c r="CW27" s="17">
        <v>6011100</v>
      </c>
      <c r="CX27" s="283">
        <v>9643300</v>
      </c>
      <c r="CY27" s="14">
        <v>0</v>
      </c>
      <c r="CZ27" s="14">
        <v>2500000</v>
      </c>
      <c r="DA27" s="14">
        <v>0</v>
      </c>
      <c r="DB27" s="14"/>
      <c r="DC27" s="14">
        <f t="shared" si="1"/>
        <v>0</v>
      </c>
      <c r="DD27" s="14"/>
      <c r="DE27" s="103">
        <f t="shared" si="0"/>
        <v>0</v>
      </c>
      <c r="DF27" s="17"/>
      <c r="DG27" s="17"/>
      <c r="DH27" s="17"/>
      <c r="DI27" s="17">
        <f t="shared" si="2"/>
        <v>9392000</v>
      </c>
      <c r="DJ27" s="17"/>
      <c r="DK27" s="17">
        <v>9392000</v>
      </c>
      <c r="DL27" s="17"/>
      <c r="DM27" s="17"/>
      <c r="DN27" s="17">
        <f t="shared" si="3"/>
        <v>0</v>
      </c>
      <c r="DO27" s="17"/>
      <c r="DP27" s="17">
        <v>0</v>
      </c>
      <c r="DQ27" s="17">
        <v>0</v>
      </c>
      <c r="DR27" s="17"/>
      <c r="DS27" s="17"/>
      <c r="DT27" s="17"/>
      <c r="DU27" s="17"/>
      <c r="DV27" s="17"/>
      <c r="DW27" s="17"/>
      <c r="DX27" s="17"/>
      <c r="DY27" s="17"/>
      <c r="DZ27" s="17">
        <f t="shared" si="4"/>
        <v>0</v>
      </c>
      <c r="EA27" s="17"/>
      <c r="EB27" s="17"/>
      <c r="EC27" s="17"/>
      <c r="ED27" s="17"/>
      <c r="EE27" s="17"/>
      <c r="EF27" s="17">
        <f t="shared" si="5"/>
        <v>0</v>
      </c>
      <c r="EG27" s="17">
        <v>0</v>
      </c>
      <c r="EH27" s="17">
        <v>0</v>
      </c>
      <c r="EI27" s="17"/>
      <c r="EJ27" s="17"/>
      <c r="EK27" s="17">
        <f t="shared" si="6"/>
        <v>0</v>
      </c>
      <c r="EL27" s="17"/>
      <c r="EM27" s="17"/>
      <c r="EN27" s="17"/>
      <c r="EO27" s="3">
        <f t="shared" si="7"/>
        <v>0</v>
      </c>
      <c r="EP27" s="107">
        <v>0</v>
      </c>
      <c r="EQ27" s="79">
        <f t="shared" si="8"/>
        <v>0</v>
      </c>
      <c r="ER27" s="103"/>
      <c r="ES27" s="81">
        <f t="shared" si="9"/>
        <v>0</v>
      </c>
      <c r="ET27" s="17"/>
      <c r="EU27" s="103"/>
      <c r="EV27" s="4">
        <f>C27++BN27+BR27+BT27+BV27+BX27+BY27+BZ27+CN27+EQ27+ES27</f>
        <v>295161153</v>
      </c>
      <c r="EW27" s="23">
        <f>'Ут.План на 01.09.2013'!C28-EV27</f>
        <v>0</v>
      </c>
    </row>
    <row r="28" spans="1:153" x14ac:dyDescent="0.25">
      <c r="A28" s="144">
        <v>24</v>
      </c>
      <c r="B28" s="1" t="s">
        <v>83</v>
      </c>
      <c r="C28" s="22">
        <f>D28+O28+S28+V28+AM28+AW28+Q28</f>
        <v>71869384</v>
      </c>
      <c r="D28" s="2">
        <f>E28+M28</f>
        <v>1040000</v>
      </c>
      <c r="E28" s="77">
        <f>SUM(F28:L28)</f>
        <v>1039900</v>
      </c>
      <c r="F28" s="41">
        <v>178500</v>
      </c>
      <c r="G28" s="41">
        <v>600</v>
      </c>
      <c r="H28" s="17">
        <v>67700</v>
      </c>
      <c r="I28" s="17">
        <v>356800</v>
      </c>
      <c r="J28" s="41">
        <v>393800</v>
      </c>
      <c r="K28" s="17">
        <v>31000</v>
      </c>
      <c r="L28" s="41">
        <v>11500</v>
      </c>
      <c r="M28" s="17">
        <f>SUM(N28)</f>
        <v>100</v>
      </c>
      <c r="N28" s="41">
        <v>100</v>
      </c>
      <c r="O28" s="17">
        <f>P28</f>
        <v>159600</v>
      </c>
      <c r="P28" s="41">
        <v>159600</v>
      </c>
      <c r="Q28" s="41">
        <f>R28</f>
        <v>0</v>
      </c>
      <c r="R28" s="41"/>
      <c r="S28" s="17">
        <f>T28</f>
        <v>2384</v>
      </c>
      <c r="T28" s="41">
        <f>21500-19116</f>
        <v>2384</v>
      </c>
      <c r="U28" s="41"/>
      <c r="V28" s="17">
        <f>W28+AA28+AF28+AH28</f>
        <v>13472800</v>
      </c>
      <c r="W28" s="17">
        <f>X28+Y28+Z28</f>
        <v>0</v>
      </c>
      <c r="X28" s="34"/>
      <c r="Y28" s="34"/>
      <c r="Z28" s="34"/>
      <c r="AA28" s="17">
        <f>SUM(AB28:AE28)</f>
        <v>12729300</v>
      </c>
      <c r="AB28" s="17"/>
      <c r="AC28" s="41">
        <v>12376500</v>
      </c>
      <c r="AD28" s="41">
        <v>352800</v>
      </c>
      <c r="AE28" s="41"/>
      <c r="AF28" s="17">
        <f>SUM(AG28)</f>
        <v>236400</v>
      </c>
      <c r="AG28" s="239">
        <f>152900+83500</f>
        <v>236400</v>
      </c>
      <c r="AH28" s="41">
        <f>SUM(AI28:AL28)</f>
        <v>507100</v>
      </c>
      <c r="AI28" s="41">
        <v>13600</v>
      </c>
      <c r="AJ28" s="41">
        <v>390500</v>
      </c>
      <c r="AK28" s="41">
        <v>103000</v>
      </c>
      <c r="AL28" s="34"/>
      <c r="AM28" s="41">
        <f>AN28+AU28</f>
        <v>955700</v>
      </c>
      <c r="AN28" s="41">
        <f>SUM(AO28:AT28)</f>
        <v>955700</v>
      </c>
      <c r="AO28" s="41">
        <v>455400</v>
      </c>
      <c r="AP28" s="41">
        <v>500300</v>
      </c>
      <c r="AQ28" s="41"/>
      <c r="AR28" s="41"/>
      <c r="AS28" s="17"/>
      <c r="AT28" s="17"/>
      <c r="AU28" s="17"/>
      <c r="AV28" s="17"/>
      <c r="AW28" s="17">
        <f>AX28+BA28+BF28</f>
        <v>56238900</v>
      </c>
      <c r="AX28" s="107">
        <f>SUM(AY28:AZ28)</f>
        <v>47506000</v>
      </c>
      <c r="AY28" s="107"/>
      <c r="AZ28" s="41">
        <v>47506000</v>
      </c>
      <c r="BA28" s="107">
        <f>SUM(BB28:BC28)</f>
        <v>6500000</v>
      </c>
      <c r="BB28" s="107"/>
      <c r="BC28" s="107">
        <v>6500000</v>
      </c>
      <c r="BD28" s="107"/>
      <c r="BE28" s="107"/>
      <c r="BF28" s="41">
        <f>SUM(BG28:BM28)</f>
        <v>2232900</v>
      </c>
      <c r="BG28" s="41"/>
      <c r="BH28" s="41"/>
      <c r="BI28" s="41"/>
      <c r="BJ28" s="41"/>
      <c r="BK28" s="243">
        <v>1857500</v>
      </c>
      <c r="BL28" s="41">
        <v>340000</v>
      </c>
      <c r="BM28" s="41">
        <v>35400</v>
      </c>
      <c r="BN28" s="88">
        <f>BO28</f>
        <v>22000</v>
      </c>
      <c r="BO28" s="17">
        <f>BP28+BQ28</f>
        <v>22000</v>
      </c>
      <c r="BP28" s="30">
        <v>22000</v>
      </c>
      <c r="BQ28" s="30"/>
      <c r="BR28" s="212">
        <f>BS28</f>
        <v>0</v>
      </c>
      <c r="BS28" s="29">
        <v>0</v>
      </c>
      <c r="BT28" s="304">
        <f>BU28</f>
        <v>0</v>
      </c>
      <c r="BU28" s="29"/>
      <c r="BV28" s="314">
        <f>BW28</f>
        <v>0</v>
      </c>
      <c r="BW28" s="29"/>
      <c r="BX28" s="32"/>
      <c r="BY28" s="68"/>
      <c r="BZ28" s="62">
        <f>CC28+CI28+CK28+CA28</f>
        <v>721200</v>
      </c>
      <c r="CA28" s="17">
        <f>CB28</f>
        <v>0</v>
      </c>
      <c r="CB28" s="340">
        <v>0</v>
      </c>
      <c r="CC28" s="103">
        <f>CD28+CE28+CH28</f>
        <v>720400</v>
      </c>
      <c r="CD28" s="103">
        <v>300000</v>
      </c>
      <c r="CE28" s="14">
        <f>CF28+CG28</f>
        <v>420400</v>
      </c>
      <c r="CF28" s="31">
        <v>35400</v>
      </c>
      <c r="CG28" s="14">
        <v>385000</v>
      </c>
      <c r="CH28" s="14"/>
      <c r="CI28" s="14">
        <f>CJ28</f>
        <v>800</v>
      </c>
      <c r="CJ28" s="31">
        <v>800</v>
      </c>
      <c r="CK28" s="14">
        <f>CL28+CM28</f>
        <v>0</v>
      </c>
      <c r="CL28" s="29">
        <v>0</v>
      </c>
      <c r="CM28" s="30">
        <v>0</v>
      </c>
      <c r="CN28" s="65">
        <f>CO28+CQ28+CU28+DC28+DE28+DI28+DN28+DS28+DU28+DW28+DZ28+EC28+EF28+EK28+EO28</f>
        <v>4557389.4000000004</v>
      </c>
      <c r="CO28" s="17">
        <f>CP28</f>
        <v>0</v>
      </c>
      <c r="CP28" s="17"/>
      <c r="CQ28" s="17">
        <f>CR28+CS28+CT28</f>
        <v>19089.400000000001</v>
      </c>
      <c r="CR28" s="17"/>
      <c r="CS28" s="17">
        <v>19089.400000000001</v>
      </c>
      <c r="CT28" s="17">
        <v>0</v>
      </c>
      <c r="CU28" s="17">
        <f>SUM(CV28:DB28)</f>
        <v>550300</v>
      </c>
      <c r="CV28" s="17"/>
      <c r="CW28" s="17">
        <v>550300</v>
      </c>
      <c r="CX28" s="283"/>
      <c r="CY28" s="14">
        <v>0</v>
      </c>
      <c r="CZ28" s="14">
        <v>0</v>
      </c>
      <c r="DA28" s="14">
        <v>0</v>
      </c>
      <c r="DB28" s="14"/>
      <c r="DC28" s="14">
        <f t="shared" si="1"/>
        <v>150000</v>
      </c>
      <c r="DD28" s="14">
        <v>150000</v>
      </c>
      <c r="DE28" s="103">
        <f t="shared" si="0"/>
        <v>967000</v>
      </c>
      <c r="DF28" s="17"/>
      <c r="DG28" s="17">
        <v>967000</v>
      </c>
      <c r="DH28" s="17"/>
      <c r="DI28" s="17">
        <f t="shared" si="2"/>
        <v>2451000</v>
      </c>
      <c r="DJ28" s="17">
        <f>150000-150000</f>
        <v>0</v>
      </c>
      <c r="DK28" s="17">
        <v>2451000</v>
      </c>
      <c r="DL28" s="17"/>
      <c r="DM28" s="17"/>
      <c r="DN28" s="17">
        <f t="shared" si="3"/>
        <v>0</v>
      </c>
      <c r="DO28" s="17"/>
      <c r="DP28" s="17">
        <v>0</v>
      </c>
      <c r="DQ28" s="17">
        <v>0</v>
      </c>
      <c r="DR28" s="17"/>
      <c r="DS28" s="17">
        <f>DT28</f>
        <v>262500</v>
      </c>
      <c r="DT28" s="17">
        <v>262500</v>
      </c>
      <c r="DU28" s="17">
        <f>DV28</f>
        <v>157500</v>
      </c>
      <c r="DV28" s="17">
        <v>157500</v>
      </c>
      <c r="DW28" s="17"/>
      <c r="DX28" s="17"/>
      <c r="DY28" s="17"/>
      <c r="DZ28" s="17">
        <f t="shared" si="4"/>
        <v>0</v>
      </c>
      <c r="EA28" s="17"/>
      <c r="EB28" s="17"/>
      <c r="EC28" s="17"/>
      <c r="ED28" s="17"/>
      <c r="EE28" s="17"/>
      <c r="EF28" s="17">
        <f t="shared" si="5"/>
        <v>0</v>
      </c>
      <c r="EG28" s="17">
        <v>0</v>
      </c>
      <c r="EH28" s="17">
        <v>0</v>
      </c>
      <c r="EI28" s="17"/>
      <c r="EJ28" s="17"/>
      <c r="EK28" s="17">
        <f t="shared" si="6"/>
        <v>0</v>
      </c>
      <c r="EL28" s="17"/>
      <c r="EM28" s="17"/>
      <c r="EN28" s="17"/>
      <c r="EO28" s="3">
        <f t="shared" si="7"/>
        <v>0</v>
      </c>
      <c r="EP28" s="107">
        <v>0</v>
      </c>
      <c r="EQ28" s="79">
        <f t="shared" si="8"/>
        <v>0</v>
      </c>
      <c r="ER28" s="103"/>
      <c r="ES28" s="81">
        <f t="shared" si="9"/>
        <v>0</v>
      </c>
      <c r="ET28" s="17"/>
      <c r="EU28" s="103"/>
      <c r="EV28" s="4">
        <f>C28++BN28+BR28+BT28+BV28+BX28+BY28+BZ28+CN28+EQ28+ES28</f>
        <v>77169973.400000006</v>
      </c>
      <c r="EW28" s="23">
        <f>'Ут.План на 01.09.2013'!C29-EV28</f>
        <v>0</v>
      </c>
    </row>
    <row r="29" spans="1:153" x14ac:dyDescent="0.25">
      <c r="A29" s="144">
        <v>25</v>
      </c>
      <c r="B29" s="1" t="s">
        <v>84</v>
      </c>
      <c r="C29" s="22">
        <f>D29+O29+S29+V29+AM29+AW29+Q29</f>
        <v>237691550</v>
      </c>
      <c r="D29" s="2">
        <f>E29+M29</f>
        <v>1207500</v>
      </c>
      <c r="E29" s="77">
        <f>SUM(F29:L29)</f>
        <v>1207100</v>
      </c>
      <c r="F29" s="41">
        <v>178500</v>
      </c>
      <c r="G29" s="41">
        <v>5600</v>
      </c>
      <c r="H29" s="17">
        <v>495100</v>
      </c>
      <c r="I29" s="17"/>
      <c r="J29" s="41">
        <v>414200</v>
      </c>
      <c r="K29" s="17">
        <v>83000</v>
      </c>
      <c r="L29" s="41">
        <v>30700</v>
      </c>
      <c r="M29" s="17">
        <f>SUM(N29)</f>
        <v>400</v>
      </c>
      <c r="N29" s="41">
        <v>400</v>
      </c>
      <c r="O29" s="17">
        <f>P29</f>
        <v>954200</v>
      </c>
      <c r="P29" s="41">
        <v>954200</v>
      </c>
      <c r="Q29" s="41">
        <f>R29</f>
        <v>2280000</v>
      </c>
      <c r="R29" s="41">
        <v>2280000</v>
      </c>
      <c r="S29" s="17">
        <f>T29</f>
        <v>0</v>
      </c>
      <c r="T29" s="41">
        <f>190000-190000</f>
        <v>0</v>
      </c>
      <c r="U29" s="41"/>
      <c r="V29" s="17">
        <f>W29+AA29+AF29+AH29</f>
        <v>94759600</v>
      </c>
      <c r="W29" s="17">
        <f>X29+Y29+Z29</f>
        <v>2215600</v>
      </c>
      <c r="X29" s="41">
        <v>1199100</v>
      </c>
      <c r="Y29" s="41">
        <v>16500</v>
      </c>
      <c r="Z29" s="41">
        <v>1000000</v>
      </c>
      <c r="AA29" s="17">
        <f>SUM(AB29:AE29)</f>
        <v>89618500</v>
      </c>
      <c r="AB29" s="17">
        <v>357600</v>
      </c>
      <c r="AC29" s="41">
        <v>87320500</v>
      </c>
      <c r="AD29" s="41">
        <v>1940400</v>
      </c>
      <c r="AE29" s="41"/>
      <c r="AF29" s="17">
        <f>SUM(AG29)</f>
        <v>2006700</v>
      </c>
      <c r="AG29" s="239">
        <f>2005500+1200</f>
        <v>2006700</v>
      </c>
      <c r="AH29" s="41">
        <f>SUM(AI29:AL29)</f>
        <v>918800</v>
      </c>
      <c r="AI29" s="41">
        <v>54600</v>
      </c>
      <c r="AJ29" s="41">
        <v>781000</v>
      </c>
      <c r="AK29" s="41">
        <v>72100</v>
      </c>
      <c r="AL29" s="41">
        <v>11100</v>
      </c>
      <c r="AM29" s="41">
        <f>AN29+AU29</f>
        <v>7215000</v>
      </c>
      <c r="AN29" s="41">
        <f>SUM(AO29:AT29)</f>
        <v>7215000</v>
      </c>
      <c r="AO29" s="41">
        <v>1564300</v>
      </c>
      <c r="AP29" s="41">
        <v>5555000</v>
      </c>
      <c r="AQ29" s="41"/>
      <c r="AR29" s="41">
        <f>45700+50000</f>
        <v>95700</v>
      </c>
      <c r="AS29" s="17"/>
      <c r="AT29" s="17"/>
      <c r="AU29" s="17"/>
      <c r="AV29" s="17"/>
      <c r="AW29" s="17">
        <f>AX29+BA29+BF29</f>
        <v>131275250</v>
      </c>
      <c r="AX29" s="107">
        <f>SUM(AY29:AZ29)</f>
        <v>95965000</v>
      </c>
      <c r="AY29" s="107"/>
      <c r="AZ29" s="41">
        <v>95965000</v>
      </c>
      <c r="BA29" s="107">
        <f>SUM(BB29:BC29)</f>
        <v>19096700</v>
      </c>
      <c r="BB29" s="107"/>
      <c r="BC29" s="107">
        <f>18158000+938700</f>
        <v>19096700</v>
      </c>
      <c r="BD29" s="107"/>
      <c r="BE29" s="107"/>
      <c r="BF29" s="41">
        <f>SUM(BG29:BM29)</f>
        <v>16213550</v>
      </c>
      <c r="BG29" s="41"/>
      <c r="BH29" s="41">
        <v>1170150</v>
      </c>
      <c r="BI29" s="41"/>
      <c r="BJ29" s="41"/>
      <c r="BK29" s="243">
        <v>11910600</v>
      </c>
      <c r="BL29" s="41">
        <v>3008000</v>
      </c>
      <c r="BM29" s="41">
        <v>124800</v>
      </c>
      <c r="BN29" s="88">
        <f>BO29</f>
        <v>107396</v>
      </c>
      <c r="BO29" s="17">
        <f>BP29+BQ29</f>
        <v>107396</v>
      </c>
      <c r="BP29" s="30">
        <v>73000</v>
      </c>
      <c r="BQ29" s="30">
        <v>34396</v>
      </c>
      <c r="BR29" s="212">
        <f>BS29</f>
        <v>0</v>
      </c>
      <c r="BS29" s="29">
        <v>0</v>
      </c>
      <c r="BT29" s="304">
        <f>BU29</f>
        <v>0</v>
      </c>
      <c r="BU29" s="29"/>
      <c r="BV29" s="314">
        <f>BW29</f>
        <v>12000</v>
      </c>
      <c r="BW29" s="29">
        <v>12000</v>
      </c>
      <c r="BX29" s="32"/>
      <c r="BY29" s="68"/>
      <c r="BZ29" s="62">
        <f>CC29+CI29+CK29+CA29</f>
        <v>6107500</v>
      </c>
      <c r="CA29" s="17">
        <f>CB29</f>
        <v>2500000</v>
      </c>
      <c r="CB29" s="340">
        <v>2500000</v>
      </c>
      <c r="CC29" s="103">
        <f>CD29+CE29+CH29</f>
        <v>3601300</v>
      </c>
      <c r="CD29" s="103">
        <v>400000</v>
      </c>
      <c r="CE29" s="14">
        <f>CF29+CG29</f>
        <v>3201300</v>
      </c>
      <c r="CF29" s="31">
        <v>269300</v>
      </c>
      <c r="CG29" s="14">
        <v>2932000</v>
      </c>
      <c r="CH29" s="14"/>
      <c r="CI29" s="14">
        <f>CJ29</f>
        <v>6200</v>
      </c>
      <c r="CJ29" s="31">
        <v>6200</v>
      </c>
      <c r="CK29" s="14">
        <f>CL29+CM29</f>
        <v>0</v>
      </c>
      <c r="CL29" s="29">
        <v>0</v>
      </c>
      <c r="CM29" s="30">
        <v>0</v>
      </c>
      <c r="CN29" s="65">
        <f>CO29+CQ29+CU29+DC29+DE29+DI29+DN29+DS29+DU29+DW29+DZ29+EC29+EF29+EK29+EO29</f>
        <v>20587240</v>
      </c>
      <c r="CO29" s="17">
        <f>CP29</f>
        <v>0</v>
      </c>
      <c r="CP29" s="17"/>
      <c r="CQ29" s="17">
        <f>CR29+CS29+CT29</f>
        <v>190000</v>
      </c>
      <c r="CR29" s="17"/>
      <c r="CS29" s="17">
        <v>190000</v>
      </c>
      <c r="CT29" s="17"/>
      <c r="CU29" s="17">
        <f>SUM(CV29:DB29)</f>
        <v>16548600</v>
      </c>
      <c r="CV29" s="17"/>
      <c r="CW29" s="17">
        <v>3114000</v>
      </c>
      <c r="CX29" s="283">
        <v>1744500</v>
      </c>
      <c r="CY29" s="14">
        <v>4550100</v>
      </c>
      <c r="CZ29" s="14">
        <v>0</v>
      </c>
      <c r="DA29" s="14">
        <v>7140000</v>
      </c>
      <c r="DB29" s="14"/>
      <c r="DC29" s="14">
        <f t="shared" si="1"/>
        <v>0</v>
      </c>
      <c r="DD29" s="14"/>
      <c r="DE29" s="103">
        <f t="shared" si="0"/>
        <v>0</v>
      </c>
      <c r="DF29" s="17"/>
      <c r="DG29" s="17"/>
      <c r="DH29" s="17"/>
      <c r="DI29" s="17">
        <f t="shared" si="2"/>
        <v>3268000</v>
      </c>
      <c r="DJ29" s="17"/>
      <c r="DK29" s="17">
        <v>3268000</v>
      </c>
      <c r="DL29" s="17"/>
      <c r="DM29" s="17"/>
      <c r="DN29" s="17">
        <f t="shared" si="3"/>
        <v>0</v>
      </c>
      <c r="DO29" s="17"/>
      <c r="DP29" s="17">
        <v>0</v>
      </c>
      <c r="DQ29" s="17">
        <v>0</v>
      </c>
      <c r="DR29" s="17"/>
      <c r="DS29" s="17"/>
      <c r="DT29" s="17"/>
      <c r="DU29" s="17"/>
      <c r="DV29" s="17"/>
      <c r="DW29" s="17"/>
      <c r="DX29" s="17"/>
      <c r="DY29" s="17"/>
      <c r="DZ29" s="17">
        <f>EA29+EB29</f>
        <v>580640</v>
      </c>
      <c r="EA29" s="17">
        <v>150000</v>
      </c>
      <c r="EB29" s="17">
        <v>430640</v>
      </c>
      <c r="EC29" s="17"/>
      <c r="ED29" s="17"/>
      <c r="EE29" s="17"/>
      <c r="EF29" s="17">
        <f t="shared" si="5"/>
        <v>0</v>
      </c>
      <c r="EG29" s="17">
        <v>0</v>
      </c>
      <c r="EH29" s="17">
        <v>0</v>
      </c>
      <c r="EI29" s="17"/>
      <c r="EJ29" s="17"/>
      <c r="EK29" s="17">
        <f t="shared" si="6"/>
        <v>0</v>
      </c>
      <c r="EL29" s="17"/>
      <c r="EM29" s="17"/>
      <c r="EN29" s="17"/>
      <c r="EO29" s="3">
        <f t="shared" si="7"/>
        <v>0</v>
      </c>
      <c r="EP29" s="107">
        <v>0</v>
      </c>
      <c r="EQ29" s="79">
        <f t="shared" si="8"/>
        <v>0</v>
      </c>
      <c r="ER29" s="103"/>
      <c r="ES29" s="81">
        <f t="shared" si="9"/>
        <v>900000</v>
      </c>
      <c r="ET29" s="17"/>
      <c r="EU29" s="103">
        <v>900000</v>
      </c>
      <c r="EV29" s="4">
        <f>C29++BN29+BR29+BT29+BV29+BX29+BY29+BZ29+CN29+EQ29+ES29</f>
        <v>265405686</v>
      </c>
      <c r="EW29" s="23">
        <f>'Ут.План на 01.09.2013'!C30-EV29</f>
        <v>0</v>
      </c>
    </row>
    <row r="30" spans="1:153" x14ac:dyDescent="0.25">
      <c r="A30" s="144">
        <v>26</v>
      </c>
      <c r="B30" s="1" t="s">
        <v>85</v>
      </c>
      <c r="C30" s="22">
        <f>D30+O30+S30+V30+AM30+AW30+Q30</f>
        <v>204446409</v>
      </c>
      <c r="D30" s="2">
        <f>E30+M30</f>
        <v>573700</v>
      </c>
      <c r="E30" s="77">
        <f>SUM(F30:L30)</f>
        <v>573200</v>
      </c>
      <c r="F30" s="41">
        <v>162200</v>
      </c>
      <c r="G30" s="41">
        <v>8500</v>
      </c>
      <c r="H30" s="17"/>
      <c r="I30" s="17"/>
      <c r="J30" s="41">
        <v>360300</v>
      </c>
      <c r="K30" s="17"/>
      <c r="L30" s="41">
        <v>42200</v>
      </c>
      <c r="M30" s="17">
        <f>SUM(N30)</f>
        <v>500</v>
      </c>
      <c r="N30" s="41">
        <v>500</v>
      </c>
      <c r="O30" s="17">
        <f>P30</f>
        <v>936100</v>
      </c>
      <c r="P30" s="41">
        <v>936100</v>
      </c>
      <c r="Q30" s="41">
        <f>R30</f>
        <v>0</v>
      </c>
      <c r="R30" s="41"/>
      <c r="S30" s="17">
        <f>T30</f>
        <v>67109</v>
      </c>
      <c r="T30" s="41">
        <f>270500-203391</f>
        <v>67109</v>
      </c>
      <c r="U30" s="41"/>
      <c r="V30" s="17">
        <f>W30+AA30+AF30+AH30</f>
        <v>125933000</v>
      </c>
      <c r="W30" s="17">
        <f>X30+Y30+Z30</f>
        <v>616000</v>
      </c>
      <c r="X30" s="41">
        <v>599500</v>
      </c>
      <c r="Y30" s="41">
        <v>16500</v>
      </c>
      <c r="Z30" s="41"/>
      <c r="AA30" s="17">
        <f>SUM(AB30:AE30)</f>
        <v>122289100</v>
      </c>
      <c r="AB30" s="17">
        <v>585100</v>
      </c>
      <c r="AC30" s="41">
        <v>118302000</v>
      </c>
      <c r="AD30" s="41">
        <v>3402000</v>
      </c>
      <c r="AE30" s="41"/>
      <c r="AF30" s="17">
        <f>SUM(AG30)</f>
        <v>1676400</v>
      </c>
      <c r="AG30" s="239">
        <f>1695800-19400</f>
        <v>1676400</v>
      </c>
      <c r="AH30" s="41">
        <f>SUM(AI30:AL30)</f>
        <v>1351500</v>
      </c>
      <c r="AI30" s="41">
        <v>46400</v>
      </c>
      <c r="AJ30" s="41">
        <v>1171300</v>
      </c>
      <c r="AK30" s="41">
        <v>122500</v>
      </c>
      <c r="AL30" s="41">
        <v>11300</v>
      </c>
      <c r="AM30" s="41">
        <f>AN30+AU30</f>
        <v>9377500</v>
      </c>
      <c r="AN30" s="41">
        <f>SUM(AO30:AT30)</f>
        <v>9377500</v>
      </c>
      <c r="AO30" s="41">
        <v>2318400</v>
      </c>
      <c r="AP30" s="41">
        <v>6783500</v>
      </c>
      <c r="AQ30" s="41">
        <v>162600</v>
      </c>
      <c r="AR30" s="41">
        <v>46400</v>
      </c>
      <c r="AS30" s="17">
        <v>66600</v>
      </c>
      <c r="AT30" s="17"/>
      <c r="AU30" s="17"/>
      <c r="AV30" s="17"/>
      <c r="AW30" s="17">
        <f>AX30+BA30+BF30</f>
        <v>67559000</v>
      </c>
      <c r="AX30" s="107">
        <f>SUM(AY30:AZ30)</f>
        <v>49409000</v>
      </c>
      <c r="AY30" s="107"/>
      <c r="AZ30" s="41">
        <v>49409000</v>
      </c>
      <c r="BA30" s="107">
        <f>SUM(BB30:BC30)</f>
        <v>4950000</v>
      </c>
      <c r="BB30" s="107"/>
      <c r="BC30" s="107">
        <v>4950000</v>
      </c>
      <c r="BD30" s="107"/>
      <c r="BE30" s="107"/>
      <c r="BF30" s="41">
        <f>SUM(BG30:BM30)</f>
        <v>13200000</v>
      </c>
      <c r="BG30" s="41"/>
      <c r="BH30" s="41"/>
      <c r="BI30" s="41"/>
      <c r="BJ30" s="41"/>
      <c r="BK30" s="243">
        <v>8416900</v>
      </c>
      <c r="BL30" s="41">
        <v>4606000</v>
      </c>
      <c r="BM30" s="41">
        <v>177100</v>
      </c>
      <c r="BN30" s="88">
        <f>BO30</f>
        <v>103000</v>
      </c>
      <c r="BO30" s="17">
        <f>BP30+BQ30</f>
        <v>103000</v>
      </c>
      <c r="BP30" s="30">
        <v>103000</v>
      </c>
      <c r="BQ30" s="30"/>
      <c r="BR30" s="212">
        <f>BS30</f>
        <v>0</v>
      </c>
      <c r="BS30" s="29">
        <v>0</v>
      </c>
      <c r="BT30" s="304">
        <f>BU30</f>
        <v>0</v>
      </c>
      <c r="BU30" s="29"/>
      <c r="BV30" s="314">
        <f>BW30</f>
        <v>60000</v>
      </c>
      <c r="BW30" s="29">
        <v>60000</v>
      </c>
      <c r="BX30" s="32"/>
      <c r="BY30" s="68"/>
      <c r="BZ30" s="62">
        <f>CC30+CI30+CK30+CA30</f>
        <v>22787600</v>
      </c>
      <c r="CA30" s="17">
        <f>CB30</f>
        <v>13125000</v>
      </c>
      <c r="CB30" s="340">
        <v>13125000</v>
      </c>
      <c r="CC30" s="103">
        <f>CD30+CE30+CH30</f>
        <v>9654400</v>
      </c>
      <c r="CD30" s="103">
        <v>5500000</v>
      </c>
      <c r="CE30" s="14">
        <f>CF30+CG30</f>
        <v>4154400</v>
      </c>
      <c r="CF30" s="31">
        <v>1064400</v>
      </c>
      <c r="CG30" s="14">
        <v>3090000</v>
      </c>
      <c r="CH30" s="14"/>
      <c r="CI30" s="14">
        <f>CJ30</f>
        <v>8200</v>
      </c>
      <c r="CJ30" s="31">
        <v>8200</v>
      </c>
      <c r="CK30" s="14">
        <f>CL30+CM30</f>
        <v>0</v>
      </c>
      <c r="CL30" s="29">
        <v>0</v>
      </c>
      <c r="CM30" s="30">
        <v>0</v>
      </c>
      <c r="CN30" s="65">
        <f>CO30+CQ30+CU30+DC30+DE30+DI30+DN30+DS30+DU30+DW30+DZ30+EC30+EF30+EK30+EO30</f>
        <v>19207900</v>
      </c>
      <c r="CO30" s="17">
        <f>CP30</f>
        <v>0</v>
      </c>
      <c r="CP30" s="17"/>
      <c r="CQ30" s="17">
        <f>CR30+CS30+CT30</f>
        <v>203400</v>
      </c>
      <c r="CR30" s="17"/>
      <c r="CS30" s="17">
        <v>203365.6</v>
      </c>
      <c r="CT30" s="17">
        <v>34.4</v>
      </c>
      <c r="CU30" s="17">
        <f>SUM(CV30:DB30)</f>
        <v>14919500</v>
      </c>
      <c r="CV30" s="17"/>
      <c r="CW30" s="17">
        <v>5727600</v>
      </c>
      <c r="CX30" s="283">
        <v>1017600</v>
      </c>
      <c r="CY30" s="14">
        <v>8174300</v>
      </c>
      <c r="CZ30" s="14">
        <v>0</v>
      </c>
      <c r="DA30" s="14">
        <v>0</v>
      </c>
      <c r="DB30" s="14"/>
      <c r="DC30" s="14">
        <f t="shared" si="1"/>
        <v>0</v>
      </c>
      <c r="DD30" s="14"/>
      <c r="DE30" s="103">
        <f t="shared" si="0"/>
        <v>0</v>
      </c>
      <c r="DF30" s="17"/>
      <c r="DG30" s="17"/>
      <c r="DH30" s="17"/>
      <c r="DI30" s="17">
        <f t="shared" si="2"/>
        <v>4085000</v>
      </c>
      <c r="DJ30" s="17"/>
      <c r="DK30" s="17">
        <v>4085000</v>
      </c>
      <c r="DL30" s="17"/>
      <c r="DM30" s="17"/>
      <c r="DN30" s="17">
        <f t="shared" si="3"/>
        <v>0</v>
      </c>
      <c r="DO30" s="17"/>
      <c r="DP30" s="17">
        <v>0</v>
      </c>
      <c r="DQ30" s="17">
        <v>0</v>
      </c>
      <c r="DR30" s="17"/>
      <c r="DS30" s="17"/>
      <c r="DT30" s="17"/>
      <c r="DU30" s="17"/>
      <c r="DV30" s="17"/>
      <c r="DW30" s="17"/>
      <c r="DX30" s="17"/>
      <c r="DY30" s="17"/>
      <c r="DZ30" s="17">
        <f t="shared" si="4"/>
        <v>0</v>
      </c>
      <c r="EA30" s="17"/>
      <c r="EB30" s="17"/>
      <c r="EC30" s="17"/>
      <c r="ED30" s="17"/>
      <c r="EE30" s="17"/>
      <c r="EF30" s="17">
        <f t="shared" si="5"/>
        <v>0</v>
      </c>
      <c r="EG30" s="17">
        <v>0</v>
      </c>
      <c r="EH30" s="17">
        <v>0</v>
      </c>
      <c r="EI30" s="17"/>
      <c r="EJ30" s="17"/>
      <c r="EK30" s="17">
        <f t="shared" si="6"/>
        <v>0</v>
      </c>
      <c r="EL30" s="17"/>
      <c r="EM30" s="17"/>
      <c r="EN30" s="17"/>
      <c r="EO30" s="3">
        <f t="shared" si="7"/>
        <v>0</v>
      </c>
      <c r="EP30" s="107">
        <v>0</v>
      </c>
      <c r="EQ30" s="79">
        <f t="shared" si="8"/>
        <v>0</v>
      </c>
      <c r="ER30" s="103"/>
      <c r="ES30" s="81">
        <f t="shared" si="9"/>
        <v>0</v>
      </c>
      <c r="ET30" s="17"/>
      <c r="EU30" s="103"/>
      <c r="EV30" s="4">
        <f>C30++BN30+BR30+BT30+BV30+BX30+BY30+BZ30+CN30+EQ30+ES30</f>
        <v>246604909</v>
      </c>
      <c r="EW30" s="23">
        <f>'Ут.План на 01.09.2013'!C31-EV30</f>
        <v>0</v>
      </c>
    </row>
    <row r="31" spans="1:153" x14ac:dyDescent="0.25">
      <c r="A31" s="144">
        <v>27</v>
      </c>
      <c r="B31" s="1" t="s">
        <v>86</v>
      </c>
      <c r="C31" s="22">
        <f>D31+O31+S31+V31+AM31+AW31+Q31</f>
        <v>272458600</v>
      </c>
      <c r="D31" s="2">
        <f>E31+M31</f>
        <v>766300</v>
      </c>
      <c r="E31" s="77">
        <f>SUM(F31:L31)</f>
        <v>765700</v>
      </c>
      <c r="F31" s="41">
        <v>324200</v>
      </c>
      <c r="G31" s="41">
        <v>14000</v>
      </c>
      <c r="H31" s="17"/>
      <c r="I31" s="17"/>
      <c r="J31" s="41">
        <v>377600</v>
      </c>
      <c r="K31" s="17"/>
      <c r="L31" s="41">
        <v>49900</v>
      </c>
      <c r="M31" s="17">
        <f>SUM(N31)</f>
        <v>600</v>
      </c>
      <c r="N31" s="41">
        <v>600</v>
      </c>
      <c r="O31" s="17">
        <f>P31</f>
        <v>1238900</v>
      </c>
      <c r="P31" s="41">
        <v>1238900</v>
      </c>
      <c r="Q31" s="41">
        <f>R31</f>
        <v>0</v>
      </c>
      <c r="R31" s="41"/>
      <c r="S31" s="17">
        <f>T31</f>
        <v>0</v>
      </c>
      <c r="T31" s="41">
        <f>10000-10000</f>
        <v>0</v>
      </c>
      <c r="U31" s="41"/>
      <c r="V31" s="17">
        <f>W31+AA31+AF31+AH31</f>
        <v>181758400</v>
      </c>
      <c r="W31" s="17">
        <f>X31+Y31+Z31</f>
        <v>2705800</v>
      </c>
      <c r="X31" s="41">
        <v>105800</v>
      </c>
      <c r="Y31" s="34"/>
      <c r="Z31" s="34">
        <v>2600000</v>
      </c>
      <c r="AA31" s="17">
        <f>SUM(AB31:AE31)</f>
        <v>174655200</v>
      </c>
      <c r="AB31" s="17">
        <v>97500</v>
      </c>
      <c r="AC31" s="41">
        <v>167225700</v>
      </c>
      <c r="AD31" s="41">
        <v>4032000</v>
      </c>
      <c r="AE31" s="41">
        <v>3300000</v>
      </c>
      <c r="AF31" s="17">
        <f>SUM(AG31)</f>
        <v>2264400</v>
      </c>
      <c r="AG31" s="239">
        <f>2352000-87600</f>
        <v>2264400</v>
      </c>
      <c r="AH31" s="41">
        <f>SUM(AI31:AL31)</f>
        <v>2133000</v>
      </c>
      <c r="AI31" s="41">
        <v>58100</v>
      </c>
      <c r="AJ31" s="41">
        <v>1952400</v>
      </c>
      <c r="AK31" s="41">
        <v>122500</v>
      </c>
      <c r="AL31" s="34"/>
      <c r="AM31" s="41">
        <f>AN31+AU31</f>
        <v>20154400</v>
      </c>
      <c r="AN31" s="41">
        <f>SUM(AO31:AT31)</f>
        <v>20154400</v>
      </c>
      <c r="AO31" s="41">
        <v>2947800</v>
      </c>
      <c r="AP31" s="41">
        <v>17006800</v>
      </c>
      <c r="AQ31" s="41"/>
      <c r="AR31" s="41"/>
      <c r="AS31" s="17">
        <v>199800</v>
      </c>
      <c r="AT31" s="17"/>
      <c r="AU31" s="17"/>
      <c r="AV31" s="17"/>
      <c r="AW31" s="17">
        <f>AX31+BA31+BF31</f>
        <v>68540600</v>
      </c>
      <c r="AX31" s="107">
        <f>SUM(AY31:AZ31)</f>
        <v>36516000</v>
      </c>
      <c r="AY31" s="107"/>
      <c r="AZ31" s="41">
        <v>36516000</v>
      </c>
      <c r="BA31" s="107">
        <f>SUM(BB31:BC31)</f>
        <v>11300000</v>
      </c>
      <c r="BB31" s="107"/>
      <c r="BC31" s="107">
        <f>4300000+7000000</f>
        <v>11300000</v>
      </c>
      <c r="BD31" s="107"/>
      <c r="BE31" s="107"/>
      <c r="BF31" s="41">
        <f>SUM(BG31:BM31)</f>
        <v>20724600</v>
      </c>
      <c r="BG31" s="41"/>
      <c r="BH31" s="41">
        <v>150000</v>
      </c>
      <c r="BI31" s="41"/>
      <c r="BJ31" s="41"/>
      <c r="BK31" s="243">
        <v>12795200</v>
      </c>
      <c r="BL31" s="41">
        <v>7567000</v>
      </c>
      <c r="BM31" s="41">
        <v>212400</v>
      </c>
      <c r="BN31" s="88">
        <f>BO31</f>
        <v>89000</v>
      </c>
      <c r="BO31" s="17">
        <f>BP31+BQ31</f>
        <v>89000</v>
      </c>
      <c r="BP31" s="30">
        <v>89000</v>
      </c>
      <c r="BQ31" s="30"/>
      <c r="BR31" s="212">
        <f>BS31</f>
        <v>0</v>
      </c>
      <c r="BS31" s="29">
        <v>0</v>
      </c>
      <c r="BT31" s="304">
        <f>BU31</f>
        <v>0</v>
      </c>
      <c r="BU31" s="29"/>
      <c r="BV31" s="314">
        <f>BW31</f>
        <v>0</v>
      </c>
      <c r="BW31" s="29"/>
      <c r="BX31" s="32"/>
      <c r="BY31" s="68"/>
      <c r="BZ31" s="62">
        <f>CC31+CI31+CK31+CA31</f>
        <v>19687300</v>
      </c>
      <c r="CA31" s="17">
        <f>CB31</f>
        <v>9701000</v>
      </c>
      <c r="CB31" s="340">
        <v>9701000</v>
      </c>
      <c r="CC31" s="103">
        <f>CD31+CE31+CH31</f>
        <v>9974400</v>
      </c>
      <c r="CD31" s="103">
        <v>3950000</v>
      </c>
      <c r="CE31" s="14">
        <f>CF31+CG31</f>
        <v>6024400</v>
      </c>
      <c r="CF31" s="31">
        <v>1543400</v>
      </c>
      <c r="CG31" s="14">
        <v>4481000</v>
      </c>
      <c r="CH31" s="14"/>
      <c r="CI31" s="14">
        <f>CJ31</f>
        <v>11900</v>
      </c>
      <c r="CJ31" s="31">
        <v>11900</v>
      </c>
      <c r="CK31" s="14">
        <f>CL31+CM31</f>
        <v>0</v>
      </c>
      <c r="CL31" s="29">
        <v>0</v>
      </c>
      <c r="CM31" s="30">
        <v>0</v>
      </c>
      <c r="CN31" s="65">
        <f>CO31+CQ31+CU31+DC31+DE31+DI31+DN31+DS31+DU31+DW31+DZ31+EC31+EF31+EK31+EO31</f>
        <v>74884800</v>
      </c>
      <c r="CO31" s="17">
        <f>CP31</f>
        <v>1981000</v>
      </c>
      <c r="CP31" s="17">
        <v>1981000</v>
      </c>
      <c r="CQ31" s="17">
        <f>CR31+CS31+CT31</f>
        <v>10000</v>
      </c>
      <c r="CR31" s="17"/>
      <c r="CS31" s="17">
        <v>10000</v>
      </c>
      <c r="CT31" s="17"/>
      <c r="CU31" s="17">
        <f>SUM(CV31:DB31)</f>
        <v>65269800</v>
      </c>
      <c r="CV31" s="17"/>
      <c r="CW31" s="17">
        <v>9885700</v>
      </c>
      <c r="CX31" s="283">
        <v>13598900</v>
      </c>
      <c r="CY31" s="14">
        <v>14028000</v>
      </c>
      <c r="CZ31" s="14">
        <v>22932200</v>
      </c>
      <c r="DA31" s="14">
        <v>4825000</v>
      </c>
      <c r="DB31" s="14"/>
      <c r="DC31" s="14">
        <f t="shared" si="1"/>
        <v>0</v>
      </c>
      <c r="DD31" s="14"/>
      <c r="DE31" s="103">
        <f t="shared" si="0"/>
        <v>0</v>
      </c>
      <c r="DF31" s="17"/>
      <c r="DG31" s="17"/>
      <c r="DH31" s="17"/>
      <c r="DI31" s="17">
        <f t="shared" si="2"/>
        <v>7624000</v>
      </c>
      <c r="DJ31" s="17"/>
      <c r="DK31" s="17">
        <v>7624000</v>
      </c>
      <c r="DL31" s="17"/>
      <c r="DM31" s="17"/>
      <c r="DN31" s="17">
        <f t="shared" si="3"/>
        <v>0</v>
      </c>
      <c r="DO31" s="17"/>
      <c r="DP31" s="17">
        <v>0</v>
      </c>
      <c r="DQ31" s="17">
        <v>0</v>
      </c>
      <c r="DR31" s="17"/>
      <c r="DS31" s="17"/>
      <c r="DT31" s="17"/>
      <c r="DU31" s="17"/>
      <c r="DV31" s="17"/>
      <c r="DW31" s="17"/>
      <c r="DX31" s="17"/>
      <c r="DY31" s="17"/>
      <c r="DZ31" s="17">
        <f t="shared" si="4"/>
        <v>0</v>
      </c>
      <c r="EA31" s="17"/>
      <c r="EB31" s="17"/>
      <c r="EC31" s="17"/>
      <c r="ED31" s="17"/>
      <c r="EE31" s="17"/>
      <c r="EF31" s="17">
        <f t="shared" si="5"/>
        <v>0</v>
      </c>
      <c r="EG31" s="17">
        <v>0</v>
      </c>
      <c r="EH31" s="17">
        <v>0</v>
      </c>
      <c r="EI31" s="17"/>
      <c r="EJ31" s="17"/>
      <c r="EK31" s="17">
        <f t="shared" si="6"/>
        <v>0</v>
      </c>
      <c r="EL31" s="17"/>
      <c r="EM31" s="17"/>
      <c r="EN31" s="17"/>
      <c r="EO31" s="3">
        <f t="shared" si="7"/>
        <v>0</v>
      </c>
      <c r="EP31" s="107">
        <v>0</v>
      </c>
      <c r="EQ31" s="79">
        <f t="shared" si="8"/>
        <v>0</v>
      </c>
      <c r="ER31" s="103"/>
      <c r="ES31" s="81">
        <f t="shared" si="9"/>
        <v>0</v>
      </c>
      <c r="ET31" s="17"/>
      <c r="EU31" s="103"/>
      <c r="EV31" s="4">
        <f>C31++BN31+BR31+BT31+BV31+BX31+BY31+BZ31+CN31+EQ31+ES31</f>
        <v>367119700</v>
      </c>
      <c r="EW31" s="23">
        <f>'Ут.План на 01.09.2013'!C32-EV31</f>
        <v>0</v>
      </c>
    </row>
    <row r="32" spans="1:153" x14ac:dyDescent="0.25">
      <c r="A32" s="144">
        <v>28</v>
      </c>
      <c r="B32" s="1" t="s">
        <v>87</v>
      </c>
      <c r="C32" s="22">
        <f>D32+O32+S32+V32+AM32+AW32+Q32</f>
        <v>378367311.82999998</v>
      </c>
      <c r="D32" s="2">
        <f>E32+M32</f>
        <v>847800</v>
      </c>
      <c r="E32" s="77">
        <f>SUM(F32:L32)</f>
        <v>846800</v>
      </c>
      <c r="F32" s="41">
        <v>361200</v>
      </c>
      <c r="G32" s="41">
        <v>15600</v>
      </c>
      <c r="H32" s="17"/>
      <c r="I32" s="17"/>
      <c r="J32" s="41">
        <v>397000</v>
      </c>
      <c r="K32" s="17"/>
      <c r="L32" s="41">
        <v>73000</v>
      </c>
      <c r="M32" s="17">
        <f>SUM(N32)</f>
        <v>1000</v>
      </c>
      <c r="N32" s="41">
        <v>1000</v>
      </c>
      <c r="O32" s="17">
        <f>P32</f>
        <v>1960300</v>
      </c>
      <c r="P32" s="41">
        <v>1960300</v>
      </c>
      <c r="Q32" s="41">
        <f>R32</f>
        <v>0</v>
      </c>
      <c r="R32" s="41"/>
      <c r="S32" s="17">
        <f>T32+U32</f>
        <v>29073411.829999998</v>
      </c>
      <c r="T32" s="41">
        <f>2800500-2323777</f>
        <v>476723</v>
      </c>
      <c r="U32" s="41">
        <v>28596688.829999998</v>
      </c>
      <c r="V32" s="17">
        <f>W32+AA32+AF32+AH32</f>
        <v>242983400</v>
      </c>
      <c r="W32" s="17">
        <f>X32+Y32+Z32</f>
        <v>3889800</v>
      </c>
      <c r="X32" s="41">
        <v>3879300</v>
      </c>
      <c r="Y32" s="41">
        <v>10500</v>
      </c>
      <c r="Z32" s="41"/>
      <c r="AA32" s="17">
        <f>SUM(AB32:AE32)</f>
        <v>232153300</v>
      </c>
      <c r="AB32" s="17">
        <v>2470400</v>
      </c>
      <c r="AC32" s="41">
        <v>224894900</v>
      </c>
      <c r="AD32" s="41">
        <v>4788000</v>
      </c>
      <c r="AE32" s="41"/>
      <c r="AF32" s="17">
        <f>SUM(AG32)</f>
        <v>4313400</v>
      </c>
      <c r="AG32" s="239">
        <f>4494000-180600</f>
        <v>4313400</v>
      </c>
      <c r="AH32" s="41">
        <f>SUM(AI32:AL32)</f>
        <v>2626900</v>
      </c>
      <c r="AI32" s="41">
        <v>135300</v>
      </c>
      <c r="AJ32" s="41">
        <v>2342700</v>
      </c>
      <c r="AK32" s="41">
        <v>139000</v>
      </c>
      <c r="AL32" s="41">
        <v>9900</v>
      </c>
      <c r="AM32" s="41">
        <f>AN32+AU32</f>
        <v>20045100</v>
      </c>
      <c r="AN32" s="41">
        <f>SUM(AO32:AT32)</f>
        <v>20045100</v>
      </c>
      <c r="AO32" s="41">
        <v>4666100</v>
      </c>
      <c r="AP32" s="41">
        <v>15334300</v>
      </c>
      <c r="AQ32" s="41"/>
      <c r="AR32" s="41">
        <v>44700</v>
      </c>
      <c r="AS32" s="17"/>
      <c r="AT32" s="17"/>
      <c r="AU32" s="17"/>
      <c r="AV32" s="17"/>
      <c r="AW32" s="17">
        <f>AX32+BA32+BF32</f>
        <v>83457300</v>
      </c>
      <c r="AX32" s="107">
        <f>SUM(AY32:AZ32)</f>
        <v>39861000</v>
      </c>
      <c r="AY32" s="107"/>
      <c r="AZ32" s="41">
        <v>39861000</v>
      </c>
      <c r="BA32" s="107">
        <f>SUM(BB32:BC32)</f>
        <v>14000000</v>
      </c>
      <c r="BB32" s="107"/>
      <c r="BC32" s="107">
        <f>9000000+5000000</f>
        <v>14000000</v>
      </c>
      <c r="BD32" s="107"/>
      <c r="BE32" s="107"/>
      <c r="BF32" s="41">
        <f>SUM(BG32:BM32)</f>
        <v>29596300</v>
      </c>
      <c r="BG32" s="41"/>
      <c r="BH32" s="41"/>
      <c r="BI32" s="41"/>
      <c r="BJ32" s="41"/>
      <c r="BK32" s="243">
        <v>20857600</v>
      </c>
      <c r="BL32" s="41">
        <v>8420000</v>
      </c>
      <c r="BM32" s="41">
        <v>318700</v>
      </c>
      <c r="BN32" s="88">
        <f>BO32</f>
        <v>85000</v>
      </c>
      <c r="BO32" s="17">
        <f>BP32+BQ32</f>
        <v>85000</v>
      </c>
      <c r="BP32" s="30">
        <v>85000</v>
      </c>
      <c r="BQ32" s="30"/>
      <c r="BR32" s="212">
        <f>BS32</f>
        <v>0</v>
      </c>
      <c r="BS32" s="29">
        <v>0</v>
      </c>
      <c r="BT32" s="304">
        <f>BU32</f>
        <v>0</v>
      </c>
      <c r="BU32" s="29"/>
      <c r="BV32" s="314">
        <f>BW32</f>
        <v>0</v>
      </c>
      <c r="BW32" s="29"/>
      <c r="BX32" s="32"/>
      <c r="BY32" s="68"/>
      <c r="BZ32" s="62">
        <f>CC32+CI32+CK32+CA32</f>
        <v>13077600</v>
      </c>
      <c r="CA32" s="17">
        <f>CB32</f>
        <v>4500000</v>
      </c>
      <c r="CB32" s="340">
        <v>4500000</v>
      </c>
      <c r="CC32" s="103">
        <f>CD32+CE32+CH32</f>
        <v>8281800</v>
      </c>
      <c r="CD32" s="103">
        <v>500000</v>
      </c>
      <c r="CE32" s="14">
        <f>CF32+CG32</f>
        <v>7781800</v>
      </c>
      <c r="CF32" s="31">
        <v>2275800</v>
      </c>
      <c r="CG32" s="14">
        <v>5506000</v>
      </c>
      <c r="CH32" s="14"/>
      <c r="CI32" s="14">
        <f>CJ32</f>
        <v>15500</v>
      </c>
      <c r="CJ32" s="31">
        <v>15500</v>
      </c>
      <c r="CK32" s="14">
        <f>CL32+CM32</f>
        <v>280300</v>
      </c>
      <c r="CL32" s="29">
        <v>279600</v>
      </c>
      <c r="CM32" s="30">
        <v>700</v>
      </c>
      <c r="CN32" s="65">
        <f>CO32+CQ32+CU32+DC32+DE32+DI32+DN32+DS32+DU32+DW32+DZ32+EC32+EF32+EK32+EO32</f>
        <v>333514134</v>
      </c>
      <c r="CO32" s="17">
        <f>CP32</f>
        <v>0</v>
      </c>
      <c r="CP32" s="17"/>
      <c r="CQ32" s="17">
        <f>CR32+CS32+CT32</f>
        <v>2323800</v>
      </c>
      <c r="CR32" s="17"/>
      <c r="CS32" s="17">
        <v>2322507.5</v>
      </c>
      <c r="CT32" s="17">
        <v>1292.5</v>
      </c>
      <c r="CU32" s="17">
        <f>SUM(CV32:DB32)</f>
        <v>84469000</v>
      </c>
      <c r="CV32" s="17"/>
      <c r="CW32" s="17">
        <v>9822500</v>
      </c>
      <c r="CX32" s="283">
        <v>6518300</v>
      </c>
      <c r="CY32" s="14">
        <v>14128200</v>
      </c>
      <c r="CZ32" s="14">
        <v>19000000</v>
      </c>
      <c r="DA32" s="14">
        <v>35000000</v>
      </c>
      <c r="DB32" s="14"/>
      <c r="DC32" s="14">
        <f t="shared" si="1"/>
        <v>0</v>
      </c>
      <c r="DD32" s="14"/>
      <c r="DE32" s="103">
        <f t="shared" si="0"/>
        <v>240000000</v>
      </c>
      <c r="DF32" s="17">
        <v>240000000</v>
      </c>
      <c r="DG32" s="17"/>
      <c r="DH32" s="17"/>
      <c r="DI32" s="17">
        <f t="shared" si="2"/>
        <v>6721334</v>
      </c>
      <c r="DJ32" s="17"/>
      <c r="DK32" s="17">
        <v>5590000</v>
      </c>
      <c r="DL32" s="17">
        <v>1131334</v>
      </c>
      <c r="DM32" s="17"/>
      <c r="DN32" s="17">
        <f t="shared" si="3"/>
        <v>0</v>
      </c>
      <c r="DO32" s="17"/>
      <c r="DP32" s="17">
        <v>0</v>
      </c>
      <c r="DQ32" s="17">
        <v>0</v>
      </c>
      <c r="DR32" s="17"/>
      <c r="DS32" s="17"/>
      <c r="DT32" s="17"/>
      <c r="DU32" s="17"/>
      <c r="DV32" s="17"/>
      <c r="DW32" s="17"/>
      <c r="DX32" s="17"/>
      <c r="DY32" s="17"/>
      <c r="DZ32" s="17">
        <f t="shared" si="4"/>
        <v>0</v>
      </c>
      <c r="EA32" s="17"/>
      <c r="EB32" s="17"/>
      <c r="EC32" s="17"/>
      <c r="ED32" s="17"/>
      <c r="EE32" s="17"/>
      <c r="EF32" s="17">
        <f t="shared" si="5"/>
        <v>0</v>
      </c>
      <c r="EG32" s="17">
        <v>0</v>
      </c>
      <c r="EH32" s="17">
        <v>0</v>
      </c>
      <c r="EI32" s="17"/>
      <c r="EJ32" s="17"/>
      <c r="EK32" s="17">
        <f t="shared" si="6"/>
        <v>0</v>
      </c>
      <c r="EL32" s="17"/>
      <c r="EM32" s="17"/>
      <c r="EN32" s="17"/>
      <c r="EO32" s="3">
        <f t="shared" si="7"/>
        <v>0</v>
      </c>
      <c r="EP32" s="107">
        <v>0</v>
      </c>
      <c r="EQ32" s="79">
        <f t="shared" si="8"/>
        <v>0</v>
      </c>
      <c r="ER32" s="103"/>
      <c r="ES32" s="81">
        <f t="shared" si="9"/>
        <v>0</v>
      </c>
      <c r="ET32" s="17"/>
      <c r="EU32" s="103"/>
      <c r="EV32" s="4">
        <f>C32++BN32+BR32+BT32+BV32+BX32+BY32+BZ32+CN32+EQ32+ES32</f>
        <v>725044045.82999992</v>
      </c>
      <c r="EW32" s="23">
        <f>'Ут.План на 01.09.2013'!C33-EV32</f>
        <v>0</v>
      </c>
    </row>
    <row r="33" spans="1:252" x14ac:dyDescent="0.25">
      <c r="A33" s="144">
        <v>29</v>
      </c>
      <c r="B33" s="1" t="s">
        <v>88</v>
      </c>
      <c r="C33" s="22">
        <f>D33+O33+S33+V33+AM33+AW33+Q33</f>
        <v>522987397</v>
      </c>
      <c r="D33" s="2">
        <f>E33+M33</f>
        <v>1238600</v>
      </c>
      <c r="E33" s="77">
        <f>SUM(F33:L33)</f>
        <v>1237500</v>
      </c>
      <c r="F33" s="41">
        <v>358300</v>
      </c>
      <c r="G33" s="41">
        <v>29300</v>
      </c>
      <c r="H33" s="17"/>
      <c r="I33" s="17"/>
      <c r="J33" s="41">
        <v>757700</v>
      </c>
      <c r="K33" s="17"/>
      <c r="L33" s="41">
        <v>92200</v>
      </c>
      <c r="M33" s="17">
        <f>SUM(N33)</f>
        <v>1100</v>
      </c>
      <c r="N33" s="41">
        <v>1100</v>
      </c>
      <c r="O33" s="17">
        <f>P33</f>
        <v>3848500</v>
      </c>
      <c r="P33" s="41">
        <v>3848500</v>
      </c>
      <c r="Q33" s="41">
        <f>R33</f>
        <v>0</v>
      </c>
      <c r="R33" s="41"/>
      <c r="S33" s="17">
        <f>T33</f>
        <v>4804797</v>
      </c>
      <c r="T33" s="41">
        <f>17140400-12335603</f>
        <v>4804797</v>
      </c>
      <c r="U33" s="41"/>
      <c r="V33" s="17">
        <f>W33+AA33+AF33+AH33</f>
        <v>363602000</v>
      </c>
      <c r="W33" s="17">
        <f>X33+Y33+Z33</f>
        <v>2697000</v>
      </c>
      <c r="X33" s="41">
        <v>2645000</v>
      </c>
      <c r="Y33" s="41">
        <f>12000+40000</f>
        <v>52000</v>
      </c>
      <c r="Z33" s="41"/>
      <c r="AA33" s="17">
        <f>SUM(AB33:AE33)</f>
        <v>348990800</v>
      </c>
      <c r="AB33" s="17">
        <v>1690300</v>
      </c>
      <c r="AC33" s="41">
        <v>338732500</v>
      </c>
      <c r="AD33" s="41">
        <v>8568000</v>
      </c>
      <c r="AE33" s="41"/>
      <c r="AF33" s="17">
        <f>SUM(AG33)</f>
        <v>7375200</v>
      </c>
      <c r="AG33" s="239">
        <f>7673800-298600</f>
        <v>7375200</v>
      </c>
      <c r="AH33" s="41">
        <f>SUM(AI33:AL33)</f>
        <v>4539000</v>
      </c>
      <c r="AI33" s="41">
        <v>174400</v>
      </c>
      <c r="AJ33" s="41">
        <v>4099900</v>
      </c>
      <c r="AK33" s="41">
        <v>262600</v>
      </c>
      <c r="AL33" s="41">
        <v>2100</v>
      </c>
      <c r="AM33" s="41">
        <f>AN33+AU33</f>
        <v>34769100</v>
      </c>
      <c r="AN33" s="41">
        <f>SUM(AO33:AT33)</f>
        <v>34769100</v>
      </c>
      <c r="AO33" s="41">
        <v>4289000</v>
      </c>
      <c r="AP33" s="41">
        <v>30087900</v>
      </c>
      <c r="AQ33" s="41">
        <v>153600</v>
      </c>
      <c r="AR33" s="41">
        <v>12000</v>
      </c>
      <c r="AS33" s="17">
        <f>66600+80000+20000+60000</f>
        <v>226600</v>
      </c>
      <c r="AT33" s="17"/>
      <c r="AU33" s="17"/>
      <c r="AV33" s="17"/>
      <c r="AW33" s="17">
        <f>AX33+BA33+BF33</f>
        <v>114724400</v>
      </c>
      <c r="AX33" s="107">
        <f>SUM(AY33:AZ33)</f>
        <v>75534000</v>
      </c>
      <c r="AY33" s="107"/>
      <c r="AZ33" s="41">
        <v>75534000</v>
      </c>
      <c r="BA33" s="107">
        <f>SUM(BB33:BC33)</f>
        <v>0</v>
      </c>
      <c r="BB33" s="107"/>
      <c r="BC33" s="107"/>
      <c r="BD33" s="107"/>
      <c r="BE33" s="107"/>
      <c r="BF33" s="41">
        <f>SUM(BG33:BM33)</f>
        <v>39190400</v>
      </c>
      <c r="BG33" s="41"/>
      <c r="BH33" s="41">
        <v>1000000</v>
      </c>
      <c r="BI33" s="41"/>
      <c r="BJ33" s="41"/>
      <c r="BK33" s="243">
        <v>21933200</v>
      </c>
      <c r="BL33" s="41">
        <v>15850000</v>
      </c>
      <c r="BM33" s="41">
        <v>407200</v>
      </c>
      <c r="BN33" s="88">
        <f>BO33</f>
        <v>130000</v>
      </c>
      <c r="BO33" s="17">
        <f>BP33+BQ33</f>
        <v>130000</v>
      </c>
      <c r="BP33" s="30">
        <v>130000</v>
      </c>
      <c r="BQ33" s="30"/>
      <c r="BR33" s="212">
        <f>BS33</f>
        <v>381000</v>
      </c>
      <c r="BS33" s="29">
        <v>381000</v>
      </c>
      <c r="BT33" s="304">
        <f>BU33</f>
        <v>0</v>
      </c>
      <c r="BU33" s="29"/>
      <c r="BV33" s="314">
        <f>BW33</f>
        <v>0</v>
      </c>
      <c r="BW33" s="29"/>
      <c r="BX33" s="32"/>
      <c r="BY33" s="68"/>
      <c r="BZ33" s="62">
        <f>CC33+CI33+CK33+CA33</f>
        <v>26929600</v>
      </c>
      <c r="CA33" s="17">
        <f>CB33</f>
        <v>9997200</v>
      </c>
      <c r="CB33" s="340">
        <v>9997200</v>
      </c>
      <c r="CC33" s="103">
        <f>CD33+CE33+CH33</f>
        <v>15887600</v>
      </c>
      <c r="CD33" s="103">
        <v>4000000</v>
      </c>
      <c r="CE33" s="14">
        <f>CF33+CG33</f>
        <v>11887600</v>
      </c>
      <c r="CF33" s="31">
        <v>3045600</v>
      </c>
      <c r="CG33" s="14">
        <v>8842000</v>
      </c>
      <c r="CH33" s="14"/>
      <c r="CI33" s="14">
        <f>CJ33</f>
        <v>23500</v>
      </c>
      <c r="CJ33" s="31">
        <v>23500</v>
      </c>
      <c r="CK33" s="14">
        <f>CL33+CM33</f>
        <v>1021300</v>
      </c>
      <c r="CL33" s="29">
        <v>1017600</v>
      </c>
      <c r="CM33" s="30">
        <v>3700</v>
      </c>
      <c r="CN33" s="65">
        <f>CO33+CQ33+CU33+DC33+DE33+DI33+DN33+DS33+DU33+DW33+DZ33+EC33+EF33+EK33+EO33</f>
        <v>101027670</v>
      </c>
      <c r="CO33" s="17">
        <f>CP33</f>
        <v>906270</v>
      </c>
      <c r="CP33" s="17">
        <v>906270</v>
      </c>
      <c r="CQ33" s="17">
        <f>CR33+CS33+CT33</f>
        <v>12335600</v>
      </c>
      <c r="CR33" s="17"/>
      <c r="CS33" s="17">
        <v>12329696.5</v>
      </c>
      <c r="CT33" s="17">
        <v>5903.5</v>
      </c>
      <c r="CU33" s="17">
        <f>SUM(CV33:DB33)</f>
        <v>64925800</v>
      </c>
      <c r="CV33" s="17"/>
      <c r="CW33" s="17">
        <v>16304000</v>
      </c>
      <c r="CX33" s="283">
        <v>15156800</v>
      </c>
      <c r="CY33" s="14">
        <v>23845000</v>
      </c>
      <c r="CZ33" s="14">
        <v>6500000</v>
      </c>
      <c r="DA33" s="14">
        <v>3120000</v>
      </c>
      <c r="DB33" s="14"/>
      <c r="DC33" s="14">
        <f t="shared" si="1"/>
        <v>0</v>
      </c>
      <c r="DD33" s="14"/>
      <c r="DE33" s="103">
        <f t="shared" si="0"/>
        <v>0</v>
      </c>
      <c r="DF33" s="17"/>
      <c r="DG33" s="17"/>
      <c r="DH33" s="17"/>
      <c r="DI33" s="17">
        <f t="shared" si="2"/>
        <v>15824000</v>
      </c>
      <c r="DJ33" s="17"/>
      <c r="DK33" s="17">
        <v>15824000</v>
      </c>
      <c r="DL33" s="17"/>
      <c r="DM33" s="17"/>
      <c r="DN33" s="17">
        <f t="shared" si="3"/>
        <v>36000</v>
      </c>
      <c r="DO33" s="17"/>
      <c r="DP33" s="17">
        <v>0</v>
      </c>
      <c r="DQ33" s="17">
        <v>36000</v>
      </c>
      <c r="DR33" s="17"/>
      <c r="DS33" s="17"/>
      <c r="DT33" s="17"/>
      <c r="DU33" s="17"/>
      <c r="DV33" s="17"/>
      <c r="DW33" s="17">
        <f t="shared" si="10"/>
        <v>7000000</v>
      </c>
      <c r="DX33" s="17">
        <v>7000000</v>
      </c>
      <c r="DY33" s="17"/>
      <c r="DZ33" s="17">
        <f t="shared" si="4"/>
        <v>0</v>
      </c>
      <c r="EA33" s="17"/>
      <c r="EB33" s="17"/>
      <c r="EC33" s="17"/>
      <c r="ED33" s="17"/>
      <c r="EE33" s="17"/>
      <c r="EF33" s="17">
        <f t="shared" si="5"/>
        <v>0</v>
      </c>
      <c r="EG33" s="17">
        <v>0</v>
      </c>
      <c r="EH33" s="17">
        <v>0</v>
      </c>
      <c r="EI33" s="17"/>
      <c r="EJ33" s="17"/>
      <c r="EK33" s="17">
        <f t="shared" si="6"/>
        <v>0</v>
      </c>
      <c r="EL33" s="17"/>
      <c r="EM33" s="17"/>
      <c r="EN33" s="17"/>
      <c r="EO33" s="3">
        <f t="shared" si="7"/>
        <v>0</v>
      </c>
      <c r="EP33" s="107">
        <v>0</v>
      </c>
      <c r="EQ33" s="79">
        <f t="shared" si="8"/>
        <v>0</v>
      </c>
      <c r="ER33" s="103"/>
      <c r="ES33" s="81">
        <f t="shared" si="9"/>
        <v>0</v>
      </c>
      <c r="ET33" s="17"/>
      <c r="EU33" s="103"/>
      <c r="EV33" s="4">
        <f>C33++BN33+BR33+BT33+BV33+BX33+BY33+BZ33+CN33+EQ33+ES33</f>
        <v>651455667</v>
      </c>
      <c r="EW33" s="23">
        <f>'Ут.План на 01.09.2013'!C34-EV33</f>
        <v>0</v>
      </c>
    </row>
    <row r="34" spans="1:252" x14ac:dyDescent="0.25">
      <c r="A34" s="144">
        <v>30</v>
      </c>
      <c r="B34" s="1" t="s">
        <v>89</v>
      </c>
      <c r="C34" s="22">
        <f>D34+O34+S34+V34+AM34+AW34+Q34</f>
        <v>153851000</v>
      </c>
      <c r="D34" s="2">
        <f>E34+M34</f>
        <v>533000</v>
      </c>
      <c r="E34" s="77">
        <f>SUM(F34:L34)</f>
        <v>532600</v>
      </c>
      <c r="F34" s="41">
        <v>153200</v>
      </c>
      <c r="G34" s="41">
        <v>3700</v>
      </c>
      <c r="H34" s="17"/>
      <c r="I34" s="17"/>
      <c r="J34" s="41">
        <v>341100</v>
      </c>
      <c r="K34" s="17"/>
      <c r="L34" s="41">
        <v>34600</v>
      </c>
      <c r="M34" s="17">
        <f>SUM(N34)</f>
        <v>400</v>
      </c>
      <c r="N34" s="41">
        <v>400</v>
      </c>
      <c r="O34" s="17">
        <f>P34</f>
        <v>419100</v>
      </c>
      <c r="P34" s="41">
        <v>419100</v>
      </c>
      <c r="Q34" s="41">
        <f>R34</f>
        <v>0</v>
      </c>
      <c r="R34" s="41"/>
      <c r="S34" s="17">
        <f>T34</f>
        <v>28500</v>
      </c>
      <c r="T34" s="41">
        <f>310500-282000</f>
        <v>28500</v>
      </c>
      <c r="U34" s="41"/>
      <c r="V34" s="17">
        <f>W34+AA34+AF34+AH34</f>
        <v>74906300</v>
      </c>
      <c r="W34" s="17">
        <f>X34+Y34+Z34</f>
        <v>500000</v>
      </c>
      <c r="X34" s="34"/>
      <c r="Y34" s="34"/>
      <c r="Z34" s="34">
        <v>500000</v>
      </c>
      <c r="AA34" s="17">
        <f>SUM(AB34:AE34)</f>
        <v>72501100</v>
      </c>
      <c r="AB34" s="17"/>
      <c r="AC34" s="41">
        <v>70560700</v>
      </c>
      <c r="AD34" s="41">
        <v>1940400</v>
      </c>
      <c r="AE34" s="41"/>
      <c r="AF34" s="17">
        <f>SUM(AG34)</f>
        <v>1223000</v>
      </c>
      <c r="AG34" s="239">
        <f>1223000</f>
        <v>1223000</v>
      </c>
      <c r="AH34" s="41">
        <f>SUM(AI34:AL34)</f>
        <v>682200</v>
      </c>
      <c r="AI34" s="41">
        <v>23100</v>
      </c>
      <c r="AJ34" s="41">
        <v>585800</v>
      </c>
      <c r="AK34" s="41">
        <v>52500</v>
      </c>
      <c r="AL34" s="41">
        <v>20800</v>
      </c>
      <c r="AM34" s="41">
        <f>AN34+AU34</f>
        <v>5100400</v>
      </c>
      <c r="AN34" s="41">
        <f>SUM(AO34:AT34)</f>
        <v>5100400</v>
      </c>
      <c r="AO34" s="41">
        <v>691200</v>
      </c>
      <c r="AP34" s="41">
        <v>4292900</v>
      </c>
      <c r="AQ34" s="41"/>
      <c r="AR34" s="41">
        <v>116300</v>
      </c>
      <c r="AS34" s="17"/>
      <c r="AT34" s="17"/>
      <c r="AU34" s="17"/>
      <c r="AV34" s="17"/>
      <c r="AW34" s="17">
        <f>AX34+BA34+BF34</f>
        <v>72863700</v>
      </c>
      <c r="AX34" s="107">
        <f>SUM(AY34:AZ34)</f>
        <v>57383000</v>
      </c>
      <c r="AY34" s="107"/>
      <c r="AZ34" s="41">
        <v>57383000</v>
      </c>
      <c r="BA34" s="107">
        <f>SUM(BB34:BC34)</f>
        <v>7300000</v>
      </c>
      <c r="BB34" s="107"/>
      <c r="BC34" s="107">
        <f>4600000+2700000</f>
        <v>7300000</v>
      </c>
      <c r="BD34" s="107"/>
      <c r="BE34" s="107"/>
      <c r="BF34" s="41">
        <f>SUM(BG34:BM34)</f>
        <v>8180700</v>
      </c>
      <c r="BG34" s="41"/>
      <c r="BH34" s="41">
        <v>1775000</v>
      </c>
      <c r="BI34" s="41"/>
      <c r="BJ34" s="41"/>
      <c r="BK34" s="243">
        <v>4286000</v>
      </c>
      <c r="BL34" s="41">
        <v>1978000</v>
      </c>
      <c r="BM34" s="41">
        <v>141700</v>
      </c>
      <c r="BN34" s="88">
        <f>BO34</f>
        <v>62000</v>
      </c>
      <c r="BO34" s="17">
        <f>BP34+BQ34</f>
        <v>62000</v>
      </c>
      <c r="BP34" s="30">
        <v>62000</v>
      </c>
      <c r="BQ34" s="30"/>
      <c r="BR34" s="212">
        <f>BS34</f>
        <v>0</v>
      </c>
      <c r="BS34" s="29">
        <v>0</v>
      </c>
      <c r="BT34" s="304">
        <f>BU34</f>
        <v>0</v>
      </c>
      <c r="BU34" s="29"/>
      <c r="BV34" s="314">
        <f>BW34</f>
        <v>0</v>
      </c>
      <c r="BW34" s="29"/>
      <c r="BX34" s="32"/>
      <c r="BY34" s="68"/>
      <c r="BZ34" s="62">
        <f>CC34+CI34+CK34+CA34</f>
        <v>18940800</v>
      </c>
      <c r="CA34" s="17">
        <f>CB34</f>
        <v>6142800</v>
      </c>
      <c r="CB34" s="340">
        <v>6142800</v>
      </c>
      <c r="CC34" s="103">
        <f>CD34+CE34+CH34</f>
        <v>12793500</v>
      </c>
      <c r="CD34" s="103">
        <v>10500000</v>
      </c>
      <c r="CE34" s="14">
        <f>CF34+CG34</f>
        <v>2293500</v>
      </c>
      <c r="CF34" s="31">
        <v>587500</v>
      </c>
      <c r="CG34" s="14">
        <v>1706000</v>
      </c>
      <c r="CH34" s="14"/>
      <c r="CI34" s="14">
        <f>CJ34</f>
        <v>4500</v>
      </c>
      <c r="CJ34" s="31">
        <v>4500</v>
      </c>
      <c r="CK34" s="14">
        <f>CL34+CM34</f>
        <v>0</v>
      </c>
      <c r="CL34" s="29">
        <v>0</v>
      </c>
      <c r="CM34" s="30">
        <v>0</v>
      </c>
      <c r="CN34" s="65">
        <f>CO34+CQ34+CU34+DC34+DE34+DI34+DN34+DS34+DU34+DW34+DZ34+EC34+EF34+EK34+EO34</f>
        <v>61426800</v>
      </c>
      <c r="CO34" s="17">
        <f>CP34</f>
        <v>0</v>
      </c>
      <c r="CP34" s="17"/>
      <c r="CQ34" s="17">
        <f>CR34+CS34+CT34</f>
        <v>282000</v>
      </c>
      <c r="CR34" s="17"/>
      <c r="CS34" s="17">
        <v>281954</v>
      </c>
      <c r="CT34" s="17">
        <v>46</v>
      </c>
      <c r="CU34" s="17">
        <f>SUM(CV34:DB34)</f>
        <v>59735800</v>
      </c>
      <c r="CV34" s="17"/>
      <c r="CW34" s="17">
        <v>2540600</v>
      </c>
      <c r="CX34" s="283">
        <v>193800</v>
      </c>
      <c r="CY34" s="14">
        <v>3612100</v>
      </c>
      <c r="CZ34" s="14">
        <v>370000</v>
      </c>
      <c r="DA34" s="14">
        <v>53019300</v>
      </c>
      <c r="DB34" s="14"/>
      <c r="DC34" s="14">
        <f t="shared" si="1"/>
        <v>0</v>
      </c>
      <c r="DD34" s="14"/>
      <c r="DE34" s="103">
        <f t="shared" si="0"/>
        <v>0</v>
      </c>
      <c r="DF34" s="17"/>
      <c r="DG34" s="17"/>
      <c r="DH34" s="17"/>
      <c r="DI34" s="17">
        <f t="shared" si="2"/>
        <v>1409000</v>
      </c>
      <c r="DJ34" s="17"/>
      <c r="DK34" s="17">
        <v>1409000</v>
      </c>
      <c r="DL34" s="17"/>
      <c r="DM34" s="17"/>
      <c r="DN34" s="17">
        <f t="shared" si="3"/>
        <v>0</v>
      </c>
      <c r="DO34" s="17"/>
      <c r="DP34" s="17">
        <v>0</v>
      </c>
      <c r="DQ34" s="17">
        <v>0</v>
      </c>
      <c r="DR34" s="17"/>
      <c r="DS34" s="17"/>
      <c r="DT34" s="17"/>
      <c r="DU34" s="17"/>
      <c r="DV34" s="17"/>
      <c r="DW34" s="17"/>
      <c r="DX34" s="17"/>
      <c r="DY34" s="17"/>
      <c r="DZ34" s="17">
        <f t="shared" si="4"/>
        <v>0</v>
      </c>
      <c r="EA34" s="17"/>
      <c r="EB34" s="17"/>
      <c r="EC34" s="17"/>
      <c r="ED34" s="17"/>
      <c r="EE34" s="17"/>
      <c r="EF34" s="17">
        <f t="shared" si="5"/>
        <v>0</v>
      </c>
      <c r="EG34" s="17">
        <v>0</v>
      </c>
      <c r="EH34" s="17">
        <v>0</v>
      </c>
      <c r="EI34" s="17"/>
      <c r="EJ34" s="17"/>
      <c r="EK34" s="17">
        <f t="shared" si="6"/>
        <v>0</v>
      </c>
      <c r="EL34" s="17"/>
      <c r="EM34" s="17"/>
      <c r="EN34" s="17"/>
      <c r="EO34" s="3">
        <f t="shared" si="7"/>
        <v>0</v>
      </c>
      <c r="EP34" s="107">
        <v>0</v>
      </c>
      <c r="EQ34" s="79">
        <f t="shared" si="8"/>
        <v>0</v>
      </c>
      <c r="ER34" s="103"/>
      <c r="ES34" s="81">
        <f t="shared" si="9"/>
        <v>0</v>
      </c>
      <c r="ET34" s="17"/>
      <c r="EU34" s="103"/>
      <c r="EV34" s="4">
        <f>C34++BN34+BR34+BT34+BV34+BX34+BY34+BZ34+CN34+EQ34+ES34</f>
        <v>234280600</v>
      </c>
      <c r="EW34" s="23">
        <f>'Ут.План на 01.09.2013'!C35-EV34</f>
        <v>0</v>
      </c>
    </row>
    <row r="35" spans="1:252" x14ac:dyDescent="0.25">
      <c r="A35" s="144">
        <v>31</v>
      </c>
      <c r="B35" s="1" t="s">
        <v>90</v>
      </c>
      <c r="C35" s="22">
        <f>D35+O35+S35+V35+AM35+AW35+Q35</f>
        <v>415232998</v>
      </c>
      <c r="D35" s="2">
        <f>E35+M35</f>
        <v>797200</v>
      </c>
      <c r="E35" s="77">
        <f>SUM(F35:L35)</f>
        <v>796500</v>
      </c>
      <c r="F35" s="41">
        <v>342200</v>
      </c>
      <c r="G35" s="41">
        <v>19100</v>
      </c>
      <c r="H35" s="17"/>
      <c r="I35" s="17"/>
      <c r="J35" s="41">
        <v>377600</v>
      </c>
      <c r="K35" s="17"/>
      <c r="L35" s="41">
        <v>57600</v>
      </c>
      <c r="M35" s="17">
        <f>SUM(N35)</f>
        <v>700</v>
      </c>
      <c r="N35" s="41">
        <v>700</v>
      </c>
      <c r="O35" s="17">
        <f>P35</f>
        <v>1808100</v>
      </c>
      <c r="P35" s="41">
        <v>1808100</v>
      </c>
      <c r="Q35" s="41">
        <f>R35</f>
        <v>0</v>
      </c>
      <c r="R35" s="41"/>
      <c r="S35" s="17">
        <f>T35</f>
        <v>18798</v>
      </c>
      <c r="T35" s="41">
        <f>260000-241202</f>
        <v>18798</v>
      </c>
      <c r="U35" s="41"/>
      <c r="V35" s="17">
        <f>W35+AA35+AF35+AH35</f>
        <v>251997700</v>
      </c>
      <c r="W35" s="17">
        <f>X35+Y35+Z35</f>
        <v>3189200</v>
      </c>
      <c r="X35" s="41">
        <v>2609700</v>
      </c>
      <c r="Y35" s="41">
        <v>4500</v>
      </c>
      <c r="Z35" s="41">
        <v>575000</v>
      </c>
      <c r="AA35" s="17">
        <f>SUM(AB35:AE35)</f>
        <v>240018700</v>
      </c>
      <c r="AB35" s="17">
        <v>2372900</v>
      </c>
      <c r="AC35" s="41">
        <v>231039200</v>
      </c>
      <c r="AD35" s="41">
        <v>6606600</v>
      </c>
      <c r="AE35" s="41"/>
      <c r="AF35" s="17">
        <f>SUM(AG35)</f>
        <v>5712800</v>
      </c>
      <c r="AG35" s="239">
        <f>5901000-188200</f>
        <v>5712800</v>
      </c>
      <c r="AH35" s="41">
        <f>SUM(AI35:AL35)</f>
        <v>3077000</v>
      </c>
      <c r="AI35" s="41">
        <v>127800</v>
      </c>
      <c r="AJ35" s="41">
        <v>2733300</v>
      </c>
      <c r="AK35" s="41">
        <v>157500</v>
      </c>
      <c r="AL35" s="41">
        <v>58400</v>
      </c>
      <c r="AM35" s="41">
        <f>AN35+AU35</f>
        <v>23833300</v>
      </c>
      <c r="AN35" s="41">
        <f>SUM(AO35:AT35)</f>
        <v>23833300</v>
      </c>
      <c r="AO35" s="41">
        <v>4406400</v>
      </c>
      <c r="AP35" s="41">
        <v>19105400</v>
      </c>
      <c r="AQ35" s="41"/>
      <c r="AR35" s="41">
        <v>321500</v>
      </c>
      <c r="AS35" s="17"/>
      <c r="AT35" s="17"/>
      <c r="AU35" s="17"/>
      <c r="AV35" s="17"/>
      <c r="AW35" s="17">
        <f>AX35+BA35+BF35</f>
        <v>136777900</v>
      </c>
      <c r="AX35" s="107">
        <f>SUM(AY35:AZ35)</f>
        <v>51898000</v>
      </c>
      <c r="AY35" s="107"/>
      <c r="AZ35" s="41">
        <v>51898000</v>
      </c>
      <c r="BA35" s="107">
        <f>SUM(BB35:BC35)</f>
        <v>16875500</v>
      </c>
      <c r="BB35" s="107"/>
      <c r="BC35" s="107">
        <v>16875500</v>
      </c>
      <c r="BD35" s="107"/>
      <c r="BE35" s="107"/>
      <c r="BF35" s="41">
        <f>SUM(BG35:BM35)</f>
        <v>68004400</v>
      </c>
      <c r="BG35" s="41"/>
      <c r="BH35" s="41">
        <f>19500000+10000000+10000000</f>
        <v>39500000</v>
      </c>
      <c r="BI35" s="41"/>
      <c r="BJ35" s="41"/>
      <c r="BK35" s="243">
        <v>17923600</v>
      </c>
      <c r="BL35" s="41">
        <v>10333000</v>
      </c>
      <c r="BM35" s="41">
        <v>247800</v>
      </c>
      <c r="BN35" s="88">
        <f>BO35</f>
        <v>141000</v>
      </c>
      <c r="BO35" s="17">
        <f>BP35+BQ35</f>
        <v>141000</v>
      </c>
      <c r="BP35" s="30">
        <v>141000</v>
      </c>
      <c r="BQ35" s="30"/>
      <c r="BR35" s="212">
        <f>BS35</f>
        <v>0</v>
      </c>
      <c r="BS35" s="29">
        <v>0</v>
      </c>
      <c r="BT35" s="304">
        <f>BU35</f>
        <v>0</v>
      </c>
      <c r="BU35" s="29"/>
      <c r="BV35" s="314">
        <f>BW35</f>
        <v>0</v>
      </c>
      <c r="BW35" s="29"/>
      <c r="BX35" s="32"/>
      <c r="BY35" s="68"/>
      <c r="BZ35" s="62">
        <f>CC35+CI35+CK35+CA35</f>
        <v>23328600</v>
      </c>
      <c r="CA35" s="17">
        <f>CB35</f>
        <v>14261000</v>
      </c>
      <c r="CB35" s="340">
        <v>14261000</v>
      </c>
      <c r="CC35" s="103">
        <f>CD35+CE35+CH35</f>
        <v>9050700</v>
      </c>
      <c r="CD35" s="103">
        <v>500000</v>
      </c>
      <c r="CE35" s="14">
        <f>CF35+CG35</f>
        <v>8550700</v>
      </c>
      <c r="CF35" s="31">
        <v>2190700</v>
      </c>
      <c r="CG35" s="14">
        <v>6360000</v>
      </c>
      <c r="CH35" s="14"/>
      <c r="CI35" s="14">
        <f>CJ35</f>
        <v>16900</v>
      </c>
      <c r="CJ35" s="31">
        <v>16900</v>
      </c>
      <c r="CK35" s="14">
        <f>CL35+CM35</f>
        <v>0</v>
      </c>
      <c r="CL35" s="29">
        <v>0</v>
      </c>
      <c r="CM35" s="30">
        <v>0</v>
      </c>
      <c r="CN35" s="65">
        <f>CO35+CQ35+CU35+DC35+DE35+DI35+DN35+DS35+DU35+DW35+DZ35+EC35+EF35+EK35+EO35</f>
        <v>128971500</v>
      </c>
      <c r="CO35" s="17">
        <f>CP35</f>
        <v>119000</v>
      </c>
      <c r="CP35" s="17">
        <v>119000</v>
      </c>
      <c r="CQ35" s="17">
        <f>CR35+CS35+CT35</f>
        <v>2741200</v>
      </c>
      <c r="CR35" s="17">
        <v>2500000</v>
      </c>
      <c r="CS35" s="17">
        <v>240958.1</v>
      </c>
      <c r="CT35" s="17">
        <v>241.9</v>
      </c>
      <c r="CU35" s="17">
        <f>SUM(CV35:DB35)</f>
        <v>47369300</v>
      </c>
      <c r="CV35" s="17"/>
      <c r="CW35" s="17">
        <v>11271200</v>
      </c>
      <c r="CX35" s="283">
        <v>17445200</v>
      </c>
      <c r="CY35" s="14">
        <v>16352900</v>
      </c>
      <c r="CZ35" s="14">
        <v>0</v>
      </c>
      <c r="DA35" s="14">
        <v>2300000</v>
      </c>
      <c r="DB35" s="14"/>
      <c r="DC35" s="14">
        <f t="shared" si="1"/>
        <v>0</v>
      </c>
      <c r="DD35" s="14"/>
      <c r="DE35" s="103">
        <f t="shared" si="0"/>
        <v>0</v>
      </c>
      <c r="DF35" s="17"/>
      <c r="DG35" s="17"/>
      <c r="DH35" s="17"/>
      <c r="DI35" s="17">
        <f t="shared" si="2"/>
        <v>18972000</v>
      </c>
      <c r="DJ35" s="17"/>
      <c r="DK35" s="17">
        <v>18972000</v>
      </c>
      <c r="DL35" s="17"/>
      <c r="DM35" s="17"/>
      <c r="DN35" s="17">
        <f t="shared" si="3"/>
        <v>59770000</v>
      </c>
      <c r="DO35" s="17">
        <v>59770000</v>
      </c>
      <c r="DP35" s="17">
        <v>0</v>
      </c>
      <c r="DQ35" s="17">
        <v>0</v>
      </c>
      <c r="DR35" s="17"/>
      <c r="DS35" s="17"/>
      <c r="DT35" s="17"/>
      <c r="DU35" s="17"/>
      <c r="DV35" s="17"/>
      <c r="DW35" s="17"/>
      <c r="DX35" s="17">
        <v>0</v>
      </c>
      <c r="DY35" s="17"/>
      <c r="DZ35" s="17">
        <f t="shared" si="4"/>
        <v>0</v>
      </c>
      <c r="EA35" s="17"/>
      <c r="EB35" s="17"/>
      <c r="EC35" s="17"/>
      <c r="ED35" s="17"/>
      <c r="EE35" s="17"/>
      <c r="EF35" s="17">
        <f t="shared" si="5"/>
        <v>0</v>
      </c>
      <c r="EG35" s="17">
        <v>0</v>
      </c>
      <c r="EH35" s="17">
        <v>0</v>
      </c>
      <c r="EI35" s="17"/>
      <c r="EJ35" s="17"/>
      <c r="EK35" s="17">
        <f t="shared" si="6"/>
        <v>0</v>
      </c>
      <c r="EL35" s="17"/>
      <c r="EM35" s="17"/>
      <c r="EN35" s="17"/>
      <c r="EO35" s="3">
        <f t="shared" si="7"/>
        <v>0</v>
      </c>
      <c r="EP35" s="107">
        <v>0</v>
      </c>
      <c r="EQ35" s="79">
        <f t="shared" si="8"/>
        <v>0</v>
      </c>
      <c r="ER35" s="103"/>
      <c r="ES35" s="81">
        <f t="shared" si="9"/>
        <v>0</v>
      </c>
      <c r="ET35" s="17"/>
      <c r="EU35" s="103"/>
      <c r="EV35" s="4">
        <f>C35++BN35+BR35+BT35+BV35+BX35+BY35+BZ35+CN35+EQ35+ES35</f>
        <v>567674098</v>
      </c>
      <c r="EW35" s="23">
        <f>'Ут.План на 01.09.2013'!C36-EV35</f>
        <v>0</v>
      </c>
    </row>
    <row r="36" spans="1:252" s="9" customFormat="1" ht="16.5" customHeight="1" x14ac:dyDescent="0.2">
      <c r="A36" s="5"/>
      <c r="B36" s="156" t="s">
        <v>91</v>
      </c>
      <c r="C36" s="21">
        <f>SUM(C5:C35)</f>
        <v>8186185257.8299999</v>
      </c>
      <c r="D36" s="6">
        <f>SUM(D5:D35)</f>
        <v>24905300</v>
      </c>
      <c r="E36" s="78">
        <f>SUM(E5:E35)</f>
        <v>24885500</v>
      </c>
      <c r="F36" s="105">
        <f>SUM(F5:F35)</f>
        <v>7485200</v>
      </c>
      <c r="G36" s="105">
        <f>SUM(G5:G35)</f>
        <v>455700</v>
      </c>
      <c r="H36" s="105">
        <f>SUM(H5:H35)</f>
        <v>1020600</v>
      </c>
      <c r="I36" s="105">
        <f>SUM(I5:I35)</f>
        <v>978200</v>
      </c>
      <c r="J36" s="105">
        <f>SUM(J5:J35)</f>
        <v>12893600</v>
      </c>
      <c r="K36" s="105">
        <f>SUM(K5:K35)</f>
        <v>485500</v>
      </c>
      <c r="L36" s="105">
        <f>SUM(L5:L35)</f>
        <v>1566700</v>
      </c>
      <c r="M36" s="105">
        <f>SUM(M5:M35)</f>
        <v>19800</v>
      </c>
      <c r="N36" s="105">
        <f>SUM(N5:N35)</f>
        <v>19800</v>
      </c>
      <c r="O36" s="105">
        <f>SUM(O5:O35)</f>
        <v>35949600</v>
      </c>
      <c r="P36" s="105">
        <f>SUM(P5:P35)</f>
        <v>35949600</v>
      </c>
      <c r="Q36" s="105">
        <f>SUM(Q5:Q35)</f>
        <v>2280000</v>
      </c>
      <c r="R36" s="105">
        <f>SUM(R5:R35)</f>
        <v>2280000</v>
      </c>
      <c r="S36" s="105">
        <f>SUM(S5:S35)</f>
        <v>40033003.829999998</v>
      </c>
      <c r="T36" s="99">
        <f>SUM(T5:T35)</f>
        <v>11436315</v>
      </c>
      <c r="U36" s="99">
        <f>SUM(U5:U35)</f>
        <v>28596688.829999998</v>
      </c>
      <c r="V36" s="99">
        <f>SUM(V5:V35)</f>
        <v>4908466650</v>
      </c>
      <c r="W36" s="99">
        <f>SUM(W5:W35)</f>
        <v>48876250</v>
      </c>
      <c r="X36" s="99">
        <f>SUM(X5:X35)</f>
        <v>32356800</v>
      </c>
      <c r="Y36" s="99">
        <f>SUM(Y5:Y35)</f>
        <v>525450</v>
      </c>
      <c r="Z36" s="99">
        <f>SUM(Z5:Z35)</f>
        <v>15994000</v>
      </c>
      <c r="AA36" s="99">
        <f>SUM(AA5:AA35)</f>
        <v>4712341000</v>
      </c>
      <c r="AB36" s="99">
        <f>SUM(AB5:AB35)</f>
        <v>21420800</v>
      </c>
      <c r="AC36" s="99">
        <f>SUM(AC5:AC35)</f>
        <v>4563191900</v>
      </c>
      <c r="AD36" s="99">
        <f>SUM(AD5:AD35)</f>
        <v>119928300</v>
      </c>
      <c r="AE36" s="99">
        <f>SUM(AE5:AE35)</f>
        <v>7800000</v>
      </c>
      <c r="AF36" s="99">
        <f>SUM(AF5:AF35)</f>
        <v>91407700</v>
      </c>
      <c r="AG36" s="240">
        <f>SUM(AG5:AG35)</f>
        <v>91407700</v>
      </c>
      <c r="AH36" s="99">
        <f>SUM(AH5:AH35)</f>
        <v>55841700</v>
      </c>
      <c r="AI36" s="99">
        <f>SUM(AI5:AI35)</f>
        <v>2555800</v>
      </c>
      <c r="AJ36" s="99">
        <f>SUM(AJ5:AJ35)</f>
        <v>49590700</v>
      </c>
      <c r="AK36" s="99">
        <f>SUM(AK5:AK35)</f>
        <v>3428000</v>
      </c>
      <c r="AL36" s="99">
        <f>SUM(AL5:AL35)</f>
        <v>267200</v>
      </c>
      <c r="AM36" s="99">
        <f>SUM(AM5:AM35)</f>
        <v>447678700</v>
      </c>
      <c r="AN36" s="99">
        <f>SUM(AN5:AN35)</f>
        <v>447678700</v>
      </c>
      <c r="AO36" s="105">
        <f>SUM(AO5:AO35)</f>
        <v>96158000</v>
      </c>
      <c r="AP36" s="105">
        <f>SUM(AP5:AP35)</f>
        <v>345621400</v>
      </c>
      <c r="AQ36" s="105">
        <f>SUM(AQ5:AQ35)</f>
        <v>1680100</v>
      </c>
      <c r="AR36" s="99">
        <f>SUM(AR5:AR35)</f>
        <v>1239400</v>
      </c>
      <c r="AS36" s="99">
        <f>SUM(AS5:AS35)</f>
        <v>2487600</v>
      </c>
      <c r="AT36" s="99">
        <f>SUM(AT5:AT35)</f>
        <v>492200</v>
      </c>
      <c r="AU36" s="99">
        <f>SUM(AU5:AU35)</f>
        <v>0</v>
      </c>
      <c r="AV36" s="99">
        <f>SUM(AV5:AV35)</f>
        <v>0</v>
      </c>
      <c r="AW36" s="99">
        <f>SUM(AW5:AW35)</f>
        <v>2726872004</v>
      </c>
      <c r="AX36" s="105">
        <f>SUM(AX5:AX35)</f>
        <v>1748566000</v>
      </c>
      <c r="AY36" s="105">
        <f>SUM(AY5:AY35)</f>
        <v>0</v>
      </c>
      <c r="AZ36" s="105">
        <f>SUM(AZ5:AZ35)</f>
        <v>1748566000</v>
      </c>
      <c r="BA36" s="105">
        <f>SUM(BA5:BA35)</f>
        <v>344235400</v>
      </c>
      <c r="BB36" s="105">
        <f>SUM(BB5:BB35)</f>
        <v>0</v>
      </c>
      <c r="BC36" s="105">
        <f>SUM(BC5:BC35)</f>
        <v>344235400</v>
      </c>
      <c r="BD36" s="105">
        <f>SUM(BD5:BD35)</f>
        <v>0</v>
      </c>
      <c r="BE36" s="105">
        <f>SUM(BE5:BE35)</f>
        <v>0</v>
      </c>
      <c r="BF36" s="105">
        <f>SUM(BF5:BF35)</f>
        <v>634070604</v>
      </c>
      <c r="BG36" s="105">
        <f>SUM(BG5:BG35)</f>
        <v>7000000</v>
      </c>
      <c r="BH36" s="105">
        <f>SUM(BH5:BH35)</f>
        <v>72214504</v>
      </c>
      <c r="BI36" s="105">
        <f>SUM(BI5:BI35)</f>
        <v>0</v>
      </c>
      <c r="BJ36" s="105">
        <f>SUM(BJ5:BJ35)</f>
        <v>0</v>
      </c>
      <c r="BK36" s="105">
        <f>SUM(BK5:BK35)</f>
        <v>371652200</v>
      </c>
      <c r="BL36" s="105">
        <f>SUM(BL5:BL35)</f>
        <v>176525000</v>
      </c>
      <c r="BM36" s="105">
        <f>SUM(BM5:BM35)</f>
        <v>6678900</v>
      </c>
      <c r="BN36" s="89">
        <f>SUM(BN5:BN35)</f>
        <v>3628596</v>
      </c>
      <c r="BO36" s="18">
        <f>SUM(BO5:BO35)</f>
        <v>3628596</v>
      </c>
      <c r="BP36" s="7">
        <f>SUM(BP5:BP35)</f>
        <v>2604200</v>
      </c>
      <c r="BQ36" s="7">
        <f>SUM(BQ5:BQ35)</f>
        <v>1024396</v>
      </c>
      <c r="BR36" s="213">
        <f>SUM(BR5:BR35)</f>
        <v>952500</v>
      </c>
      <c r="BS36" s="99">
        <f>SUM(BS5:BS35)</f>
        <v>952500</v>
      </c>
      <c r="BT36" s="305">
        <f>SUM(BT5:BT35)</f>
        <v>116000</v>
      </c>
      <c r="BU36" s="99">
        <f>SUM(BU5:BU35)</f>
        <v>116000</v>
      </c>
      <c r="BV36" s="315">
        <f>SUM(BV5:BV35)</f>
        <v>200000</v>
      </c>
      <c r="BW36" s="99">
        <f>SUM(BW5:BW35)</f>
        <v>200000</v>
      </c>
      <c r="BX36" s="33">
        <f>SUM(BX5:BX35)</f>
        <v>0</v>
      </c>
      <c r="BY36" s="69">
        <f>SUM(BY5:BY35)</f>
        <v>0</v>
      </c>
      <c r="BZ36" s="63">
        <f>SUM(BZ5:BZ35)</f>
        <v>612233900</v>
      </c>
      <c r="CA36" s="99">
        <f>CB36</f>
        <v>354508600</v>
      </c>
      <c r="CB36" s="15">
        <f>SUM(CB5:CB35)</f>
        <v>354508600</v>
      </c>
      <c r="CC36" s="15">
        <f>SUM(CC5:CC35)</f>
        <v>254860800</v>
      </c>
      <c r="CD36" s="15">
        <f>SUM(CD5:CD35)</f>
        <v>97000000</v>
      </c>
      <c r="CE36" s="15">
        <f>SUM(CE5:CE35)</f>
        <v>156860800</v>
      </c>
      <c r="CF36" s="99">
        <f>SUM(CF5:CF35)</f>
        <v>37945800</v>
      </c>
      <c r="CG36" s="15">
        <f>SUM(CG5:CG35)</f>
        <v>118915000</v>
      </c>
      <c r="CH36" s="15">
        <f>SUM(CH5:CH35)</f>
        <v>1000000</v>
      </c>
      <c r="CI36" s="15">
        <f>SUM(CI5:CI35)</f>
        <v>309500</v>
      </c>
      <c r="CJ36" s="7">
        <f>SUM(CJ5:CJ35)</f>
        <v>309500</v>
      </c>
      <c r="CK36" s="18">
        <f>SUM(CK5:CK35)</f>
        <v>2555000</v>
      </c>
      <c r="CL36" s="105">
        <f>SUM(CL5:CL35)</f>
        <v>2547100</v>
      </c>
      <c r="CM36" s="18">
        <f>SUM(CM5:CM35)</f>
        <v>7900</v>
      </c>
      <c r="CN36" s="66">
        <f>SUM(CN5:CN35)</f>
        <v>1900969840</v>
      </c>
      <c r="CO36" s="105">
        <f>SUM(CO5:CO35)</f>
        <v>3667000</v>
      </c>
      <c r="CP36" s="105">
        <f>SUM(CP5:CP35)</f>
        <v>3667000</v>
      </c>
      <c r="CQ36" s="105">
        <f>SUM(CQ5:CQ35)</f>
        <v>42138815</v>
      </c>
      <c r="CR36" s="105">
        <f>SUM(CR5:CR35)</f>
        <v>2500000</v>
      </c>
      <c r="CS36" s="105">
        <f>SUM(CS5:CS35)</f>
        <v>39618539.300000004</v>
      </c>
      <c r="CT36" s="105">
        <f>SUM(CT5:CT35)</f>
        <v>20275.700000000004</v>
      </c>
      <c r="CU36" s="99">
        <f>SUM(CU5:CU35)</f>
        <v>973335200</v>
      </c>
      <c r="CV36" s="99">
        <f>SUM(CV5:CV35)</f>
        <v>0</v>
      </c>
      <c r="CW36" s="99">
        <f>SUM(CW5:CW35)</f>
        <v>201546600</v>
      </c>
      <c r="CX36" s="99">
        <f>SUM(CX5:CX35)</f>
        <v>171106900</v>
      </c>
      <c r="CY36" s="15">
        <f>SUM(CY5:CY35)</f>
        <v>256202800</v>
      </c>
      <c r="CZ36" s="15">
        <f>SUM(CZ5:CZ35)</f>
        <v>137863600</v>
      </c>
      <c r="DA36" s="15">
        <f>SUM(DA5:DA35)</f>
        <v>191615300</v>
      </c>
      <c r="DB36" s="15">
        <f>SUM(DB5:DB35)</f>
        <v>15000000</v>
      </c>
      <c r="DC36" s="15">
        <f>SUM(DC5:DC35)</f>
        <v>150000</v>
      </c>
      <c r="DD36" s="15">
        <f>SUM(DD5:DD35)</f>
        <v>150000</v>
      </c>
      <c r="DE36" s="7">
        <f>SUM(DE5:DE35)</f>
        <v>240967000</v>
      </c>
      <c r="DF36" s="99">
        <f>SUM(DF5:DF35)</f>
        <v>240000000</v>
      </c>
      <c r="DG36" s="99">
        <f>SUM(DG5:DG35)</f>
        <v>967000</v>
      </c>
      <c r="DH36" s="99">
        <f>SUM(DH5:DH35)</f>
        <v>0</v>
      </c>
      <c r="DI36" s="99">
        <f>SUM(DI5:DI35)</f>
        <v>204947137</v>
      </c>
      <c r="DJ36" s="99">
        <f>SUM(DJ5:DJ35)</f>
        <v>200000</v>
      </c>
      <c r="DK36" s="99">
        <f>SUM(DK5:DK35)</f>
        <v>202961403</v>
      </c>
      <c r="DL36" s="99">
        <f>SUM(DL5:DL35)</f>
        <v>1131334</v>
      </c>
      <c r="DM36" s="99">
        <f>SUM(DM5:DM35)</f>
        <v>654400</v>
      </c>
      <c r="DN36" s="99">
        <f>SUM(DN5:DN35)</f>
        <v>268835000</v>
      </c>
      <c r="DO36" s="99">
        <f>SUM(DO5:DO35)</f>
        <v>263400000</v>
      </c>
      <c r="DP36" s="99">
        <f>SUM(DP5:DP35)</f>
        <v>85000</v>
      </c>
      <c r="DQ36" s="99">
        <f>SUM(DQ5:DQ35)</f>
        <v>350000</v>
      </c>
      <c r="DR36" s="99">
        <f>SUM(DR5:DR35)</f>
        <v>5000000</v>
      </c>
      <c r="DS36" s="99">
        <f>SUM(DS5:DS35)</f>
        <v>262500</v>
      </c>
      <c r="DT36" s="99">
        <f>SUM(DT5:DT35)</f>
        <v>262500</v>
      </c>
      <c r="DU36" s="99">
        <f>SUM(DU5:DU35)</f>
        <v>157500</v>
      </c>
      <c r="DV36" s="99">
        <f>SUM(DV5:DV35)</f>
        <v>157500</v>
      </c>
      <c r="DW36" s="99">
        <f>SUM(DW5:DW35)</f>
        <v>22000000</v>
      </c>
      <c r="DX36" s="99">
        <f>SUM(DX5:DX35)</f>
        <v>12000000</v>
      </c>
      <c r="DY36" s="99">
        <f>SUM(DY5:DY35)</f>
        <v>10000000</v>
      </c>
      <c r="DZ36" s="99">
        <f>SUM(DZ5:DZ35)</f>
        <v>580640</v>
      </c>
      <c r="EA36" s="99">
        <f>SUM(EA5:EA35)</f>
        <v>150000</v>
      </c>
      <c r="EB36" s="99">
        <f>SUM(EB5:EB35)</f>
        <v>430640</v>
      </c>
      <c r="EC36" s="99">
        <f>SUM(EC5:EC35)</f>
        <v>6000000</v>
      </c>
      <c r="ED36" s="99">
        <f>SUM(ED5:ED35)</f>
        <v>1000000</v>
      </c>
      <c r="EE36" s="99">
        <f>SUM(EE5:EE35)</f>
        <v>5000000</v>
      </c>
      <c r="EF36" s="99">
        <f>SUM(EF5:EF35)</f>
        <v>13429048</v>
      </c>
      <c r="EG36" s="99">
        <f>SUM(EG5:EG35)</f>
        <v>730648</v>
      </c>
      <c r="EH36" s="99">
        <f>SUM(EH5:EH35)</f>
        <v>198400</v>
      </c>
      <c r="EI36" s="99">
        <f>SUM(EI5:EI35)</f>
        <v>7500000</v>
      </c>
      <c r="EJ36" s="99">
        <f t="shared" ref="EJ36" si="11">SUM(EJ5:EJ35)</f>
        <v>5000000</v>
      </c>
      <c r="EK36" s="105">
        <f>SUM(EK5:EK35)</f>
        <v>124500000</v>
      </c>
      <c r="EL36" s="99">
        <f>SUM(EL5:EL35)</f>
        <v>3000000</v>
      </c>
      <c r="EM36" s="99">
        <f>SUM(EM5:EM35)</f>
        <v>27000000</v>
      </c>
      <c r="EN36" s="99">
        <f>SUM(EN5:EN35)</f>
        <v>94500000</v>
      </c>
      <c r="EO36" s="104">
        <f>SUM(EO5:EO35)</f>
        <v>0</v>
      </c>
      <c r="EP36" s="105">
        <f>SUM(EP5:EP35)</f>
        <v>0</v>
      </c>
      <c r="EQ36" s="80">
        <f>SUM(EQ5:EQ35)</f>
        <v>0</v>
      </c>
      <c r="ER36" s="105">
        <f>SUM(ER5:ER35)</f>
        <v>0</v>
      </c>
      <c r="ES36" s="82">
        <f>SUM(ES5:ES35)</f>
        <v>5155191</v>
      </c>
      <c r="ET36" s="105">
        <f>SUM(ET5:ET35)</f>
        <v>2155191</v>
      </c>
      <c r="EU36" s="105">
        <f>SUM(EU5:EU35)</f>
        <v>3000000</v>
      </c>
      <c r="EV36" s="8">
        <f>SUM(EV5:EV35)</f>
        <v>10709441284.83</v>
      </c>
      <c r="EW36" s="15">
        <f>SUM(EW5:EW35)</f>
        <v>0</v>
      </c>
    </row>
    <row r="37" spans="1:252" s="140" customFormat="1" ht="15.75" customHeight="1" x14ac:dyDescent="0.15">
      <c r="A37" s="127"/>
      <c r="B37" s="158" t="s">
        <v>43</v>
      </c>
      <c r="C37" s="110" t="s">
        <v>44</v>
      </c>
      <c r="D37" s="111" t="s">
        <v>44</v>
      </c>
      <c r="E37" s="112" t="s">
        <v>44</v>
      </c>
      <c r="F37" s="112" t="s">
        <v>92</v>
      </c>
      <c r="G37" s="112" t="s">
        <v>92</v>
      </c>
      <c r="H37" s="112" t="s">
        <v>92</v>
      </c>
      <c r="I37" s="112" t="s">
        <v>92</v>
      </c>
      <c r="J37" s="112" t="s">
        <v>92</v>
      </c>
      <c r="K37" s="112" t="s">
        <v>92</v>
      </c>
      <c r="L37" s="112" t="s">
        <v>92</v>
      </c>
      <c r="M37" s="112" t="s">
        <v>44</v>
      </c>
      <c r="N37" s="112" t="s">
        <v>92</v>
      </c>
      <c r="O37" s="113" t="s">
        <v>44</v>
      </c>
      <c r="P37" s="113" t="s">
        <v>96</v>
      </c>
      <c r="Q37" s="113" t="s">
        <v>44</v>
      </c>
      <c r="R37" s="113" t="s">
        <v>44</v>
      </c>
      <c r="S37" s="134" t="s">
        <v>44</v>
      </c>
      <c r="T37" s="134" t="s">
        <v>97</v>
      </c>
      <c r="U37" s="134" t="s">
        <v>44</v>
      </c>
      <c r="V37" s="113" t="s">
        <v>44</v>
      </c>
      <c r="W37" s="113" t="s">
        <v>44</v>
      </c>
      <c r="X37" s="112" t="s">
        <v>95</v>
      </c>
      <c r="Y37" s="112" t="s">
        <v>92</v>
      </c>
      <c r="Z37" s="256" t="s">
        <v>95</v>
      </c>
      <c r="AA37" s="112" t="s">
        <v>44</v>
      </c>
      <c r="AB37" s="112" t="s">
        <v>95</v>
      </c>
      <c r="AC37" s="112" t="s">
        <v>92</v>
      </c>
      <c r="AD37" s="112" t="s">
        <v>92</v>
      </c>
      <c r="AE37" s="112" t="s">
        <v>95</v>
      </c>
      <c r="AF37" s="112" t="s">
        <v>44</v>
      </c>
      <c r="AG37" s="241" t="s">
        <v>95</v>
      </c>
      <c r="AH37" s="113" t="s">
        <v>44</v>
      </c>
      <c r="AI37" s="113" t="s">
        <v>92</v>
      </c>
      <c r="AJ37" s="113" t="s">
        <v>92</v>
      </c>
      <c r="AK37" s="113" t="s">
        <v>92</v>
      </c>
      <c r="AL37" s="113" t="s">
        <v>92</v>
      </c>
      <c r="AM37" s="113" t="s">
        <v>44</v>
      </c>
      <c r="AN37" s="113" t="s">
        <v>44</v>
      </c>
      <c r="AO37" s="113" t="s">
        <v>101</v>
      </c>
      <c r="AP37" s="113" t="s">
        <v>102</v>
      </c>
      <c r="AQ37" s="113" t="s">
        <v>103</v>
      </c>
      <c r="AR37" s="113" t="s">
        <v>103</v>
      </c>
      <c r="AS37" s="113" t="s">
        <v>103</v>
      </c>
      <c r="AT37" s="113" t="s">
        <v>103</v>
      </c>
      <c r="AU37" s="112" t="s">
        <v>44</v>
      </c>
      <c r="AV37" s="134" t="s">
        <v>104</v>
      </c>
      <c r="AW37" s="134" t="s">
        <v>44</v>
      </c>
      <c r="AX37" s="146" t="s">
        <v>44</v>
      </c>
      <c r="AY37" s="112" t="s">
        <v>105</v>
      </c>
      <c r="AZ37" s="112" t="s">
        <v>105</v>
      </c>
      <c r="BA37" s="112" t="s">
        <v>44</v>
      </c>
      <c r="BB37" s="112" t="s">
        <v>106</v>
      </c>
      <c r="BC37" s="114" t="s">
        <v>107</v>
      </c>
      <c r="BD37" s="112" t="s">
        <v>229</v>
      </c>
      <c r="BE37" s="112" t="s">
        <v>229</v>
      </c>
      <c r="BF37" s="112" t="s">
        <v>44</v>
      </c>
      <c r="BG37" s="112" t="s">
        <v>97</v>
      </c>
      <c r="BH37" s="112" t="s">
        <v>267</v>
      </c>
      <c r="BI37" s="129" t="s">
        <v>297</v>
      </c>
      <c r="BJ37" s="111" t="s">
        <v>95</v>
      </c>
      <c r="BK37" s="162" t="s">
        <v>95</v>
      </c>
      <c r="BL37" s="112" t="s">
        <v>44</v>
      </c>
      <c r="BM37" s="112" t="s">
        <v>44</v>
      </c>
      <c r="BN37" s="150" t="s">
        <v>44</v>
      </c>
      <c r="BO37" s="118" t="s">
        <v>44</v>
      </c>
      <c r="BP37" s="128" t="s">
        <v>100</v>
      </c>
      <c r="BQ37" s="112" t="s">
        <v>95</v>
      </c>
      <c r="BR37" s="211"/>
      <c r="BS37" s="112" t="s">
        <v>95</v>
      </c>
      <c r="BT37" s="303" t="s">
        <v>44</v>
      </c>
      <c r="BU37" s="113" t="s">
        <v>47</v>
      </c>
      <c r="BV37" s="313" t="s">
        <v>44</v>
      </c>
      <c r="BW37" s="113"/>
      <c r="BX37" s="130" t="s">
        <v>44</v>
      </c>
      <c r="BY37" s="131" t="s">
        <v>44</v>
      </c>
      <c r="BZ37" s="132" t="s">
        <v>44</v>
      </c>
      <c r="CA37" s="113" t="s">
        <v>44</v>
      </c>
      <c r="CB37" s="113" t="s">
        <v>389</v>
      </c>
      <c r="CC37" s="113" t="s">
        <v>44</v>
      </c>
      <c r="CD37" s="256" t="s">
        <v>334</v>
      </c>
      <c r="CE37" s="153" t="s">
        <v>99</v>
      </c>
      <c r="CF37" s="114" t="s">
        <v>99</v>
      </c>
      <c r="CG37" s="153" t="s">
        <v>99</v>
      </c>
      <c r="CH37" s="113" t="s">
        <v>94</v>
      </c>
      <c r="CI37" s="153" t="s">
        <v>44</v>
      </c>
      <c r="CJ37" s="155" t="s">
        <v>186</v>
      </c>
      <c r="CK37" s="118" t="s">
        <v>44</v>
      </c>
      <c r="CL37" s="113" t="s">
        <v>294</v>
      </c>
      <c r="CM37" s="118" t="s">
        <v>92</v>
      </c>
      <c r="CN37" s="152" t="s">
        <v>44</v>
      </c>
      <c r="CO37" s="113" t="s">
        <v>44</v>
      </c>
      <c r="CP37" s="112" t="s">
        <v>95</v>
      </c>
      <c r="CQ37" s="113" t="s">
        <v>44</v>
      </c>
      <c r="CR37" s="113" t="s">
        <v>282</v>
      </c>
      <c r="CS37" s="113" t="s">
        <v>92</v>
      </c>
      <c r="CT37" s="113" t="s">
        <v>92</v>
      </c>
      <c r="CU37" s="134" t="s">
        <v>44</v>
      </c>
      <c r="CV37" s="112" t="s">
        <v>98</v>
      </c>
      <c r="CW37" s="113" t="s">
        <v>95</v>
      </c>
      <c r="CX37" s="113" t="s">
        <v>188</v>
      </c>
      <c r="CY37" s="153" t="s">
        <v>95</v>
      </c>
      <c r="CZ37" s="153" t="s">
        <v>95</v>
      </c>
      <c r="DA37" s="153" t="s">
        <v>95</v>
      </c>
      <c r="DB37" s="153" t="s">
        <v>95</v>
      </c>
      <c r="DC37" s="153" t="s">
        <v>44</v>
      </c>
      <c r="DD37" s="114" t="s">
        <v>307</v>
      </c>
      <c r="DE37" s="129" t="s">
        <v>44</v>
      </c>
      <c r="DF37" s="134" t="s">
        <v>44</v>
      </c>
      <c r="DG37" s="114" t="s">
        <v>307</v>
      </c>
      <c r="DH37" s="153" t="s">
        <v>95</v>
      </c>
      <c r="DI37" s="153" t="s">
        <v>44</v>
      </c>
      <c r="DJ37" s="153" t="s">
        <v>44</v>
      </c>
      <c r="DK37" s="114" t="s">
        <v>95</v>
      </c>
      <c r="DL37" s="114" t="s">
        <v>95</v>
      </c>
      <c r="DM37" s="114" t="s">
        <v>307</v>
      </c>
      <c r="DN37" s="114" t="s">
        <v>44</v>
      </c>
      <c r="DO37" s="114" t="s">
        <v>98</v>
      </c>
      <c r="DP37" s="114" t="s">
        <v>94</v>
      </c>
      <c r="DQ37" s="114" t="s">
        <v>94</v>
      </c>
      <c r="DR37" s="114" t="s">
        <v>44</v>
      </c>
      <c r="DS37" s="114" t="s">
        <v>44</v>
      </c>
      <c r="DT37" s="114" t="s">
        <v>307</v>
      </c>
      <c r="DU37" s="114" t="s">
        <v>44</v>
      </c>
      <c r="DV37" s="114" t="s">
        <v>307</v>
      </c>
      <c r="DW37" s="112" t="s">
        <v>44</v>
      </c>
      <c r="DX37" s="114" t="s">
        <v>98</v>
      </c>
      <c r="DY37" s="114" t="s">
        <v>44</v>
      </c>
      <c r="DZ37" s="114" t="s">
        <v>44</v>
      </c>
      <c r="EA37" s="114" t="s">
        <v>44</v>
      </c>
      <c r="EB37" s="114" t="s">
        <v>307</v>
      </c>
      <c r="EC37" s="113" t="s">
        <v>44</v>
      </c>
      <c r="ED37" s="113" t="s">
        <v>44</v>
      </c>
      <c r="EE37" s="114" t="s">
        <v>95</v>
      </c>
      <c r="EF37" s="113" t="s">
        <v>44</v>
      </c>
      <c r="EG37" s="114" t="s">
        <v>359</v>
      </c>
      <c r="EH37" s="113" t="s">
        <v>319</v>
      </c>
      <c r="EI37" s="114" t="s">
        <v>359</v>
      </c>
      <c r="EJ37" s="114" t="s">
        <v>359</v>
      </c>
      <c r="EK37" s="114" t="s">
        <v>44</v>
      </c>
      <c r="EL37" s="114" t="s">
        <v>98</v>
      </c>
      <c r="EM37" s="114" t="s">
        <v>44</v>
      </c>
      <c r="EN37" s="114" t="s">
        <v>44</v>
      </c>
      <c r="EO37" s="111" t="s">
        <v>44</v>
      </c>
      <c r="EP37" s="112" t="s">
        <v>95</v>
      </c>
      <c r="EQ37" s="116" t="s">
        <v>44</v>
      </c>
      <c r="ER37" s="129" t="s">
        <v>93</v>
      </c>
      <c r="ES37" s="135" t="s">
        <v>44</v>
      </c>
      <c r="ET37" s="115" t="s">
        <v>95</v>
      </c>
      <c r="EU37" s="133" t="s">
        <v>95</v>
      </c>
      <c r="EV37" s="136" t="s">
        <v>44</v>
      </c>
      <c r="EW37" s="137" t="s">
        <v>44</v>
      </c>
    </row>
    <row r="38" spans="1:252" x14ac:dyDescent="0.25">
      <c r="A38" s="144">
        <v>32</v>
      </c>
      <c r="B38" s="149" t="s">
        <v>116</v>
      </c>
      <c r="C38" s="22">
        <f>D38+O38+S38+V38+AM38+AW38+Q38</f>
        <v>229726925</v>
      </c>
      <c r="D38" s="2">
        <f>E38+M38</f>
        <v>617900</v>
      </c>
      <c r="E38" s="77">
        <f>SUM(F38:L38)</f>
        <v>617900</v>
      </c>
      <c r="F38" s="41">
        <v>175500</v>
      </c>
      <c r="G38" s="17">
        <v>64800</v>
      </c>
      <c r="H38" s="17"/>
      <c r="I38" s="17"/>
      <c r="J38" s="41">
        <v>377600</v>
      </c>
      <c r="K38" s="17"/>
      <c r="L38" s="17"/>
      <c r="M38" s="17">
        <f>SUM(N38)</f>
        <v>0</v>
      </c>
      <c r="N38" s="17"/>
      <c r="O38" s="17">
        <f>P38</f>
        <v>0</v>
      </c>
      <c r="P38" s="17">
        <v>0</v>
      </c>
      <c r="Q38" s="17">
        <f>R38</f>
        <v>0</v>
      </c>
      <c r="R38" s="17"/>
      <c r="S38" s="17">
        <f>T38</f>
        <v>72625</v>
      </c>
      <c r="T38" s="41">
        <f>1900000-1827375</f>
        <v>72625</v>
      </c>
      <c r="U38" s="41"/>
      <c r="V38" s="17">
        <f>W38+AA38+AF38+AH38</f>
        <v>140444700</v>
      </c>
      <c r="W38" s="17">
        <f>X38+Y38+Z38</f>
        <v>3140000</v>
      </c>
      <c r="X38" s="41">
        <v>2927100</v>
      </c>
      <c r="Y38" s="41">
        <v>58900</v>
      </c>
      <c r="Z38" s="41">
        <v>154000</v>
      </c>
      <c r="AA38" s="17">
        <f>SUM(AB38:AE38)</f>
        <v>134981600</v>
      </c>
      <c r="AB38" s="17">
        <v>1787800</v>
      </c>
      <c r="AC38" s="41">
        <v>130169800</v>
      </c>
      <c r="AD38" s="41">
        <v>3024000</v>
      </c>
      <c r="AE38" s="41"/>
      <c r="AF38" s="17">
        <f>AG38</f>
        <v>893800</v>
      </c>
      <c r="AG38" s="239">
        <f>705600+188200</f>
        <v>893800</v>
      </c>
      <c r="AH38" s="41">
        <f>SUM(AI38:AL38)</f>
        <v>1429300</v>
      </c>
      <c r="AI38" s="41">
        <v>93000</v>
      </c>
      <c r="AJ38" s="41">
        <v>1171400</v>
      </c>
      <c r="AK38" s="41">
        <v>87600</v>
      </c>
      <c r="AL38" s="41">
        <v>77300</v>
      </c>
      <c r="AM38" s="41">
        <f>AN38+AU38</f>
        <v>9442300</v>
      </c>
      <c r="AN38" s="41">
        <f>SUM(AO38:AT38)</f>
        <v>9442300</v>
      </c>
      <c r="AO38" s="41">
        <v>2492900</v>
      </c>
      <c r="AP38" s="41">
        <v>6576300</v>
      </c>
      <c r="AQ38" s="41"/>
      <c r="AR38" s="17">
        <v>373100</v>
      </c>
      <c r="AS38" s="17"/>
      <c r="AT38" s="17"/>
      <c r="AU38" s="17"/>
      <c r="AV38" s="17"/>
      <c r="AW38" s="17">
        <f>AX38+BA38+BF38</f>
        <v>79149400</v>
      </c>
      <c r="AX38" s="107">
        <f>SUM(AY38:AZ38)</f>
        <v>49208000</v>
      </c>
      <c r="AY38" s="41">
        <v>9205000</v>
      </c>
      <c r="AZ38" s="41">
        <v>40003000</v>
      </c>
      <c r="BA38" s="107">
        <f>SUM(BB38:BC38)</f>
        <v>5000000</v>
      </c>
      <c r="BB38" s="107"/>
      <c r="BC38" s="107">
        <f>5000000</f>
        <v>5000000</v>
      </c>
      <c r="BD38" s="107"/>
      <c r="BE38" s="107"/>
      <c r="BF38" s="41">
        <f>SUM(BG38:BM38)</f>
        <v>24941400</v>
      </c>
      <c r="BG38" s="41"/>
      <c r="BH38" s="41"/>
      <c r="BI38" s="41"/>
      <c r="BJ38" s="41">
        <v>10550000</v>
      </c>
      <c r="BK38" s="243">
        <v>14391400</v>
      </c>
      <c r="BL38" s="107"/>
      <c r="BM38" s="107"/>
      <c r="BN38" s="88">
        <f>BO38</f>
        <v>0</v>
      </c>
      <c r="BO38" s="17">
        <f>BP38+BQ38</f>
        <v>0</v>
      </c>
      <c r="BP38" s="103"/>
      <c r="BQ38" s="103"/>
      <c r="BR38" s="212">
        <f>BS38</f>
        <v>0</v>
      </c>
      <c r="BS38" s="17"/>
      <c r="BT38" s="304">
        <f>BU38</f>
        <v>0</v>
      </c>
      <c r="BU38" s="17"/>
      <c r="BV38" s="314">
        <f>BW38</f>
        <v>0</v>
      </c>
      <c r="BW38" s="17"/>
      <c r="BX38" s="32"/>
      <c r="BY38" s="83"/>
      <c r="BZ38" s="62">
        <f>CC38+CI38+CK38+CA38</f>
        <v>65573700</v>
      </c>
      <c r="CA38" s="17">
        <f>CB38</f>
        <v>60000000</v>
      </c>
      <c r="CB38" s="17">
        <v>60000000</v>
      </c>
      <c r="CC38" s="103">
        <f>CD38+CE38+CH38</f>
        <v>5566700</v>
      </c>
      <c r="CD38" s="103">
        <v>2000000</v>
      </c>
      <c r="CE38" s="14">
        <f>CF38+CG38</f>
        <v>3566700</v>
      </c>
      <c r="CF38" s="31">
        <v>913700</v>
      </c>
      <c r="CG38" s="14">
        <v>2653000</v>
      </c>
      <c r="CH38" s="14"/>
      <c r="CI38" s="14">
        <f>CJ38</f>
        <v>7000</v>
      </c>
      <c r="CJ38" s="31">
        <v>7000</v>
      </c>
      <c r="CK38" s="14">
        <f>CL38+CM38</f>
        <v>0</v>
      </c>
      <c r="CL38" s="29">
        <v>0</v>
      </c>
      <c r="CM38" s="30">
        <v>0</v>
      </c>
      <c r="CN38" s="65">
        <f>CO38+CQ38+CU38+DC38+DE38+DI38+DN38+DS38+DU38+DW38+DZ38+EC38+EF38+EK38+EO38</f>
        <v>20860280</v>
      </c>
      <c r="CO38" s="17">
        <f>CP38</f>
        <v>0</v>
      </c>
      <c r="CP38" s="17"/>
      <c r="CQ38" s="17">
        <f>CR38+CS38+CT38</f>
        <v>1827380</v>
      </c>
      <c r="CR38" s="17"/>
      <c r="CS38" s="17">
        <v>1826079.8</v>
      </c>
      <c r="CT38" s="17">
        <v>1300.2</v>
      </c>
      <c r="CU38" s="17">
        <f>SUM(CV38:DB38)</f>
        <v>10162900</v>
      </c>
      <c r="CV38" s="17"/>
      <c r="CW38" s="17">
        <v>3127600</v>
      </c>
      <c r="CX38" s="17">
        <v>2035300</v>
      </c>
      <c r="CY38" s="14"/>
      <c r="CZ38" s="14">
        <v>5000000</v>
      </c>
      <c r="DA38" s="14">
        <v>0</v>
      </c>
      <c r="DB38" s="14"/>
      <c r="DC38" s="14">
        <f t="shared" ref="DC38:DC41" si="12">DD38</f>
        <v>0</v>
      </c>
      <c r="DD38" s="14"/>
      <c r="DE38" s="103">
        <f>SUM(DF38:DH38)</f>
        <v>0</v>
      </c>
      <c r="DF38" s="17"/>
      <c r="DG38" s="17"/>
      <c r="DH38" s="17"/>
      <c r="DI38" s="17">
        <f t="shared" ref="DI38:DI41" si="13">DJ38+DK38+DL38</f>
        <v>3870000</v>
      </c>
      <c r="DJ38" s="17"/>
      <c r="DK38" s="17">
        <v>3870000</v>
      </c>
      <c r="DL38" s="17"/>
      <c r="DM38" s="17"/>
      <c r="DN38" s="17">
        <f t="shared" ref="DN38:DN41" si="14">DO38+DP38+DQ38+DR38</f>
        <v>0</v>
      </c>
      <c r="DO38" s="17"/>
      <c r="DP38" s="17">
        <v>0</v>
      </c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>
        <f t="shared" ref="EF38:EF41" si="15">SUM(EG38:EJ38)</f>
        <v>0</v>
      </c>
      <c r="EG38" s="17">
        <v>0</v>
      </c>
      <c r="EH38" s="17">
        <v>0</v>
      </c>
      <c r="EI38" s="17"/>
      <c r="EJ38" s="17"/>
      <c r="EK38" s="17">
        <f t="shared" ref="EK38:EK41" si="16">SUM(EL38:EN38)</f>
        <v>5000000</v>
      </c>
      <c r="EL38" s="17">
        <v>5000000</v>
      </c>
      <c r="EM38" s="17"/>
      <c r="EN38" s="17"/>
      <c r="EO38" s="3">
        <f>EP38</f>
        <v>0</v>
      </c>
      <c r="EP38" s="107">
        <v>0</v>
      </c>
      <c r="EQ38" s="79">
        <f>ER38</f>
        <v>0</v>
      </c>
      <c r="ER38" s="103"/>
      <c r="ES38" s="81">
        <f t="shared" ref="ES38:ES41" si="17">ET38+EU38</f>
        <v>0</v>
      </c>
      <c r="ET38" s="17"/>
      <c r="EU38" s="103"/>
      <c r="EV38" s="4">
        <f>C38++BN38+BR38+BT38+BV38+BX38+BY38+BZ38+CN38+EQ38+ES38</f>
        <v>316160905</v>
      </c>
      <c r="EW38" s="23">
        <f>'Ут.План на 01.09.2013'!C39-EV38</f>
        <v>0</v>
      </c>
    </row>
    <row r="39" spans="1:252" ht="15" customHeight="1" x14ac:dyDescent="0.25">
      <c r="A39" s="144">
        <v>33</v>
      </c>
      <c r="B39" s="1" t="s">
        <v>117</v>
      </c>
      <c r="C39" s="22">
        <f>D39+O39+S39+V39+AM39+AW39+Q39</f>
        <v>132319565</v>
      </c>
      <c r="D39" s="2">
        <f>E39+M39</f>
        <v>760600</v>
      </c>
      <c r="E39" s="77">
        <f>SUM(F39:L39)</f>
        <v>760600</v>
      </c>
      <c r="F39" s="41">
        <v>351300</v>
      </c>
      <c r="G39" s="17">
        <f>8100+14400+26500</f>
        <v>49000</v>
      </c>
      <c r="H39" s="17"/>
      <c r="I39" s="17"/>
      <c r="J39" s="41">
        <v>360300</v>
      </c>
      <c r="K39" s="17"/>
      <c r="L39" s="17"/>
      <c r="M39" s="17">
        <f>SUM(N39)</f>
        <v>0</v>
      </c>
      <c r="N39" s="17"/>
      <c r="O39" s="17">
        <f>P39</f>
        <v>0</v>
      </c>
      <c r="P39" s="17">
        <v>0</v>
      </c>
      <c r="Q39" s="17">
        <f>R39</f>
        <v>0</v>
      </c>
      <c r="R39" s="17"/>
      <c r="S39" s="17">
        <f>T39</f>
        <v>19665</v>
      </c>
      <c r="T39" s="41">
        <f>235500-215835</f>
        <v>19665</v>
      </c>
      <c r="U39" s="41"/>
      <c r="V39" s="17">
        <f>W39+AA39+AF39+AH39</f>
        <v>73151600</v>
      </c>
      <c r="W39" s="17">
        <f>X39+Y39+Z39</f>
        <v>47300</v>
      </c>
      <c r="X39" s="17"/>
      <c r="Y39" s="41">
        <f>77300-30000</f>
        <v>47300</v>
      </c>
      <c r="Z39" s="41"/>
      <c r="AA39" s="17">
        <f>SUM(AB39:AE39)</f>
        <v>70935400</v>
      </c>
      <c r="AB39" s="17"/>
      <c r="AC39" s="41">
        <v>68667400</v>
      </c>
      <c r="AD39" s="41">
        <v>2268000</v>
      </c>
      <c r="AE39" s="41"/>
      <c r="AF39" s="17">
        <f>AG39</f>
        <v>1015800</v>
      </c>
      <c r="AG39" s="239">
        <v>1015800</v>
      </c>
      <c r="AH39" s="41">
        <f>SUM(AI39:AL39)</f>
        <v>1153100</v>
      </c>
      <c r="AI39" s="41">
        <v>93000</v>
      </c>
      <c r="AJ39" s="41">
        <v>976200</v>
      </c>
      <c r="AK39" s="41">
        <v>70100</v>
      </c>
      <c r="AL39" s="41">
        <v>13800</v>
      </c>
      <c r="AM39" s="41">
        <f>AN39+AU39</f>
        <v>10801000</v>
      </c>
      <c r="AN39" s="41">
        <f>SUM(AO39:AT39)</f>
        <v>10801000</v>
      </c>
      <c r="AO39" s="41">
        <v>2104800</v>
      </c>
      <c r="AP39" s="41">
        <f>8782800-200000</f>
        <v>8582800</v>
      </c>
      <c r="AQ39" s="41">
        <v>113400</v>
      </c>
      <c r="AR39" s="17"/>
      <c r="AS39" s="17"/>
      <c r="AT39" s="17"/>
      <c r="AU39" s="17"/>
      <c r="AV39" s="17"/>
      <c r="AW39" s="17">
        <f>AX39+BA39+BF39</f>
        <v>47586700</v>
      </c>
      <c r="AX39" s="107">
        <f>SUM(AY39:AZ39)</f>
        <v>38357000</v>
      </c>
      <c r="AY39" s="41">
        <v>10215000</v>
      </c>
      <c r="AZ39" s="41">
        <v>28142000</v>
      </c>
      <c r="BA39" s="107">
        <f>SUM(BB39:BC39)</f>
        <v>0</v>
      </c>
      <c r="BB39" s="107"/>
      <c r="BC39" s="107"/>
      <c r="BD39" s="107"/>
      <c r="BE39" s="107"/>
      <c r="BF39" s="41">
        <f>SUM(BG39:BM39)</f>
        <v>9229700</v>
      </c>
      <c r="BG39" s="41"/>
      <c r="BH39" s="41"/>
      <c r="BI39" s="41"/>
      <c r="BJ39" s="41"/>
      <c r="BK39" s="243">
        <v>9229700</v>
      </c>
      <c r="BL39" s="107"/>
      <c r="BM39" s="107"/>
      <c r="BN39" s="88">
        <f>BO39</f>
        <v>12000</v>
      </c>
      <c r="BO39" s="17">
        <f>BP39+BQ39</f>
        <v>12000</v>
      </c>
      <c r="BP39" s="30">
        <v>12000</v>
      </c>
      <c r="BQ39" s="30"/>
      <c r="BR39" s="212">
        <f>BS39</f>
        <v>0</v>
      </c>
      <c r="BS39" s="29"/>
      <c r="BT39" s="304">
        <f>BU39</f>
        <v>0</v>
      </c>
      <c r="BU39" s="29"/>
      <c r="BV39" s="314">
        <f>BW39</f>
        <v>30000</v>
      </c>
      <c r="BW39" s="29">
        <v>30000</v>
      </c>
      <c r="BX39" s="32"/>
      <c r="BY39" s="68"/>
      <c r="BZ39" s="62">
        <f>CC39+CI39+CK39+CA39</f>
        <v>11513700</v>
      </c>
      <c r="CA39" s="17">
        <f>CB39</f>
        <v>0</v>
      </c>
      <c r="CB39" s="17">
        <v>0</v>
      </c>
      <c r="CC39" s="103">
        <f>CD39+CE39+CH39</f>
        <v>11508700</v>
      </c>
      <c r="CD39" s="103">
        <v>9000000</v>
      </c>
      <c r="CE39" s="14">
        <f>CF39+CG39</f>
        <v>2508700</v>
      </c>
      <c r="CF39" s="31">
        <v>642700</v>
      </c>
      <c r="CG39" s="14">
        <v>1866000</v>
      </c>
      <c r="CH39" s="14"/>
      <c r="CI39" s="14">
        <f>CJ39</f>
        <v>5000</v>
      </c>
      <c r="CJ39" s="31">
        <v>5000</v>
      </c>
      <c r="CK39" s="14">
        <f>CL39+CM39</f>
        <v>0</v>
      </c>
      <c r="CL39" s="29">
        <v>0</v>
      </c>
      <c r="CM39" s="30">
        <v>0</v>
      </c>
      <c r="CN39" s="65">
        <f>CO39+CQ39+CU39+DC39+DE39+DI39+DN39+DS39+DU39+DW39+DZ39+EC39+EF39+EK39+EO39</f>
        <v>32446900</v>
      </c>
      <c r="CO39" s="17">
        <f>CP39</f>
        <v>0</v>
      </c>
      <c r="CP39" s="17"/>
      <c r="CQ39" s="17">
        <f>CR39+CS39+CT39</f>
        <v>215800</v>
      </c>
      <c r="CR39" s="17"/>
      <c r="CS39" s="17">
        <v>215678.8</v>
      </c>
      <c r="CT39" s="17">
        <v>121.2</v>
      </c>
      <c r="CU39" s="17">
        <f>SUM(CV39:DB39)</f>
        <v>13548100</v>
      </c>
      <c r="CV39" s="17"/>
      <c r="CW39" s="17">
        <v>4343000</v>
      </c>
      <c r="CX39" s="17">
        <v>9205100</v>
      </c>
      <c r="CY39" s="14"/>
      <c r="CZ39" s="14">
        <v>0</v>
      </c>
      <c r="DA39" s="14">
        <v>0</v>
      </c>
      <c r="DB39" s="14"/>
      <c r="DC39" s="14">
        <f t="shared" si="12"/>
        <v>0</v>
      </c>
      <c r="DD39" s="14"/>
      <c r="DE39" s="103">
        <f>SUM(DF39:DH39)</f>
        <v>0</v>
      </c>
      <c r="DF39" s="17"/>
      <c r="DG39" s="17"/>
      <c r="DH39" s="17"/>
      <c r="DI39" s="17">
        <f t="shared" si="13"/>
        <v>18588000</v>
      </c>
      <c r="DJ39" s="17"/>
      <c r="DK39" s="17">
        <v>18588000</v>
      </c>
      <c r="DL39" s="17"/>
      <c r="DM39" s="17"/>
      <c r="DN39" s="17">
        <f t="shared" si="14"/>
        <v>95000</v>
      </c>
      <c r="DO39" s="17"/>
      <c r="DP39" s="17">
        <v>95000</v>
      </c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>
        <f t="shared" si="15"/>
        <v>0</v>
      </c>
      <c r="EG39" s="17">
        <v>0</v>
      </c>
      <c r="EH39" s="17">
        <v>0</v>
      </c>
      <c r="EI39" s="17"/>
      <c r="EJ39" s="17"/>
      <c r="EK39" s="17">
        <f t="shared" si="16"/>
        <v>0</v>
      </c>
      <c r="EL39" s="17"/>
      <c r="EM39" s="17"/>
      <c r="EN39" s="17"/>
      <c r="EO39" s="3">
        <f>EP39</f>
        <v>0</v>
      </c>
      <c r="EP39" s="107">
        <v>0</v>
      </c>
      <c r="EQ39" s="79">
        <f>ER39</f>
        <v>0</v>
      </c>
      <c r="ER39" s="103"/>
      <c r="ES39" s="81">
        <f t="shared" si="17"/>
        <v>0</v>
      </c>
      <c r="ET39" s="17"/>
      <c r="EU39" s="103"/>
      <c r="EV39" s="4">
        <f>C39++BN39+BR39+BT39+BV39+BX39+BY39+BZ39+CN39+EQ39+ES39</f>
        <v>176322165</v>
      </c>
      <c r="EW39" s="23">
        <f>'Ут.План на 01.09.2013'!C40-EV39</f>
        <v>0</v>
      </c>
    </row>
    <row r="40" spans="1:252" x14ac:dyDescent="0.25">
      <c r="A40" s="144">
        <v>34</v>
      </c>
      <c r="B40" s="149" t="s">
        <v>118</v>
      </c>
      <c r="C40" s="22">
        <f>D40+O40+S40+V40+AM40+AW40+Q40</f>
        <v>1384068247</v>
      </c>
      <c r="D40" s="2">
        <f>E40+M40</f>
        <v>4100200</v>
      </c>
      <c r="E40" s="77">
        <f>SUM(F40:L40)</f>
        <v>4100200</v>
      </c>
      <c r="F40" s="41">
        <v>1108800</v>
      </c>
      <c r="G40" s="17">
        <v>320100</v>
      </c>
      <c r="H40" s="17"/>
      <c r="I40" s="17"/>
      <c r="J40" s="41">
        <v>2671300</v>
      </c>
      <c r="K40" s="17"/>
      <c r="L40" s="17"/>
      <c r="M40" s="17">
        <f>SUM(N40)</f>
        <v>0</v>
      </c>
      <c r="N40" s="17"/>
      <c r="O40" s="17">
        <f>P40</f>
        <v>0</v>
      </c>
      <c r="P40" s="17">
        <v>0</v>
      </c>
      <c r="Q40" s="17">
        <f>R40</f>
        <v>0</v>
      </c>
      <c r="R40" s="17"/>
      <c r="S40" s="17">
        <f>T40</f>
        <v>19371397</v>
      </c>
      <c r="T40" s="41">
        <f>53594700-34223303</f>
        <v>19371397</v>
      </c>
      <c r="U40" s="41"/>
      <c r="V40" s="17">
        <f>W40+AA40+AF40+AH40</f>
        <v>975144150</v>
      </c>
      <c r="W40" s="17">
        <f>X40+Y40+Z40</f>
        <v>4462350</v>
      </c>
      <c r="X40" s="17"/>
      <c r="Y40" s="41">
        <f>691100-80750</f>
        <v>610350</v>
      </c>
      <c r="Z40" s="41">
        <v>3852000</v>
      </c>
      <c r="AA40" s="17">
        <f>SUM(AB40:AE40)</f>
        <v>930911100</v>
      </c>
      <c r="AB40" s="17"/>
      <c r="AC40" s="41">
        <v>915287100</v>
      </c>
      <c r="AD40" s="41">
        <v>15624000</v>
      </c>
      <c r="AE40" s="41"/>
      <c r="AF40" s="17">
        <f>AG40</f>
        <v>22887000</v>
      </c>
      <c r="AG40" s="239">
        <f>23498000-611000</f>
        <v>22887000</v>
      </c>
      <c r="AH40" s="41">
        <f>SUM(AI40:AL40)</f>
        <v>16883700</v>
      </c>
      <c r="AI40" s="41">
        <v>1535300</v>
      </c>
      <c r="AJ40" s="41">
        <v>14447600</v>
      </c>
      <c r="AK40" s="41">
        <v>551400</v>
      </c>
      <c r="AL40" s="41">
        <v>349400</v>
      </c>
      <c r="AM40" s="41">
        <f>AN40+AU40</f>
        <v>102567800</v>
      </c>
      <c r="AN40" s="41">
        <f>SUM(AO40:AT40)</f>
        <v>102567800</v>
      </c>
      <c r="AO40" s="41">
        <v>26193300</v>
      </c>
      <c r="AP40" s="41">
        <v>72404300</v>
      </c>
      <c r="AQ40" s="41">
        <f>1319800-106500-140000</f>
        <v>1073300</v>
      </c>
      <c r="AR40" s="41">
        <f>1260800-12000-42000-50000-10000-49000</f>
        <v>1097800</v>
      </c>
      <c r="AS40" s="17">
        <f>835500-83100-100000-140000</f>
        <v>512400</v>
      </c>
      <c r="AT40" s="17">
        <v>1286700</v>
      </c>
      <c r="AU40" s="17"/>
      <c r="AV40" s="17"/>
      <c r="AW40" s="17">
        <f>AX40+BA40+BF40</f>
        <v>282884700</v>
      </c>
      <c r="AX40" s="107">
        <f>SUM(AY40:AZ40)</f>
        <v>185159000</v>
      </c>
      <c r="AY40" s="41">
        <v>185159000</v>
      </c>
      <c r="AZ40" s="34"/>
      <c r="BA40" s="107">
        <f>SUM(BB40:BC40)</f>
        <v>6500000</v>
      </c>
      <c r="BB40" s="107"/>
      <c r="BC40" s="107">
        <f>6000000+500000</f>
        <v>6500000</v>
      </c>
      <c r="BD40" s="107"/>
      <c r="BE40" s="107"/>
      <c r="BF40" s="41">
        <f>SUM(BG40:BM40)</f>
        <v>91225700</v>
      </c>
      <c r="BG40" s="41"/>
      <c r="BH40" s="41"/>
      <c r="BI40" s="41"/>
      <c r="BJ40" s="41"/>
      <c r="BK40" s="243">
        <v>91225700</v>
      </c>
      <c r="BL40" s="107"/>
      <c r="BM40" s="107"/>
      <c r="BN40" s="88">
        <f>BO40</f>
        <v>91800</v>
      </c>
      <c r="BO40" s="17">
        <f>BP40+BQ40</f>
        <v>91800</v>
      </c>
      <c r="BP40" s="30">
        <v>91800</v>
      </c>
      <c r="BQ40" s="30"/>
      <c r="BR40" s="212">
        <f>BS40</f>
        <v>0</v>
      </c>
      <c r="BS40" s="29"/>
      <c r="BT40" s="304">
        <f>BU40</f>
        <v>0</v>
      </c>
      <c r="BU40" s="29"/>
      <c r="BV40" s="314">
        <f>BW40</f>
        <v>0</v>
      </c>
      <c r="BW40" s="29"/>
      <c r="BX40" s="85"/>
      <c r="BY40" s="68"/>
      <c r="BZ40" s="62">
        <f>CC40+CI40+CK40+CA40</f>
        <v>44255800</v>
      </c>
      <c r="CA40" s="17">
        <f>CB40</f>
        <v>0</v>
      </c>
      <c r="CB40" s="17">
        <v>0</v>
      </c>
      <c r="CC40" s="103">
        <f>CD40+CE40+CH40</f>
        <v>41723400</v>
      </c>
      <c r="CD40" s="103">
        <v>2500000</v>
      </c>
      <c r="CE40" s="14">
        <f>CF40+CG40</f>
        <v>39223400</v>
      </c>
      <c r="CF40" s="31">
        <v>10048400</v>
      </c>
      <c r="CG40" s="14">
        <v>29175000</v>
      </c>
      <c r="CH40" s="14"/>
      <c r="CI40" s="14">
        <f>CJ40</f>
        <v>87400</v>
      </c>
      <c r="CJ40" s="31">
        <v>87400</v>
      </c>
      <c r="CK40" s="14">
        <f>CL40+CM40</f>
        <v>2445000</v>
      </c>
      <c r="CL40" s="29">
        <v>2435700</v>
      </c>
      <c r="CM40" s="30">
        <v>9300</v>
      </c>
      <c r="CN40" s="65">
        <f>CO40+CQ40+CU40+DC40+DE40+DI40+DN40+DS40+DU40+DW40+DZ40+EC40+EF40+EK40+EO40</f>
        <v>1086184681.4400001</v>
      </c>
      <c r="CO40" s="17">
        <f>CP40</f>
        <v>0</v>
      </c>
      <c r="CP40" s="17"/>
      <c r="CQ40" s="17">
        <f>CR40+CS40+CT40</f>
        <v>76223303</v>
      </c>
      <c r="CR40" s="17">
        <v>42000000</v>
      </c>
      <c r="CS40" s="17">
        <v>34186200.100000001</v>
      </c>
      <c r="CT40" s="17">
        <v>37102.9</v>
      </c>
      <c r="CU40" s="17">
        <f>SUM(CV40:DB40)</f>
        <v>950358900</v>
      </c>
      <c r="CV40" s="17">
        <v>400100000</v>
      </c>
      <c r="CW40" s="17">
        <v>45388500</v>
      </c>
      <c r="CX40" s="17">
        <v>97499400</v>
      </c>
      <c r="CY40" s="14"/>
      <c r="CZ40" s="14">
        <v>155000000</v>
      </c>
      <c r="DA40" s="14">
        <v>252371000</v>
      </c>
      <c r="DB40" s="14"/>
      <c r="DC40" s="14">
        <f t="shared" si="12"/>
        <v>0</v>
      </c>
      <c r="DD40" s="14"/>
      <c r="DE40" s="103">
        <f>SUM(DF40:DH40)</f>
        <v>0</v>
      </c>
      <c r="DF40" s="17"/>
      <c r="DG40" s="17"/>
      <c r="DH40" s="17"/>
      <c r="DI40" s="17">
        <f t="shared" si="13"/>
        <v>0</v>
      </c>
      <c r="DJ40" s="17"/>
      <c r="DK40" s="17">
        <v>0</v>
      </c>
      <c r="DL40" s="17"/>
      <c r="DM40" s="17"/>
      <c r="DN40" s="17">
        <f t="shared" si="14"/>
        <v>0</v>
      </c>
      <c r="DO40" s="17"/>
      <c r="DP40" s="17">
        <v>0</v>
      </c>
      <c r="DQ40" s="17"/>
      <c r="DR40" s="17"/>
      <c r="DS40" s="17"/>
      <c r="DT40" s="17"/>
      <c r="DU40" s="17"/>
      <c r="DV40" s="17"/>
      <c r="DW40" s="17"/>
      <c r="DX40" s="17">
        <v>0</v>
      </c>
      <c r="DY40" s="17"/>
      <c r="DZ40" s="17"/>
      <c r="EA40" s="17"/>
      <c r="EB40" s="17"/>
      <c r="EC40" s="17"/>
      <c r="ED40" s="17"/>
      <c r="EE40" s="17"/>
      <c r="EF40" s="17">
        <f t="shared" si="15"/>
        <v>52978.44</v>
      </c>
      <c r="EG40" s="17">
        <v>49427.07</v>
      </c>
      <c r="EH40" s="17">
        <v>3551.37</v>
      </c>
      <c r="EI40" s="17"/>
      <c r="EJ40" s="17"/>
      <c r="EK40" s="17">
        <f t="shared" si="16"/>
        <v>0</v>
      </c>
      <c r="EL40" s="17"/>
      <c r="EM40" s="17"/>
      <c r="EN40" s="17"/>
      <c r="EO40" s="3">
        <f>EP40</f>
        <v>59549500</v>
      </c>
      <c r="EP40" s="107">
        <v>59549500</v>
      </c>
      <c r="EQ40" s="79">
        <f>ER40</f>
        <v>1677300</v>
      </c>
      <c r="ER40" s="103">
        <v>1677300</v>
      </c>
      <c r="ES40" s="81">
        <f t="shared" si="17"/>
        <v>0</v>
      </c>
      <c r="ET40" s="17"/>
      <c r="EU40" s="103"/>
      <c r="EV40" s="4">
        <f>C40++BN40+BR40+BT40+BV40+BX40+BY40+BZ40+CN40+EQ40+ES40</f>
        <v>2516277828.4400001</v>
      </c>
      <c r="EW40" s="23">
        <f>'Ут.План на 01.09.2013'!C41-EV40</f>
        <v>0</v>
      </c>
    </row>
    <row r="41" spans="1:252" ht="15" customHeight="1" x14ac:dyDescent="0.25">
      <c r="A41" s="144">
        <v>35</v>
      </c>
      <c r="B41" s="149" t="s">
        <v>108</v>
      </c>
      <c r="C41" s="22">
        <f>D41+O41+S41+V41+AM41+AW41+Q41</f>
        <v>139822952</v>
      </c>
      <c r="D41" s="2">
        <f>E41+M41</f>
        <v>512800</v>
      </c>
      <c r="E41" s="77">
        <f>SUM(F41:L41)</f>
        <v>512800</v>
      </c>
      <c r="F41" s="41">
        <v>166300</v>
      </c>
      <c r="G41" s="17">
        <v>5400</v>
      </c>
      <c r="H41" s="17"/>
      <c r="I41" s="17"/>
      <c r="J41" s="41">
        <v>341100</v>
      </c>
      <c r="K41" s="17"/>
      <c r="L41" s="17"/>
      <c r="M41" s="17">
        <f>SUM(N41)</f>
        <v>0</v>
      </c>
      <c r="N41" s="17"/>
      <c r="O41" s="17">
        <f>P41</f>
        <v>367500</v>
      </c>
      <c r="P41" s="41">
        <v>367500</v>
      </c>
      <c r="Q41" s="17">
        <f>R41</f>
        <v>0</v>
      </c>
      <c r="R41" s="41"/>
      <c r="S41" s="17">
        <f>T41</f>
        <v>0</v>
      </c>
      <c r="T41" s="17"/>
      <c r="U41" s="17"/>
      <c r="V41" s="17">
        <f>W41+AA41+AF41+AH41</f>
        <v>41619800</v>
      </c>
      <c r="W41" s="17">
        <f>X41+Y41+Z41</f>
        <v>583800</v>
      </c>
      <c r="X41" s="17">
        <v>564200</v>
      </c>
      <c r="Y41" s="41">
        <v>19600</v>
      </c>
      <c r="Z41" s="41"/>
      <c r="AA41" s="17">
        <f>SUM(AB41:AE41)</f>
        <v>40070500</v>
      </c>
      <c r="AB41" s="17">
        <v>266000</v>
      </c>
      <c r="AC41" s="41">
        <v>39025800</v>
      </c>
      <c r="AD41" s="41">
        <v>778700</v>
      </c>
      <c r="AE41" s="41"/>
      <c r="AF41" s="17">
        <f>AG41</f>
        <v>235200</v>
      </c>
      <c r="AG41" s="239">
        <f>258700-23500</f>
        <v>235200</v>
      </c>
      <c r="AH41" s="41">
        <f>SUM(AI41:AL41)</f>
        <v>730300</v>
      </c>
      <c r="AI41" s="41">
        <v>46400</v>
      </c>
      <c r="AJ41" s="41">
        <v>585700</v>
      </c>
      <c r="AK41" s="41">
        <v>87600</v>
      </c>
      <c r="AL41" s="41">
        <v>10600</v>
      </c>
      <c r="AM41" s="41">
        <f>AN41+AU41</f>
        <v>10324600</v>
      </c>
      <c r="AN41" s="41">
        <f>SUM(AO41:AT41)</f>
        <v>2519600</v>
      </c>
      <c r="AO41" s="41">
        <v>1208000</v>
      </c>
      <c r="AP41" s="41">
        <v>1270800</v>
      </c>
      <c r="AQ41" s="41"/>
      <c r="AR41" s="41">
        <v>40800</v>
      </c>
      <c r="AS41" s="17"/>
      <c r="AT41" s="17"/>
      <c r="AU41" s="17">
        <f>AV41</f>
        <v>7805000</v>
      </c>
      <c r="AV41" s="17">
        <v>7805000</v>
      </c>
      <c r="AW41" s="17">
        <f>AX41+BA41+BF41</f>
        <v>86998252</v>
      </c>
      <c r="AX41" s="107">
        <f>SUM(AY41:AZ41)</f>
        <v>23295000</v>
      </c>
      <c r="AY41" s="41">
        <v>6766000</v>
      </c>
      <c r="AZ41" s="41">
        <v>16529000</v>
      </c>
      <c r="BA41" s="107">
        <f>SUM(BB41:BC41)</f>
        <v>52062000</v>
      </c>
      <c r="BB41" s="41">
        <v>52062000</v>
      </c>
      <c r="BC41" s="41"/>
      <c r="BD41" s="41"/>
      <c r="BE41" s="41"/>
      <c r="BF41" s="41">
        <f>SUM(BG41:BM41)</f>
        <v>11641252</v>
      </c>
      <c r="BG41" s="41"/>
      <c r="BH41" s="41"/>
      <c r="BI41" s="41">
        <v>3600852</v>
      </c>
      <c r="BJ41" s="41"/>
      <c r="BK41" s="243">
        <v>8040400</v>
      </c>
      <c r="BL41" s="107"/>
      <c r="BM41" s="107"/>
      <c r="BN41" s="88">
        <f>BO41</f>
        <v>0</v>
      </c>
      <c r="BO41" s="17">
        <f>BP41+BQ41</f>
        <v>0</v>
      </c>
      <c r="BP41" s="103"/>
      <c r="BQ41" s="103"/>
      <c r="BR41" s="212">
        <f>BS41</f>
        <v>0</v>
      </c>
      <c r="BS41" s="17"/>
      <c r="BT41" s="304">
        <f>BU41</f>
        <v>0</v>
      </c>
      <c r="BU41" s="17"/>
      <c r="BV41" s="314">
        <f>BW41</f>
        <v>0</v>
      </c>
      <c r="BW41" s="17"/>
      <c r="BX41" s="85"/>
      <c r="BY41" s="68"/>
      <c r="BZ41" s="62">
        <f>CC41+CI41+CK41+CA41</f>
        <v>1096600</v>
      </c>
      <c r="CA41" s="17">
        <f>CB41</f>
        <v>0</v>
      </c>
      <c r="CB41" s="17">
        <v>0</v>
      </c>
      <c r="CC41" s="103">
        <f>CD41+CE41+CH41</f>
        <v>1094400</v>
      </c>
      <c r="CD41" s="103">
        <v>0</v>
      </c>
      <c r="CE41" s="14">
        <f>CF41+CG41</f>
        <v>1094400</v>
      </c>
      <c r="CF41" s="31">
        <v>280400</v>
      </c>
      <c r="CG41" s="14">
        <v>814000</v>
      </c>
      <c r="CH41" s="14"/>
      <c r="CI41" s="14">
        <f>CJ41</f>
        <v>2200</v>
      </c>
      <c r="CJ41" s="31">
        <v>2200</v>
      </c>
      <c r="CK41" s="14">
        <f>CL41+CM41</f>
        <v>0</v>
      </c>
      <c r="CL41" s="29">
        <v>0</v>
      </c>
      <c r="CM41" s="30">
        <v>0</v>
      </c>
      <c r="CN41" s="65">
        <f>CO41+CQ41+CU41+DC41+DE41+DI41+DN41+DS41+DU41+DW41+DZ41+EC41+EF41+EK41+EO41</f>
        <v>4559000</v>
      </c>
      <c r="CO41" s="17">
        <f>CP41</f>
        <v>0</v>
      </c>
      <c r="CP41" s="17"/>
      <c r="CQ41" s="17">
        <f>CR41+CS41+CT41</f>
        <v>0</v>
      </c>
      <c r="CR41" s="17"/>
      <c r="CS41" s="17">
        <v>0</v>
      </c>
      <c r="CT41" s="17"/>
      <c r="CU41" s="17">
        <f>SUM(CV41:DB41)</f>
        <v>4559000</v>
      </c>
      <c r="CV41" s="17"/>
      <c r="CW41" s="17">
        <v>1796800</v>
      </c>
      <c r="CX41" s="17">
        <v>2762200</v>
      </c>
      <c r="CY41" s="14"/>
      <c r="CZ41" s="14">
        <v>0</v>
      </c>
      <c r="DA41" s="14">
        <v>0</v>
      </c>
      <c r="DB41" s="14"/>
      <c r="DC41" s="14">
        <f t="shared" si="12"/>
        <v>0</v>
      </c>
      <c r="DD41" s="14"/>
      <c r="DE41" s="103">
        <f>SUM(DF41:DH41)</f>
        <v>0</v>
      </c>
      <c r="DF41" s="17"/>
      <c r="DG41" s="17"/>
      <c r="DH41" s="17"/>
      <c r="DI41" s="17">
        <f t="shared" si="13"/>
        <v>0</v>
      </c>
      <c r="DJ41" s="17"/>
      <c r="DK41" s="17">
        <v>0</v>
      </c>
      <c r="DL41" s="17"/>
      <c r="DM41" s="17"/>
      <c r="DN41" s="17">
        <f t="shared" si="14"/>
        <v>0</v>
      </c>
      <c r="DO41" s="17"/>
      <c r="DP41" s="17">
        <v>0</v>
      </c>
      <c r="DQ41" s="17"/>
      <c r="DR41" s="17"/>
      <c r="DS41" s="17"/>
      <c r="DT41" s="17"/>
      <c r="DU41" s="17"/>
      <c r="DV41" s="17"/>
      <c r="DW41" s="17"/>
      <c r="DX41" s="17">
        <v>0</v>
      </c>
      <c r="DY41" s="17"/>
      <c r="DZ41" s="17"/>
      <c r="EA41" s="17"/>
      <c r="EB41" s="17"/>
      <c r="EC41" s="17"/>
      <c r="ED41" s="17"/>
      <c r="EE41" s="17"/>
      <c r="EF41" s="17">
        <f t="shared" si="15"/>
        <v>0</v>
      </c>
      <c r="EG41" s="17">
        <v>0</v>
      </c>
      <c r="EH41" s="17">
        <v>0</v>
      </c>
      <c r="EI41" s="17"/>
      <c r="EJ41" s="17"/>
      <c r="EK41" s="17">
        <f t="shared" si="16"/>
        <v>0</v>
      </c>
      <c r="EL41" s="17"/>
      <c r="EM41" s="17"/>
      <c r="EN41" s="17"/>
      <c r="EO41" s="3">
        <f>EP41</f>
        <v>0</v>
      </c>
      <c r="EP41" s="107">
        <v>0</v>
      </c>
      <c r="EQ41" s="79">
        <f>ER41</f>
        <v>0</v>
      </c>
      <c r="ER41" s="103"/>
      <c r="ES41" s="81">
        <f t="shared" si="17"/>
        <v>0</v>
      </c>
      <c r="ET41" s="17"/>
      <c r="EU41" s="103"/>
      <c r="EV41" s="4">
        <f>C41++BN41+BR41+BT41+BV41+BX41+BY41+BZ41+CN41+EQ41+ES41</f>
        <v>145478552</v>
      </c>
      <c r="EW41" s="23">
        <f>'Ут.План на 01.09.2013'!C42-EV41</f>
        <v>0</v>
      </c>
    </row>
    <row r="42" spans="1:252" s="9" customFormat="1" ht="15.75" customHeight="1" x14ac:dyDescent="0.2">
      <c r="A42" s="5"/>
      <c r="B42" s="156" t="s">
        <v>109</v>
      </c>
      <c r="C42" s="21">
        <f>SUM(C38:C41)</f>
        <v>1885937689</v>
      </c>
      <c r="D42" s="6">
        <f>SUM(D38:D41)</f>
        <v>5991500</v>
      </c>
      <c r="E42" s="78">
        <f>SUM(E38:E41)</f>
        <v>5991500</v>
      </c>
      <c r="F42" s="105">
        <f>SUM(F38:F41)</f>
        <v>1801900</v>
      </c>
      <c r="G42" s="105">
        <f>SUM(G38:G41)</f>
        <v>439300</v>
      </c>
      <c r="H42" s="105">
        <f>SUM(H38:H41)</f>
        <v>0</v>
      </c>
      <c r="I42" s="105">
        <f>SUM(I38:I41)</f>
        <v>0</v>
      </c>
      <c r="J42" s="105">
        <f>SUM(J38:J41)</f>
        <v>3750300</v>
      </c>
      <c r="K42" s="105">
        <f>SUM(K38:K41)</f>
        <v>0</v>
      </c>
      <c r="L42" s="105">
        <f>SUM(L38:L41)</f>
        <v>0</v>
      </c>
      <c r="M42" s="105">
        <f>SUM(M38:M41)</f>
        <v>0</v>
      </c>
      <c r="N42" s="105">
        <f>SUM(N38:N41)</f>
        <v>0</v>
      </c>
      <c r="O42" s="105">
        <f>SUM(O38:O41)</f>
        <v>367500</v>
      </c>
      <c r="P42" s="61">
        <f>P38+P39+P40+P41</f>
        <v>367500</v>
      </c>
      <c r="Q42" s="61">
        <f>Q38+Q39+Q40+Q41</f>
        <v>0</v>
      </c>
      <c r="R42" s="61">
        <f>R38+R39+R40+R41</f>
        <v>0</v>
      </c>
      <c r="S42" s="105">
        <f>SUM(S38:S41)</f>
        <v>19463687</v>
      </c>
      <c r="T42" s="99">
        <f>SUM(T38:T41)</f>
        <v>19463687</v>
      </c>
      <c r="U42" s="99">
        <f>SUM(U38:U41)</f>
        <v>0</v>
      </c>
      <c r="V42" s="99">
        <f>SUM(V38:V41)</f>
        <v>1230360250</v>
      </c>
      <c r="W42" s="99">
        <f>SUM(W38:W41)</f>
        <v>8233450</v>
      </c>
      <c r="X42" s="99">
        <f>SUM(X38:X41)</f>
        <v>3491300</v>
      </c>
      <c r="Y42" s="99">
        <f>SUM(Y38:Y41)</f>
        <v>736150</v>
      </c>
      <c r="Z42" s="99">
        <f>SUM(Z38:Z41)</f>
        <v>4006000</v>
      </c>
      <c r="AA42" s="99">
        <f>SUM(AA38:AA41)</f>
        <v>1176898600</v>
      </c>
      <c r="AB42" s="99">
        <f>SUM(AB38:AB41)</f>
        <v>2053800</v>
      </c>
      <c r="AC42" s="99">
        <f>SUM(AC38:AC41)</f>
        <v>1153150100</v>
      </c>
      <c r="AD42" s="99">
        <f>SUM(AD38:AD41)</f>
        <v>21694700</v>
      </c>
      <c r="AE42" s="99">
        <f>SUM(AE38:AE41)</f>
        <v>0</v>
      </c>
      <c r="AF42" s="99">
        <f>SUM(AF38:AF41)</f>
        <v>25031800</v>
      </c>
      <c r="AG42" s="240">
        <f>SUM(AG38:AG41)</f>
        <v>25031800</v>
      </c>
      <c r="AH42" s="99">
        <f>SUM(AH38:AH41)</f>
        <v>20196400</v>
      </c>
      <c r="AI42" s="99">
        <f>SUM(AI38:AI41)</f>
        <v>1767700</v>
      </c>
      <c r="AJ42" s="99">
        <f>SUM(AJ38:AJ41)</f>
        <v>17180900</v>
      </c>
      <c r="AK42" s="99">
        <f>SUM(AK38:AK41)</f>
        <v>796700</v>
      </c>
      <c r="AL42" s="99">
        <f>SUM(AL38:AL41)</f>
        <v>451100</v>
      </c>
      <c r="AM42" s="99">
        <f>SUM(AM38:AM41)</f>
        <v>133135700</v>
      </c>
      <c r="AN42" s="99">
        <f>SUM(AN38:AN41)</f>
        <v>125330700</v>
      </c>
      <c r="AO42" s="105">
        <f>SUM(AO38:AO41)</f>
        <v>31999000</v>
      </c>
      <c r="AP42" s="105">
        <f>SUM(AP38:AP41)</f>
        <v>88834200</v>
      </c>
      <c r="AQ42" s="105">
        <f>SUM(AQ38:AQ41)</f>
        <v>1186700</v>
      </c>
      <c r="AR42" s="99">
        <f>SUM(AR38:AR41)</f>
        <v>1511700</v>
      </c>
      <c r="AS42" s="99">
        <f>SUM(AS38:AS41)</f>
        <v>512400</v>
      </c>
      <c r="AT42" s="99">
        <f>SUM(AT38:AT41)</f>
        <v>1286700</v>
      </c>
      <c r="AU42" s="99">
        <f>SUM(AU38:AU41)</f>
        <v>7805000</v>
      </c>
      <c r="AV42" s="99">
        <f>SUM(AV38:AV41)</f>
        <v>7805000</v>
      </c>
      <c r="AW42" s="99">
        <f>SUM(AW38:AW41)</f>
        <v>496619052</v>
      </c>
      <c r="AX42" s="105">
        <f>SUM(AX38:AX41)</f>
        <v>296019000</v>
      </c>
      <c r="AY42" s="105">
        <f>SUM(AY38:AY41)</f>
        <v>211345000</v>
      </c>
      <c r="AZ42" s="105">
        <f>SUM(AZ38:AZ41)</f>
        <v>84674000</v>
      </c>
      <c r="BA42" s="105">
        <f>SUM(BA38:BA41)</f>
        <v>63562000</v>
      </c>
      <c r="BB42" s="105">
        <f>SUM(BB38:BB41)</f>
        <v>52062000</v>
      </c>
      <c r="BC42" s="105">
        <f>SUM(BC38:BC41)</f>
        <v>11500000</v>
      </c>
      <c r="BD42" s="105">
        <f>SUM(BD38:BD41)</f>
        <v>0</v>
      </c>
      <c r="BE42" s="105">
        <f>SUM(BE38:BE41)</f>
        <v>0</v>
      </c>
      <c r="BF42" s="105">
        <f>SUM(BF38:BF41)</f>
        <v>137038052</v>
      </c>
      <c r="BG42" s="105">
        <f>SUM(BG38:BG41)</f>
        <v>0</v>
      </c>
      <c r="BH42" s="105">
        <f>SUM(BH38:BH41)</f>
        <v>0</v>
      </c>
      <c r="BI42" s="105">
        <f>SUM(BI38:BI41)</f>
        <v>3600852</v>
      </c>
      <c r="BJ42" s="105">
        <f>SUM(BJ38:BJ41)</f>
        <v>10550000</v>
      </c>
      <c r="BK42" s="105">
        <f>SUM(BK38:BK41)</f>
        <v>122887200</v>
      </c>
      <c r="BL42" s="105">
        <f>SUM(BL38:BL41)</f>
        <v>0</v>
      </c>
      <c r="BM42" s="105">
        <f>SUM(BM38:BM41)</f>
        <v>0</v>
      </c>
      <c r="BN42" s="43">
        <f>SUM(BN38:BN41)</f>
        <v>103800</v>
      </c>
      <c r="BO42" s="15">
        <f>SUM(BO38:BO41)</f>
        <v>103800</v>
      </c>
      <c r="BP42" s="7">
        <f>SUM(BP38:BP41)</f>
        <v>103800</v>
      </c>
      <c r="BQ42" s="7">
        <f>SUM(BQ38:BQ41)</f>
        <v>0</v>
      </c>
      <c r="BR42" s="213">
        <f>SUM(BR38:BR41)</f>
        <v>0</v>
      </c>
      <c r="BS42" s="99">
        <f>SUM(BS38:BS41)</f>
        <v>0</v>
      </c>
      <c r="BT42" s="305">
        <f>SUM(BT38:BT41)</f>
        <v>0</v>
      </c>
      <c r="BU42" s="99">
        <f>SUM(BU38:BU41)</f>
        <v>0</v>
      </c>
      <c r="BV42" s="315">
        <f>SUM(BV38:BV41)</f>
        <v>30000</v>
      </c>
      <c r="BW42" s="99">
        <f>SUM(BW38:BW41)</f>
        <v>30000</v>
      </c>
      <c r="BX42" s="60">
        <f>SUM(BX38:BX41)</f>
        <v>0</v>
      </c>
      <c r="BY42" s="70">
        <f>SUM(BY38:BY41)</f>
        <v>0</v>
      </c>
      <c r="BZ42" s="63">
        <f>SUM(BZ38:BZ41)</f>
        <v>122439800</v>
      </c>
      <c r="CA42" s="99">
        <f>CA38</f>
        <v>60000000</v>
      </c>
      <c r="CB42" s="99">
        <f>SUM(CB38:CB41)</f>
        <v>60000000</v>
      </c>
      <c r="CC42" s="7">
        <f>SUM(CC38:CC41)</f>
        <v>59893200</v>
      </c>
      <c r="CD42" s="7">
        <f>SUM(CD38:CD41)</f>
        <v>13500000</v>
      </c>
      <c r="CE42" s="15">
        <f>SUM(CE38:CE41)</f>
        <v>46393200</v>
      </c>
      <c r="CF42" s="99">
        <f>SUM(CF38:CF41)</f>
        <v>11885200</v>
      </c>
      <c r="CG42" s="15">
        <f>SUM(CG38:CG41)</f>
        <v>34508000</v>
      </c>
      <c r="CH42" s="15">
        <f>SUM(CH38:CH41)</f>
        <v>0</v>
      </c>
      <c r="CI42" s="15">
        <f>SUM(CI38:CI41)</f>
        <v>101600</v>
      </c>
      <c r="CJ42" s="7">
        <f>SUM(CJ38:CJ41)</f>
        <v>101600</v>
      </c>
      <c r="CK42" s="18">
        <f>SUM(CK38:CK41)</f>
        <v>2445000</v>
      </c>
      <c r="CL42" s="105">
        <f>SUM(CL38:CL41)</f>
        <v>2435700</v>
      </c>
      <c r="CM42" s="18">
        <f>SUM(CM38:CM41)</f>
        <v>9300</v>
      </c>
      <c r="CN42" s="66">
        <f>SUM(CN38:CN41)</f>
        <v>1144050861.4400001</v>
      </c>
      <c r="CO42" s="105">
        <f>SUM(CO38:CO41)</f>
        <v>0</v>
      </c>
      <c r="CP42" s="105">
        <f>SUM(CP38:CP41)</f>
        <v>0</v>
      </c>
      <c r="CQ42" s="105">
        <f>SUM(CQ38:CQ41)</f>
        <v>78266483</v>
      </c>
      <c r="CR42" s="105">
        <f>SUM(CR38:CR41)</f>
        <v>42000000</v>
      </c>
      <c r="CS42" s="105">
        <f>SUM(CS38:CS41)</f>
        <v>36227958.700000003</v>
      </c>
      <c r="CT42" s="105">
        <f>SUM(CT38:CT41)</f>
        <v>38524.300000000003</v>
      </c>
      <c r="CU42" s="15">
        <f>SUM(CU38:CU41)</f>
        <v>978628900</v>
      </c>
      <c r="CV42" s="15">
        <f>SUM(CV38:CV41)</f>
        <v>400100000</v>
      </c>
      <c r="CW42" s="15">
        <f>SUM(CW38:CW41)</f>
        <v>54655900</v>
      </c>
      <c r="CX42" s="15">
        <f>SUM(CX38:CX41)</f>
        <v>111502000</v>
      </c>
      <c r="CY42" s="15">
        <f>SUM(CY38:CY41)</f>
        <v>0</v>
      </c>
      <c r="CZ42" s="15">
        <f t="shared" ref="CZ42" si="18">SUM(CZ38:CZ41)</f>
        <v>160000000</v>
      </c>
      <c r="DA42" s="15">
        <f>SUM(DA38:DA41)</f>
        <v>252371000</v>
      </c>
      <c r="DB42" s="15">
        <f>SUM(DB38:DB41)</f>
        <v>0</v>
      </c>
      <c r="DC42" s="15">
        <f t="shared" ref="DC42:DD42" si="19">SUM(DC38:DC41)</f>
        <v>0</v>
      </c>
      <c r="DD42" s="15">
        <f t="shared" si="19"/>
        <v>0</v>
      </c>
      <c r="DE42" s="7">
        <f>SUM(DE38:DE41)</f>
        <v>0</v>
      </c>
      <c r="DF42" s="99">
        <f>SUM(DF38:DF41)</f>
        <v>0</v>
      </c>
      <c r="DG42" s="99">
        <f>SUM(DG38:DG41)</f>
        <v>0</v>
      </c>
      <c r="DH42" s="99">
        <f>SUM(DH38:DH41)</f>
        <v>0</v>
      </c>
      <c r="DI42" s="99">
        <f t="shared" ref="DI42:DJ42" si="20">SUM(DI38:DI41)</f>
        <v>22458000</v>
      </c>
      <c r="DJ42" s="99">
        <f t="shared" si="20"/>
        <v>0</v>
      </c>
      <c r="DK42" s="99">
        <f t="shared" ref="DK42:DL42" si="21">SUM(DK38:DK41)</f>
        <v>22458000</v>
      </c>
      <c r="DL42" s="99">
        <f t="shared" si="21"/>
        <v>0</v>
      </c>
      <c r="DM42" s="99">
        <f t="shared" ref="DM42" si="22">SUM(DM38:DM41)</f>
        <v>0</v>
      </c>
      <c r="DN42" s="99">
        <f>SUM(DN38:DN41)</f>
        <v>95000</v>
      </c>
      <c r="DO42" s="99">
        <f>SUM(DO38:DO41)</f>
        <v>0</v>
      </c>
      <c r="DP42" s="99">
        <f t="shared" ref="DP42:DQ42" si="23">SUM(DP38:DP41)</f>
        <v>95000</v>
      </c>
      <c r="DQ42" s="99">
        <f t="shared" si="23"/>
        <v>0</v>
      </c>
      <c r="DR42" s="99">
        <f t="shared" ref="DR42" si="24">SUM(DR38:DR41)</f>
        <v>0</v>
      </c>
      <c r="DS42" s="99">
        <f t="shared" ref="DS42:DV42" si="25">SUM(DS38:DS41)</f>
        <v>0</v>
      </c>
      <c r="DT42" s="99">
        <f t="shared" si="25"/>
        <v>0</v>
      </c>
      <c r="DU42" s="99">
        <f t="shared" si="25"/>
        <v>0</v>
      </c>
      <c r="DV42" s="99">
        <f t="shared" si="25"/>
        <v>0</v>
      </c>
      <c r="DW42" s="99">
        <f>SUM(DW38:DW41)</f>
        <v>0</v>
      </c>
      <c r="DX42" s="99">
        <f>SUM(DX38:DX41)</f>
        <v>0</v>
      </c>
      <c r="DY42" s="99">
        <f t="shared" ref="DY42" si="26">SUM(DY38:DY41)</f>
        <v>0</v>
      </c>
      <c r="DZ42" s="99">
        <f t="shared" ref="DZ42" si="27">SUM(DZ38:DZ41)</f>
        <v>0</v>
      </c>
      <c r="EA42" s="99">
        <f>SUM(EA38:EA41)</f>
        <v>0</v>
      </c>
      <c r="EB42" s="99">
        <f>SUM(EB38:EB41)</f>
        <v>0</v>
      </c>
      <c r="EC42" s="99">
        <f>SUM(EC38:EC41)</f>
        <v>0</v>
      </c>
      <c r="ED42" s="99">
        <f>SUM(ED38:ED41)</f>
        <v>0</v>
      </c>
      <c r="EE42" s="99">
        <f t="shared" ref="EE42" si="28">SUM(EE38:EE41)</f>
        <v>0</v>
      </c>
      <c r="EF42" s="99">
        <f t="shared" ref="EF42:EH42" si="29">SUM(EF38:EF41)</f>
        <v>52978.44</v>
      </c>
      <c r="EG42" s="99">
        <f t="shared" ref="EG42" si="30">SUM(EG38:EG41)</f>
        <v>49427.07</v>
      </c>
      <c r="EH42" s="99">
        <f t="shared" si="29"/>
        <v>3551.37</v>
      </c>
      <c r="EI42" s="99">
        <f t="shared" ref="EI42:EJ42" si="31">SUM(EI38:EI41)</f>
        <v>0</v>
      </c>
      <c r="EJ42" s="99">
        <f t="shared" si="31"/>
        <v>0</v>
      </c>
      <c r="EK42" s="105">
        <f t="shared" ref="EK42" si="32">SUM(EK38:EK41)</f>
        <v>5000000</v>
      </c>
      <c r="EL42" s="99">
        <f>SUM(EL38:EL41)</f>
        <v>5000000</v>
      </c>
      <c r="EM42" s="99">
        <f t="shared" ref="EM42:EN42" si="33">SUM(EM38:EM41)</f>
        <v>0</v>
      </c>
      <c r="EN42" s="99">
        <f t="shared" si="33"/>
        <v>0</v>
      </c>
      <c r="EO42" s="104">
        <f>SUM(EO38:EO41)</f>
        <v>59549500</v>
      </c>
      <c r="EP42" s="105">
        <f>SUM(EP38:EP41)</f>
        <v>59549500</v>
      </c>
      <c r="EQ42" s="80">
        <f>SUM(EQ38:EQ41)</f>
        <v>1677300</v>
      </c>
      <c r="ER42" s="105">
        <f>SUM(ER38:ER41)</f>
        <v>1677300</v>
      </c>
      <c r="ES42" s="82">
        <f>SUM(ES38:ES41)</f>
        <v>0</v>
      </c>
      <c r="ET42" s="105">
        <f t="shared" ref="ET42" si="34">SUM(ET38:ET41)</f>
        <v>0</v>
      </c>
      <c r="EU42" s="105">
        <f>SUM(EU38:EU41)</f>
        <v>0</v>
      </c>
      <c r="EV42" s="8">
        <f>SUM(EV38:EV41)</f>
        <v>3154239450.4400001</v>
      </c>
      <c r="EW42" s="23">
        <f>'Ут.План на 01.09.2013'!C43-EV42</f>
        <v>0</v>
      </c>
    </row>
    <row r="43" spans="1:252" s="246" customFormat="1" ht="26.25" customHeight="1" x14ac:dyDescent="0.2">
      <c r="A43" s="5"/>
      <c r="B43" s="42" t="s">
        <v>144</v>
      </c>
      <c r="C43" s="21">
        <f>C36+C42</f>
        <v>10072122946.83</v>
      </c>
      <c r="D43" s="78">
        <f>D36+D42</f>
        <v>30896800</v>
      </c>
      <c r="E43" s="323">
        <f>E36+E42</f>
        <v>30877000</v>
      </c>
      <c r="F43" s="321">
        <f>F36+F42</f>
        <v>9287100</v>
      </c>
      <c r="G43" s="321">
        <f>G36+G42</f>
        <v>895000</v>
      </c>
      <c r="H43" s="321">
        <f>H36+H42</f>
        <v>1020600</v>
      </c>
      <c r="I43" s="321">
        <f>I36+I42</f>
        <v>978200</v>
      </c>
      <c r="J43" s="321">
        <f>J36+J42</f>
        <v>16643900</v>
      </c>
      <c r="K43" s="321">
        <f>K36+K42</f>
        <v>485500</v>
      </c>
      <c r="L43" s="321">
        <f>L36+L42</f>
        <v>1566700</v>
      </c>
      <c r="M43" s="324">
        <f>M36+M42</f>
        <v>19800</v>
      </c>
      <c r="N43" s="321">
        <f>N36+N42</f>
        <v>19800</v>
      </c>
      <c r="O43" s="324">
        <f>O36+O42</f>
        <v>36317100</v>
      </c>
      <c r="P43" s="321">
        <f>P36+P42</f>
        <v>36317100</v>
      </c>
      <c r="Q43" s="321">
        <f>Q36+Q42</f>
        <v>2280000</v>
      </c>
      <c r="R43" s="105">
        <f>R36+R42</f>
        <v>2280000</v>
      </c>
      <c r="S43" s="105">
        <f>S36+S42</f>
        <v>59496690.829999998</v>
      </c>
      <c r="T43" s="322">
        <f>T36+T42</f>
        <v>30900002</v>
      </c>
      <c r="U43" s="322">
        <f>U36+U42</f>
        <v>28596688.829999998</v>
      </c>
      <c r="V43" s="99">
        <f>V36+V42</f>
        <v>6138826900</v>
      </c>
      <c r="W43" s="63">
        <f>W36+W42</f>
        <v>57109700</v>
      </c>
      <c r="X43" s="322">
        <f>X36+X42</f>
        <v>35848100</v>
      </c>
      <c r="Y43" s="322">
        <f>Y36+Y42</f>
        <v>1261600</v>
      </c>
      <c r="Z43" s="322">
        <f>Z36+Z42</f>
        <v>20000000</v>
      </c>
      <c r="AA43" s="63">
        <f>AA36+AA42</f>
        <v>5889239600</v>
      </c>
      <c r="AB43" s="322">
        <f>AB36+AB42</f>
        <v>23474600</v>
      </c>
      <c r="AC43" s="322">
        <f>AC36+AC42</f>
        <v>5716342000</v>
      </c>
      <c r="AD43" s="322">
        <f>AD36+AD42</f>
        <v>141623000</v>
      </c>
      <c r="AE43" s="322">
        <f>AE36+AE42</f>
        <v>7800000</v>
      </c>
      <c r="AF43" s="63">
        <f>AF36+AF42</f>
        <v>116439500</v>
      </c>
      <c r="AG43" s="322">
        <f>AG36+AG42</f>
        <v>116439500</v>
      </c>
      <c r="AH43" s="63">
        <f>AH36+AH42</f>
        <v>76038100</v>
      </c>
      <c r="AI43" s="322">
        <f>AI36+AI42</f>
        <v>4323500</v>
      </c>
      <c r="AJ43" s="322">
        <f>AJ36+AJ42</f>
        <v>66771600</v>
      </c>
      <c r="AK43" s="322">
        <f>AK36+AK42</f>
        <v>4224700</v>
      </c>
      <c r="AL43" s="322">
        <f>AL36+AL42</f>
        <v>718300</v>
      </c>
      <c r="AM43" s="99">
        <f>AM36+AM42</f>
        <v>580814400</v>
      </c>
      <c r="AN43" s="63">
        <f>AN36+AN42</f>
        <v>573009400</v>
      </c>
      <c r="AO43" s="321">
        <f>AO36+AO42</f>
        <v>128157000</v>
      </c>
      <c r="AP43" s="321">
        <f>AP36+AP42</f>
        <v>434455600</v>
      </c>
      <c r="AQ43" s="321">
        <f>AQ36+AQ42</f>
        <v>2866800</v>
      </c>
      <c r="AR43" s="322">
        <f>AR36+AR42</f>
        <v>2751100</v>
      </c>
      <c r="AS43" s="322">
        <f>AS36+AS42</f>
        <v>3000000</v>
      </c>
      <c r="AT43" s="322">
        <f>AT36+AT42</f>
        <v>1778900</v>
      </c>
      <c r="AU43" s="63">
        <f>AU36+AU42</f>
        <v>7805000</v>
      </c>
      <c r="AV43" s="322">
        <f>AV36+AV42</f>
        <v>7805000</v>
      </c>
      <c r="AW43" s="99">
        <f>AW36+AW42</f>
        <v>3223491056</v>
      </c>
      <c r="AX43" s="324">
        <f>AX36+AX42</f>
        <v>2044585000</v>
      </c>
      <c r="AY43" s="321">
        <f>AY36+AY42</f>
        <v>211345000</v>
      </c>
      <c r="AZ43" s="321">
        <f>AZ36+AZ42</f>
        <v>1833240000</v>
      </c>
      <c r="BA43" s="105">
        <f>BA36+BA42</f>
        <v>407797400</v>
      </c>
      <c r="BB43" s="321">
        <f>BB36+BB42</f>
        <v>52062000</v>
      </c>
      <c r="BC43" s="321">
        <f>BC36+BC42</f>
        <v>355735400</v>
      </c>
      <c r="BD43" s="105">
        <f>BD36+BD42</f>
        <v>0</v>
      </c>
      <c r="BE43" s="105">
        <f>BE36+BE42</f>
        <v>0</v>
      </c>
      <c r="BF43" s="105">
        <f>BF36+BF42</f>
        <v>771108656</v>
      </c>
      <c r="BG43" s="321">
        <f>BG36+BG42</f>
        <v>7000000</v>
      </c>
      <c r="BH43" s="321">
        <f>BH36+BH42</f>
        <v>72214504</v>
      </c>
      <c r="BI43" s="321">
        <f>BI36+BI42</f>
        <v>3600852</v>
      </c>
      <c r="BJ43" s="321">
        <f>BJ36+BJ42</f>
        <v>10550000</v>
      </c>
      <c r="BK43" s="321">
        <f>BK36+BK42</f>
        <v>494539400</v>
      </c>
      <c r="BL43" s="321">
        <f>BL36+BL42</f>
        <v>176525000</v>
      </c>
      <c r="BM43" s="321">
        <f>BM36+BM42</f>
        <v>6678900</v>
      </c>
      <c r="BN43" s="43">
        <f>BN36+BN42</f>
        <v>3732396</v>
      </c>
      <c r="BO43" s="99">
        <f>BO36+BO42</f>
        <v>3732396</v>
      </c>
      <c r="BP43" s="322">
        <f>BP36+BP42</f>
        <v>2708000</v>
      </c>
      <c r="BQ43" s="322">
        <f>BQ36+BQ42</f>
        <v>1024396</v>
      </c>
      <c r="BR43" s="213">
        <f>BR36+BR42</f>
        <v>952500</v>
      </c>
      <c r="BS43" s="322">
        <f>BS36+BS42</f>
        <v>952500</v>
      </c>
      <c r="BT43" s="305">
        <f>BT36+BT42</f>
        <v>116000</v>
      </c>
      <c r="BU43" s="322">
        <f>BU36+BU42</f>
        <v>116000</v>
      </c>
      <c r="BV43" s="315">
        <f>BV36+BV42</f>
        <v>230000</v>
      </c>
      <c r="BW43" s="322">
        <f>BW36+BW42</f>
        <v>230000</v>
      </c>
      <c r="BX43" s="60">
        <f>BX36+BX42</f>
        <v>0</v>
      </c>
      <c r="BY43" s="84">
        <f>BY36+BY42</f>
        <v>0</v>
      </c>
      <c r="BZ43" s="63">
        <f>BZ36+BZ42</f>
        <v>734673700</v>
      </c>
      <c r="CA43" s="322">
        <f>CA36+CA42</f>
        <v>414508600</v>
      </c>
      <c r="CB43" s="99">
        <f>CB36+CB42</f>
        <v>414508600</v>
      </c>
      <c r="CC43" s="99">
        <f>CC36+CC42</f>
        <v>314754000</v>
      </c>
      <c r="CD43" s="322">
        <f>CD36+CD42</f>
        <v>110500000</v>
      </c>
      <c r="CE43" s="99">
        <f>CE36+CE42</f>
        <v>203254000</v>
      </c>
      <c r="CF43" s="322">
        <f>CF36+CF42</f>
        <v>49831000</v>
      </c>
      <c r="CG43" s="322">
        <f>CG36+CG42</f>
        <v>153423000</v>
      </c>
      <c r="CH43" s="322">
        <f>CH36+CH42</f>
        <v>1000000</v>
      </c>
      <c r="CI43" s="99">
        <f>CI36+CI42</f>
        <v>411100</v>
      </c>
      <c r="CJ43" s="322">
        <f>CJ36+CJ42</f>
        <v>411100</v>
      </c>
      <c r="CK43" s="105">
        <f>CK36+CK42</f>
        <v>5000000</v>
      </c>
      <c r="CL43" s="321">
        <f>CL36+CL42</f>
        <v>4982800</v>
      </c>
      <c r="CM43" s="321">
        <f>CM36+CM42</f>
        <v>17200</v>
      </c>
      <c r="CN43" s="66">
        <f>CN36+CN42</f>
        <v>3045020701.4400001</v>
      </c>
      <c r="CO43" s="105">
        <f>CO36+CO42</f>
        <v>3667000</v>
      </c>
      <c r="CP43" s="321">
        <f>CP36+CP42</f>
        <v>3667000</v>
      </c>
      <c r="CQ43" s="105">
        <f>CQ36+CQ42</f>
        <v>120405298</v>
      </c>
      <c r="CR43" s="321">
        <f>CR36+CR42</f>
        <v>44500000</v>
      </c>
      <c r="CS43" s="321">
        <f>CS36+CS42</f>
        <v>75846498</v>
      </c>
      <c r="CT43" s="321">
        <f>CT36+CT42</f>
        <v>58800.000000000007</v>
      </c>
      <c r="CU43" s="99">
        <f>CU36+CU42</f>
        <v>1951964100</v>
      </c>
      <c r="CV43" s="322">
        <f>CV36+CV42</f>
        <v>400100000</v>
      </c>
      <c r="CW43" s="322">
        <f>CW36+CW42</f>
        <v>256202500</v>
      </c>
      <c r="CX43" s="99">
        <f>CX36+CX42</f>
        <v>282608900</v>
      </c>
      <c r="CY43" s="99">
        <f>CY36+CY42</f>
        <v>256202800</v>
      </c>
      <c r="CZ43" s="99">
        <f t="shared" ref="CZ43:DA43" si="35">CZ36+CZ42</f>
        <v>297863600</v>
      </c>
      <c r="DA43" s="322">
        <f t="shared" si="35"/>
        <v>443986300</v>
      </c>
      <c r="DB43" s="322">
        <f t="shared" ref="DB43:DD43" si="36">DB36+DB42</f>
        <v>15000000</v>
      </c>
      <c r="DC43" s="99">
        <f t="shared" si="36"/>
        <v>150000</v>
      </c>
      <c r="DD43" s="322">
        <f t="shared" si="36"/>
        <v>150000</v>
      </c>
      <c r="DE43" s="99">
        <f>DE36+DE42</f>
        <v>240967000</v>
      </c>
      <c r="DF43" s="322">
        <f>DF36+DF42</f>
        <v>240000000</v>
      </c>
      <c r="DG43" s="322">
        <f>DG36+DG42</f>
        <v>967000</v>
      </c>
      <c r="DH43" s="322">
        <f>DH36+DH42</f>
        <v>0</v>
      </c>
      <c r="DI43" s="99">
        <f t="shared" ref="DI43:DJ43" si="37">DI36+DI42</f>
        <v>227405137</v>
      </c>
      <c r="DJ43" s="322">
        <f t="shared" si="37"/>
        <v>200000</v>
      </c>
      <c r="DK43" s="322">
        <f t="shared" ref="DK43:DL43" si="38">DK36+DK42</f>
        <v>225419403</v>
      </c>
      <c r="DL43" s="322">
        <f t="shared" si="38"/>
        <v>1131334</v>
      </c>
      <c r="DM43" s="322">
        <f t="shared" ref="DM43" si="39">DM36+DM42</f>
        <v>654400</v>
      </c>
      <c r="DN43" s="99">
        <f>DN36+DN42</f>
        <v>268930000</v>
      </c>
      <c r="DO43" s="322">
        <f>DO36+DO42</f>
        <v>263400000</v>
      </c>
      <c r="DP43" s="322">
        <f t="shared" ref="DP43:DQ43" si="40">DP36+DP42</f>
        <v>180000</v>
      </c>
      <c r="DQ43" s="322">
        <f t="shared" si="40"/>
        <v>350000</v>
      </c>
      <c r="DR43" s="322">
        <f t="shared" ref="DR43" si="41">DR36+DR42</f>
        <v>5000000</v>
      </c>
      <c r="DS43" s="322">
        <f t="shared" ref="DS43:DV43" si="42">DS36+DS42</f>
        <v>262500</v>
      </c>
      <c r="DT43" s="322">
        <f t="shared" si="42"/>
        <v>262500</v>
      </c>
      <c r="DU43" s="322">
        <f t="shared" si="42"/>
        <v>157500</v>
      </c>
      <c r="DV43" s="322">
        <f t="shared" si="42"/>
        <v>157500</v>
      </c>
      <c r="DW43" s="99">
        <f>DW36+DW42</f>
        <v>22000000</v>
      </c>
      <c r="DX43" s="322">
        <f>DX36+DX42</f>
        <v>12000000</v>
      </c>
      <c r="DY43" s="322">
        <f t="shared" ref="DY43" si="43">DY36+DY42</f>
        <v>10000000</v>
      </c>
      <c r="DZ43" s="99">
        <f t="shared" ref="DZ43" si="44">DZ36+DZ42</f>
        <v>580640</v>
      </c>
      <c r="EA43" s="322">
        <f>EA36+EA42</f>
        <v>150000</v>
      </c>
      <c r="EB43" s="322">
        <f>EB36+EB42</f>
        <v>430640</v>
      </c>
      <c r="EC43" s="99">
        <f>EC36+EC42</f>
        <v>6000000</v>
      </c>
      <c r="ED43" s="322">
        <f>ED36+ED42</f>
        <v>1000000</v>
      </c>
      <c r="EE43" s="322">
        <f t="shared" ref="EE43" si="45">EE36+EE42</f>
        <v>5000000</v>
      </c>
      <c r="EF43" s="99">
        <f t="shared" ref="EF43:EH43" si="46">EF36+EF42</f>
        <v>13482026.439999999</v>
      </c>
      <c r="EG43" s="322">
        <f t="shared" ref="EG43" si="47">EG36+EG42</f>
        <v>780075.07</v>
      </c>
      <c r="EH43" s="322">
        <f t="shared" si="46"/>
        <v>201951.37</v>
      </c>
      <c r="EI43" s="322">
        <f t="shared" ref="EI43:EJ43" si="48">EI36+EI42</f>
        <v>7500000</v>
      </c>
      <c r="EJ43" s="322">
        <f t="shared" si="48"/>
        <v>5000000</v>
      </c>
      <c r="EK43" s="105">
        <f>EK36+EK42</f>
        <v>129500000</v>
      </c>
      <c r="EL43" s="322">
        <f>EL36+EL42</f>
        <v>8000000</v>
      </c>
      <c r="EM43" s="322">
        <f t="shared" ref="EM43:EN43" si="49">EM36+EM42</f>
        <v>27000000</v>
      </c>
      <c r="EN43" s="322">
        <f t="shared" si="49"/>
        <v>94500000</v>
      </c>
      <c r="EO43" s="105">
        <f>EO36+EO42</f>
        <v>59549500</v>
      </c>
      <c r="EP43" s="321">
        <f>EP36+EP42</f>
        <v>59549500</v>
      </c>
      <c r="EQ43" s="80">
        <f>EQ36+EQ42</f>
        <v>1677300</v>
      </c>
      <c r="ER43" s="321">
        <f>ER36+ER42</f>
        <v>1677300</v>
      </c>
      <c r="ES43" s="82">
        <f>ES36+ES42</f>
        <v>5155191</v>
      </c>
      <c r="ET43" s="321">
        <f t="shared" ref="ET43" si="50">ET36+ET42</f>
        <v>2155191</v>
      </c>
      <c r="EU43" s="321">
        <f>EU36+EU42</f>
        <v>3000000</v>
      </c>
      <c r="EV43" s="44">
        <f>EV36+EV42</f>
        <v>13863680735.27</v>
      </c>
      <c r="EW43" s="23">
        <f>'Ут.План на 01.09.2013'!C44-EV43</f>
        <v>0</v>
      </c>
    </row>
    <row r="44" spans="1:252" s="236" customFormat="1" ht="15.75" customHeight="1" x14ac:dyDescent="0.2">
      <c r="A44" s="348" t="s">
        <v>225</v>
      </c>
      <c r="B44" s="348"/>
      <c r="C44" s="230">
        <f>BC44+BD44+BE44+BK44</f>
        <v>125812100</v>
      </c>
      <c r="D44" s="285"/>
      <c r="E44" s="230"/>
      <c r="F44" s="231"/>
      <c r="G44" s="231"/>
      <c r="H44" s="231"/>
      <c r="I44" s="231"/>
      <c r="J44" s="231"/>
      <c r="K44" s="231"/>
      <c r="L44" s="231"/>
      <c r="M44" s="231"/>
      <c r="N44" s="231"/>
      <c r="O44" s="231"/>
      <c r="P44" s="231"/>
      <c r="Q44" s="231"/>
      <c r="R44" s="335"/>
      <c r="S44" s="231"/>
      <c r="T44" s="231"/>
      <c r="U44" s="231"/>
      <c r="V44" s="231"/>
      <c r="W44" s="231"/>
      <c r="X44" s="231"/>
      <c r="Y44" s="213"/>
      <c r="Z44" s="213"/>
      <c r="AA44" s="213"/>
      <c r="AB44" s="213"/>
      <c r="AC44" s="231"/>
      <c r="AD44" s="231"/>
      <c r="AE44" s="231"/>
      <c r="AF44" s="231"/>
      <c r="AG44" s="231"/>
      <c r="AH44" s="231"/>
      <c r="AI44" s="231"/>
      <c r="AJ44" s="231"/>
      <c r="AK44" s="231"/>
      <c r="AL44" s="231"/>
      <c r="AM44" s="231"/>
      <c r="AN44" s="231"/>
      <c r="AO44" s="231"/>
      <c r="AP44" s="231"/>
      <c r="AQ44" s="231"/>
      <c r="AR44" s="231"/>
      <c r="AS44" s="231"/>
      <c r="AT44" s="231"/>
      <c r="AU44" s="231"/>
      <c r="AV44" s="231"/>
      <c r="AW44" s="231">
        <f>AX44+BA44+BF44</f>
        <v>125812100</v>
      </c>
      <c r="AX44" s="231"/>
      <c r="AY44" s="232"/>
      <c r="AZ44" s="232"/>
      <c r="BA44" s="231">
        <f>BC44+BD44+BE44</f>
        <v>33117600</v>
      </c>
      <c r="BB44" s="231"/>
      <c r="BC44" s="231">
        <f>BC45-BC43</f>
        <v>15117600</v>
      </c>
      <c r="BD44" s="231">
        <v>15000000</v>
      </c>
      <c r="BE44" s="231">
        <v>3000000</v>
      </c>
      <c r="BF44" s="231">
        <f>BK44</f>
        <v>92694500</v>
      </c>
      <c r="BG44" s="231"/>
      <c r="BH44" s="231"/>
      <c r="BI44" s="231"/>
      <c r="BJ44" s="231"/>
      <c r="BK44" s="231">
        <f>587233900-BK43</f>
        <v>92694500</v>
      </c>
      <c r="BL44" s="231"/>
      <c r="BM44" s="231"/>
      <c r="BN44" s="231">
        <f>BQ44</f>
        <v>0</v>
      </c>
      <c r="BO44" s="231"/>
      <c r="BP44" s="231"/>
      <c r="BQ44" s="317">
        <v>0</v>
      </c>
      <c r="BR44" s="231">
        <f>BS44</f>
        <v>0</v>
      </c>
      <c r="BS44" s="231"/>
      <c r="BT44" s="231"/>
      <c r="BU44" s="231"/>
      <c r="BV44" s="231"/>
      <c r="BW44" s="231"/>
      <c r="BX44" s="231"/>
      <c r="BY44" s="231"/>
      <c r="BZ44" s="231"/>
      <c r="CA44" s="231"/>
      <c r="CB44" s="231"/>
      <c r="CC44" s="231"/>
      <c r="CD44" s="231"/>
      <c r="CE44" s="213"/>
      <c r="CF44" s="213"/>
      <c r="CG44" s="213"/>
      <c r="CH44" s="213"/>
      <c r="CI44" s="213"/>
      <c r="CJ44" s="231"/>
      <c r="CK44" s="231"/>
      <c r="CL44" s="231"/>
      <c r="CM44" s="231"/>
      <c r="CN44" s="213">
        <f>CU44+DH44+DE44+DN44+DW44+EC44+EK44+EO44</f>
        <v>1907900</v>
      </c>
      <c r="CO44" s="213"/>
      <c r="CP44" s="213"/>
      <c r="CQ44" s="213"/>
      <c r="CR44" s="213"/>
      <c r="CS44" s="213"/>
      <c r="CT44" s="213"/>
      <c r="CU44" s="213">
        <f>SUM(CW44:DA44)</f>
        <v>1907900</v>
      </c>
      <c r="CV44" s="213"/>
      <c r="CW44" s="231"/>
      <c r="CX44" s="231">
        <v>1851600</v>
      </c>
      <c r="CY44" s="231"/>
      <c r="CZ44" s="231">
        <v>56300</v>
      </c>
      <c r="DA44" s="231"/>
      <c r="DB44" s="231"/>
      <c r="DC44" s="231"/>
      <c r="DD44" s="231"/>
      <c r="DE44" s="231"/>
      <c r="DF44" s="231"/>
      <c r="DG44" s="231"/>
      <c r="DH44" s="231"/>
      <c r="DI44" s="231"/>
      <c r="DJ44" s="231"/>
      <c r="DK44" s="231"/>
      <c r="DL44" s="231"/>
      <c r="DM44" s="231"/>
      <c r="DN44" s="231"/>
      <c r="DO44" s="231"/>
      <c r="DP44" s="231"/>
      <c r="DQ44" s="231"/>
      <c r="DR44" s="231"/>
      <c r="DS44" s="231"/>
      <c r="DT44" s="231"/>
      <c r="DU44" s="231"/>
      <c r="DV44" s="231"/>
      <c r="DW44" s="231"/>
      <c r="DX44" s="231"/>
      <c r="DY44" s="231"/>
      <c r="DZ44" s="231"/>
      <c r="EA44" s="231"/>
      <c r="EB44" s="231"/>
      <c r="EC44" s="231"/>
      <c r="ED44" s="231"/>
      <c r="EE44" s="231"/>
      <c r="EF44" s="231"/>
      <c r="EG44" s="231"/>
      <c r="EH44" s="231"/>
      <c r="EI44" s="231"/>
      <c r="EJ44" s="231"/>
      <c r="EK44" s="231"/>
      <c r="EL44" s="231"/>
      <c r="EM44" s="231"/>
      <c r="EN44" s="231"/>
      <c r="EO44" s="231"/>
      <c r="EP44" s="231"/>
      <c r="EQ44" s="80">
        <f>ER44</f>
        <v>0</v>
      </c>
      <c r="ER44" s="231"/>
      <c r="ES44" s="231">
        <f>EU44</f>
        <v>0</v>
      </c>
      <c r="ET44" s="231"/>
      <c r="EU44" s="231"/>
      <c r="EV44" s="231">
        <f>C44+BN44+BR44+BX44+BY44+BZ44+CN44+EQ44+ES44</f>
        <v>127720000</v>
      </c>
      <c r="EW44" s="79">
        <f>'Ут.План на 01.09.2013'!C45-EV44</f>
        <v>0</v>
      </c>
    </row>
    <row r="45" spans="1:252" s="35" customFormat="1" ht="16.5" customHeight="1" x14ac:dyDescent="0.25">
      <c r="A45" s="349" t="s">
        <v>233</v>
      </c>
      <c r="B45" s="349"/>
      <c r="C45" s="228">
        <f>C43+C44</f>
        <v>10197935046.83</v>
      </c>
      <c r="D45" s="228">
        <f>D43+D44</f>
        <v>30896800</v>
      </c>
      <c r="E45" s="228">
        <f>E43+E44</f>
        <v>30877000</v>
      </c>
      <c r="F45" s="228">
        <f>F43+F44</f>
        <v>9287100</v>
      </c>
      <c r="G45" s="228">
        <f>G43+G44</f>
        <v>895000</v>
      </c>
      <c r="H45" s="228">
        <f>H43+H44</f>
        <v>1020600</v>
      </c>
      <c r="I45" s="228">
        <f>I43+I44</f>
        <v>978200</v>
      </c>
      <c r="J45" s="228">
        <f>J43+J44</f>
        <v>16643900</v>
      </c>
      <c r="K45" s="228">
        <f>K43+K44</f>
        <v>485500</v>
      </c>
      <c r="L45" s="228">
        <f>L43+L44</f>
        <v>1566700</v>
      </c>
      <c r="M45" s="228">
        <f>M43+M44</f>
        <v>19800</v>
      </c>
      <c r="N45" s="228">
        <f>N43+N44</f>
        <v>19800</v>
      </c>
      <c r="O45" s="228">
        <f>O43+O44</f>
        <v>36317100</v>
      </c>
      <c r="P45" s="228">
        <f>P43+P44</f>
        <v>36317100</v>
      </c>
      <c r="Q45" s="228">
        <f>Q43+Q44</f>
        <v>2280000</v>
      </c>
      <c r="R45" s="228">
        <f>R43+R44</f>
        <v>2280000</v>
      </c>
      <c r="S45" s="228">
        <f>S43+S44</f>
        <v>59496690.829999998</v>
      </c>
      <c r="T45" s="228">
        <f>T43+T44</f>
        <v>30900002</v>
      </c>
      <c r="U45" s="228">
        <f>U43+U44</f>
        <v>28596688.829999998</v>
      </c>
      <c r="V45" s="228">
        <f>V43+V44</f>
        <v>6138826900</v>
      </c>
      <c r="W45" s="228">
        <f>W43+W44</f>
        <v>57109700</v>
      </c>
      <c r="X45" s="228">
        <f>X43+X44</f>
        <v>35848100</v>
      </c>
      <c r="Y45" s="228">
        <f>Y43+Y44</f>
        <v>1261600</v>
      </c>
      <c r="Z45" s="228">
        <f>Z43+Z44</f>
        <v>20000000</v>
      </c>
      <c r="AA45" s="228">
        <f>AA43+AA44</f>
        <v>5889239600</v>
      </c>
      <c r="AB45" s="228">
        <f>AB43+AB44</f>
        <v>23474600</v>
      </c>
      <c r="AC45" s="228">
        <f>AC43+AC44</f>
        <v>5716342000</v>
      </c>
      <c r="AD45" s="228">
        <f>AD43+AD44</f>
        <v>141623000</v>
      </c>
      <c r="AE45" s="228">
        <f>AE43+AE44</f>
        <v>7800000</v>
      </c>
      <c r="AF45" s="228">
        <f>AF43+AF44</f>
        <v>116439500</v>
      </c>
      <c r="AG45" s="228">
        <f>AG43+AG44</f>
        <v>116439500</v>
      </c>
      <c r="AH45" s="228">
        <f>AH43+AH44</f>
        <v>76038100</v>
      </c>
      <c r="AI45" s="228">
        <f>AI43+AI44</f>
        <v>4323500</v>
      </c>
      <c r="AJ45" s="228">
        <f>AJ43+AJ44</f>
        <v>66771600</v>
      </c>
      <c r="AK45" s="228">
        <f>AK43+AK44</f>
        <v>4224700</v>
      </c>
      <c r="AL45" s="228">
        <f>AL43+AL44</f>
        <v>718300</v>
      </c>
      <c r="AM45" s="228">
        <f>AM43+AM44</f>
        <v>580814400</v>
      </c>
      <c r="AN45" s="228">
        <f>AN43+AN44</f>
        <v>573009400</v>
      </c>
      <c r="AO45" s="228">
        <f>AO43+AO44</f>
        <v>128157000</v>
      </c>
      <c r="AP45" s="228">
        <f>AP43+AP44</f>
        <v>434455600</v>
      </c>
      <c r="AQ45" s="228">
        <f>AQ43+AQ44</f>
        <v>2866800</v>
      </c>
      <c r="AR45" s="228">
        <f>AR43+AR44</f>
        <v>2751100</v>
      </c>
      <c r="AS45" s="228">
        <f>AS43+AS44</f>
        <v>3000000</v>
      </c>
      <c r="AT45" s="228">
        <f>AT43+AT44</f>
        <v>1778900</v>
      </c>
      <c r="AU45" s="228">
        <f>AU43+AU44</f>
        <v>7805000</v>
      </c>
      <c r="AV45" s="228">
        <f>AV43+AV44</f>
        <v>7805000</v>
      </c>
      <c r="AW45" s="228">
        <f>AW43+AW44</f>
        <v>3349303156</v>
      </c>
      <c r="AX45" s="228">
        <f>AX43+AX44</f>
        <v>2044585000</v>
      </c>
      <c r="AY45" s="228">
        <f>AY43+AY44</f>
        <v>211345000</v>
      </c>
      <c r="AZ45" s="228">
        <f>AZ43+AZ44</f>
        <v>1833240000</v>
      </c>
      <c r="BA45" s="228">
        <f>BA43+BA44</f>
        <v>440915000</v>
      </c>
      <c r="BB45" s="228">
        <f>BB43+BB44</f>
        <v>52062000</v>
      </c>
      <c r="BC45" s="286">
        <v>370853000</v>
      </c>
      <c r="BD45" s="228">
        <f>BD43+BD44</f>
        <v>15000000</v>
      </c>
      <c r="BE45" s="228">
        <f>BE43+BE44</f>
        <v>3000000</v>
      </c>
      <c r="BF45" s="228">
        <f>BF43+BF44</f>
        <v>863803156</v>
      </c>
      <c r="BG45" s="228">
        <f>BG43+BG44</f>
        <v>7000000</v>
      </c>
      <c r="BH45" s="228">
        <f>BH43+BH44</f>
        <v>72214504</v>
      </c>
      <c r="BI45" s="228">
        <f>BI43+BI44</f>
        <v>3600852</v>
      </c>
      <c r="BJ45" s="228">
        <f>BJ43+BJ44</f>
        <v>10550000</v>
      </c>
      <c r="BK45" s="325">
        <f>BK43+BK44</f>
        <v>587233900</v>
      </c>
      <c r="BL45" s="228">
        <f>BL43+BL44</f>
        <v>176525000</v>
      </c>
      <c r="BM45" s="228">
        <f>BM43+BM44</f>
        <v>6678900</v>
      </c>
      <c r="BN45" s="228">
        <f>BN43+BN44</f>
        <v>3732396</v>
      </c>
      <c r="BO45" s="228">
        <f>BO43+BO44</f>
        <v>3732396</v>
      </c>
      <c r="BP45" s="228">
        <f>BP43+BP44</f>
        <v>2708000</v>
      </c>
      <c r="BQ45" s="228">
        <f>BQ43+BQ44</f>
        <v>1024396</v>
      </c>
      <c r="BR45" s="228">
        <f>BR43+BR44</f>
        <v>952500</v>
      </c>
      <c r="BS45" s="228">
        <f>BS43+BS44</f>
        <v>952500</v>
      </c>
      <c r="BT45" s="228">
        <f>BT43+BT44</f>
        <v>116000</v>
      </c>
      <c r="BU45" s="228">
        <f>BU43+BU44</f>
        <v>116000</v>
      </c>
      <c r="BV45" s="228">
        <f>BV43+BV44</f>
        <v>230000</v>
      </c>
      <c r="BW45" s="228">
        <f>BW43+BW44</f>
        <v>230000</v>
      </c>
      <c r="BX45" s="228">
        <f>BX43+BX44</f>
        <v>0</v>
      </c>
      <c r="BY45" s="228">
        <f>BY43+BY44</f>
        <v>0</v>
      </c>
      <c r="BZ45" s="228">
        <f>BZ43+BZ44</f>
        <v>734673700</v>
      </c>
      <c r="CA45" s="228">
        <f>CA43</f>
        <v>414508600</v>
      </c>
      <c r="CB45" s="228">
        <f>CB43</f>
        <v>414508600</v>
      </c>
      <c r="CC45" s="228">
        <f>CC43+CC44</f>
        <v>314754000</v>
      </c>
      <c r="CD45" s="228">
        <f>CD43+CD44</f>
        <v>110500000</v>
      </c>
      <c r="CE45" s="228">
        <f>CE43+CE44</f>
        <v>203254000</v>
      </c>
      <c r="CF45" s="228">
        <f>CF43+CF44</f>
        <v>49831000</v>
      </c>
      <c r="CG45" s="228">
        <f>CG43+CG44</f>
        <v>153423000</v>
      </c>
      <c r="CH45" s="228">
        <f>CH43+CH44</f>
        <v>1000000</v>
      </c>
      <c r="CI45" s="228">
        <f>CI43+CI44</f>
        <v>411100</v>
      </c>
      <c r="CJ45" s="228">
        <f>CJ43+CJ44</f>
        <v>411100</v>
      </c>
      <c r="CK45" s="228">
        <f>CK43+CK44</f>
        <v>5000000</v>
      </c>
      <c r="CL45" s="228">
        <f>CL43+CL44</f>
        <v>4982800</v>
      </c>
      <c r="CM45" s="228">
        <f>CM43+CM44</f>
        <v>17200</v>
      </c>
      <c r="CN45" s="228">
        <f>CN43+CN44</f>
        <v>3046928601.4400001</v>
      </c>
      <c r="CO45" s="228">
        <f>CO43</f>
        <v>3667000</v>
      </c>
      <c r="CP45" s="228">
        <f>CP43</f>
        <v>3667000</v>
      </c>
      <c r="CQ45" s="228">
        <f>CQ43</f>
        <v>120405298</v>
      </c>
      <c r="CR45" s="228">
        <f>CR43</f>
        <v>44500000</v>
      </c>
      <c r="CS45" s="228">
        <f>CS43</f>
        <v>75846498</v>
      </c>
      <c r="CT45" s="228">
        <f>CT43</f>
        <v>58800.000000000007</v>
      </c>
      <c r="CU45" s="228">
        <f>CU43+CU44</f>
        <v>1953872000</v>
      </c>
      <c r="CV45" s="228">
        <f>CV43</f>
        <v>400100000</v>
      </c>
      <c r="CW45" s="228">
        <f>CW43+CW44</f>
        <v>256202500</v>
      </c>
      <c r="CX45" s="325">
        <f>CX43+CX44</f>
        <v>284460500</v>
      </c>
      <c r="CY45" s="228">
        <f>CY43+CY44</f>
        <v>256202800</v>
      </c>
      <c r="CZ45" s="325">
        <f>CZ43+CZ44</f>
        <v>297919900</v>
      </c>
      <c r="DA45" s="228">
        <f>DA43+DA44</f>
        <v>443986300</v>
      </c>
      <c r="DB45" s="228">
        <f t="shared" ref="DB45:DD45" si="51">DB43+DB44</f>
        <v>15000000</v>
      </c>
      <c r="DC45" s="228">
        <f t="shared" si="51"/>
        <v>150000</v>
      </c>
      <c r="DD45" s="228">
        <f t="shared" si="51"/>
        <v>150000</v>
      </c>
      <c r="DE45" s="228">
        <f>DE43+DE44</f>
        <v>240967000</v>
      </c>
      <c r="DF45" s="228">
        <f>DF43+DF44</f>
        <v>240000000</v>
      </c>
      <c r="DG45" s="228">
        <f>DG43</f>
        <v>967000</v>
      </c>
      <c r="DH45" s="228">
        <f>DH43+DH44</f>
        <v>0</v>
      </c>
      <c r="DI45" s="228">
        <f>DJ45+DK45+DL45+DM45</f>
        <v>227405137</v>
      </c>
      <c r="DJ45" s="228">
        <f>DJ43+DJ44</f>
        <v>200000</v>
      </c>
      <c r="DK45" s="228">
        <f t="shared" ref="DK45:DM45" si="52">DK43+DK44</f>
        <v>225419403</v>
      </c>
      <c r="DL45" s="228">
        <f t="shared" si="52"/>
        <v>1131334</v>
      </c>
      <c r="DM45" s="228">
        <f t="shared" si="52"/>
        <v>654400</v>
      </c>
      <c r="DN45" s="228">
        <f>DN43+DN44</f>
        <v>268930000</v>
      </c>
      <c r="DO45" s="228">
        <f>DO43+DO44</f>
        <v>263400000</v>
      </c>
      <c r="DP45" s="228">
        <f>DP43+DP44</f>
        <v>180000</v>
      </c>
      <c r="DQ45" s="228">
        <f>DQ43+DQ44</f>
        <v>350000</v>
      </c>
      <c r="DR45" s="228">
        <f t="shared" ref="DR45" si="53">DR43+DR44</f>
        <v>5000000</v>
      </c>
      <c r="DS45" s="228">
        <f t="shared" ref="DS45:DV45" si="54">DS43+DS44</f>
        <v>262500</v>
      </c>
      <c r="DT45" s="228">
        <f t="shared" si="54"/>
        <v>262500</v>
      </c>
      <c r="DU45" s="228">
        <f t="shared" si="54"/>
        <v>157500</v>
      </c>
      <c r="DV45" s="228">
        <f t="shared" si="54"/>
        <v>157500</v>
      </c>
      <c r="DW45" s="228">
        <f>DW43+DW44</f>
        <v>22000000</v>
      </c>
      <c r="DX45" s="228">
        <f>DX43+DX44</f>
        <v>12000000</v>
      </c>
      <c r="DY45" s="228">
        <f t="shared" ref="DY45:DZ45" si="55">DY43+DY44</f>
        <v>10000000</v>
      </c>
      <c r="DZ45" s="228">
        <f t="shared" si="55"/>
        <v>580640</v>
      </c>
      <c r="EA45" s="228">
        <f>EA43+EA44</f>
        <v>150000</v>
      </c>
      <c r="EB45" s="228">
        <f>EB43+EB44</f>
        <v>430640</v>
      </c>
      <c r="EC45" s="228">
        <f>EC43+EC44</f>
        <v>6000000</v>
      </c>
      <c r="ED45" s="228">
        <f>ED43+ED44</f>
        <v>1000000</v>
      </c>
      <c r="EE45" s="228">
        <f t="shared" ref="EE45:EF45" si="56">EE43+EE44</f>
        <v>5000000</v>
      </c>
      <c r="EF45" s="228">
        <f t="shared" si="56"/>
        <v>13482026.439999999</v>
      </c>
      <c r="EG45" s="228">
        <f t="shared" ref="EG45:EH45" si="57">EG43+EG44</f>
        <v>780075.07</v>
      </c>
      <c r="EH45" s="228">
        <f t="shared" si="57"/>
        <v>201951.37</v>
      </c>
      <c r="EI45" s="228">
        <f t="shared" ref="EI45:EJ45" si="58">EI43+EI44</f>
        <v>7500000</v>
      </c>
      <c r="EJ45" s="228">
        <f t="shared" si="58"/>
        <v>5000000</v>
      </c>
      <c r="EK45" s="228">
        <f>EK43+EK44</f>
        <v>129500000</v>
      </c>
      <c r="EL45" s="228">
        <f>EL43+EL44</f>
        <v>8000000</v>
      </c>
      <c r="EM45" s="228">
        <f t="shared" ref="EM45:EN45" si="59">EM43+EM44</f>
        <v>27000000</v>
      </c>
      <c r="EN45" s="228">
        <f t="shared" si="59"/>
        <v>94500000</v>
      </c>
      <c r="EO45" s="228">
        <f>EO43+EO44</f>
        <v>59549500</v>
      </c>
      <c r="EP45" s="228">
        <f>EP43+EP44</f>
        <v>59549500</v>
      </c>
      <c r="EQ45" s="228">
        <f>EQ43+EQ44</f>
        <v>1677300</v>
      </c>
      <c r="ER45" s="228">
        <f>ER43+ER44</f>
        <v>1677300</v>
      </c>
      <c r="ES45" s="228">
        <f>ES43+ES44</f>
        <v>5155191</v>
      </c>
      <c r="ET45" s="228">
        <f>ET43</f>
        <v>2155191</v>
      </c>
      <c r="EU45" s="228">
        <f>EU43+EU44</f>
        <v>3000000</v>
      </c>
      <c r="EV45" s="228">
        <f>EV43+EV44</f>
        <v>13991400735.27</v>
      </c>
      <c r="EW45" s="23">
        <f>'Ут.План на 01.09.2013'!C46-EV45</f>
        <v>0</v>
      </c>
    </row>
    <row r="46" spans="1:252" s="287" customFormat="1" ht="32.25" customHeight="1" x14ac:dyDescent="0.25">
      <c r="A46" s="350" t="s">
        <v>249</v>
      </c>
      <c r="B46" s="351"/>
      <c r="C46" s="311"/>
      <c r="Z46" s="320"/>
      <c r="BD46" s="250" t="s">
        <v>278</v>
      </c>
      <c r="BE46" s="250" t="s">
        <v>278</v>
      </c>
      <c r="BK46" s="252" t="s">
        <v>278</v>
      </c>
      <c r="BN46" s="294"/>
      <c r="BQ46" s="250" t="s">
        <v>379</v>
      </c>
      <c r="BR46" s="294"/>
      <c r="BS46" s="250"/>
      <c r="BT46" s="308"/>
      <c r="BU46" s="250"/>
      <c r="BV46" s="250"/>
      <c r="BW46" s="250"/>
      <c r="BX46" s="282"/>
      <c r="BZ46" s="310"/>
      <c r="CA46" s="337"/>
      <c r="CB46" s="337"/>
      <c r="CN46" s="307"/>
      <c r="CX46" s="252" t="s">
        <v>279</v>
      </c>
      <c r="CZ46" s="252" t="s">
        <v>279</v>
      </c>
      <c r="EQ46" s="294"/>
      <c r="ES46" s="309"/>
      <c r="ET46" s="282"/>
      <c r="EU46" s="282"/>
      <c r="EV46" s="295">
        <v>44850200</v>
      </c>
      <c r="EW46" s="288">
        <f>EX46-EV46</f>
        <v>0</v>
      </c>
      <c r="EX46" s="295">
        <v>44850200</v>
      </c>
      <c r="EY46" s="289"/>
      <c r="FB46" s="250" t="s">
        <v>322</v>
      </c>
      <c r="FE46" s="250" t="s">
        <v>278</v>
      </c>
      <c r="FF46" s="250" t="s">
        <v>278</v>
      </c>
      <c r="FG46" s="290"/>
      <c r="FK46" s="291"/>
      <c r="FL46" s="292"/>
      <c r="FM46" s="291"/>
      <c r="FN46" s="291"/>
      <c r="FO46" s="291"/>
      <c r="FP46" s="291"/>
      <c r="FR46" s="293"/>
      <c r="FS46" s="293"/>
      <c r="FT46" s="293"/>
      <c r="FU46" s="293"/>
      <c r="FV46" s="293"/>
      <c r="FW46" s="293"/>
      <c r="GB46" s="293"/>
      <c r="GC46" s="293"/>
      <c r="GD46" s="293"/>
      <c r="GE46" s="293"/>
      <c r="GF46" s="293"/>
      <c r="GG46" s="252" t="s">
        <v>278</v>
      </c>
      <c r="GH46" s="293"/>
      <c r="GI46" s="252"/>
      <c r="GJ46" s="252"/>
      <c r="GK46" s="252" t="s">
        <v>279</v>
      </c>
      <c r="GL46" s="252"/>
      <c r="GM46" s="252" t="s">
        <v>279</v>
      </c>
      <c r="GN46" s="252"/>
      <c r="GO46" s="252"/>
      <c r="GP46" s="252"/>
      <c r="GQ46" s="252"/>
      <c r="GR46" s="252"/>
      <c r="GS46" s="252"/>
      <c r="GT46" s="252"/>
      <c r="GU46" s="252"/>
      <c r="GV46" s="252" t="s">
        <v>379</v>
      </c>
      <c r="GW46" s="252"/>
      <c r="GX46" s="253"/>
      <c r="GY46" s="250"/>
      <c r="GZ46" s="250"/>
      <c r="HA46" s="250"/>
      <c r="HB46" s="250"/>
      <c r="HC46" s="250"/>
      <c r="HD46" s="252"/>
      <c r="HE46" s="252"/>
      <c r="HF46" s="252"/>
      <c r="HG46" s="252"/>
      <c r="HH46" s="252"/>
      <c r="HI46" s="252"/>
      <c r="HJ46" s="252"/>
      <c r="HK46" s="252"/>
      <c r="HL46" s="252"/>
      <c r="HM46" s="252"/>
      <c r="HN46" s="252"/>
      <c r="HO46" s="252"/>
      <c r="HP46" s="252"/>
      <c r="HQ46" s="252"/>
      <c r="HR46" s="252"/>
      <c r="HS46" s="252"/>
      <c r="HT46" s="252"/>
      <c r="HU46" s="252"/>
      <c r="HV46" s="252"/>
      <c r="HW46" s="252"/>
      <c r="HX46" s="252"/>
      <c r="HY46" s="252"/>
      <c r="HZ46" s="252"/>
      <c r="IA46" s="252"/>
      <c r="IB46" s="252"/>
      <c r="IC46" s="252"/>
      <c r="ID46" s="250"/>
      <c r="IE46" s="250"/>
      <c r="IF46" s="250"/>
      <c r="IG46" s="253"/>
      <c r="IH46" s="250"/>
      <c r="II46" s="250"/>
      <c r="IJ46" s="250"/>
      <c r="IK46" s="250"/>
      <c r="IL46" s="250"/>
      <c r="IM46" s="250"/>
      <c r="IN46" s="250"/>
      <c r="IO46" s="250"/>
      <c r="IP46" s="250"/>
      <c r="IQ46" s="250"/>
      <c r="IR46" s="250"/>
    </row>
    <row r="47" spans="1:252" s="106" customFormat="1" ht="18.75" customHeight="1" x14ac:dyDescent="0.25">
      <c r="A47" s="344" t="s">
        <v>250</v>
      </c>
      <c r="B47" s="345"/>
      <c r="C47" s="216"/>
      <c r="BX47" s="36"/>
      <c r="EV47" s="265">
        <v>3986153980.9099998</v>
      </c>
      <c r="EW47" s="23">
        <f>EX47-EV47</f>
        <v>0</v>
      </c>
      <c r="EX47" s="143">
        <f>EV47</f>
        <v>3986153980.9099998</v>
      </c>
      <c r="EY47" s="96"/>
      <c r="FG47" s="95"/>
      <c r="FK47" s="227"/>
      <c r="FL47" s="274"/>
      <c r="FM47" s="227"/>
      <c r="FN47" s="227"/>
      <c r="FO47" s="227"/>
      <c r="FP47" s="227"/>
      <c r="FR47" s="49"/>
      <c r="FS47" s="49"/>
      <c r="FT47" s="49"/>
      <c r="FU47" s="49"/>
      <c r="FV47" s="49"/>
      <c r="FW47" s="49"/>
      <c r="GB47" s="49"/>
      <c r="GC47" s="49"/>
      <c r="GD47" s="49"/>
      <c r="GE47" s="49"/>
      <c r="GF47" s="49"/>
      <c r="GG47" s="49"/>
      <c r="GH47" s="49"/>
      <c r="GI47" s="252"/>
      <c r="GJ47" s="252"/>
      <c r="GK47" s="252"/>
      <c r="GL47" s="252"/>
      <c r="GM47" s="252"/>
      <c r="GN47" s="252"/>
      <c r="GO47" s="252"/>
      <c r="GP47" s="252"/>
      <c r="GQ47" s="252"/>
      <c r="GR47" s="252"/>
      <c r="GS47" s="252"/>
      <c r="GT47" s="252"/>
      <c r="GU47" s="252"/>
      <c r="GV47" s="252"/>
      <c r="GW47" s="252"/>
      <c r="GX47" s="253"/>
      <c r="GY47" s="250"/>
      <c r="GZ47" s="250"/>
      <c r="HA47" s="250"/>
      <c r="HB47" s="250"/>
      <c r="HC47" s="250"/>
      <c r="HD47" s="252"/>
      <c r="HE47" s="252"/>
      <c r="HF47" s="252"/>
      <c r="HG47" s="252"/>
      <c r="HH47" s="252"/>
      <c r="HI47" s="252"/>
      <c r="HJ47" s="252"/>
      <c r="HK47" s="252"/>
      <c r="HL47" s="252"/>
      <c r="HM47" s="252"/>
      <c r="HN47" s="252"/>
      <c r="HO47" s="252"/>
      <c r="HP47" s="252"/>
      <c r="HQ47" s="252"/>
      <c r="HR47" s="252"/>
      <c r="HS47" s="252"/>
      <c r="HT47" s="252"/>
      <c r="HU47" s="252"/>
      <c r="HV47" s="252"/>
      <c r="HW47" s="252"/>
      <c r="HX47" s="252"/>
      <c r="HY47" s="252"/>
      <c r="HZ47" s="252"/>
      <c r="IA47" s="252"/>
      <c r="IB47" s="252"/>
      <c r="IC47" s="252"/>
      <c r="ID47" s="250"/>
      <c r="IE47" s="250"/>
      <c r="IF47" s="250"/>
      <c r="IG47" s="253"/>
      <c r="IH47" s="250"/>
      <c r="II47" s="250"/>
      <c r="IJ47" s="250"/>
      <c r="IK47" s="250"/>
      <c r="IL47" s="250"/>
      <c r="IM47" s="250"/>
      <c r="IN47" s="250"/>
      <c r="IO47" s="250"/>
      <c r="IP47" s="250"/>
      <c r="IQ47" s="250"/>
      <c r="IR47" s="250"/>
    </row>
    <row r="48" spans="1:252" s="106" customFormat="1" ht="14.25" x14ac:dyDescent="0.2">
      <c r="B48" s="106" t="s">
        <v>141</v>
      </c>
      <c r="EV48" s="237">
        <f>EV45+EV46+EV47</f>
        <v>18022404916.18</v>
      </c>
      <c r="EW48" s="23">
        <f>EX48-EV48</f>
        <v>0</v>
      </c>
      <c r="EX48" s="238">
        <f>'Ут.План на 01.09.2013'!C46+EX46+EX47</f>
        <v>18022404916.18</v>
      </c>
      <c r="EY48" s="96"/>
      <c r="FG48" s="95"/>
      <c r="FK48" s="227"/>
      <c r="FL48" s="274"/>
      <c r="FM48" s="227"/>
      <c r="FN48" s="227"/>
      <c r="FO48" s="227"/>
      <c r="FP48" s="227"/>
      <c r="FR48" s="49"/>
      <c r="FS48" s="49"/>
      <c r="FT48" s="49"/>
      <c r="FU48" s="49"/>
      <c r="FV48" s="49"/>
      <c r="FW48" s="49"/>
      <c r="GB48" s="49"/>
      <c r="GC48" s="49"/>
      <c r="GD48" s="49"/>
      <c r="GE48" s="49"/>
      <c r="GF48" s="49"/>
      <c r="GG48" s="49"/>
      <c r="GH48" s="49"/>
      <c r="GI48" s="49"/>
      <c r="GJ48" s="49"/>
      <c r="GK48" s="49"/>
      <c r="GL48" s="49"/>
      <c r="GM48" s="49"/>
      <c r="GN48" s="49"/>
      <c r="GO48" s="49"/>
      <c r="GP48" s="49"/>
      <c r="GQ48" s="49"/>
      <c r="GR48" s="49"/>
      <c r="GS48" s="49"/>
      <c r="GT48" s="49"/>
      <c r="GU48" s="49"/>
      <c r="GV48" s="49"/>
      <c r="GW48" s="49"/>
      <c r="GX48" s="95"/>
      <c r="HD48" s="49"/>
      <c r="HE48" s="49"/>
      <c r="HF48" s="49"/>
      <c r="HG48" s="49"/>
      <c r="HH48" s="49"/>
      <c r="HI48" s="49"/>
      <c r="HJ48" s="49"/>
      <c r="HK48" s="49"/>
      <c r="HL48" s="49"/>
      <c r="HM48" s="49"/>
      <c r="HN48" s="49"/>
      <c r="HO48" s="49"/>
      <c r="HP48" s="49"/>
      <c r="HQ48" s="49"/>
      <c r="HR48" s="49"/>
      <c r="HS48" s="49"/>
      <c r="HT48" s="49"/>
      <c r="HU48" s="49"/>
      <c r="HV48" s="49"/>
      <c r="HW48" s="49"/>
      <c r="HX48" s="49"/>
      <c r="HY48" s="49"/>
      <c r="HZ48" s="49"/>
      <c r="IA48" s="49"/>
      <c r="IB48" s="49"/>
      <c r="IC48" s="49"/>
      <c r="IG48" s="95"/>
    </row>
    <row r="49" spans="2:241" s="106" customFormat="1" ht="12.75" x14ac:dyDescent="0.2">
      <c r="B49" s="106" t="s">
        <v>273</v>
      </c>
      <c r="EV49" s="306"/>
      <c r="EW49" s="142"/>
      <c r="EY49" s="95"/>
      <c r="EZ49" s="36"/>
      <c r="FG49" s="95"/>
      <c r="FK49" s="227"/>
      <c r="FL49" s="274"/>
      <c r="FM49" s="227"/>
      <c r="FN49" s="227"/>
      <c r="FO49" s="227"/>
      <c r="FP49" s="227"/>
      <c r="FR49" s="49"/>
      <c r="FS49" s="49"/>
      <c r="FT49" s="49"/>
      <c r="FU49" s="49"/>
      <c r="FV49" s="49"/>
      <c r="FW49" s="49"/>
      <c r="GB49" s="49"/>
      <c r="GC49" s="49"/>
      <c r="GD49" s="49"/>
      <c r="GE49" s="49"/>
      <c r="GF49" s="49"/>
      <c r="GG49" s="49"/>
      <c r="GH49" s="49"/>
      <c r="GI49" s="49"/>
      <c r="GJ49" s="49"/>
      <c r="GK49" s="49"/>
      <c r="GL49" s="49"/>
      <c r="GM49" s="49"/>
      <c r="GN49" s="49"/>
      <c r="GO49" s="49"/>
      <c r="GP49" s="49"/>
      <c r="GQ49" s="49"/>
      <c r="GR49" s="49"/>
      <c r="GS49" s="49"/>
      <c r="GT49" s="49"/>
      <c r="GU49" s="49"/>
      <c r="GV49" s="49"/>
      <c r="GW49" s="49"/>
      <c r="GX49" s="95"/>
      <c r="HD49" s="49"/>
      <c r="HE49" s="49"/>
      <c r="HF49" s="49"/>
      <c r="HG49" s="49"/>
      <c r="HH49" s="49"/>
      <c r="HI49" s="49"/>
      <c r="HJ49" s="49"/>
      <c r="HK49" s="49"/>
      <c r="HL49" s="49"/>
      <c r="HM49" s="49"/>
      <c r="HN49" s="49"/>
      <c r="HO49" s="49"/>
      <c r="HP49" s="49"/>
      <c r="HQ49" s="49"/>
      <c r="HR49" s="49"/>
      <c r="HS49" s="49"/>
      <c r="HT49" s="49"/>
      <c r="HU49" s="49"/>
      <c r="HV49" s="49"/>
      <c r="HW49" s="49"/>
      <c r="HX49" s="49"/>
      <c r="HY49" s="49"/>
      <c r="HZ49" s="49"/>
      <c r="IA49" s="49"/>
      <c r="IB49" s="49"/>
      <c r="IC49" s="49"/>
      <c r="IG49" s="95"/>
    </row>
    <row r="50" spans="2:241" s="106" customFormat="1" ht="12.75" x14ac:dyDescent="0.2">
      <c r="B50" s="106" t="s">
        <v>193</v>
      </c>
      <c r="CD50" s="328"/>
      <c r="EV50" s="36"/>
      <c r="EW50" s="10"/>
      <c r="EY50" s="95"/>
      <c r="EZ50" s="36"/>
      <c r="FG50" s="95"/>
      <c r="FK50" s="227"/>
      <c r="FL50" s="274"/>
      <c r="FM50" s="227"/>
      <c r="FN50" s="227"/>
      <c r="FO50" s="227"/>
      <c r="FP50" s="227"/>
      <c r="FR50" s="49"/>
      <c r="FS50" s="49"/>
      <c r="FT50" s="49"/>
      <c r="FU50" s="49"/>
      <c r="FV50" s="49"/>
      <c r="FW50" s="49"/>
      <c r="GB50" s="49"/>
      <c r="GC50" s="49"/>
      <c r="GD50" s="49"/>
      <c r="GE50" s="49"/>
      <c r="GF50" s="49"/>
      <c r="GG50" s="49"/>
      <c r="GH50" s="49"/>
      <c r="GI50" s="49"/>
      <c r="GJ50" s="49"/>
      <c r="GK50" s="49"/>
      <c r="GL50" s="49"/>
      <c r="GM50" s="49"/>
      <c r="GN50" s="49"/>
      <c r="GO50" s="49"/>
      <c r="GP50" s="49"/>
      <c r="GQ50" s="49"/>
      <c r="GR50" s="49"/>
      <c r="GS50" s="49"/>
      <c r="GT50" s="49"/>
      <c r="GU50" s="49"/>
      <c r="GV50" s="49"/>
      <c r="GW50" s="49"/>
      <c r="GX50" s="95"/>
      <c r="HD50" s="49"/>
      <c r="HE50" s="49"/>
      <c r="HF50" s="49"/>
      <c r="HG50" s="49"/>
      <c r="HH50" s="49"/>
      <c r="HI50" s="49"/>
      <c r="HJ50" s="49"/>
      <c r="HK50" s="49"/>
      <c r="HL50" s="49"/>
      <c r="HM50" s="49"/>
      <c r="HN50" s="49"/>
      <c r="HO50" s="49"/>
      <c r="HP50" s="49"/>
      <c r="HQ50" s="49"/>
      <c r="HR50" s="49"/>
      <c r="HS50" s="49"/>
      <c r="HT50" s="49"/>
      <c r="HU50" s="49"/>
      <c r="HV50" s="49"/>
      <c r="HW50" s="49"/>
      <c r="HX50" s="49"/>
      <c r="HY50" s="49"/>
      <c r="HZ50" s="49"/>
      <c r="IA50" s="49"/>
      <c r="IB50" s="49"/>
      <c r="IC50" s="49"/>
      <c r="IG50" s="95"/>
    </row>
    <row r="51" spans="2:241" s="106" customFormat="1" ht="12.75" x14ac:dyDescent="0.2">
      <c r="B51" s="106" t="s">
        <v>142</v>
      </c>
      <c r="EV51" s="36"/>
      <c r="EW51" s="10"/>
      <c r="EY51" s="95"/>
      <c r="EZ51" s="36"/>
      <c r="FG51" s="95"/>
      <c r="FK51" s="227"/>
      <c r="FL51" s="274"/>
      <c r="FM51" s="227"/>
      <c r="FN51" s="227"/>
      <c r="FO51" s="227"/>
      <c r="FP51" s="227"/>
      <c r="FR51" s="49"/>
      <c r="FS51" s="49"/>
      <c r="FT51" s="49"/>
      <c r="FU51" s="49"/>
      <c r="FV51" s="49"/>
      <c r="FW51" s="49"/>
      <c r="GB51" s="49"/>
      <c r="GC51" s="49"/>
      <c r="GD51" s="49"/>
      <c r="GE51" s="49"/>
      <c r="GF51" s="49"/>
      <c r="GG51" s="49"/>
      <c r="GH51" s="49"/>
      <c r="GI51" s="49"/>
      <c r="GJ51" s="49"/>
      <c r="GK51" s="49"/>
      <c r="GL51" s="49"/>
      <c r="GM51" s="49"/>
      <c r="GN51" s="49"/>
      <c r="GO51" s="49"/>
      <c r="GP51" s="49"/>
      <c r="GQ51" s="49"/>
      <c r="GR51" s="49"/>
      <c r="GS51" s="49"/>
      <c r="GT51" s="49"/>
      <c r="GU51" s="49"/>
      <c r="GV51" s="49"/>
      <c r="GW51" s="49"/>
      <c r="GX51" s="95"/>
      <c r="HD51" s="49"/>
      <c r="HE51" s="49"/>
      <c r="HF51" s="49"/>
      <c r="HG51" s="49"/>
      <c r="HH51" s="49"/>
      <c r="HI51" s="49"/>
      <c r="HJ51" s="49"/>
      <c r="HK51" s="49"/>
      <c r="HL51" s="49"/>
      <c r="HM51" s="49"/>
      <c r="HN51" s="49"/>
      <c r="HO51" s="49"/>
      <c r="HP51" s="49"/>
      <c r="HQ51" s="49"/>
      <c r="HR51" s="49"/>
      <c r="HS51" s="49"/>
      <c r="HT51" s="49"/>
      <c r="HU51" s="49"/>
      <c r="HV51" s="49"/>
      <c r="HW51" s="49"/>
      <c r="HX51" s="49"/>
      <c r="HY51" s="49"/>
      <c r="HZ51" s="49"/>
      <c r="IA51" s="49"/>
      <c r="IB51" s="49"/>
      <c r="IC51" s="49"/>
      <c r="IG51" s="95"/>
    </row>
    <row r="52" spans="2:241" s="106" customFormat="1" ht="12.75" x14ac:dyDescent="0.2">
      <c r="B52" s="106" t="s">
        <v>274</v>
      </c>
      <c r="EV52" s="36"/>
      <c r="EW52" s="10"/>
      <c r="EY52" s="95"/>
      <c r="FG52" s="95"/>
      <c r="FK52" s="227"/>
      <c r="FL52" s="274"/>
      <c r="FM52" s="227"/>
      <c r="FN52" s="227"/>
      <c r="FO52" s="227"/>
      <c r="FP52" s="227"/>
      <c r="FR52" s="49"/>
      <c r="FS52" s="49"/>
      <c r="FT52" s="49"/>
      <c r="FU52" s="49"/>
      <c r="FV52" s="49"/>
      <c r="FW52" s="49"/>
      <c r="GB52" s="49"/>
      <c r="GC52" s="49"/>
      <c r="GD52" s="49"/>
      <c r="GE52" s="49"/>
      <c r="GF52" s="49"/>
      <c r="GG52" s="49"/>
      <c r="GH52" s="49"/>
      <c r="GI52" s="49"/>
      <c r="GJ52" s="49"/>
      <c r="GK52" s="49"/>
      <c r="GL52" s="49"/>
      <c r="GM52" s="49"/>
      <c r="GN52" s="49"/>
      <c r="GO52" s="49"/>
      <c r="GP52" s="49"/>
      <c r="GQ52" s="49"/>
      <c r="GR52" s="49"/>
      <c r="GS52" s="49"/>
      <c r="GT52" s="49"/>
      <c r="GU52" s="49"/>
      <c r="GV52" s="49"/>
      <c r="GW52" s="49"/>
      <c r="GX52" s="95"/>
      <c r="HD52" s="49"/>
      <c r="HE52" s="49"/>
      <c r="HF52" s="49"/>
      <c r="HG52" s="49"/>
      <c r="HH52" s="49"/>
      <c r="HI52" s="49"/>
      <c r="HJ52" s="49"/>
      <c r="HK52" s="49"/>
      <c r="HL52" s="49"/>
      <c r="HM52" s="49"/>
      <c r="HN52" s="49"/>
      <c r="HO52" s="49"/>
      <c r="HP52" s="49"/>
      <c r="HQ52" s="49"/>
      <c r="HR52" s="49"/>
      <c r="HS52" s="49"/>
      <c r="HT52" s="49"/>
      <c r="HU52" s="49"/>
      <c r="HV52" s="49"/>
      <c r="HW52" s="49"/>
      <c r="HX52" s="49"/>
      <c r="HY52" s="49"/>
      <c r="HZ52" s="49"/>
      <c r="IA52" s="49"/>
      <c r="IB52" s="49"/>
      <c r="IC52" s="49"/>
      <c r="IG52" s="95"/>
    </row>
    <row r="53" spans="2:241" s="106" customFormat="1" ht="12.75" customHeight="1" x14ac:dyDescent="0.2">
      <c r="B53" s="106" t="s">
        <v>275</v>
      </c>
      <c r="EW53" s="10"/>
      <c r="EY53" s="95"/>
      <c r="FG53" s="95"/>
      <c r="FK53" s="227"/>
      <c r="FL53" s="274"/>
      <c r="FM53" s="227"/>
      <c r="FN53" s="227"/>
      <c r="FO53" s="227"/>
      <c r="FP53" s="227"/>
      <c r="FR53" s="49"/>
      <c r="FS53" s="49"/>
      <c r="FT53" s="49"/>
      <c r="FU53" s="49"/>
      <c r="FV53" s="49"/>
      <c r="FW53" s="49"/>
      <c r="GB53" s="49"/>
      <c r="GC53" s="49"/>
      <c r="GD53" s="49"/>
      <c r="GE53" s="49"/>
      <c r="GF53" s="49"/>
      <c r="GG53" s="49"/>
      <c r="GH53" s="49"/>
      <c r="GI53" s="49"/>
      <c r="GJ53" s="49"/>
      <c r="GK53" s="49"/>
      <c r="GL53" s="49"/>
      <c r="GM53" s="49"/>
      <c r="GN53" s="49"/>
      <c r="GO53" s="49"/>
      <c r="GP53" s="49"/>
      <c r="GQ53" s="49"/>
      <c r="GR53" s="49"/>
      <c r="GS53" s="49"/>
      <c r="GT53" s="49"/>
      <c r="GU53" s="49"/>
      <c r="GV53" s="49"/>
      <c r="GW53" s="49"/>
      <c r="GX53" s="95"/>
      <c r="HD53" s="49"/>
      <c r="HE53" s="49"/>
      <c r="HF53" s="49"/>
      <c r="HG53" s="49"/>
      <c r="HH53" s="49"/>
      <c r="HI53" s="49"/>
      <c r="HJ53" s="49"/>
      <c r="HK53" s="49"/>
      <c r="HL53" s="49"/>
      <c r="HM53" s="49"/>
      <c r="HN53" s="49"/>
      <c r="HO53" s="49"/>
      <c r="HP53" s="49"/>
      <c r="HQ53" s="49"/>
      <c r="HR53" s="49"/>
      <c r="HS53" s="49"/>
      <c r="HT53" s="49"/>
      <c r="HU53" s="49"/>
      <c r="HV53" s="49"/>
      <c r="HW53" s="49"/>
      <c r="HX53" s="49"/>
      <c r="HY53" s="49"/>
      <c r="HZ53" s="49"/>
      <c r="IA53" s="49"/>
      <c r="IB53" s="49"/>
      <c r="IC53" s="49"/>
      <c r="IG53" s="95"/>
    </row>
    <row r="54" spans="2:241" x14ac:dyDescent="0.25">
      <c r="B54" s="106" t="s">
        <v>276</v>
      </c>
      <c r="EV54" s="72"/>
    </row>
    <row r="55" spans="2:241" x14ac:dyDescent="0.25">
      <c r="B55" s="106" t="s">
        <v>143</v>
      </c>
      <c r="EV55" s="75"/>
    </row>
    <row r="56" spans="2:241" x14ac:dyDescent="0.25">
      <c r="B56" s="10" t="s">
        <v>383</v>
      </c>
      <c r="EV56" s="71"/>
    </row>
    <row r="57" spans="2:241" x14ac:dyDescent="0.25">
      <c r="B57" s="10" t="s">
        <v>277</v>
      </c>
      <c r="EV57" s="71"/>
    </row>
    <row r="58" spans="2:241" x14ac:dyDescent="0.25">
      <c r="C58" s="73"/>
      <c r="EV58" s="75"/>
    </row>
    <row r="59" spans="2:241" x14ac:dyDescent="0.25">
      <c r="C59" s="73"/>
    </row>
    <row r="60" spans="2:241" x14ac:dyDescent="0.25">
      <c r="C60" s="73"/>
    </row>
    <row r="61" spans="2:241" x14ac:dyDescent="0.25">
      <c r="C61" s="73"/>
    </row>
    <row r="62" spans="2:241" x14ac:dyDescent="0.25">
      <c r="C62" s="74"/>
    </row>
    <row r="63" spans="2:241" x14ac:dyDescent="0.25">
      <c r="C63" s="74"/>
    </row>
    <row r="64" spans="2:241" x14ac:dyDescent="0.25">
      <c r="C64" s="73"/>
    </row>
    <row r="65" spans="3:3" x14ac:dyDescent="0.25">
      <c r="C65" s="74"/>
    </row>
    <row r="67" spans="3:3" x14ac:dyDescent="0.25">
      <c r="C67" s="73"/>
    </row>
    <row r="68" spans="3:3" x14ac:dyDescent="0.25">
      <c r="C68" s="74"/>
    </row>
    <row r="71" spans="3:3" x14ac:dyDescent="0.25">
      <c r="C71" s="74"/>
    </row>
    <row r="73" spans="3:3" x14ac:dyDescent="0.25">
      <c r="C73" s="73"/>
    </row>
  </sheetData>
  <mergeCells count="7">
    <mergeCell ref="A1:B1"/>
    <mergeCell ref="A47:B47"/>
    <mergeCell ref="A2:A3"/>
    <mergeCell ref="B2:B3"/>
    <mergeCell ref="A44:B44"/>
    <mergeCell ref="A45:B45"/>
    <mergeCell ref="A46:B46"/>
  </mergeCells>
  <pageMargins left="0" right="0" top="0" bottom="0" header="0.11811023622047245" footer="0.11811023622047245"/>
  <pageSetup paperSize="9" scale="60" orientation="landscape" r:id="rId1"/>
  <colBreaks count="13" manualBreakCount="13">
    <brk id="11" max="44" man="1"/>
    <brk id="21" max="44" man="1"/>
    <brk id="29" max="44" man="1"/>
    <brk id="37" max="44" man="1"/>
    <brk id="45" max="44" man="1"/>
    <brk id="52" max="44" man="1"/>
    <brk id="60" max="44" man="1"/>
    <brk id="65" max="44" man="1"/>
    <brk id="73" max="44" man="1"/>
    <brk id="82" max="44" man="1"/>
    <brk id="91" max="44" man="1"/>
    <brk id="153" max="1048575" man="1"/>
    <brk id="162" max="4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X47"/>
  <sheetViews>
    <sheetView tabSelected="1" workbookViewId="0">
      <selection activeCell="D51" sqref="D51"/>
    </sheetView>
  </sheetViews>
  <sheetFormatPr defaultRowHeight="15" x14ac:dyDescent="0.25"/>
  <cols>
    <col min="1" max="1" width="5.5703125" customWidth="1"/>
    <col min="2" max="2" width="45.42578125" customWidth="1"/>
    <col min="3" max="102" width="29.42578125" customWidth="1"/>
  </cols>
  <sheetData>
    <row r="2" spans="1:102" ht="15" customHeight="1" x14ac:dyDescent="0.25">
      <c r="A2" s="342" t="s">
        <v>387</v>
      </c>
      <c r="B2" s="343"/>
      <c r="C2" s="20"/>
      <c r="D2" s="91"/>
      <c r="E2" s="34"/>
      <c r="F2" s="34"/>
      <c r="G2" s="35"/>
      <c r="H2" s="34"/>
      <c r="I2" s="163"/>
      <c r="J2" s="163"/>
      <c r="K2" s="163"/>
      <c r="L2" s="35"/>
      <c r="M2" s="35"/>
      <c r="N2" s="35"/>
      <c r="O2" s="35"/>
      <c r="P2" s="220"/>
      <c r="Q2" s="270"/>
      <c r="R2" s="220"/>
      <c r="S2" s="220"/>
      <c r="T2" s="220"/>
      <c r="U2" s="220"/>
      <c r="V2" s="35"/>
      <c r="W2" s="45"/>
      <c r="X2" s="45"/>
      <c r="Y2" s="45"/>
      <c r="Z2" s="45"/>
      <c r="AA2" s="45"/>
      <c r="AB2" s="45"/>
      <c r="AC2" s="35"/>
      <c r="AD2" s="35"/>
      <c r="AE2" s="37"/>
      <c r="AF2" s="37"/>
      <c r="AG2" s="49"/>
      <c r="AH2" s="49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97"/>
      <c r="BD2" s="101"/>
      <c r="BE2" s="35"/>
      <c r="BF2" s="35"/>
      <c r="BG2" s="35"/>
      <c r="BH2" s="3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9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35"/>
      <c r="CJ2" s="35"/>
      <c r="CK2" s="35"/>
      <c r="CL2" s="95"/>
      <c r="CM2" s="106"/>
      <c r="CN2" s="106"/>
      <c r="CO2" s="35"/>
      <c r="CP2" s="35"/>
      <c r="CQ2" s="35"/>
      <c r="CR2" s="35"/>
      <c r="CS2" s="35"/>
      <c r="CT2" s="35"/>
      <c r="CU2" s="10"/>
      <c r="CV2" s="35"/>
      <c r="CW2" s="35"/>
      <c r="CX2" s="106"/>
    </row>
    <row r="3" spans="1:102" ht="20.25" customHeight="1" x14ac:dyDescent="0.25">
      <c r="A3" s="346"/>
      <c r="B3" s="347" t="s">
        <v>0</v>
      </c>
      <c r="C3" s="56"/>
      <c r="D3" s="92"/>
      <c r="E3" s="100" t="s">
        <v>149</v>
      </c>
      <c r="F3" s="100" t="s">
        <v>150</v>
      </c>
      <c r="G3" s="100" t="s">
        <v>152</v>
      </c>
      <c r="H3" s="100" t="s">
        <v>151</v>
      </c>
      <c r="I3" s="100" t="s">
        <v>235</v>
      </c>
      <c r="J3" s="100" t="s">
        <v>226</v>
      </c>
      <c r="K3" s="100" t="s">
        <v>227</v>
      </c>
      <c r="L3" s="98"/>
      <c r="M3" s="100" t="s">
        <v>316</v>
      </c>
      <c r="N3" s="298" t="s">
        <v>362</v>
      </c>
      <c r="O3" s="298" t="s">
        <v>360</v>
      </c>
      <c r="P3" s="221"/>
      <c r="Q3" s="271" t="s">
        <v>301</v>
      </c>
      <c r="R3" s="221" t="s">
        <v>154</v>
      </c>
      <c r="S3" s="221" t="s">
        <v>155</v>
      </c>
      <c r="T3" s="221" t="s">
        <v>194</v>
      </c>
      <c r="U3" s="221" t="s">
        <v>156</v>
      </c>
      <c r="V3" s="100" t="s">
        <v>304</v>
      </c>
      <c r="W3" s="59"/>
      <c r="X3" s="59" t="s">
        <v>352</v>
      </c>
      <c r="Y3" s="59" t="s">
        <v>293</v>
      </c>
      <c r="Z3" s="59" t="s">
        <v>153</v>
      </c>
      <c r="AA3" s="297" t="s">
        <v>345</v>
      </c>
      <c r="AB3" s="341" t="s">
        <v>391</v>
      </c>
      <c r="AC3" s="100" t="s">
        <v>331</v>
      </c>
      <c r="AD3" s="100" t="s">
        <v>284</v>
      </c>
      <c r="AE3" s="57"/>
      <c r="AF3" s="57" t="s">
        <v>300</v>
      </c>
      <c r="AG3" s="59" t="s">
        <v>147</v>
      </c>
      <c r="AH3" s="59" t="s">
        <v>271</v>
      </c>
      <c r="AI3" s="59" t="s">
        <v>148</v>
      </c>
      <c r="AJ3" s="59" t="s">
        <v>326</v>
      </c>
      <c r="AK3" s="59" t="s">
        <v>187</v>
      </c>
      <c r="AL3" s="59" t="s">
        <v>263</v>
      </c>
      <c r="AM3" s="59" t="s">
        <v>236</v>
      </c>
      <c r="AN3" s="59" t="s">
        <v>241</v>
      </c>
      <c r="AO3" s="59" t="s">
        <v>189</v>
      </c>
      <c r="AP3" s="59" t="s">
        <v>146</v>
      </c>
      <c r="AQ3" s="59" t="s">
        <v>285</v>
      </c>
      <c r="AR3" s="59" t="s">
        <v>190</v>
      </c>
      <c r="AS3" s="59" t="s">
        <v>191</v>
      </c>
      <c r="AT3" s="59" t="s">
        <v>192</v>
      </c>
      <c r="AU3" s="59" t="s">
        <v>287</v>
      </c>
      <c r="AV3" s="59" t="s">
        <v>310</v>
      </c>
      <c r="AW3" s="59" t="s">
        <v>366</v>
      </c>
      <c r="AX3" s="59" t="s">
        <v>320</v>
      </c>
      <c r="AY3" s="59" t="s">
        <v>292</v>
      </c>
      <c r="AZ3" s="297" t="s">
        <v>365</v>
      </c>
      <c r="BA3" s="59" t="s">
        <v>372</v>
      </c>
      <c r="BB3" s="59" t="s">
        <v>377</v>
      </c>
      <c r="BC3" s="98"/>
      <c r="BD3" s="100" t="s">
        <v>346</v>
      </c>
      <c r="BE3" s="100" t="s">
        <v>157</v>
      </c>
      <c r="BF3" s="100" t="s">
        <v>158</v>
      </c>
      <c r="BG3" s="100" t="s">
        <v>158</v>
      </c>
      <c r="BH3" s="100" t="s">
        <v>291</v>
      </c>
      <c r="BI3" s="59"/>
      <c r="BJ3" s="59" t="s">
        <v>165</v>
      </c>
      <c r="BK3" s="59" t="s">
        <v>166</v>
      </c>
      <c r="BL3" s="59" t="s">
        <v>167</v>
      </c>
      <c r="BM3" s="59" t="s">
        <v>168</v>
      </c>
      <c r="BN3" s="59" t="s">
        <v>169</v>
      </c>
      <c r="BO3" s="59" t="s">
        <v>170</v>
      </c>
      <c r="BP3" s="59" t="s">
        <v>178</v>
      </c>
      <c r="BQ3" s="59" t="s">
        <v>172</v>
      </c>
      <c r="BR3" s="59" t="s">
        <v>176</v>
      </c>
      <c r="BS3" s="59" t="s">
        <v>161</v>
      </c>
      <c r="BT3" s="59" t="s">
        <v>173</v>
      </c>
      <c r="BU3" s="59" t="s">
        <v>162</v>
      </c>
      <c r="BV3" s="59" t="s">
        <v>171</v>
      </c>
      <c r="BW3" s="59" t="s">
        <v>174</v>
      </c>
      <c r="BX3" s="59" t="s">
        <v>177</v>
      </c>
      <c r="BY3" s="59" t="s">
        <v>184</v>
      </c>
      <c r="BZ3" s="59" t="s">
        <v>175</v>
      </c>
      <c r="CA3" s="59" t="s">
        <v>179</v>
      </c>
      <c r="CB3" s="59" t="s">
        <v>180</v>
      </c>
      <c r="CC3" s="59" t="s">
        <v>163</v>
      </c>
      <c r="CD3" s="59" t="s">
        <v>164</v>
      </c>
      <c r="CE3" s="59" t="s">
        <v>244</v>
      </c>
      <c r="CF3" s="59" t="s">
        <v>248</v>
      </c>
      <c r="CG3" s="59" t="s">
        <v>337</v>
      </c>
      <c r="CH3" s="59" t="s">
        <v>338</v>
      </c>
      <c r="CI3" s="100" t="s">
        <v>160</v>
      </c>
      <c r="CJ3" s="100" t="s">
        <v>159</v>
      </c>
      <c r="CK3" s="100" t="s">
        <v>247</v>
      </c>
      <c r="CL3" s="98"/>
      <c r="CM3" s="100" t="s">
        <v>382</v>
      </c>
      <c r="CN3" s="58" t="s">
        <v>323</v>
      </c>
      <c r="CO3" s="100" t="s">
        <v>182</v>
      </c>
      <c r="CP3" s="58"/>
      <c r="CQ3" s="100" t="s">
        <v>313</v>
      </c>
      <c r="CR3" s="100" t="s">
        <v>315</v>
      </c>
      <c r="CS3" s="157" t="s">
        <v>268</v>
      </c>
      <c r="CT3" s="100" t="s">
        <v>295</v>
      </c>
      <c r="CU3" s="100" t="s">
        <v>183</v>
      </c>
      <c r="CV3" s="58"/>
      <c r="CW3" s="100" t="s">
        <v>181</v>
      </c>
      <c r="CX3" s="100" t="s">
        <v>328</v>
      </c>
    </row>
    <row r="4" spans="1:102" ht="78" customHeight="1" x14ac:dyDescent="0.25">
      <c r="A4" s="346"/>
      <c r="B4" s="347"/>
      <c r="C4" s="194" t="s">
        <v>42</v>
      </c>
      <c r="D4" s="196" t="s">
        <v>132</v>
      </c>
      <c r="E4" s="161" t="s">
        <v>35</v>
      </c>
      <c r="F4" s="161" t="s">
        <v>36</v>
      </c>
      <c r="G4" s="161" t="s">
        <v>223</v>
      </c>
      <c r="H4" s="161" t="s">
        <v>38</v>
      </c>
      <c r="I4" s="165" t="s">
        <v>234</v>
      </c>
      <c r="J4" s="160" t="s">
        <v>230</v>
      </c>
      <c r="K4" s="160" t="s">
        <v>231</v>
      </c>
      <c r="L4" s="197" t="s">
        <v>133</v>
      </c>
      <c r="M4" s="168" t="s">
        <v>317</v>
      </c>
      <c r="N4" s="168" t="s">
        <v>357</v>
      </c>
      <c r="O4" s="168" t="s">
        <v>361</v>
      </c>
      <c r="P4" s="269" t="s">
        <v>261</v>
      </c>
      <c r="Q4" s="272" t="s">
        <v>302</v>
      </c>
      <c r="R4" s="222" t="s">
        <v>257</v>
      </c>
      <c r="S4" s="223" t="s">
        <v>258</v>
      </c>
      <c r="T4" s="222" t="s">
        <v>259</v>
      </c>
      <c r="U4" s="222" t="s">
        <v>260</v>
      </c>
      <c r="V4" s="184" t="s">
        <v>305</v>
      </c>
      <c r="W4" s="201" t="s">
        <v>309</v>
      </c>
      <c r="X4" s="219" t="s">
        <v>351</v>
      </c>
      <c r="Y4" s="205" t="s">
        <v>270</v>
      </c>
      <c r="Z4" s="205" t="s">
        <v>306</v>
      </c>
      <c r="AA4" s="205" t="s">
        <v>340</v>
      </c>
      <c r="AB4" s="339" t="s">
        <v>392</v>
      </c>
      <c r="AC4" s="184" t="s">
        <v>332</v>
      </c>
      <c r="AD4" s="244" t="s">
        <v>280</v>
      </c>
      <c r="AE4" s="198" t="s">
        <v>137</v>
      </c>
      <c r="AF4" s="267" t="s">
        <v>299</v>
      </c>
      <c r="AG4" s="199" t="s">
        <v>20</v>
      </c>
      <c r="AH4" s="247" t="s">
        <v>272</v>
      </c>
      <c r="AI4" s="199" t="s">
        <v>20</v>
      </c>
      <c r="AJ4" s="279" t="s">
        <v>327</v>
      </c>
      <c r="AK4" s="199" t="s">
        <v>26</v>
      </c>
      <c r="AL4" s="166" t="s">
        <v>232</v>
      </c>
      <c r="AM4" s="166" t="s">
        <v>237</v>
      </c>
      <c r="AN4" s="166" t="s">
        <v>242</v>
      </c>
      <c r="AO4" s="166" t="s">
        <v>251</v>
      </c>
      <c r="AP4" s="203" t="s">
        <v>252</v>
      </c>
      <c r="AQ4" s="207" t="s">
        <v>253</v>
      </c>
      <c r="AR4" s="257" t="s">
        <v>254</v>
      </c>
      <c r="AS4" s="219" t="s">
        <v>255</v>
      </c>
      <c r="AT4" s="201" t="s">
        <v>256</v>
      </c>
      <c r="AU4" s="205" t="s">
        <v>290</v>
      </c>
      <c r="AV4" s="205" t="s">
        <v>290</v>
      </c>
      <c r="AW4" s="201" t="s">
        <v>40</v>
      </c>
      <c r="AX4" s="200" t="s">
        <v>321</v>
      </c>
      <c r="AY4" s="205" t="s">
        <v>131</v>
      </c>
      <c r="AZ4" s="219" t="s">
        <v>348</v>
      </c>
      <c r="BA4" s="201" t="s">
        <v>373</v>
      </c>
      <c r="BB4" s="318" t="s">
        <v>378</v>
      </c>
      <c r="BC4" s="197" t="s">
        <v>134</v>
      </c>
      <c r="BD4" s="266" t="s">
        <v>11</v>
      </c>
      <c r="BE4" s="174" t="s">
        <v>13</v>
      </c>
      <c r="BF4" s="174" t="s">
        <v>22</v>
      </c>
      <c r="BG4" s="174" t="s">
        <v>23</v>
      </c>
      <c r="BH4" s="174" t="s">
        <v>24</v>
      </c>
      <c r="BI4" s="200" t="s">
        <v>138</v>
      </c>
      <c r="BJ4" s="201" t="s">
        <v>203</v>
      </c>
      <c r="BK4" s="202" t="s">
        <v>205</v>
      </c>
      <c r="BL4" s="203" t="s">
        <v>195</v>
      </c>
      <c r="BM4" s="202" t="s">
        <v>204</v>
      </c>
      <c r="BN4" s="202" t="s">
        <v>206</v>
      </c>
      <c r="BO4" s="202" t="s">
        <v>207</v>
      </c>
      <c r="BP4" s="204" t="s">
        <v>196</v>
      </c>
      <c r="BQ4" s="203" t="s">
        <v>197</v>
      </c>
      <c r="BR4" s="166" t="s">
        <v>209</v>
      </c>
      <c r="BS4" s="166" t="s">
        <v>210</v>
      </c>
      <c r="BT4" s="166" t="s">
        <v>211</v>
      </c>
      <c r="BU4" s="166" t="s">
        <v>213</v>
      </c>
      <c r="BV4" s="205" t="s">
        <v>214</v>
      </c>
      <c r="BW4" s="166" t="s">
        <v>215</v>
      </c>
      <c r="BX4" s="206" t="s">
        <v>216</v>
      </c>
      <c r="BY4" s="207" t="s">
        <v>218</v>
      </c>
      <c r="BZ4" s="166" t="s">
        <v>209</v>
      </c>
      <c r="CA4" s="166" t="s">
        <v>219</v>
      </c>
      <c r="CB4" s="166" t="s">
        <v>220</v>
      </c>
      <c r="CC4" s="166" t="s">
        <v>41</v>
      </c>
      <c r="CD4" s="207" t="s">
        <v>200</v>
      </c>
      <c r="CE4" s="207" t="s">
        <v>243</v>
      </c>
      <c r="CF4" s="206" t="s">
        <v>246</v>
      </c>
      <c r="CG4" s="284" t="s">
        <v>335</v>
      </c>
      <c r="CH4" s="284" t="s">
        <v>336</v>
      </c>
      <c r="CI4" s="183" t="s">
        <v>217</v>
      </c>
      <c r="CJ4" s="183" t="s">
        <v>31</v>
      </c>
      <c r="CK4" s="184" t="s">
        <v>245</v>
      </c>
      <c r="CL4" s="208" t="s">
        <v>140</v>
      </c>
      <c r="CM4" s="329" t="s">
        <v>384</v>
      </c>
      <c r="CN4" s="209" t="s">
        <v>324</v>
      </c>
      <c r="CO4" s="161" t="s">
        <v>33</v>
      </c>
      <c r="CP4" s="209" t="s">
        <v>136</v>
      </c>
      <c r="CQ4" s="184" t="s">
        <v>312</v>
      </c>
      <c r="CR4" s="184" t="s">
        <v>314</v>
      </c>
      <c r="CS4" s="161" t="s">
        <v>15</v>
      </c>
      <c r="CT4" s="174" t="s">
        <v>296</v>
      </c>
      <c r="CU4" s="168" t="s">
        <v>238</v>
      </c>
      <c r="CV4" s="184" t="s">
        <v>139</v>
      </c>
      <c r="CW4" s="174" t="s">
        <v>135</v>
      </c>
      <c r="CX4" s="249" t="s">
        <v>330</v>
      </c>
    </row>
    <row r="5" spans="1:102" ht="21.75" customHeight="1" x14ac:dyDescent="0.25">
      <c r="A5" s="109"/>
      <c r="B5" s="109" t="s">
        <v>43</v>
      </c>
      <c r="C5" s="117" t="s">
        <v>44</v>
      </c>
      <c r="D5" s="119" t="s">
        <v>44</v>
      </c>
      <c r="E5" s="112" t="s">
        <v>44</v>
      </c>
      <c r="F5" s="112" t="s">
        <v>58</v>
      </c>
      <c r="G5" s="114" t="s">
        <v>59</v>
      </c>
      <c r="H5" s="112" t="s">
        <v>44</v>
      </c>
      <c r="I5" s="112" t="s">
        <v>228</v>
      </c>
      <c r="J5" s="112" t="s">
        <v>228</v>
      </c>
      <c r="K5" s="112" t="s">
        <v>228</v>
      </c>
      <c r="L5" s="120" t="s">
        <v>44</v>
      </c>
      <c r="M5" s="114" t="s">
        <v>318</v>
      </c>
      <c r="N5" s="114" t="s">
        <v>358</v>
      </c>
      <c r="O5" s="114" t="s">
        <v>358</v>
      </c>
      <c r="P5" s="224" t="s">
        <v>51</v>
      </c>
      <c r="Q5" s="273" t="s">
        <v>51</v>
      </c>
      <c r="R5" s="224" t="s">
        <v>51</v>
      </c>
      <c r="S5" s="224" t="s">
        <v>51</v>
      </c>
      <c r="T5" s="224" t="s">
        <v>51</v>
      </c>
      <c r="U5" s="224" t="s">
        <v>51</v>
      </c>
      <c r="V5" s="114" t="s">
        <v>308</v>
      </c>
      <c r="W5" s="121" t="s">
        <v>52</v>
      </c>
      <c r="X5" s="121" t="s">
        <v>52</v>
      </c>
      <c r="Y5" s="121" t="s">
        <v>52</v>
      </c>
      <c r="Z5" s="121" t="s">
        <v>52</v>
      </c>
      <c r="AA5" s="121" t="s">
        <v>52</v>
      </c>
      <c r="AB5" s="114" t="s">
        <v>393</v>
      </c>
      <c r="AC5" s="114" t="s">
        <v>333</v>
      </c>
      <c r="AD5" s="113" t="s">
        <v>281</v>
      </c>
      <c r="AE5" s="122" t="s">
        <v>49</v>
      </c>
      <c r="AF5" s="122" t="s">
        <v>49</v>
      </c>
      <c r="AG5" s="124" t="s">
        <v>49</v>
      </c>
      <c r="AH5" s="248" t="s">
        <v>49</v>
      </c>
      <c r="AI5" s="124" t="s">
        <v>49</v>
      </c>
      <c r="AJ5" s="124" t="s">
        <v>49</v>
      </c>
      <c r="AK5" s="124" t="s">
        <v>49</v>
      </c>
      <c r="AL5" s="167" t="s">
        <v>49</v>
      </c>
      <c r="AM5" s="124" t="s">
        <v>44</v>
      </c>
      <c r="AN5" s="124" t="s">
        <v>49</v>
      </c>
      <c r="AO5" s="124" t="s">
        <v>49</v>
      </c>
      <c r="AP5" s="124" t="s">
        <v>49</v>
      </c>
      <c r="AQ5" s="121" t="s">
        <v>49</v>
      </c>
      <c r="AR5" s="121" t="s">
        <v>49</v>
      </c>
      <c r="AS5" s="121" t="s">
        <v>49</v>
      </c>
      <c r="AT5" s="121" t="s">
        <v>49</v>
      </c>
      <c r="AU5" s="121" t="s">
        <v>49</v>
      </c>
      <c r="AV5" s="121" t="s">
        <v>49</v>
      </c>
      <c r="AW5" s="124" t="s">
        <v>44</v>
      </c>
      <c r="AX5" s="123" t="s">
        <v>49</v>
      </c>
      <c r="AY5" s="123" t="s">
        <v>49</v>
      </c>
      <c r="AZ5" s="121" t="s">
        <v>49</v>
      </c>
      <c r="BA5" s="248" t="s">
        <v>374</v>
      </c>
      <c r="BB5" s="124" t="s">
        <v>49</v>
      </c>
      <c r="BC5" s="120" t="s">
        <v>44</v>
      </c>
      <c r="BD5" s="113" t="s">
        <v>46</v>
      </c>
      <c r="BE5" s="113" t="s">
        <v>48</v>
      </c>
      <c r="BF5" s="114" t="s">
        <v>53</v>
      </c>
      <c r="BG5" s="114" t="s">
        <v>53</v>
      </c>
      <c r="BH5" s="114" t="s">
        <v>53</v>
      </c>
      <c r="BI5" s="125" t="s">
        <v>45</v>
      </c>
      <c r="BJ5" s="125" t="s">
        <v>45</v>
      </c>
      <c r="BK5" s="125" t="s">
        <v>45</v>
      </c>
      <c r="BL5" s="125" t="s">
        <v>45</v>
      </c>
      <c r="BM5" s="125" t="s">
        <v>45</v>
      </c>
      <c r="BN5" s="125" t="s">
        <v>45</v>
      </c>
      <c r="BO5" s="125" t="s">
        <v>45</v>
      </c>
      <c r="BP5" s="125" t="s">
        <v>45</v>
      </c>
      <c r="BQ5" s="125" t="s">
        <v>45</v>
      </c>
      <c r="BR5" s="125" t="s">
        <v>45</v>
      </c>
      <c r="BS5" s="125" t="s">
        <v>45</v>
      </c>
      <c r="BT5" s="124" t="s">
        <v>45</v>
      </c>
      <c r="BU5" s="125" t="s">
        <v>45</v>
      </c>
      <c r="BV5" s="125" t="s">
        <v>45</v>
      </c>
      <c r="BW5" s="125" t="s">
        <v>45</v>
      </c>
      <c r="BX5" s="125" t="s">
        <v>45</v>
      </c>
      <c r="BY5" s="125" t="s">
        <v>57</v>
      </c>
      <c r="BZ5" s="125" t="s">
        <v>57</v>
      </c>
      <c r="CA5" s="125" t="s">
        <v>57</v>
      </c>
      <c r="CB5" s="125" t="s">
        <v>57</v>
      </c>
      <c r="CC5" s="125" t="s">
        <v>45</v>
      </c>
      <c r="CD5" s="125" t="s">
        <v>45</v>
      </c>
      <c r="CE5" s="121" t="s">
        <v>185</v>
      </c>
      <c r="CF5" s="125" t="s">
        <v>45</v>
      </c>
      <c r="CG5" s="125" t="s">
        <v>45</v>
      </c>
      <c r="CH5" s="125" t="s">
        <v>45</v>
      </c>
      <c r="CI5" s="113" t="s">
        <v>56</v>
      </c>
      <c r="CJ5" s="113" t="s">
        <v>55</v>
      </c>
      <c r="CK5" s="113" t="s">
        <v>262</v>
      </c>
      <c r="CL5" s="119" t="s">
        <v>44</v>
      </c>
      <c r="CM5" s="326" t="s">
        <v>385</v>
      </c>
      <c r="CN5" s="299" t="s">
        <v>325</v>
      </c>
      <c r="CO5" s="113" t="s">
        <v>44</v>
      </c>
      <c r="CP5" s="113" t="s">
        <v>47</v>
      </c>
      <c r="CQ5" s="114" t="s">
        <v>47</v>
      </c>
      <c r="CR5" s="114" t="s">
        <v>47</v>
      </c>
      <c r="CS5" s="113" t="s">
        <v>47</v>
      </c>
      <c r="CT5" s="112" t="s">
        <v>44</v>
      </c>
      <c r="CU5" s="113" t="s">
        <v>54</v>
      </c>
      <c r="CV5" s="113" t="s">
        <v>50</v>
      </c>
      <c r="CW5" s="113" t="s">
        <v>50</v>
      </c>
      <c r="CX5" s="112" t="s">
        <v>50</v>
      </c>
    </row>
    <row r="6" spans="1:102" ht="16.5" customHeight="1" x14ac:dyDescent="0.25">
      <c r="A6" s="144">
        <v>1</v>
      </c>
      <c r="B6" s="1" t="s">
        <v>60</v>
      </c>
      <c r="C6" s="4">
        <f>D6+L6+BC6+CL6</f>
        <v>451311099</v>
      </c>
      <c r="D6" s="93">
        <f>E6+F6+G6+H6</f>
        <v>197417800</v>
      </c>
      <c r="E6" s="107"/>
      <c r="F6" s="107">
        <f>июль!AZ5</f>
        <v>153132000</v>
      </c>
      <c r="G6" s="107">
        <f>июль!BC5</f>
        <v>44285800</v>
      </c>
      <c r="H6" s="107"/>
      <c r="I6" s="107">
        <f>J6+K6</f>
        <v>0</v>
      </c>
      <c r="J6" s="107">
        <f>июль!BD5</f>
        <v>0</v>
      </c>
      <c r="K6" s="107">
        <f>июль!BE5</f>
        <v>0</v>
      </c>
      <c r="L6" s="93">
        <f>M6+N6+O6+P6+V6+W6+AD6+AE6+AC6+AB6</f>
        <v>90083600</v>
      </c>
      <c r="M6" s="107">
        <f>июль!EH5</f>
        <v>0</v>
      </c>
      <c r="N6" s="107">
        <f>июль!EG5</f>
        <v>0</v>
      </c>
      <c r="O6" s="107"/>
      <c r="P6" s="225">
        <f>SUM(Q6:U6)</f>
        <v>0</v>
      </c>
      <c r="Q6" s="268">
        <f>июль!CV5</f>
        <v>0</v>
      </c>
      <c r="R6" s="225">
        <f>июль!DO5</f>
        <v>0</v>
      </c>
      <c r="S6" s="225">
        <f>июль!DX5</f>
        <v>0</v>
      </c>
      <c r="T6" s="225">
        <f>июль!ED5</f>
        <v>0</v>
      </c>
      <c r="U6" s="225">
        <f>июль!EL5</f>
        <v>0</v>
      </c>
      <c r="V6" s="107">
        <f>июль!DF5</f>
        <v>0</v>
      </c>
      <c r="W6" s="67">
        <f>SUM(X6:AA6)</f>
        <v>0</v>
      </c>
      <c r="X6" s="67"/>
      <c r="Y6" s="67"/>
      <c r="Z6" s="67"/>
      <c r="AA6" s="67"/>
      <c r="AB6" s="107">
        <f>июль!CB5</f>
        <v>17555000</v>
      </c>
      <c r="AC6" s="107">
        <f>июль!CD5</f>
        <v>7200000</v>
      </c>
      <c r="AD6" s="107">
        <f>июль!CR5</f>
        <v>0</v>
      </c>
      <c r="AE6" s="38">
        <f>SUM(AF6:BB6)</f>
        <v>65328600</v>
      </c>
      <c r="AF6" s="38">
        <f>июль!CP5</f>
        <v>0</v>
      </c>
      <c r="AG6" s="46">
        <f>июль!X5</f>
        <v>899300</v>
      </c>
      <c r="AH6" s="46">
        <f>июль!Z5</f>
        <v>500000</v>
      </c>
      <c r="AI6" s="46">
        <f>июль!AB5</f>
        <v>2047800</v>
      </c>
      <c r="AJ6" s="46">
        <f>июль!AE5</f>
        <v>0</v>
      </c>
      <c r="AK6" s="46">
        <f>июль!AG5</f>
        <v>7356700</v>
      </c>
      <c r="AL6" s="46">
        <f>июль!BK5</f>
        <v>19546000</v>
      </c>
      <c r="AM6" s="46"/>
      <c r="AN6" s="46">
        <f>июль!BS5</f>
        <v>0</v>
      </c>
      <c r="AO6" s="46">
        <f>июль!CW5</f>
        <v>5492900</v>
      </c>
      <c r="AP6" s="46">
        <f>июль!CX5</f>
        <v>5524300</v>
      </c>
      <c r="AQ6" s="46">
        <f>июль!CY5</f>
        <v>7846600</v>
      </c>
      <c r="AR6" s="46">
        <f>июль!CZ5</f>
        <v>6500000</v>
      </c>
      <c r="AS6" s="46">
        <f>июль!DA5</f>
        <v>0</v>
      </c>
      <c r="AT6" s="46"/>
      <c r="AU6" s="46">
        <f>июль!DK5</f>
        <v>9615000</v>
      </c>
      <c r="AV6" s="46">
        <f>июль!DL5</f>
        <v>0</v>
      </c>
      <c r="AW6" s="67">
        <v>0</v>
      </c>
      <c r="AX6" s="67">
        <f>июль!ET5</f>
        <v>0</v>
      </c>
      <c r="AY6" s="67">
        <f>июль!EU5</f>
        <v>0</v>
      </c>
      <c r="AZ6" s="67"/>
      <c r="BA6" s="67">
        <f>июль!BQ5</f>
        <v>0</v>
      </c>
      <c r="BB6" s="67">
        <f>июль!BW5</f>
        <v>0</v>
      </c>
      <c r="BC6" s="93">
        <f>BE6+BF6+BI6+CI6+CJ6+CK6</f>
        <v>161449900</v>
      </c>
      <c r="BD6" s="103"/>
      <c r="BE6" s="41">
        <f>июль!P5</f>
        <v>1261500</v>
      </c>
      <c r="BF6" s="41">
        <f>BG6+BH6</f>
        <v>4052000</v>
      </c>
      <c r="BG6" s="41">
        <f>июль!CF5</f>
        <v>1038000</v>
      </c>
      <c r="BH6" s="41">
        <f>июль!CG5</f>
        <v>3014000</v>
      </c>
      <c r="BI6" s="67">
        <f>SUM(BJ6:CH6)</f>
        <v>144356000</v>
      </c>
      <c r="BJ6" s="159">
        <f>июль!F5</f>
        <v>162200</v>
      </c>
      <c r="BK6" s="159">
        <f>июль!G5</f>
        <v>8200</v>
      </c>
      <c r="BL6" s="159">
        <f>июль!H5</f>
        <v>0</v>
      </c>
      <c r="BM6" s="159">
        <f>июль!I5</f>
        <v>0</v>
      </c>
      <c r="BN6" s="159">
        <f>июль!J5</f>
        <v>377600</v>
      </c>
      <c r="BO6" s="159">
        <f>июль!K5</f>
        <v>0</v>
      </c>
      <c r="BP6" s="159">
        <f>июль!L5</f>
        <v>53800</v>
      </c>
      <c r="BQ6" s="50">
        <f>июль!N5</f>
        <v>700</v>
      </c>
      <c r="BR6" s="46">
        <f>июль!Y5</f>
        <v>22100</v>
      </c>
      <c r="BS6" s="50">
        <f>июль!AC5</f>
        <v>131615600</v>
      </c>
      <c r="BT6" s="50">
        <f>июль!AD5</f>
        <v>3326400</v>
      </c>
      <c r="BU6" s="46">
        <f>июль!AI5</f>
        <v>81400</v>
      </c>
      <c r="BV6" s="46">
        <f>июль!AJ5</f>
        <v>1561900</v>
      </c>
      <c r="BW6" s="46">
        <f>июль!AK5</f>
        <v>96300</v>
      </c>
      <c r="BX6" s="46">
        <f>июль!AL5</f>
        <v>18400</v>
      </c>
      <c r="BY6" s="46">
        <f>июль!AQ5</f>
        <v>0</v>
      </c>
      <c r="BZ6" s="46">
        <f>июль!AR5</f>
        <v>80700</v>
      </c>
      <c r="CA6" s="46">
        <f>июль!AS5</f>
        <v>0</v>
      </c>
      <c r="CB6" s="46">
        <f>июль!AT5</f>
        <v>0</v>
      </c>
      <c r="CC6" s="46">
        <f>июль!BL5</f>
        <v>4451000</v>
      </c>
      <c r="CD6" s="46">
        <f>июль!BM5</f>
        <v>230200</v>
      </c>
      <c r="CE6" s="50">
        <f>июль!CJ5</f>
        <v>8000</v>
      </c>
      <c r="CF6" s="50">
        <f>июль!CM5</f>
        <v>0</v>
      </c>
      <c r="CG6" s="50">
        <f>июль!CS5</f>
        <v>2259915.6</v>
      </c>
      <c r="CH6" s="50">
        <f>июль!CT5</f>
        <v>1584.4</v>
      </c>
      <c r="CI6" s="17">
        <f>июль!AP5</f>
        <v>8626300</v>
      </c>
      <c r="CJ6" s="41">
        <f>июль!AO5</f>
        <v>3154100</v>
      </c>
      <c r="CK6" s="41">
        <f>июль!CL5</f>
        <v>0</v>
      </c>
      <c r="CL6" s="93">
        <f>CO6+CP6+CU6+CV6+CM6</f>
        <v>2359799</v>
      </c>
      <c r="CM6" s="107"/>
      <c r="CN6" s="107"/>
      <c r="CO6" s="41"/>
      <c r="CP6" s="17">
        <f>CQ6+CR6+CS6</f>
        <v>1243000</v>
      </c>
      <c r="CQ6" s="17">
        <f>июль!DP5</f>
        <v>0</v>
      </c>
      <c r="CR6" s="17">
        <f>июль!DQ5</f>
        <v>127000</v>
      </c>
      <c r="CS6" s="41">
        <f>июль!BH5+июль!BU5</f>
        <v>1116000</v>
      </c>
      <c r="CT6" s="41"/>
      <c r="CU6" s="169">
        <f>июль!BP5</f>
        <v>78200</v>
      </c>
      <c r="CV6" s="17">
        <f>SUM(CW6:CX6)</f>
        <v>1038599</v>
      </c>
      <c r="CW6" s="41">
        <f>июль!T5</f>
        <v>438599</v>
      </c>
      <c r="CX6" s="281">
        <f>июль!BG5</f>
        <v>600000</v>
      </c>
    </row>
    <row r="7" spans="1:102" ht="16.5" customHeight="1" x14ac:dyDescent="0.25">
      <c r="A7" s="144">
        <v>2</v>
      </c>
      <c r="B7" s="1" t="s">
        <v>61</v>
      </c>
      <c r="C7" s="4">
        <f>D7+L7+BC7+CL7</f>
        <v>196506678</v>
      </c>
      <c r="D7" s="93">
        <f>E7+F7+G7+H7</f>
        <v>71003000</v>
      </c>
      <c r="E7" s="107"/>
      <c r="F7" s="107">
        <f>июль!AZ6</f>
        <v>67703000</v>
      </c>
      <c r="G7" s="107">
        <f>июль!BC6</f>
        <v>3300000</v>
      </c>
      <c r="H7" s="107"/>
      <c r="I7" s="107">
        <f>J7+K7</f>
        <v>0</v>
      </c>
      <c r="J7" s="107">
        <f>июль!BD6</f>
        <v>0</v>
      </c>
      <c r="K7" s="107">
        <f>июль!BE6</f>
        <v>0</v>
      </c>
      <c r="L7" s="93">
        <f>M7+N7+O7+P7+V7+W7+AD7+AE7+AC7+AB7</f>
        <v>24436934</v>
      </c>
      <c r="M7" s="107">
        <f>июль!EH6</f>
        <v>0</v>
      </c>
      <c r="N7" s="107">
        <f>июль!EG6</f>
        <v>0</v>
      </c>
      <c r="O7" s="107"/>
      <c r="P7" s="225">
        <f>SUM(Q7:U7)</f>
        <v>0</v>
      </c>
      <c r="Q7" s="268">
        <f>июль!CV6</f>
        <v>0</v>
      </c>
      <c r="R7" s="225">
        <f>июль!DO6</f>
        <v>0</v>
      </c>
      <c r="S7" s="225">
        <f>июль!DX6</f>
        <v>0</v>
      </c>
      <c r="T7" s="225">
        <f>июль!ED6</f>
        <v>0</v>
      </c>
      <c r="U7" s="225">
        <f>июль!EL6</f>
        <v>0</v>
      </c>
      <c r="V7" s="107">
        <f>июль!DF6</f>
        <v>0</v>
      </c>
      <c r="W7" s="67">
        <f>SUM(X7:AA7)</f>
        <v>0</v>
      </c>
      <c r="X7" s="67"/>
      <c r="Y7" s="67"/>
      <c r="Z7" s="67"/>
      <c r="AA7" s="67"/>
      <c r="AB7" s="107">
        <f>июль!CB6</f>
        <v>365000</v>
      </c>
      <c r="AC7" s="107">
        <f>июль!CD6</f>
        <v>500000</v>
      </c>
      <c r="AD7" s="107">
        <f>июль!CR6</f>
        <v>0</v>
      </c>
      <c r="AE7" s="38">
        <f>SUM(AF7:BB7)</f>
        <v>23571934</v>
      </c>
      <c r="AF7" s="38">
        <f>июль!CP6</f>
        <v>0</v>
      </c>
      <c r="AG7" s="46">
        <f>июль!X6</f>
        <v>0</v>
      </c>
      <c r="AH7" s="46">
        <f>июль!Z6</f>
        <v>0</v>
      </c>
      <c r="AI7" s="46">
        <f>июль!AB6</f>
        <v>0</v>
      </c>
      <c r="AJ7" s="46">
        <f>июль!AE6</f>
        <v>1000000</v>
      </c>
      <c r="AK7" s="46">
        <f>июль!AG6</f>
        <v>4151100</v>
      </c>
      <c r="AL7" s="46">
        <f>июль!BK6</f>
        <v>5575900</v>
      </c>
      <c r="AM7" s="46"/>
      <c r="AN7" s="46">
        <f>июль!BS6</f>
        <v>0</v>
      </c>
      <c r="AO7" s="46">
        <f>июль!CW6</f>
        <v>3653800</v>
      </c>
      <c r="AP7" s="46">
        <f>июль!CX6</f>
        <v>436100</v>
      </c>
      <c r="AQ7" s="46">
        <f>июль!CY6</f>
        <v>0</v>
      </c>
      <c r="AR7" s="46">
        <f>июль!CZ6</f>
        <v>3600000</v>
      </c>
      <c r="AS7" s="46">
        <f>июль!DA6</f>
        <v>0</v>
      </c>
      <c r="AT7" s="46"/>
      <c r="AU7" s="46">
        <f>июль!DK6</f>
        <v>4355034</v>
      </c>
      <c r="AV7" s="46">
        <f>июль!DL6</f>
        <v>0</v>
      </c>
      <c r="AW7" s="67">
        <v>0</v>
      </c>
      <c r="AX7" s="67">
        <f>июль!ET6</f>
        <v>0</v>
      </c>
      <c r="AY7" s="67">
        <f>июль!EU6</f>
        <v>800000</v>
      </c>
      <c r="AZ7" s="67"/>
      <c r="BA7" s="67">
        <f>июль!BQ6</f>
        <v>0</v>
      </c>
      <c r="BB7" s="67">
        <f>июль!BW6</f>
        <v>0</v>
      </c>
      <c r="BC7" s="93">
        <f>BE7+BF7+BI7+CI7+CJ7+CK7</f>
        <v>99301400</v>
      </c>
      <c r="BD7" s="103"/>
      <c r="BE7" s="41">
        <f>июль!P6</f>
        <v>1086300</v>
      </c>
      <c r="BF7" s="41">
        <f>BG7+BH7</f>
        <v>2507400</v>
      </c>
      <c r="BG7" s="41">
        <f>июль!CF6</f>
        <v>642400</v>
      </c>
      <c r="BH7" s="41">
        <f>июль!CG6</f>
        <v>1865000</v>
      </c>
      <c r="BI7" s="67">
        <f>SUM(BJ7:CH7)</f>
        <v>90818400</v>
      </c>
      <c r="BJ7" s="159">
        <f>июль!F6</f>
        <v>153200</v>
      </c>
      <c r="BK7" s="159">
        <f>июль!G6</f>
        <v>4700</v>
      </c>
      <c r="BL7" s="159">
        <f>июль!H6</f>
        <v>0</v>
      </c>
      <c r="BM7" s="159">
        <f>июль!I6</f>
        <v>0</v>
      </c>
      <c r="BN7" s="159">
        <f>июль!J6</f>
        <v>341100</v>
      </c>
      <c r="BO7" s="159">
        <f>июль!K6</f>
        <v>0</v>
      </c>
      <c r="BP7" s="159">
        <f>июль!L6</f>
        <v>49900</v>
      </c>
      <c r="BQ7" s="50">
        <f>июль!N6</f>
        <v>600</v>
      </c>
      <c r="BR7" s="46">
        <f>июль!Y6</f>
        <v>0</v>
      </c>
      <c r="BS7" s="50">
        <f>июль!AC6</f>
        <v>83186500</v>
      </c>
      <c r="BT7" s="50">
        <f>июль!AD6</f>
        <v>2242800</v>
      </c>
      <c r="BU7" s="46">
        <f>июль!AI6</f>
        <v>34900</v>
      </c>
      <c r="BV7" s="46">
        <f>июль!AJ6</f>
        <v>781000</v>
      </c>
      <c r="BW7" s="46">
        <f>июль!AK6</f>
        <v>61300</v>
      </c>
      <c r="BX7" s="46">
        <f>июль!AL6</f>
        <v>2300</v>
      </c>
      <c r="BY7" s="46">
        <f>июль!AQ6</f>
        <v>0</v>
      </c>
      <c r="BZ7" s="46">
        <f>июль!AR6</f>
        <v>12800</v>
      </c>
      <c r="CA7" s="46">
        <f>июль!AS6</f>
        <v>0</v>
      </c>
      <c r="CB7" s="46">
        <f>июль!AT6</f>
        <v>0</v>
      </c>
      <c r="CC7" s="46">
        <f>июль!BL6</f>
        <v>2531000</v>
      </c>
      <c r="CD7" s="46">
        <f>июль!BM6</f>
        <v>212400</v>
      </c>
      <c r="CE7" s="50">
        <f>июль!CJ6</f>
        <v>5000</v>
      </c>
      <c r="CF7" s="50">
        <f>июль!CM6</f>
        <v>0</v>
      </c>
      <c r="CG7" s="50">
        <f>июль!CS6</f>
        <v>1198732.6000000001</v>
      </c>
      <c r="CH7" s="50">
        <f>июль!CT6</f>
        <v>167.4</v>
      </c>
      <c r="CI7" s="17">
        <f>июль!AP6</f>
        <v>4194100</v>
      </c>
      <c r="CJ7" s="41">
        <f>июль!AO6</f>
        <v>695200</v>
      </c>
      <c r="CK7" s="41">
        <f>июль!CL6</f>
        <v>0</v>
      </c>
      <c r="CL7" s="93">
        <f>CO7+CP7+CU7+CV7+CM7</f>
        <v>1765344</v>
      </c>
      <c r="CM7" s="107"/>
      <c r="CN7" s="107"/>
      <c r="CO7" s="41"/>
      <c r="CP7" s="17">
        <f>CQ7+CR7+CS7</f>
        <v>1306200</v>
      </c>
      <c r="CQ7" s="17">
        <f>июль!DP6</f>
        <v>0</v>
      </c>
      <c r="CR7" s="17">
        <f>июль!DQ6</f>
        <v>0</v>
      </c>
      <c r="CS7" s="41">
        <f>июль!BH6</f>
        <v>1306200</v>
      </c>
      <c r="CT7" s="41"/>
      <c r="CU7" s="169">
        <f>июль!BP6</f>
        <v>68000</v>
      </c>
      <c r="CV7" s="17">
        <f>SUM(CW7:CX7)</f>
        <v>391144</v>
      </c>
      <c r="CW7" s="41">
        <f>июль!T6</f>
        <v>391144</v>
      </c>
      <c r="CX7" s="281">
        <f>июль!BG6</f>
        <v>0</v>
      </c>
    </row>
    <row r="8" spans="1:102" ht="16.5" customHeight="1" x14ac:dyDescent="0.25">
      <c r="A8" s="144">
        <v>3</v>
      </c>
      <c r="B8" s="1" t="s">
        <v>62</v>
      </c>
      <c r="C8" s="4">
        <f>D8+L8+BC8+CL8</f>
        <v>147274156</v>
      </c>
      <c r="D8" s="93">
        <f>E8+F8+G8+H8</f>
        <v>26887000</v>
      </c>
      <c r="E8" s="107"/>
      <c r="F8" s="107">
        <f>июль!AZ7</f>
        <v>23887000</v>
      </c>
      <c r="G8" s="107">
        <f>июль!BC7</f>
        <v>3000000</v>
      </c>
      <c r="H8" s="107"/>
      <c r="I8" s="107">
        <f>J8+K8</f>
        <v>0</v>
      </c>
      <c r="J8" s="107">
        <f>июль!BD7</f>
        <v>0</v>
      </c>
      <c r="K8" s="107">
        <f>июль!BE7</f>
        <v>0</v>
      </c>
      <c r="L8" s="93">
        <f>M8+N8+O8+P8+V8+W8+AD8+AE8+AC8+AB8</f>
        <v>18980900</v>
      </c>
      <c r="M8" s="107">
        <f>июль!EH7</f>
        <v>0</v>
      </c>
      <c r="N8" s="107">
        <f>июль!EG7</f>
        <v>0</v>
      </c>
      <c r="O8" s="107"/>
      <c r="P8" s="225">
        <f>SUM(Q8:U8)</f>
        <v>0</v>
      </c>
      <c r="Q8" s="268">
        <f>июль!CV7</f>
        <v>0</v>
      </c>
      <c r="R8" s="225">
        <f>июль!DO7</f>
        <v>0</v>
      </c>
      <c r="S8" s="225">
        <f>июль!DX7</f>
        <v>0</v>
      </c>
      <c r="T8" s="225">
        <f>июль!ED7</f>
        <v>0</v>
      </c>
      <c r="U8" s="225">
        <f>июль!EL7</f>
        <v>0</v>
      </c>
      <c r="V8" s="107">
        <f>июль!DF7</f>
        <v>0</v>
      </c>
      <c r="W8" s="67">
        <f>SUM(X8:AA8)</f>
        <v>0</v>
      </c>
      <c r="X8" s="67"/>
      <c r="Y8" s="67"/>
      <c r="Z8" s="67"/>
      <c r="AA8" s="67"/>
      <c r="AB8" s="107">
        <f>июль!CB7</f>
        <v>3000000</v>
      </c>
      <c r="AC8" s="107">
        <f>июль!CD7</f>
        <v>500000</v>
      </c>
      <c r="AD8" s="107">
        <f>июль!CR7</f>
        <v>0</v>
      </c>
      <c r="AE8" s="38">
        <f>SUM(AF8:BB8)</f>
        <v>15480900</v>
      </c>
      <c r="AF8" s="38">
        <f>июль!CP7</f>
        <v>0</v>
      </c>
      <c r="AG8" s="46">
        <f>июль!X7</f>
        <v>0</v>
      </c>
      <c r="AH8" s="46">
        <f>июль!Z7</f>
        <v>0</v>
      </c>
      <c r="AI8" s="46">
        <f>июль!AB7</f>
        <v>0</v>
      </c>
      <c r="AJ8" s="46">
        <f>июль!AE7</f>
        <v>0</v>
      </c>
      <c r="AK8" s="46">
        <f>июль!AG7</f>
        <v>1781400</v>
      </c>
      <c r="AL8" s="46">
        <f>июль!BK7</f>
        <v>3218300</v>
      </c>
      <c r="AM8" s="46"/>
      <c r="AN8" s="46">
        <f>июль!BS7</f>
        <v>190500</v>
      </c>
      <c r="AO8" s="46">
        <f>июль!CW7</f>
        <v>3558700</v>
      </c>
      <c r="AP8" s="46">
        <f>июль!CX7</f>
        <v>290800</v>
      </c>
      <c r="AQ8" s="46">
        <f>июль!CY7</f>
        <v>0</v>
      </c>
      <c r="AR8" s="46">
        <f>июль!CZ7</f>
        <v>5581200</v>
      </c>
      <c r="AS8" s="46">
        <f>июль!DA7</f>
        <v>0</v>
      </c>
      <c r="AT8" s="46"/>
      <c r="AU8" s="46">
        <f>июль!DK7</f>
        <v>860000</v>
      </c>
      <c r="AV8" s="46">
        <f>июль!DL7</f>
        <v>0</v>
      </c>
      <c r="AW8" s="67">
        <v>0</v>
      </c>
      <c r="AX8" s="67">
        <f>июль!ET7</f>
        <v>0</v>
      </c>
      <c r="AY8" s="67">
        <f>июль!EU7</f>
        <v>0</v>
      </c>
      <c r="AZ8" s="67"/>
      <c r="BA8" s="67">
        <f>июль!BQ7</f>
        <v>0</v>
      </c>
      <c r="BB8" s="67">
        <f>июль!BW7</f>
        <v>0</v>
      </c>
      <c r="BC8" s="93">
        <f>BE8+BF8+BI8+CI8+CJ8+CK8</f>
        <v>97488400</v>
      </c>
      <c r="BD8" s="103"/>
      <c r="BE8" s="41">
        <f>июль!P7</f>
        <v>896200</v>
      </c>
      <c r="BF8" s="41">
        <f>BG8+BH8</f>
        <v>2532900</v>
      </c>
      <c r="BG8" s="41">
        <f>июль!CF7</f>
        <v>648900</v>
      </c>
      <c r="BH8" s="41">
        <f>июль!CG7</f>
        <v>1884000</v>
      </c>
      <c r="BI8" s="67">
        <f>SUM(BJ8:CH8)</f>
        <v>90126800</v>
      </c>
      <c r="BJ8" s="159">
        <f>июль!F7</f>
        <v>153200</v>
      </c>
      <c r="BK8" s="159">
        <f>июль!G7</f>
        <v>3800</v>
      </c>
      <c r="BL8" s="159">
        <f>июль!H7</f>
        <v>0</v>
      </c>
      <c r="BM8" s="159">
        <f>июль!I7</f>
        <v>310700</v>
      </c>
      <c r="BN8" s="159">
        <f>июль!J7</f>
        <v>341100</v>
      </c>
      <c r="BO8" s="159">
        <f>июль!K7</f>
        <v>0</v>
      </c>
      <c r="BP8" s="159">
        <f>июль!L7</f>
        <v>53800</v>
      </c>
      <c r="BQ8" s="50">
        <f>июль!N7</f>
        <v>700</v>
      </c>
      <c r="BR8" s="46">
        <f>июль!Y7</f>
        <v>0</v>
      </c>
      <c r="BS8" s="50">
        <f>июль!AC7</f>
        <v>83751700</v>
      </c>
      <c r="BT8" s="50">
        <f>июль!AD7</f>
        <v>2444400</v>
      </c>
      <c r="BU8" s="46">
        <f>июль!AI7</f>
        <v>23200</v>
      </c>
      <c r="BV8" s="46">
        <f>июль!AJ7</f>
        <v>585800</v>
      </c>
      <c r="BW8" s="46">
        <f>июль!AK7</f>
        <v>70100</v>
      </c>
      <c r="BX8" s="46">
        <f>июль!AL7</f>
        <v>0</v>
      </c>
      <c r="BY8" s="46">
        <f>июль!AQ7</f>
        <v>0</v>
      </c>
      <c r="BZ8" s="46">
        <f>июль!AR7</f>
        <v>0</v>
      </c>
      <c r="CA8" s="46">
        <f>июль!AS7</f>
        <v>0</v>
      </c>
      <c r="CB8" s="46">
        <f>июль!AT7</f>
        <v>0</v>
      </c>
      <c r="CC8" s="46">
        <f>июль!BL7</f>
        <v>2065000</v>
      </c>
      <c r="CD8" s="46">
        <f>июль!BM7</f>
        <v>230200</v>
      </c>
      <c r="CE8" s="50">
        <f>июль!CJ7</f>
        <v>5000</v>
      </c>
      <c r="CF8" s="50">
        <f>июль!CM7</f>
        <v>0</v>
      </c>
      <c r="CG8" s="50">
        <f>июль!CS7</f>
        <v>88089.2</v>
      </c>
      <c r="CH8" s="50">
        <f>июль!CT7</f>
        <v>10.8</v>
      </c>
      <c r="CI8" s="17">
        <f>июль!AP7</f>
        <v>3470600</v>
      </c>
      <c r="CJ8" s="41">
        <f>июль!AO7</f>
        <v>461900</v>
      </c>
      <c r="CK8" s="41">
        <f>июль!CL7</f>
        <v>0</v>
      </c>
      <c r="CL8" s="93">
        <f>CO8+CP8+CU8+CV8+CM8</f>
        <v>3917856</v>
      </c>
      <c r="CM8" s="107"/>
      <c r="CN8" s="107"/>
      <c r="CO8" s="41"/>
      <c r="CP8" s="17">
        <f>CQ8+CR8+CS8</f>
        <v>0</v>
      </c>
      <c r="CQ8" s="17">
        <f>июль!DP7</f>
        <v>0</v>
      </c>
      <c r="CR8" s="17">
        <f>июль!DQ7</f>
        <v>0</v>
      </c>
      <c r="CS8" s="41">
        <f>июль!BH7</f>
        <v>0</v>
      </c>
      <c r="CT8" s="41"/>
      <c r="CU8" s="169">
        <f>июль!BP7</f>
        <v>115000</v>
      </c>
      <c r="CV8" s="17">
        <f>SUM(CW8:CX8)</f>
        <v>3802856</v>
      </c>
      <c r="CW8" s="41">
        <f>июль!T7</f>
        <v>2856</v>
      </c>
      <c r="CX8" s="281">
        <f>июль!BG7</f>
        <v>3800000</v>
      </c>
    </row>
    <row r="9" spans="1:102" ht="16.5" customHeight="1" x14ac:dyDescent="0.25">
      <c r="A9" s="144">
        <v>4</v>
      </c>
      <c r="B9" s="1" t="s">
        <v>63</v>
      </c>
      <c r="C9" s="4">
        <f>D9+L9+BC9+CL9</f>
        <v>308185685</v>
      </c>
      <c r="D9" s="93">
        <f>E9+F9+G9+H9</f>
        <v>100420000</v>
      </c>
      <c r="E9" s="107"/>
      <c r="F9" s="107">
        <f>июль!AZ8</f>
        <v>75920000</v>
      </c>
      <c r="G9" s="107">
        <f>июль!BC8</f>
        <v>24500000</v>
      </c>
      <c r="H9" s="107"/>
      <c r="I9" s="107">
        <f>J9+K9</f>
        <v>0</v>
      </c>
      <c r="J9" s="107">
        <f>июль!BD8</f>
        <v>0</v>
      </c>
      <c r="K9" s="107">
        <f>июль!BE8</f>
        <v>0</v>
      </c>
      <c r="L9" s="93">
        <f>M9+N9+O9+P9+V9+W9+AD9+AE9+AC9+AB9</f>
        <v>54829450</v>
      </c>
      <c r="M9" s="107">
        <f>июль!EH8</f>
        <v>85500</v>
      </c>
      <c r="N9" s="107">
        <f>июль!EG8</f>
        <v>128250</v>
      </c>
      <c r="O9" s="107"/>
      <c r="P9" s="225">
        <f>SUM(Q9:U9)</f>
        <v>0</v>
      </c>
      <c r="Q9" s="268">
        <f>июль!CV8</f>
        <v>0</v>
      </c>
      <c r="R9" s="225">
        <f>июль!DO8</f>
        <v>0</v>
      </c>
      <c r="S9" s="225">
        <f>июль!DX8</f>
        <v>0</v>
      </c>
      <c r="T9" s="225">
        <f>июль!ED8</f>
        <v>0</v>
      </c>
      <c r="U9" s="225">
        <f>июль!EL8</f>
        <v>0</v>
      </c>
      <c r="V9" s="107">
        <f>июль!DF8</f>
        <v>0</v>
      </c>
      <c r="W9" s="67">
        <f>SUM(X9:AA9)</f>
        <v>0</v>
      </c>
      <c r="X9" s="67"/>
      <c r="Y9" s="67"/>
      <c r="Z9" s="67"/>
      <c r="AA9" s="67"/>
      <c r="AB9" s="107">
        <f>июль!CB8</f>
        <v>9050200</v>
      </c>
      <c r="AC9" s="107">
        <f>июль!CD8</f>
        <v>700000</v>
      </c>
      <c r="AD9" s="107">
        <f>июль!CR8</f>
        <v>0</v>
      </c>
      <c r="AE9" s="38">
        <f>SUM(AF9:BB9)</f>
        <v>44865500</v>
      </c>
      <c r="AF9" s="38">
        <f>июль!CP8</f>
        <v>0</v>
      </c>
      <c r="AG9" s="46">
        <f>июль!X8</f>
        <v>0</v>
      </c>
      <c r="AH9" s="46">
        <f>июль!Z8</f>
        <v>0</v>
      </c>
      <c r="AI9" s="46">
        <f>июль!AB8</f>
        <v>0</v>
      </c>
      <c r="AJ9" s="46">
        <f>июль!AE8</f>
        <v>0</v>
      </c>
      <c r="AK9" s="46">
        <f>июль!AG8</f>
        <v>1058400</v>
      </c>
      <c r="AL9" s="46">
        <f>июль!BK8</f>
        <v>11985700</v>
      </c>
      <c r="AM9" s="46"/>
      <c r="AN9" s="46">
        <f>июль!BS8</f>
        <v>0</v>
      </c>
      <c r="AO9" s="46">
        <f>июль!CW8</f>
        <v>5949500</v>
      </c>
      <c r="AP9" s="46">
        <f>июль!CX8</f>
        <v>5066700</v>
      </c>
      <c r="AQ9" s="46">
        <f>июль!CY8</f>
        <v>8507200</v>
      </c>
      <c r="AR9" s="46">
        <f>июль!CZ8</f>
        <v>0</v>
      </c>
      <c r="AS9" s="46">
        <f>июль!DA8</f>
        <v>0</v>
      </c>
      <c r="AT9" s="46"/>
      <c r="AU9" s="46">
        <f>июль!DK8</f>
        <v>12298000</v>
      </c>
      <c r="AV9" s="46">
        <f>июль!DL8</f>
        <v>0</v>
      </c>
      <c r="AW9" s="67">
        <v>0</v>
      </c>
      <c r="AX9" s="67">
        <f>июль!ET8</f>
        <v>0</v>
      </c>
      <c r="AY9" s="67">
        <f>июль!EU8</f>
        <v>0</v>
      </c>
      <c r="AZ9" s="67"/>
      <c r="BA9" s="67">
        <f>июль!BQ8</f>
        <v>0</v>
      </c>
      <c r="BB9" s="67">
        <f>июль!BW8</f>
        <v>0</v>
      </c>
      <c r="BC9" s="93">
        <f>BE9+BF9+BI9+CI9+CJ9+CK9</f>
        <v>152082800</v>
      </c>
      <c r="BD9" s="103"/>
      <c r="BE9" s="41">
        <f>июль!P8</f>
        <v>619500</v>
      </c>
      <c r="BF9" s="41">
        <f>BG9+BH9</f>
        <v>4643500</v>
      </c>
      <c r="BG9" s="41">
        <f>июль!CF8</f>
        <v>1189500</v>
      </c>
      <c r="BH9" s="41">
        <f>июль!CG8</f>
        <v>3454000</v>
      </c>
      <c r="BI9" s="67">
        <f>SUM(BJ9:CH9)</f>
        <v>133652600</v>
      </c>
      <c r="BJ9" s="159">
        <f>июль!F8</f>
        <v>324200</v>
      </c>
      <c r="BK9" s="159">
        <f>июль!G8</f>
        <v>9000</v>
      </c>
      <c r="BL9" s="159">
        <f>июль!H8</f>
        <v>0</v>
      </c>
      <c r="BM9" s="159">
        <f>июль!I8</f>
        <v>0</v>
      </c>
      <c r="BN9" s="159">
        <f>июль!J8</f>
        <v>341100</v>
      </c>
      <c r="BO9" s="159">
        <f>июль!K8</f>
        <v>0</v>
      </c>
      <c r="BP9" s="159">
        <f>июль!L8</f>
        <v>42200</v>
      </c>
      <c r="BQ9" s="50">
        <f>июль!N8</f>
        <v>500</v>
      </c>
      <c r="BR9" s="46">
        <f>июль!Y8</f>
        <v>18500</v>
      </c>
      <c r="BS9" s="50">
        <f>июль!AC8</f>
        <v>117840800</v>
      </c>
      <c r="BT9" s="50">
        <f>июль!AD8</f>
        <v>5040000</v>
      </c>
      <c r="BU9" s="46">
        <f>июль!AI8</f>
        <v>81400</v>
      </c>
      <c r="BV9" s="46">
        <f>июль!AJ8</f>
        <v>1171400</v>
      </c>
      <c r="BW9" s="46">
        <f>июль!AK8</f>
        <v>148800</v>
      </c>
      <c r="BX9" s="46">
        <f>июль!AL8</f>
        <v>2200</v>
      </c>
      <c r="BY9" s="46">
        <f>июль!AQ8</f>
        <v>0</v>
      </c>
      <c r="BZ9" s="46">
        <f>июль!AR8</f>
        <v>0</v>
      </c>
      <c r="CA9" s="46">
        <f>июль!AS8</f>
        <v>146600</v>
      </c>
      <c r="CB9" s="46">
        <f>июль!AT8</f>
        <v>0</v>
      </c>
      <c r="CC9" s="46">
        <f>июль!BL8</f>
        <v>4861000</v>
      </c>
      <c r="CD9" s="46">
        <f>июль!BM8</f>
        <v>177100</v>
      </c>
      <c r="CE9" s="50">
        <f>июль!CJ8</f>
        <v>9200</v>
      </c>
      <c r="CF9" s="50">
        <f>июль!CM8</f>
        <v>0</v>
      </c>
      <c r="CG9" s="50">
        <f>июль!CS8</f>
        <v>3437071.9</v>
      </c>
      <c r="CH9" s="50">
        <f>июль!CT8</f>
        <v>1528.1</v>
      </c>
      <c r="CI9" s="17">
        <f>июль!AP8</f>
        <v>8311300</v>
      </c>
      <c r="CJ9" s="41">
        <f>июль!AO8</f>
        <v>4855900</v>
      </c>
      <c r="CK9" s="41">
        <f>июль!CL8</f>
        <v>0</v>
      </c>
      <c r="CL9" s="93">
        <f>CO9+CP9+CU9+CV9+CM9</f>
        <v>853435</v>
      </c>
      <c r="CM9" s="107"/>
      <c r="CN9" s="107"/>
      <c r="CO9" s="41"/>
      <c r="CP9" s="17">
        <f>CQ9+CR9+CS9</f>
        <v>0</v>
      </c>
      <c r="CQ9" s="17">
        <f>июль!DP8</f>
        <v>0</v>
      </c>
      <c r="CR9" s="17">
        <f>июль!DQ8</f>
        <v>0</v>
      </c>
      <c r="CS9" s="41">
        <f>июль!BH8</f>
        <v>0</v>
      </c>
      <c r="CT9" s="41"/>
      <c r="CU9" s="169">
        <f>июль!BP8</f>
        <v>102000</v>
      </c>
      <c r="CV9" s="17">
        <f>SUM(CW9:CX9)</f>
        <v>751435</v>
      </c>
      <c r="CW9" s="41">
        <f>июль!T8</f>
        <v>751435</v>
      </c>
      <c r="CX9" s="281">
        <f>июль!BG8</f>
        <v>0</v>
      </c>
    </row>
    <row r="10" spans="1:102" ht="16.5" customHeight="1" x14ac:dyDescent="0.25">
      <c r="A10" s="144">
        <v>5</v>
      </c>
      <c r="B10" s="1" t="s">
        <v>64</v>
      </c>
      <c r="C10" s="4">
        <f>D10+L10+BC10+CL10</f>
        <v>478789699.60000002</v>
      </c>
      <c r="D10" s="93">
        <f>E10+F10+G10+H10</f>
        <v>50484000</v>
      </c>
      <c r="E10" s="107"/>
      <c r="F10" s="107">
        <f>июль!AZ9</f>
        <v>47484000</v>
      </c>
      <c r="G10" s="107">
        <f>июль!BC9</f>
        <v>3000000</v>
      </c>
      <c r="H10" s="107"/>
      <c r="I10" s="107">
        <f>J10+K10</f>
        <v>0</v>
      </c>
      <c r="J10" s="107">
        <f>июль!BD9</f>
        <v>0</v>
      </c>
      <c r="K10" s="107">
        <f>июль!BE9</f>
        <v>0</v>
      </c>
      <c r="L10" s="93">
        <f>M10+N10+O10+P10+V10+W10+AD10+AE10+AC10+AB10</f>
        <v>107329300</v>
      </c>
      <c r="M10" s="107">
        <f>июль!EH9</f>
        <v>0</v>
      </c>
      <c r="N10" s="107">
        <f>июль!EG9</f>
        <v>0</v>
      </c>
      <c r="O10" s="107"/>
      <c r="P10" s="225">
        <f>SUM(Q10:U10)</f>
        <v>0</v>
      </c>
      <c r="Q10" s="268">
        <f>июль!CV9</f>
        <v>0</v>
      </c>
      <c r="R10" s="225">
        <f>июль!DO9</f>
        <v>0</v>
      </c>
      <c r="S10" s="225">
        <f>июль!DX9</f>
        <v>0</v>
      </c>
      <c r="T10" s="225">
        <f>июль!ED9</f>
        <v>0</v>
      </c>
      <c r="U10" s="225">
        <f>июль!EL9</f>
        <v>0</v>
      </c>
      <c r="V10" s="107">
        <f>июль!DF9</f>
        <v>0</v>
      </c>
      <c r="W10" s="67">
        <f>SUM(X10:AA10)</f>
        <v>0</v>
      </c>
      <c r="X10" s="67"/>
      <c r="Y10" s="67"/>
      <c r="Z10" s="67"/>
      <c r="AA10" s="67"/>
      <c r="AB10" s="107">
        <f>июль!CB9</f>
        <v>11160000</v>
      </c>
      <c r="AC10" s="107">
        <f>июль!CD9</f>
        <v>5800000</v>
      </c>
      <c r="AD10" s="107">
        <f>июль!CR9</f>
        <v>0</v>
      </c>
      <c r="AE10" s="38">
        <f>SUM(AF10:BB10)</f>
        <v>90369300</v>
      </c>
      <c r="AF10" s="38">
        <f>июль!CP9</f>
        <v>0</v>
      </c>
      <c r="AG10" s="46">
        <f>июль!X9</f>
        <v>2257000</v>
      </c>
      <c r="AH10" s="46">
        <f>июль!Z9</f>
        <v>400000</v>
      </c>
      <c r="AI10" s="46">
        <f>июль!AB9</f>
        <v>1462700</v>
      </c>
      <c r="AJ10" s="46">
        <f>июль!AE9</f>
        <v>1250000</v>
      </c>
      <c r="AK10" s="46">
        <f>июль!AG9</f>
        <v>3410400</v>
      </c>
      <c r="AL10" s="46">
        <f>июль!BK9</f>
        <v>18579700</v>
      </c>
      <c r="AM10" s="46"/>
      <c r="AN10" s="46">
        <f>июль!BS9</f>
        <v>0</v>
      </c>
      <c r="AO10" s="46">
        <f>июль!CW9</f>
        <v>9340900</v>
      </c>
      <c r="AP10" s="46">
        <f>июль!CX9</f>
        <v>22902200</v>
      </c>
      <c r="AQ10" s="46">
        <f>июль!CY9</f>
        <v>14350400</v>
      </c>
      <c r="AR10" s="46">
        <f>июль!CZ9</f>
        <v>0</v>
      </c>
      <c r="AS10" s="46">
        <f>июль!DA9</f>
        <v>0</v>
      </c>
      <c r="AT10" s="46"/>
      <c r="AU10" s="46">
        <f>июль!DK9</f>
        <v>16416000</v>
      </c>
      <c r="AV10" s="46">
        <f>июль!DL9</f>
        <v>0</v>
      </c>
      <c r="AW10" s="67">
        <v>0</v>
      </c>
      <c r="AX10" s="67">
        <f>июль!ET9</f>
        <v>0</v>
      </c>
      <c r="AY10" s="67">
        <f>июль!EU9</f>
        <v>0</v>
      </c>
      <c r="AZ10" s="67"/>
      <c r="BA10" s="67">
        <f>июль!BQ9</f>
        <v>0</v>
      </c>
      <c r="BB10" s="67">
        <f>июль!BW9</f>
        <v>0</v>
      </c>
      <c r="BC10" s="93">
        <f>BE10+BF10+BI10+CI10+CJ10+CK10</f>
        <v>317122777.60000002</v>
      </c>
      <c r="BD10" s="103"/>
      <c r="BE10" s="41">
        <f>июль!P9</f>
        <v>1655000</v>
      </c>
      <c r="BF10" s="41">
        <f>BG10+BH10</f>
        <v>9557800</v>
      </c>
      <c r="BG10" s="41">
        <f>июль!CF9</f>
        <v>2448800</v>
      </c>
      <c r="BH10" s="41">
        <f>июль!CG9</f>
        <v>7109000</v>
      </c>
      <c r="BI10" s="67">
        <f>SUM(BJ10:CH10)</f>
        <v>282283777.60000002</v>
      </c>
      <c r="BJ10" s="159">
        <f>июль!F9</f>
        <v>342300</v>
      </c>
      <c r="BK10" s="159">
        <f>июль!G9</f>
        <v>37200</v>
      </c>
      <c r="BL10" s="159">
        <f>июль!H9</f>
        <v>0</v>
      </c>
      <c r="BM10" s="159">
        <f>июль!I9</f>
        <v>0</v>
      </c>
      <c r="BN10" s="159">
        <f>июль!J9</f>
        <v>755400</v>
      </c>
      <c r="BO10" s="159">
        <f>июль!K9</f>
        <v>0</v>
      </c>
      <c r="BP10" s="159">
        <f>июль!L9</f>
        <v>69100</v>
      </c>
      <c r="BQ10" s="50">
        <f>июль!N9</f>
        <v>900</v>
      </c>
      <c r="BR10" s="46">
        <f>июль!Y9</f>
        <v>55400</v>
      </c>
      <c r="BS10" s="50">
        <f>июль!AC9</f>
        <v>253783200</v>
      </c>
      <c r="BT10" s="50">
        <f>июль!AD9</f>
        <v>6804000</v>
      </c>
      <c r="BU10" s="46">
        <f>июль!AI9</f>
        <v>174500</v>
      </c>
      <c r="BV10" s="46">
        <f>июль!AJ9</f>
        <v>3514300</v>
      </c>
      <c r="BW10" s="46">
        <f>июль!AK9</f>
        <v>227600</v>
      </c>
      <c r="BX10" s="46">
        <f>июль!AL9</f>
        <v>4600</v>
      </c>
      <c r="BY10" s="46">
        <f>июль!AQ9</f>
        <v>30000</v>
      </c>
      <c r="BZ10" s="46">
        <f>июль!AR9</f>
        <v>8000</v>
      </c>
      <c r="CA10" s="46">
        <f>июль!AS9</f>
        <v>496200</v>
      </c>
      <c r="CB10" s="46">
        <f>июль!AT9</f>
        <v>452200</v>
      </c>
      <c r="CC10" s="46">
        <f>июль!BL9</f>
        <v>12357000</v>
      </c>
      <c r="CD10" s="46">
        <f>июль!BM9</f>
        <v>301000</v>
      </c>
      <c r="CE10" s="50">
        <f>июль!CJ9</f>
        <v>18900</v>
      </c>
      <c r="CF10" s="50">
        <f>июль!CM9</f>
        <v>0</v>
      </c>
      <c r="CG10" s="50">
        <f>июль!CS9</f>
        <v>2849275</v>
      </c>
      <c r="CH10" s="50">
        <f>июль!CT9</f>
        <v>2702.6</v>
      </c>
      <c r="CI10" s="17">
        <f>июль!AP9</f>
        <v>18140400</v>
      </c>
      <c r="CJ10" s="41">
        <f>июль!AO9</f>
        <v>5485800</v>
      </c>
      <c r="CK10" s="41">
        <f>июль!CL9</f>
        <v>0</v>
      </c>
      <c r="CL10" s="93">
        <f>CO10+CP10+CU10+CV10+CM10</f>
        <v>3853622</v>
      </c>
      <c r="CM10" s="107"/>
      <c r="CN10" s="107"/>
      <c r="CO10" s="41"/>
      <c r="CP10" s="17">
        <f>CQ10+CR10+CS10</f>
        <v>1265920</v>
      </c>
      <c r="CQ10" s="17">
        <f>июль!DP9</f>
        <v>0</v>
      </c>
      <c r="CR10" s="17">
        <f>июль!DQ9</f>
        <v>41000</v>
      </c>
      <c r="CS10" s="41">
        <f>июль!CH9+июль!BH9</f>
        <v>1224920</v>
      </c>
      <c r="CT10" s="41"/>
      <c r="CU10" s="169">
        <f>июль!BP9</f>
        <v>89000</v>
      </c>
      <c r="CV10" s="17">
        <f>SUM(CW10:CX10)</f>
        <v>2498702</v>
      </c>
      <c r="CW10" s="41">
        <f>июль!T9</f>
        <v>2498702</v>
      </c>
      <c r="CX10" s="281">
        <f>июль!BG9</f>
        <v>0</v>
      </c>
    </row>
    <row r="11" spans="1:102" ht="16.5" customHeight="1" x14ac:dyDescent="0.25">
      <c r="A11" s="144">
        <v>6</v>
      </c>
      <c r="B11" s="1" t="s">
        <v>65</v>
      </c>
      <c r="C11" s="4">
        <f>D11+L11+BC11+CL11</f>
        <v>179132491</v>
      </c>
      <c r="D11" s="93">
        <f>E11+F11+G11+H11</f>
        <v>23334000</v>
      </c>
      <c r="E11" s="107"/>
      <c r="F11" s="107">
        <f>июль!AZ10</f>
        <v>23334000</v>
      </c>
      <c r="G11" s="107">
        <f>июль!BC10</f>
        <v>0</v>
      </c>
      <c r="H11" s="107"/>
      <c r="I11" s="107">
        <f>J11+K11</f>
        <v>0</v>
      </c>
      <c r="J11" s="107">
        <f>июль!BD10</f>
        <v>0</v>
      </c>
      <c r="K11" s="107">
        <f>июль!BE10</f>
        <v>0</v>
      </c>
      <c r="L11" s="93">
        <f>M11+N11+O11+P11+V11+W11+AD11+AE11+AC11+AB11</f>
        <v>63928491</v>
      </c>
      <c r="M11" s="107">
        <f>июль!EH10</f>
        <v>0</v>
      </c>
      <c r="N11" s="107">
        <f>июль!EG10</f>
        <v>0</v>
      </c>
      <c r="O11" s="107"/>
      <c r="P11" s="225">
        <f>SUM(Q11:U11)</f>
        <v>0</v>
      </c>
      <c r="Q11" s="268">
        <f>июль!CV10</f>
        <v>0</v>
      </c>
      <c r="R11" s="225">
        <f>июль!DO10</f>
        <v>0</v>
      </c>
      <c r="S11" s="225">
        <f>июль!DX10</f>
        <v>0</v>
      </c>
      <c r="T11" s="225">
        <f>июль!ED10</f>
        <v>0</v>
      </c>
      <c r="U11" s="225">
        <f>июль!EL10</f>
        <v>0</v>
      </c>
      <c r="V11" s="107">
        <f>июль!DF10</f>
        <v>0</v>
      </c>
      <c r="W11" s="67">
        <f>SUM(X11:AA11)</f>
        <v>0</v>
      </c>
      <c r="X11" s="67"/>
      <c r="Y11" s="67"/>
      <c r="Z11" s="67"/>
      <c r="AA11" s="67"/>
      <c r="AB11" s="107">
        <f>июль!CB10</f>
        <v>40300000</v>
      </c>
      <c r="AC11" s="107">
        <f>июль!CD10</f>
        <v>500000</v>
      </c>
      <c r="AD11" s="107">
        <f>июль!CR10</f>
        <v>0</v>
      </c>
      <c r="AE11" s="38">
        <f>SUM(AF11:BB11)</f>
        <v>23128491</v>
      </c>
      <c r="AF11" s="38">
        <f>июль!CP10</f>
        <v>0</v>
      </c>
      <c r="AG11" s="46">
        <f>июль!X10</f>
        <v>0</v>
      </c>
      <c r="AH11" s="46">
        <f>июль!Z10</f>
        <v>0</v>
      </c>
      <c r="AI11" s="46">
        <f>июль!AB10</f>
        <v>0</v>
      </c>
      <c r="AJ11" s="46">
        <f>июль!AE10</f>
        <v>0</v>
      </c>
      <c r="AK11" s="46">
        <f>июль!AG10</f>
        <v>1646400</v>
      </c>
      <c r="AL11" s="46">
        <f>июль!BK10</f>
        <v>5407800</v>
      </c>
      <c r="AM11" s="46"/>
      <c r="AN11" s="46">
        <f>июль!BS10</f>
        <v>0</v>
      </c>
      <c r="AO11" s="46">
        <f>июль!CW10</f>
        <v>3181700</v>
      </c>
      <c r="AP11" s="46">
        <f>июль!CX10</f>
        <v>1163000</v>
      </c>
      <c r="AQ11" s="46">
        <f>июль!CY10</f>
        <v>4484400</v>
      </c>
      <c r="AR11" s="46">
        <f>июль!CZ10</f>
        <v>3800000</v>
      </c>
      <c r="AS11" s="46">
        <f>июль!DA10</f>
        <v>0</v>
      </c>
      <c r="AT11" s="46"/>
      <c r="AU11" s="46">
        <f>июль!DK10</f>
        <v>1290000</v>
      </c>
      <c r="AV11" s="46">
        <f>июль!DL10</f>
        <v>0</v>
      </c>
      <c r="AW11" s="67">
        <v>0</v>
      </c>
      <c r="AX11" s="67">
        <f>июль!ET10</f>
        <v>2155191</v>
      </c>
      <c r="AY11" s="67">
        <f>июль!EU10</f>
        <v>0</v>
      </c>
      <c r="AZ11" s="67"/>
      <c r="BA11" s="67">
        <f>июль!BQ10</f>
        <v>0</v>
      </c>
      <c r="BB11" s="67">
        <f>июль!BW10</f>
        <v>0</v>
      </c>
      <c r="BC11" s="93">
        <f>BE11+BF11+BI11+CI11+CJ11+CK11</f>
        <v>91800000</v>
      </c>
      <c r="BD11" s="103"/>
      <c r="BE11" s="41">
        <f>июль!P10</f>
        <v>682100</v>
      </c>
      <c r="BF11" s="41">
        <f>BG11+BH11</f>
        <v>2621100</v>
      </c>
      <c r="BG11" s="41">
        <f>июль!CF10</f>
        <v>597100</v>
      </c>
      <c r="BH11" s="41">
        <f>июль!CG10</f>
        <v>2024000</v>
      </c>
      <c r="BI11" s="67">
        <f>SUM(BJ11:CH11)</f>
        <v>85142100</v>
      </c>
      <c r="BJ11" s="159">
        <f>июль!F10</f>
        <v>153200</v>
      </c>
      <c r="BK11" s="159">
        <f>июль!G10</f>
        <v>4200</v>
      </c>
      <c r="BL11" s="159">
        <f>июль!H10</f>
        <v>0</v>
      </c>
      <c r="BM11" s="159">
        <f>июль!I10</f>
        <v>0</v>
      </c>
      <c r="BN11" s="159">
        <f>июль!J10</f>
        <v>341100</v>
      </c>
      <c r="BO11" s="159">
        <f>июль!K10</f>
        <v>22000</v>
      </c>
      <c r="BP11" s="159">
        <f>июль!L10</f>
        <v>38400</v>
      </c>
      <c r="BQ11" s="50">
        <f>июль!N10</f>
        <v>500</v>
      </c>
      <c r="BR11" s="46">
        <f>июль!Y10</f>
        <v>0</v>
      </c>
      <c r="BS11" s="50">
        <f>июль!AC10</f>
        <v>78439800</v>
      </c>
      <c r="BT11" s="50">
        <f>июль!AD10</f>
        <v>2772000</v>
      </c>
      <c r="BU11" s="46">
        <f>июль!AI10</f>
        <v>46400</v>
      </c>
      <c r="BV11" s="46">
        <f>июль!AJ10</f>
        <v>781000</v>
      </c>
      <c r="BW11" s="46">
        <f>июль!AK10</f>
        <v>78800</v>
      </c>
      <c r="BX11" s="46">
        <f>июль!AL10</f>
        <v>0</v>
      </c>
      <c r="BY11" s="46">
        <f>июль!AQ10</f>
        <v>0</v>
      </c>
      <c r="BZ11" s="46">
        <f>июль!AR10</f>
        <v>0</v>
      </c>
      <c r="CA11" s="46">
        <f>июль!AS10</f>
        <v>0</v>
      </c>
      <c r="CB11" s="46">
        <f>июль!AT10</f>
        <v>0</v>
      </c>
      <c r="CC11" s="46">
        <f>июль!BL10</f>
        <v>2290000</v>
      </c>
      <c r="CD11" s="46">
        <f>июль!BM10</f>
        <v>159300</v>
      </c>
      <c r="CE11" s="50">
        <f>июль!CJ10</f>
        <v>5400</v>
      </c>
      <c r="CF11" s="50">
        <f>июль!CM10</f>
        <v>0</v>
      </c>
      <c r="CG11" s="50">
        <f>июль!CS10</f>
        <v>10000</v>
      </c>
      <c r="CH11" s="50">
        <f>июль!CT10</f>
        <v>0</v>
      </c>
      <c r="CI11" s="17">
        <f>июль!AP10</f>
        <v>2367600</v>
      </c>
      <c r="CJ11" s="41">
        <f>июль!AO10</f>
        <v>987100</v>
      </c>
      <c r="CK11" s="41">
        <f>июль!CL10</f>
        <v>0</v>
      </c>
      <c r="CL11" s="93">
        <f>CO11+CP11+CU11+CV11+CM11</f>
        <v>70000</v>
      </c>
      <c r="CM11" s="107"/>
      <c r="CN11" s="107"/>
      <c r="CO11" s="41"/>
      <c r="CP11" s="17">
        <f>CQ11+CR11+CS11</f>
        <v>0</v>
      </c>
      <c r="CQ11" s="17">
        <f>июль!DP10</f>
        <v>0</v>
      </c>
      <c r="CR11" s="17">
        <f>июль!DQ10</f>
        <v>0</v>
      </c>
      <c r="CS11" s="41">
        <f>июль!BH10</f>
        <v>0</v>
      </c>
      <c r="CT11" s="41"/>
      <c r="CU11" s="169">
        <f>июль!BP10</f>
        <v>70000</v>
      </c>
      <c r="CV11" s="17">
        <f>SUM(CW11:CX11)</f>
        <v>0</v>
      </c>
      <c r="CW11" s="41">
        <f>июль!T10</f>
        <v>0</v>
      </c>
      <c r="CX11" s="281">
        <f>июль!BG10</f>
        <v>0</v>
      </c>
    </row>
    <row r="12" spans="1:102" ht="16.5" customHeight="1" x14ac:dyDescent="0.25">
      <c r="A12" s="144">
        <v>7</v>
      </c>
      <c r="B12" s="1" t="s">
        <v>66</v>
      </c>
      <c r="C12" s="4">
        <f>D12+L12+BC12+CL12</f>
        <v>379612600</v>
      </c>
      <c r="D12" s="93">
        <f>E12+F12+G12+H12</f>
        <v>165909300</v>
      </c>
      <c r="E12" s="107"/>
      <c r="F12" s="107">
        <f>июль!AZ11</f>
        <v>153907000</v>
      </c>
      <c r="G12" s="107">
        <f>июль!BC11</f>
        <v>12002300</v>
      </c>
      <c r="H12" s="107"/>
      <c r="I12" s="107">
        <f>J12+K12</f>
        <v>0</v>
      </c>
      <c r="J12" s="107">
        <f>июль!BD11</f>
        <v>0</v>
      </c>
      <c r="K12" s="107">
        <f>июль!BE11</f>
        <v>0</v>
      </c>
      <c r="L12" s="93">
        <f>M12+N12+O12+P12+V12+W12+AD12+AE12+AC12+AB12</f>
        <v>48563100</v>
      </c>
      <c r="M12" s="107">
        <f>июль!EH11</f>
        <v>0</v>
      </c>
      <c r="N12" s="107">
        <f>июль!EG11</f>
        <v>0</v>
      </c>
      <c r="O12" s="107"/>
      <c r="P12" s="225">
        <f>SUM(Q12:U12)</f>
        <v>1000000</v>
      </c>
      <c r="Q12" s="268">
        <f>июль!CV11</f>
        <v>0</v>
      </c>
      <c r="R12" s="225">
        <f>июль!DO11</f>
        <v>0</v>
      </c>
      <c r="S12" s="225">
        <f>июль!DX11</f>
        <v>0</v>
      </c>
      <c r="T12" s="225">
        <f>июль!ED11</f>
        <v>0</v>
      </c>
      <c r="U12" s="225">
        <f>июль!EL11</f>
        <v>1000000</v>
      </c>
      <c r="V12" s="107">
        <f>июль!DF11</f>
        <v>0</v>
      </c>
      <c r="W12" s="67">
        <f>SUM(X12:AA12)</f>
        <v>0</v>
      </c>
      <c r="X12" s="67"/>
      <c r="Y12" s="67"/>
      <c r="Z12" s="67"/>
      <c r="AA12" s="67"/>
      <c r="AB12" s="107">
        <f>июль!CB11</f>
        <v>14000000</v>
      </c>
      <c r="AC12" s="107">
        <f>июль!CD11</f>
        <v>1500000</v>
      </c>
      <c r="AD12" s="107">
        <f>июль!CR11</f>
        <v>0</v>
      </c>
      <c r="AE12" s="38">
        <f>SUM(AF12:BB12)</f>
        <v>32063100</v>
      </c>
      <c r="AF12" s="38">
        <f>июль!CP11</f>
        <v>0</v>
      </c>
      <c r="AG12" s="46">
        <f>июль!X11</f>
        <v>0</v>
      </c>
      <c r="AH12" s="46">
        <f>июль!Z11</f>
        <v>0</v>
      </c>
      <c r="AI12" s="46">
        <f>июль!AB11</f>
        <v>0</v>
      </c>
      <c r="AJ12" s="46">
        <f>июль!AE11</f>
        <v>0</v>
      </c>
      <c r="AK12" s="46">
        <f>июль!AG11</f>
        <v>3722800</v>
      </c>
      <c r="AL12" s="46">
        <f>июль!BK11</f>
        <v>12257900</v>
      </c>
      <c r="AM12" s="46"/>
      <c r="AN12" s="46">
        <f>июль!BS11</f>
        <v>0</v>
      </c>
      <c r="AO12" s="46">
        <f>июль!CW11</f>
        <v>4392600</v>
      </c>
      <c r="AP12" s="46">
        <f>июль!CX11</f>
        <v>533000</v>
      </c>
      <c r="AQ12" s="46">
        <f>июль!CY11</f>
        <v>6306800</v>
      </c>
      <c r="AR12" s="46">
        <f>июль!CZ11</f>
        <v>2700000</v>
      </c>
      <c r="AS12" s="46"/>
      <c r="AT12" s="46">
        <f>июль!DH11</f>
        <v>0</v>
      </c>
      <c r="AU12" s="46">
        <f>июль!DK11</f>
        <v>2150000</v>
      </c>
      <c r="AV12" s="46">
        <f>июль!DL11</f>
        <v>0</v>
      </c>
      <c r="AW12" s="67">
        <v>0</v>
      </c>
      <c r="AX12" s="67">
        <f>июль!ET11</f>
        <v>0</v>
      </c>
      <c r="AY12" s="67">
        <f>июль!EU11</f>
        <v>0</v>
      </c>
      <c r="AZ12" s="67"/>
      <c r="BA12" s="67">
        <f>июль!BQ11</f>
        <v>0</v>
      </c>
      <c r="BB12" s="67">
        <f>июль!BW11</f>
        <v>0</v>
      </c>
      <c r="BC12" s="93">
        <f>BE12+BF12+BI12+CI12+CJ12+CK12</f>
        <v>163945400</v>
      </c>
      <c r="BD12" s="103"/>
      <c r="BE12" s="41">
        <f>июль!P11</f>
        <v>982200</v>
      </c>
      <c r="BF12" s="41">
        <f>BG12+BH12</f>
        <v>4233500</v>
      </c>
      <c r="BG12" s="41">
        <f>июль!CF11</f>
        <v>1084500</v>
      </c>
      <c r="BH12" s="41">
        <f>июль!CG11</f>
        <v>3149000</v>
      </c>
      <c r="BI12" s="67">
        <f>SUM(BJ12:CH12)</f>
        <v>141206200</v>
      </c>
      <c r="BJ12" s="159">
        <f>июль!F11</f>
        <v>162200</v>
      </c>
      <c r="BK12" s="159">
        <f>июль!G11</f>
        <v>6900</v>
      </c>
      <c r="BL12" s="159">
        <f>июль!H11</f>
        <v>0</v>
      </c>
      <c r="BM12" s="159">
        <f>июль!I11</f>
        <v>0</v>
      </c>
      <c r="BN12" s="159">
        <f>июль!J11</f>
        <v>377600</v>
      </c>
      <c r="BO12" s="159">
        <f>июль!K11</f>
        <v>0</v>
      </c>
      <c r="BP12" s="159">
        <f>июль!L11</f>
        <v>42200</v>
      </c>
      <c r="BQ12" s="50">
        <f>июль!N11</f>
        <v>500</v>
      </c>
      <c r="BR12" s="46">
        <f>июль!Y11</f>
        <v>15100</v>
      </c>
      <c r="BS12" s="50">
        <f>июль!AC11</f>
        <v>129982600</v>
      </c>
      <c r="BT12" s="50">
        <f>июль!AD11</f>
        <v>4788000</v>
      </c>
      <c r="BU12" s="46">
        <f>июль!AI11</f>
        <v>93000</v>
      </c>
      <c r="BV12" s="46">
        <f>июль!AJ11</f>
        <v>1171400</v>
      </c>
      <c r="BW12" s="46">
        <f>июль!AK11</f>
        <v>131300</v>
      </c>
      <c r="BX12" s="46">
        <f>июль!AL11</f>
        <v>11000</v>
      </c>
      <c r="BY12" s="46">
        <f>июль!AQ11</f>
        <v>0</v>
      </c>
      <c r="BZ12" s="46">
        <f>июль!AR11</f>
        <v>46200</v>
      </c>
      <c r="CA12" s="46">
        <f>июль!AS11</f>
        <v>199800</v>
      </c>
      <c r="CB12" s="46">
        <f>июль!AT11</f>
        <v>0</v>
      </c>
      <c r="CC12" s="46">
        <f>июль!BL11</f>
        <v>3712000</v>
      </c>
      <c r="CD12" s="46">
        <f>июль!BM11</f>
        <v>177100</v>
      </c>
      <c r="CE12" s="50">
        <f>июль!CJ11</f>
        <v>8400</v>
      </c>
      <c r="CF12" s="50">
        <f>июль!CM11</f>
        <v>0</v>
      </c>
      <c r="CG12" s="50">
        <f>июль!CS11</f>
        <v>280900</v>
      </c>
      <c r="CH12" s="50">
        <f>июль!CT11</f>
        <v>0</v>
      </c>
      <c r="CI12" s="17">
        <f>июль!AP11</f>
        <v>15163900</v>
      </c>
      <c r="CJ12" s="41">
        <f>июль!AO11</f>
        <v>2359600</v>
      </c>
      <c r="CK12" s="41">
        <f>июль!CL11</f>
        <v>0</v>
      </c>
      <c r="CL12" s="93">
        <f>CO12+CP12+CU12+CV12+CM12</f>
        <v>1194800</v>
      </c>
      <c r="CM12" s="107"/>
      <c r="CN12" s="107"/>
      <c r="CO12" s="41"/>
      <c r="CP12" s="17">
        <f>CQ12+CR12+CS12</f>
        <v>1137800</v>
      </c>
      <c r="CQ12" s="17">
        <f>июль!DP11</f>
        <v>0</v>
      </c>
      <c r="CR12" s="17">
        <f>июль!DQ11</f>
        <v>12000</v>
      </c>
      <c r="CS12" s="41">
        <f>июль!BH11</f>
        <v>1125800</v>
      </c>
      <c r="CT12" s="41"/>
      <c r="CU12" s="169">
        <f>июль!BP11</f>
        <v>57000</v>
      </c>
      <c r="CV12" s="17">
        <f>SUM(CW12:CX12)</f>
        <v>0</v>
      </c>
      <c r="CW12" s="41">
        <f>июль!T11</f>
        <v>0</v>
      </c>
      <c r="CX12" s="281">
        <f>июль!BG11</f>
        <v>0</v>
      </c>
    </row>
    <row r="13" spans="1:102" ht="16.5" customHeight="1" x14ac:dyDescent="0.25">
      <c r="A13" s="144">
        <v>8</v>
      </c>
      <c r="B13" s="1" t="s">
        <v>67</v>
      </c>
      <c r="C13" s="4">
        <f>D13+L13+BC13+CL13</f>
        <v>276365529</v>
      </c>
      <c r="D13" s="93">
        <f>E13+F13+G13+H13</f>
        <v>24832000</v>
      </c>
      <c r="E13" s="107"/>
      <c r="F13" s="107">
        <f>июль!AZ12</f>
        <v>20032000</v>
      </c>
      <c r="G13" s="107">
        <f>июль!BC12</f>
        <v>4800000</v>
      </c>
      <c r="H13" s="107"/>
      <c r="I13" s="107">
        <f>J13+K13</f>
        <v>0</v>
      </c>
      <c r="J13" s="107">
        <f>июль!BD12</f>
        <v>0</v>
      </c>
      <c r="K13" s="107">
        <f>июль!BE12</f>
        <v>0</v>
      </c>
      <c r="L13" s="93">
        <f>M13+N13+O13+P13+V13+W13+AD13+AE13+AC13+AB13</f>
        <v>76410129</v>
      </c>
      <c r="M13" s="107">
        <f>июль!EH12</f>
        <v>0</v>
      </c>
      <c r="N13" s="107">
        <f>июль!EG12</f>
        <v>0</v>
      </c>
      <c r="O13" s="107"/>
      <c r="P13" s="225">
        <f>SUM(Q13:U13)</f>
        <v>5000000</v>
      </c>
      <c r="Q13" s="268">
        <f>июль!CV12</f>
        <v>0</v>
      </c>
      <c r="R13" s="225">
        <f>июль!DO12</f>
        <v>5000000</v>
      </c>
      <c r="S13" s="225">
        <f>июль!DX12</f>
        <v>0</v>
      </c>
      <c r="T13" s="225">
        <f>июль!ED12</f>
        <v>0</v>
      </c>
      <c r="U13" s="225">
        <f>июль!EL12</f>
        <v>0</v>
      </c>
      <c r="V13" s="107">
        <f>июль!DF12</f>
        <v>0</v>
      </c>
      <c r="W13" s="67">
        <f>SUM(X13:AA13)</f>
        <v>0</v>
      </c>
      <c r="X13" s="67"/>
      <c r="Y13" s="67"/>
      <c r="Z13" s="67"/>
      <c r="AA13" s="67"/>
      <c r="AB13" s="107">
        <f>июль!CB12</f>
        <v>0</v>
      </c>
      <c r="AC13" s="107">
        <f>июль!CD12</f>
        <v>5550000</v>
      </c>
      <c r="AD13" s="107">
        <f>июль!CR12</f>
        <v>0</v>
      </c>
      <c r="AE13" s="38">
        <f>SUM(AF13:BB13)</f>
        <v>65860129</v>
      </c>
      <c r="AF13" s="38">
        <f>июль!CP12</f>
        <v>0</v>
      </c>
      <c r="AG13" s="46">
        <f>июль!X12</f>
        <v>2821300</v>
      </c>
      <c r="AH13" s="46">
        <f>июль!Z12</f>
        <v>0</v>
      </c>
      <c r="AI13" s="46">
        <f>июль!AB12</f>
        <v>845100</v>
      </c>
      <c r="AJ13" s="46">
        <f>июль!AE12</f>
        <v>0</v>
      </c>
      <c r="AK13" s="46">
        <f>июль!AG12</f>
        <v>2024400</v>
      </c>
      <c r="AL13" s="46">
        <f>июль!BK12</f>
        <v>9598800</v>
      </c>
      <c r="AM13" s="46"/>
      <c r="AN13" s="46">
        <f>июль!BS12</f>
        <v>190500</v>
      </c>
      <c r="AO13" s="46">
        <f>июль!CW12</f>
        <v>3971600</v>
      </c>
      <c r="AP13" s="46">
        <f>июль!CX12</f>
        <v>12807600</v>
      </c>
      <c r="AQ13" s="46">
        <f>июль!CY12</f>
        <v>6070600</v>
      </c>
      <c r="AR13" s="46">
        <f>июль!CZ12</f>
        <v>0</v>
      </c>
      <c r="AS13" s="46">
        <v>10000000</v>
      </c>
      <c r="AT13" s="46">
        <f>июль!DH12</f>
        <v>0</v>
      </c>
      <c r="AU13" s="46">
        <f>июль!DK12</f>
        <v>17530229</v>
      </c>
      <c r="AV13" s="46">
        <f>июль!DL12</f>
        <v>0</v>
      </c>
      <c r="AW13" s="67">
        <v>0</v>
      </c>
      <c r="AX13" s="67">
        <f>июль!ET12</f>
        <v>0</v>
      </c>
      <c r="AY13" s="67">
        <f>июль!EU12</f>
        <v>0</v>
      </c>
      <c r="AZ13" s="67"/>
      <c r="BA13" s="67">
        <f>июль!BQ12</f>
        <v>0</v>
      </c>
      <c r="BB13" s="67">
        <f>июль!BW12</f>
        <v>0</v>
      </c>
      <c r="BC13" s="93">
        <f>BE13+BF13+BI13+CI13+CJ13+CK13</f>
        <v>175123400</v>
      </c>
      <c r="BD13" s="103"/>
      <c r="BE13" s="41">
        <f>июль!P12</f>
        <v>1315100</v>
      </c>
      <c r="BF13" s="41">
        <f>BG13+BH13</f>
        <v>4591200</v>
      </c>
      <c r="BG13" s="41">
        <f>июль!CF12</f>
        <v>903200</v>
      </c>
      <c r="BH13" s="41">
        <f>июль!CG12</f>
        <v>3688000</v>
      </c>
      <c r="BI13" s="67">
        <f>SUM(BJ13:CH13)</f>
        <v>153689500</v>
      </c>
      <c r="BJ13" s="159">
        <f>июль!F12</f>
        <v>324200</v>
      </c>
      <c r="BK13" s="159">
        <f>июль!G12</f>
        <v>9400</v>
      </c>
      <c r="BL13" s="159">
        <f>июль!H12</f>
        <v>0</v>
      </c>
      <c r="BM13" s="159">
        <f>июль!I12</f>
        <v>0</v>
      </c>
      <c r="BN13" s="159">
        <f>июль!J12</f>
        <v>359300</v>
      </c>
      <c r="BO13" s="159">
        <f>июль!K12</f>
        <v>0</v>
      </c>
      <c r="BP13" s="159">
        <f>июль!L12</f>
        <v>34600</v>
      </c>
      <c r="BQ13" s="50">
        <f>июль!N12</f>
        <v>400</v>
      </c>
      <c r="BR13" s="46">
        <f>июль!Y12</f>
        <v>10500</v>
      </c>
      <c r="BS13" s="50">
        <f>июль!AC12</f>
        <v>143391600</v>
      </c>
      <c r="BT13" s="50">
        <f>июль!AD12</f>
        <v>2434300</v>
      </c>
      <c r="BU13" s="46">
        <f>июль!AI12</f>
        <v>81300</v>
      </c>
      <c r="BV13" s="46">
        <f>июль!AJ12</f>
        <v>1561900</v>
      </c>
      <c r="BW13" s="46">
        <f>июль!AK12</f>
        <v>70100</v>
      </c>
      <c r="BX13" s="46">
        <f>июль!AL12</f>
        <v>1900</v>
      </c>
      <c r="BY13" s="46">
        <f>июль!AQ12</f>
        <v>0</v>
      </c>
      <c r="BZ13" s="46">
        <f>июль!AR12</f>
        <v>10000</v>
      </c>
      <c r="CA13" s="46">
        <f>июль!AS12</f>
        <v>133200</v>
      </c>
      <c r="CB13" s="46">
        <f>июль!AT12</f>
        <v>0</v>
      </c>
      <c r="CC13" s="46">
        <f>июль!BL12</f>
        <v>5106000</v>
      </c>
      <c r="CD13" s="46">
        <f>июль!BM12</f>
        <v>141700</v>
      </c>
      <c r="CE13" s="50">
        <f>июль!CJ12</f>
        <v>8400</v>
      </c>
      <c r="CF13" s="50">
        <f>июль!CM12</f>
        <v>700</v>
      </c>
      <c r="CG13" s="50">
        <f>июль!CS12</f>
        <v>10000</v>
      </c>
      <c r="CH13" s="50">
        <f>июль!CT12</f>
        <v>0</v>
      </c>
      <c r="CI13" s="17">
        <f>июль!AP12</f>
        <v>11218900</v>
      </c>
      <c r="CJ13" s="41">
        <f>июль!AO12</f>
        <v>4030200</v>
      </c>
      <c r="CK13" s="41">
        <f>июль!CL12</f>
        <v>278500</v>
      </c>
      <c r="CL13" s="93">
        <f>CO13+CP13+CU13+CV13+CM13</f>
        <v>0</v>
      </c>
      <c r="CM13" s="107"/>
      <c r="CN13" s="107"/>
      <c r="CO13" s="41"/>
      <c r="CP13" s="17">
        <f>CQ13+CR13+CS13</f>
        <v>0</v>
      </c>
      <c r="CQ13" s="17">
        <f>июль!DP12</f>
        <v>0</v>
      </c>
      <c r="CR13" s="17">
        <f>июль!DQ12</f>
        <v>0</v>
      </c>
      <c r="CS13" s="41">
        <f>июль!BH12</f>
        <v>0</v>
      </c>
      <c r="CT13" s="41"/>
      <c r="CU13" s="169">
        <f>июль!BP12</f>
        <v>0</v>
      </c>
      <c r="CV13" s="17">
        <f>SUM(CW13:CX13)</f>
        <v>0</v>
      </c>
      <c r="CW13" s="41">
        <f>июль!T12</f>
        <v>0</v>
      </c>
      <c r="CX13" s="281">
        <f>июль!BG12</f>
        <v>0</v>
      </c>
    </row>
    <row r="14" spans="1:102" ht="16.5" customHeight="1" x14ac:dyDescent="0.25">
      <c r="A14" s="144">
        <v>9</v>
      </c>
      <c r="B14" s="1" t="s">
        <v>68</v>
      </c>
      <c r="C14" s="4">
        <f>D14+L14+BC14+CL14</f>
        <v>268190506</v>
      </c>
      <c r="D14" s="93">
        <f>E14+F14+G14+H14</f>
        <v>77056000</v>
      </c>
      <c r="E14" s="107"/>
      <c r="F14" s="107">
        <f>июль!AZ13</f>
        <v>40811000</v>
      </c>
      <c r="G14" s="107">
        <f>июль!BC13</f>
        <v>36245000</v>
      </c>
      <c r="H14" s="107"/>
      <c r="I14" s="107">
        <f>J14+K14</f>
        <v>0</v>
      </c>
      <c r="J14" s="107">
        <f>июль!BD13</f>
        <v>0</v>
      </c>
      <c r="K14" s="107">
        <f>июль!BE13</f>
        <v>0</v>
      </c>
      <c r="L14" s="93">
        <f>M14+N14+O14+P14+V14+W14+AD14+AE14+AC14+AB14</f>
        <v>70856581</v>
      </c>
      <c r="M14" s="107">
        <f>июль!EH13</f>
        <v>0</v>
      </c>
      <c r="N14" s="107">
        <f>июль!EG13</f>
        <v>0</v>
      </c>
      <c r="O14" s="107">
        <f>июль!EI13</f>
        <v>7500000</v>
      </c>
      <c r="P14" s="225">
        <f>SUM(Q14:U14)</f>
        <v>0</v>
      </c>
      <c r="Q14" s="268">
        <f>июль!CV13</f>
        <v>0</v>
      </c>
      <c r="R14" s="225">
        <f>июль!DO13</f>
        <v>0</v>
      </c>
      <c r="S14" s="225">
        <f>июль!DX13</f>
        <v>0</v>
      </c>
      <c r="T14" s="225">
        <f>июль!ED13</f>
        <v>0</v>
      </c>
      <c r="U14" s="225">
        <f>июль!EL13</f>
        <v>0</v>
      </c>
      <c r="V14" s="107">
        <f>июль!DF13</f>
        <v>0</v>
      </c>
      <c r="W14" s="67">
        <f>SUM(X14:AA14)</f>
        <v>854400</v>
      </c>
      <c r="X14" s="67"/>
      <c r="Y14" s="67">
        <f>июль!DJ13</f>
        <v>200000</v>
      </c>
      <c r="Z14" s="67"/>
      <c r="AA14" s="67">
        <f>июль!DM13</f>
        <v>654400</v>
      </c>
      <c r="AB14" s="107">
        <f>июль!CB13</f>
        <v>7291600</v>
      </c>
      <c r="AC14" s="107">
        <f>июль!CD13</f>
        <v>400000</v>
      </c>
      <c r="AD14" s="107">
        <f>июль!CR13</f>
        <v>0</v>
      </c>
      <c r="AE14" s="38">
        <f>SUM(AF14:BB14)</f>
        <v>54810581</v>
      </c>
      <c r="AF14" s="38">
        <f>июль!CP13</f>
        <v>0</v>
      </c>
      <c r="AG14" s="46">
        <f>июль!X13</f>
        <v>1833800</v>
      </c>
      <c r="AH14" s="46">
        <f>июль!Z13</f>
        <v>1150000</v>
      </c>
      <c r="AI14" s="46">
        <f>июль!AB13</f>
        <v>1592700</v>
      </c>
      <c r="AJ14" s="46">
        <f>июль!AE13</f>
        <v>0</v>
      </c>
      <c r="AK14" s="46">
        <f>июль!AG13</f>
        <v>1163500</v>
      </c>
      <c r="AL14" s="46">
        <f>июль!BK13</f>
        <v>14228300</v>
      </c>
      <c r="AM14" s="46"/>
      <c r="AN14" s="46">
        <f>июль!BS13</f>
        <v>0</v>
      </c>
      <c r="AO14" s="46">
        <f>июль!CW13</f>
        <v>9584000</v>
      </c>
      <c r="AP14" s="46">
        <f>июль!CX13</f>
        <v>2423000</v>
      </c>
      <c r="AQ14" s="46">
        <f>июль!CY13</f>
        <v>12507500</v>
      </c>
      <c r="AR14" s="46">
        <f>июль!CZ13</f>
        <v>0</v>
      </c>
      <c r="AS14" s="46">
        <f>июль!DA13</f>
        <v>0</v>
      </c>
      <c r="AT14" s="46">
        <f>июль!EJ13</f>
        <v>5000000</v>
      </c>
      <c r="AU14" s="46">
        <f>июль!DK13</f>
        <v>5327781</v>
      </c>
      <c r="AV14" s="46">
        <f>июль!DL13</f>
        <v>0</v>
      </c>
      <c r="AW14" s="67">
        <v>0</v>
      </c>
      <c r="AX14" s="67">
        <f>июль!ET13</f>
        <v>0</v>
      </c>
      <c r="AY14" s="67">
        <f>июль!EU13</f>
        <v>0</v>
      </c>
      <c r="AZ14" s="67"/>
      <c r="BA14" s="67">
        <f>июль!BQ13</f>
        <v>0</v>
      </c>
      <c r="BB14" s="67">
        <f>июль!BW13</f>
        <v>0</v>
      </c>
      <c r="BC14" s="93">
        <f>BE14+BF14+BI14+CI14+CJ14+CK14</f>
        <v>120155600</v>
      </c>
      <c r="BD14" s="103"/>
      <c r="BE14" s="41">
        <f>июль!P13</f>
        <v>789900</v>
      </c>
      <c r="BF14" s="41">
        <f>BG14+BH14</f>
        <v>2553200</v>
      </c>
      <c r="BG14" s="41">
        <f>июль!CF13</f>
        <v>396200</v>
      </c>
      <c r="BH14" s="41">
        <f>июль!CG13</f>
        <v>2157000</v>
      </c>
      <c r="BI14" s="67">
        <f>SUM(BJ14:CH14)</f>
        <v>109381600</v>
      </c>
      <c r="BJ14" s="159">
        <f>июль!F13</f>
        <v>195400</v>
      </c>
      <c r="BK14" s="159">
        <f>июль!G13</f>
        <v>4000</v>
      </c>
      <c r="BL14" s="159">
        <f>июль!H13</f>
        <v>457800</v>
      </c>
      <c r="BM14" s="159">
        <f>июль!I13</f>
        <v>0</v>
      </c>
      <c r="BN14" s="159">
        <f>июль!J13</f>
        <v>427100</v>
      </c>
      <c r="BO14" s="159">
        <f>июль!K13</f>
        <v>27000</v>
      </c>
      <c r="BP14" s="159">
        <f>июль!L13</f>
        <v>23100</v>
      </c>
      <c r="BQ14" s="50">
        <f>июль!N13</f>
        <v>300</v>
      </c>
      <c r="BR14" s="46">
        <f>июль!Y13</f>
        <v>16500</v>
      </c>
      <c r="BS14" s="50">
        <f>июль!AC13</f>
        <v>103795100</v>
      </c>
      <c r="BT14" s="50">
        <f>июль!AD13</f>
        <v>819000</v>
      </c>
      <c r="BU14" s="46">
        <f>июль!AI13</f>
        <v>60100</v>
      </c>
      <c r="BV14" s="46">
        <f>июль!AJ13</f>
        <v>585800</v>
      </c>
      <c r="BW14" s="46">
        <f>июль!AK13</f>
        <v>34000</v>
      </c>
      <c r="BX14" s="46">
        <f>июль!AL13</f>
        <v>3000</v>
      </c>
      <c r="BY14" s="46">
        <f>июль!AQ13</f>
        <v>145400</v>
      </c>
      <c r="BZ14" s="46">
        <f>июль!AR13</f>
        <v>0</v>
      </c>
      <c r="CA14" s="46">
        <f>июль!AS13</f>
        <v>114300</v>
      </c>
      <c r="CB14" s="46">
        <f>июль!AT13</f>
        <v>0</v>
      </c>
      <c r="CC14" s="46">
        <f>июль!BL13</f>
        <v>2143000</v>
      </c>
      <c r="CD14" s="46">
        <f>июль!BM13</f>
        <v>88500</v>
      </c>
      <c r="CE14" s="50">
        <f>июль!CJ13</f>
        <v>5000</v>
      </c>
      <c r="CF14" s="50">
        <f>июль!CM13</f>
        <v>0</v>
      </c>
      <c r="CG14" s="50">
        <f>июль!CS13</f>
        <v>437013.6</v>
      </c>
      <c r="CH14" s="50">
        <f>июль!CT13</f>
        <v>186.4</v>
      </c>
      <c r="CI14" s="17">
        <f>июль!AP13</f>
        <v>5145000</v>
      </c>
      <c r="CJ14" s="41">
        <f>июль!AO13</f>
        <v>2285900</v>
      </c>
      <c r="CK14" s="41">
        <f>июль!CL13</f>
        <v>0</v>
      </c>
      <c r="CL14" s="93">
        <f>CO14+CP14+CU14+CV14+CM14</f>
        <v>122325</v>
      </c>
      <c r="CM14" s="107"/>
      <c r="CN14" s="107"/>
      <c r="CO14" s="41"/>
      <c r="CP14" s="17">
        <f>CQ14+CR14+CS14</f>
        <v>0</v>
      </c>
      <c r="CQ14" s="17">
        <f>июль!DP13</f>
        <v>0</v>
      </c>
      <c r="CR14" s="17">
        <f>июль!DQ13</f>
        <v>0</v>
      </c>
      <c r="CS14" s="41">
        <f>июль!BH13</f>
        <v>0</v>
      </c>
      <c r="CT14" s="41"/>
      <c r="CU14" s="169">
        <f>июль!BP13</f>
        <v>49000</v>
      </c>
      <c r="CV14" s="17">
        <f>SUM(CW14:CX14)</f>
        <v>73325</v>
      </c>
      <c r="CW14" s="41">
        <f>июль!T13</f>
        <v>73325</v>
      </c>
      <c r="CX14" s="281">
        <f>июль!BG13</f>
        <v>0</v>
      </c>
    </row>
    <row r="15" spans="1:102" ht="16.5" customHeight="1" x14ac:dyDescent="0.25">
      <c r="A15" s="144">
        <v>10</v>
      </c>
      <c r="B15" s="1" t="s">
        <v>69</v>
      </c>
      <c r="C15" s="4">
        <f>D15+L15+BC15+CL15</f>
        <v>133652100</v>
      </c>
      <c r="D15" s="93">
        <f>E15+F15+G15+H15</f>
        <v>27998000</v>
      </c>
      <c r="E15" s="107"/>
      <c r="F15" s="107">
        <f>июль!AZ14</f>
        <v>27498000</v>
      </c>
      <c r="G15" s="107">
        <f>июль!BC14</f>
        <v>500000</v>
      </c>
      <c r="H15" s="107"/>
      <c r="I15" s="107">
        <f>J15+K15</f>
        <v>0</v>
      </c>
      <c r="J15" s="107">
        <f>июль!BD14</f>
        <v>0</v>
      </c>
      <c r="K15" s="107">
        <f>июль!BE14</f>
        <v>0</v>
      </c>
      <c r="L15" s="93">
        <f>M15+N15+O15+P15+V15+W15+AD15+AE15+AC15+AB15</f>
        <v>17147700</v>
      </c>
      <c r="M15" s="107">
        <f>июль!EH14</f>
        <v>0</v>
      </c>
      <c r="N15" s="107">
        <f>июль!EG14</f>
        <v>0</v>
      </c>
      <c r="O15" s="107"/>
      <c r="P15" s="225">
        <f>SUM(Q15:U15)</f>
        <v>0</v>
      </c>
      <c r="Q15" s="268">
        <f>июль!CV14</f>
        <v>0</v>
      </c>
      <c r="R15" s="225">
        <f>июль!DO14</f>
        <v>0</v>
      </c>
      <c r="S15" s="225">
        <f>июль!DX14</f>
        <v>0</v>
      </c>
      <c r="T15" s="225">
        <f>июль!ED14</f>
        <v>0</v>
      </c>
      <c r="U15" s="225">
        <f>июль!EL14</f>
        <v>0</v>
      </c>
      <c r="V15" s="107">
        <f>июль!DF14</f>
        <v>0</v>
      </c>
      <c r="W15" s="67">
        <f>SUM(X15:AA15)</f>
        <v>0</v>
      </c>
      <c r="X15" s="67"/>
      <c r="Y15" s="67"/>
      <c r="Z15" s="67"/>
      <c r="AA15" s="67"/>
      <c r="AB15" s="107">
        <f>июль!CB14</f>
        <v>4295500</v>
      </c>
      <c r="AC15" s="107">
        <f>июль!CD14</f>
        <v>3400000</v>
      </c>
      <c r="AD15" s="107">
        <f>июль!CR14</f>
        <v>0</v>
      </c>
      <c r="AE15" s="38">
        <f>SUM(AF15:BB15)</f>
        <v>9452200</v>
      </c>
      <c r="AF15" s="38">
        <f>июль!CP14</f>
        <v>0</v>
      </c>
      <c r="AG15" s="46">
        <f>июль!X14</f>
        <v>0</v>
      </c>
      <c r="AH15" s="46">
        <f>июль!Z14</f>
        <v>237000</v>
      </c>
      <c r="AI15" s="46">
        <f>июль!AB14</f>
        <v>0</v>
      </c>
      <c r="AJ15" s="46">
        <f>июль!AE14</f>
        <v>0</v>
      </c>
      <c r="AK15" s="46">
        <f>июль!AG14</f>
        <v>987800</v>
      </c>
      <c r="AL15" s="46">
        <f>июль!BK14</f>
        <v>3825300</v>
      </c>
      <c r="AM15" s="46"/>
      <c r="AN15" s="46">
        <f>июль!BS14</f>
        <v>0</v>
      </c>
      <c r="AO15" s="46">
        <f>июль!CW14</f>
        <v>2466400</v>
      </c>
      <c r="AP15" s="46">
        <f>июль!CX14</f>
        <v>387700</v>
      </c>
      <c r="AQ15" s="46">
        <f>июль!CY14</f>
        <v>0</v>
      </c>
      <c r="AR15" s="46">
        <f>июль!CZ14</f>
        <v>0</v>
      </c>
      <c r="AS15" s="46">
        <f>июль!DA14</f>
        <v>0</v>
      </c>
      <c r="AT15" s="46">
        <f>июль!DH14</f>
        <v>0</v>
      </c>
      <c r="AU15" s="46">
        <f>июль!DK14</f>
        <v>1548000</v>
      </c>
      <c r="AV15" s="46">
        <f>июль!DL14</f>
        <v>0</v>
      </c>
      <c r="AW15" s="67">
        <v>0</v>
      </c>
      <c r="AX15" s="67">
        <f>июль!ET14</f>
        <v>0</v>
      </c>
      <c r="AY15" s="67">
        <f>июль!EU14</f>
        <v>0</v>
      </c>
      <c r="AZ15" s="67"/>
      <c r="BA15" s="67">
        <f>июль!BQ14</f>
        <v>0</v>
      </c>
      <c r="BB15" s="67">
        <f>июль!BW14</f>
        <v>0</v>
      </c>
      <c r="BC15" s="93">
        <f>BE15+BF15+BI15+CI15+CJ15+CK15</f>
        <v>88462400</v>
      </c>
      <c r="BD15" s="103"/>
      <c r="BE15" s="41">
        <f>июль!P14</f>
        <v>778000</v>
      </c>
      <c r="BF15" s="41">
        <f>BG15+BH15</f>
        <v>2313100</v>
      </c>
      <c r="BG15" s="41">
        <f>июль!CF14</f>
        <v>348100</v>
      </c>
      <c r="BH15" s="41">
        <f>июль!CG14</f>
        <v>1965000</v>
      </c>
      <c r="BI15" s="67">
        <f>SUM(BJ15:CH15)</f>
        <v>78876500</v>
      </c>
      <c r="BJ15" s="159">
        <f>июль!F14</f>
        <v>153200</v>
      </c>
      <c r="BK15" s="159">
        <f>июль!G14</f>
        <v>3900</v>
      </c>
      <c r="BL15" s="159">
        <f>июль!H14</f>
        <v>0</v>
      </c>
      <c r="BM15" s="159">
        <f>июль!I14</f>
        <v>310700</v>
      </c>
      <c r="BN15" s="159">
        <f>июль!J14</f>
        <v>341100</v>
      </c>
      <c r="BO15" s="159">
        <f>июль!K14</f>
        <v>0</v>
      </c>
      <c r="BP15" s="159">
        <f>июль!L14</f>
        <v>46100</v>
      </c>
      <c r="BQ15" s="50">
        <f>июль!N14</f>
        <v>600</v>
      </c>
      <c r="BR15" s="46">
        <f>июль!Y14</f>
        <v>0</v>
      </c>
      <c r="BS15" s="50">
        <f>июль!AC14</f>
        <v>72596600</v>
      </c>
      <c r="BT15" s="50">
        <f>июль!AD14</f>
        <v>2429300</v>
      </c>
      <c r="BU15" s="46">
        <f>июль!AI14</f>
        <v>34800</v>
      </c>
      <c r="BV15" s="46">
        <f>июль!AJ14</f>
        <v>585800</v>
      </c>
      <c r="BW15" s="46">
        <f>июль!AK14</f>
        <v>70100</v>
      </c>
      <c r="BX15" s="46">
        <f>июль!AL14</f>
        <v>0</v>
      </c>
      <c r="BY15" s="46">
        <f>июль!AQ14</f>
        <v>0</v>
      </c>
      <c r="BZ15" s="46">
        <f>июль!AR14</f>
        <v>0</v>
      </c>
      <c r="CA15" s="46">
        <f>июль!AS14</f>
        <v>0</v>
      </c>
      <c r="CB15" s="46">
        <f>июль!AT14</f>
        <v>0</v>
      </c>
      <c r="CC15" s="46">
        <f>июль!BL14</f>
        <v>2095000</v>
      </c>
      <c r="CD15" s="46">
        <f>июль!BM14</f>
        <v>194800</v>
      </c>
      <c r="CE15" s="50">
        <f>июль!CJ14</f>
        <v>4500</v>
      </c>
      <c r="CF15" s="50">
        <f>июль!CM14</f>
        <v>0</v>
      </c>
      <c r="CG15" s="50">
        <f>июль!CS14</f>
        <v>10000</v>
      </c>
      <c r="CH15" s="50">
        <f>июль!CT14</f>
        <v>0</v>
      </c>
      <c r="CI15" s="17">
        <f>июль!AP14</f>
        <v>5590300</v>
      </c>
      <c r="CJ15" s="41">
        <f>июль!AO14</f>
        <v>904500</v>
      </c>
      <c r="CK15" s="41">
        <f>июль!CL14</f>
        <v>0</v>
      </c>
      <c r="CL15" s="93">
        <f>CO15+CP15+CU15+CV15+CM15</f>
        <v>44000</v>
      </c>
      <c r="CM15" s="107"/>
      <c r="CN15" s="107"/>
      <c r="CO15" s="41"/>
      <c r="CP15" s="17">
        <f>CQ15+CR15+CS15</f>
        <v>0</v>
      </c>
      <c r="CQ15" s="17">
        <f>июль!DP14</f>
        <v>0</v>
      </c>
      <c r="CR15" s="17">
        <f>июль!DQ14</f>
        <v>0</v>
      </c>
      <c r="CS15" s="41">
        <f>июль!BH14</f>
        <v>0</v>
      </c>
      <c r="CT15" s="41"/>
      <c r="CU15" s="169">
        <f>июль!BP14</f>
        <v>44000</v>
      </c>
      <c r="CV15" s="17">
        <f>SUM(CW15:CX15)</f>
        <v>0</v>
      </c>
      <c r="CW15" s="41">
        <f>июль!T14</f>
        <v>0</v>
      </c>
      <c r="CX15" s="281">
        <f>июль!BG14</f>
        <v>0</v>
      </c>
    </row>
    <row r="16" spans="1:102" ht="16.5" customHeight="1" x14ac:dyDescent="0.25">
      <c r="A16" s="144">
        <v>11</v>
      </c>
      <c r="B16" s="1" t="s">
        <v>70</v>
      </c>
      <c r="C16" s="4">
        <f>D16+L16+BC16+CL16</f>
        <v>389481974</v>
      </c>
      <c r="D16" s="93">
        <f>E16+F16+G16+H16</f>
        <v>53449300</v>
      </c>
      <c r="E16" s="107"/>
      <c r="F16" s="107">
        <f>июль!AZ15</f>
        <v>45467000</v>
      </c>
      <c r="G16" s="107">
        <f>июль!BC15</f>
        <v>7982300</v>
      </c>
      <c r="H16" s="107"/>
      <c r="I16" s="107">
        <f>J16+K16</f>
        <v>0</v>
      </c>
      <c r="J16" s="107">
        <f>июль!BD15</f>
        <v>0</v>
      </c>
      <c r="K16" s="107">
        <f>июль!BE15</f>
        <v>0</v>
      </c>
      <c r="L16" s="93">
        <f>M16+N16+O16+P16+V16+W16+AD16+AE16+AC16+AB16</f>
        <v>86374398</v>
      </c>
      <c r="M16" s="107">
        <f>июль!EH15</f>
        <v>0</v>
      </c>
      <c r="N16" s="107">
        <f>июль!EG15</f>
        <v>602398</v>
      </c>
      <c r="O16" s="107"/>
      <c r="P16" s="225">
        <f>SUM(Q16:U16)</f>
        <v>0</v>
      </c>
      <c r="Q16" s="268">
        <f>июль!CV15</f>
        <v>0</v>
      </c>
      <c r="R16" s="225">
        <f>июль!DO15</f>
        <v>0</v>
      </c>
      <c r="S16" s="225">
        <f>июль!DX15</f>
        <v>0</v>
      </c>
      <c r="T16" s="225">
        <f>июль!ED15</f>
        <v>0</v>
      </c>
      <c r="U16" s="225">
        <f>июль!EL15</f>
        <v>0</v>
      </c>
      <c r="V16" s="107">
        <f>июль!DF15</f>
        <v>0</v>
      </c>
      <c r="W16" s="67">
        <f>SUM(X16:AA16)</f>
        <v>0</v>
      </c>
      <c r="X16" s="67"/>
      <c r="Y16" s="67"/>
      <c r="Z16" s="67"/>
      <c r="AA16" s="67"/>
      <c r="AB16" s="107">
        <f>июль!CB15</f>
        <v>1516500</v>
      </c>
      <c r="AC16" s="107">
        <f>июль!CD15</f>
        <v>10500000</v>
      </c>
      <c r="AD16" s="107">
        <f>июль!CR15</f>
        <v>0</v>
      </c>
      <c r="AE16" s="38">
        <f>SUM(AF16:BB16)</f>
        <v>73755500</v>
      </c>
      <c r="AF16" s="38">
        <f>июль!CP15</f>
        <v>0</v>
      </c>
      <c r="AG16" s="46">
        <f>июль!X15</f>
        <v>1974900</v>
      </c>
      <c r="AH16" s="46">
        <f>июль!Z15</f>
        <v>400200</v>
      </c>
      <c r="AI16" s="46">
        <f>июль!AB15</f>
        <v>1137700</v>
      </c>
      <c r="AJ16" s="46">
        <f>июль!AE15</f>
        <v>0</v>
      </c>
      <c r="AK16" s="46">
        <f>июль!AG15</f>
        <v>2359100</v>
      </c>
      <c r="AL16" s="46">
        <f>июль!BK15</f>
        <v>12095200</v>
      </c>
      <c r="AM16" s="46"/>
      <c r="AN16" s="46">
        <f>июль!BS15</f>
        <v>0</v>
      </c>
      <c r="AO16" s="46">
        <f>июль!CW15</f>
        <v>9485500</v>
      </c>
      <c r="AP16" s="46">
        <f>июль!CX15</f>
        <v>5912000</v>
      </c>
      <c r="AQ16" s="46">
        <f>июль!CY15</f>
        <v>13814900</v>
      </c>
      <c r="AR16" s="46">
        <f>июль!CZ15</f>
        <v>15000000</v>
      </c>
      <c r="AS16" s="46">
        <f>июль!DA15</f>
        <v>0</v>
      </c>
      <c r="AT16" s="46">
        <f>июль!DH15</f>
        <v>0</v>
      </c>
      <c r="AU16" s="46">
        <f>июль!DK15</f>
        <v>11576000</v>
      </c>
      <c r="AV16" s="46">
        <f>июль!DL15</f>
        <v>0</v>
      </c>
      <c r="AW16" s="67">
        <v>0</v>
      </c>
      <c r="AX16" s="67">
        <f>июль!ET15</f>
        <v>0</v>
      </c>
      <c r="AY16" s="67">
        <f>июль!EU15</f>
        <v>0</v>
      </c>
      <c r="AZ16" s="67"/>
      <c r="BA16" s="67">
        <f>июль!BQ15</f>
        <v>0</v>
      </c>
      <c r="BB16" s="67">
        <f>июль!BW15</f>
        <v>0</v>
      </c>
      <c r="BC16" s="93">
        <f>BE16+BF16+BI16+CI16+CJ16+CK16</f>
        <v>249551000</v>
      </c>
      <c r="BD16" s="103"/>
      <c r="BE16" s="41">
        <f>июль!P15</f>
        <v>1355500</v>
      </c>
      <c r="BF16" s="41">
        <f>BG16+BH16</f>
        <v>6583700</v>
      </c>
      <c r="BG16" s="41">
        <f>июль!CF15</f>
        <v>1686700</v>
      </c>
      <c r="BH16" s="41">
        <f>июль!CG15</f>
        <v>4897000</v>
      </c>
      <c r="BI16" s="67">
        <f>SUM(BJ16:CH16)</f>
        <v>223798500</v>
      </c>
      <c r="BJ16" s="159">
        <f>июль!F15</f>
        <v>342200</v>
      </c>
      <c r="BK16" s="159">
        <f>июль!G15</f>
        <v>16500</v>
      </c>
      <c r="BL16" s="159">
        <f>июль!H15</f>
        <v>0</v>
      </c>
      <c r="BM16" s="159">
        <f>июль!I15</f>
        <v>0</v>
      </c>
      <c r="BN16" s="159">
        <f>июль!J15</f>
        <v>377600</v>
      </c>
      <c r="BO16" s="159">
        <f>июль!K15</f>
        <v>0</v>
      </c>
      <c r="BP16" s="159">
        <f>июль!L15</f>
        <v>53800</v>
      </c>
      <c r="BQ16" s="50">
        <f>июль!N15</f>
        <v>700</v>
      </c>
      <c r="BR16" s="46">
        <f>июль!Y15</f>
        <v>21100</v>
      </c>
      <c r="BS16" s="50">
        <f>июль!AC15</f>
        <v>204556000</v>
      </c>
      <c r="BT16" s="50">
        <f>июль!AD15</f>
        <v>5544000</v>
      </c>
      <c r="BU16" s="46">
        <f>июль!AI15</f>
        <v>104600</v>
      </c>
      <c r="BV16" s="46">
        <f>июль!AJ15</f>
        <v>2342800</v>
      </c>
      <c r="BW16" s="46">
        <f>июль!AK15</f>
        <v>132300</v>
      </c>
      <c r="BX16" s="46">
        <f>июль!AL15</f>
        <v>3800</v>
      </c>
      <c r="BY16" s="46">
        <f>июль!AQ15</f>
        <v>0</v>
      </c>
      <c r="BZ16" s="46">
        <f>июль!AR15</f>
        <v>0</v>
      </c>
      <c r="CA16" s="46">
        <f>июль!AS15</f>
        <v>113200</v>
      </c>
      <c r="CB16" s="46">
        <f>июль!AT15</f>
        <v>40000</v>
      </c>
      <c r="CC16" s="46">
        <f>июль!BL15</f>
        <v>8946000</v>
      </c>
      <c r="CD16" s="46">
        <f>июль!BM15</f>
        <v>230200</v>
      </c>
      <c r="CE16" s="50">
        <f>июль!CJ15</f>
        <v>13000</v>
      </c>
      <c r="CF16" s="50">
        <f>июль!CM15</f>
        <v>0</v>
      </c>
      <c r="CG16" s="50">
        <f>июль!CS15</f>
        <v>960413.6</v>
      </c>
      <c r="CH16" s="50">
        <f>июль!CT15</f>
        <v>286.39999999999998</v>
      </c>
      <c r="CI16" s="17">
        <f>июль!AP15</f>
        <v>12250200</v>
      </c>
      <c r="CJ16" s="41">
        <f>июль!AO15</f>
        <v>5563100</v>
      </c>
      <c r="CK16" s="41">
        <f>июль!CL15</f>
        <v>0</v>
      </c>
      <c r="CL16" s="93">
        <f>CO16+CP16+CU16+CV16+CM16</f>
        <v>107276</v>
      </c>
      <c r="CM16" s="107"/>
      <c r="CN16" s="107"/>
      <c r="CO16" s="41"/>
      <c r="CP16" s="17">
        <f>CQ16+CR16+CS16</f>
        <v>18000</v>
      </c>
      <c r="CQ16" s="17">
        <f>июль!DP15</f>
        <v>0</v>
      </c>
      <c r="CR16" s="17">
        <f>июль!DQ15</f>
        <v>18000</v>
      </c>
      <c r="CS16" s="41">
        <f>июль!BH15</f>
        <v>0</v>
      </c>
      <c r="CT16" s="41"/>
      <c r="CU16" s="169">
        <f>июль!BP15</f>
        <v>0</v>
      </c>
      <c r="CV16" s="17">
        <f>SUM(CW16:CX16)</f>
        <v>89276</v>
      </c>
      <c r="CW16" s="41">
        <f>июль!T15</f>
        <v>89276</v>
      </c>
      <c r="CX16" s="281">
        <f>июль!BG15</f>
        <v>0</v>
      </c>
    </row>
    <row r="17" spans="1:102" ht="16.5" customHeight="1" x14ac:dyDescent="0.25">
      <c r="A17" s="144">
        <v>12</v>
      </c>
      <c r="B17" s="1" t="s">
        <v>71</v>
      </c>
      <c r="C17" s="4">
        <f>D17+L17+BC17+CL17</f>
        <v>884585362</v>
      </c>
      <c r="D17" s="93">
        <f>E17+F17+G17+H17</f>
        <v>66941000</v>
      </c>
      <c r="E17" s="107"/>
      <c r="F17" s="107">
        <f>июль!AZ16</f>
        <v>66941000</v>
      </c>
      <c r="G17" s="107">
        <f>июль!BC16</f>
        <v>0</v>
      </c>
      <c r="H17" s="107"/>
      <c r="I17" s="107">
        <f>J17+K17</f>
        <v>0</v>
      </c>
      <c r="J17" s="107">
        <f>июль!BD16</f>
        <v>0</v>
      </c>
      <c r="K17" s="107">
        <f>июль!BE16</f>
        <v>0</v>
      </c>
      <c r="L17" s="93">
        <f>M17+N17+O17+P17+V17+W17+AD17+AE17+AC17+AB17</f>
        <v>458388000</v>
      </c>
      <c r="M17" s="107">
        <f>июль!EH16</f>
        <v>112900</v>
      </c>
      <c r="N17" s="107">
        <f>июль!EG16</f>
        <v>0</v>
      </c>
      <c r="O17" s="107"/>
      <c r="P17" s="225">
        <f>SUM(Q17:U17)</f>
        <v>198630000</v>
      </c>
      <c r="Q17" s="268">
        <f>июль!CV16</f>
        <v>0</v>
      </c>
      <c r="R17" s="225">
        <f>июль!DO16</f>
        <v>198630000</v>
      </c>
      <c r="S17" s="225">
        <f>июль!DX16</f>
        <v>0</v>
      </c>
      <c r="T17" s="225">
        <f>июль!ED16</f>
        <v>0</v>
      </c>
      <c r="U17" s="225">
        <f>июль!EL16</f>
        <v>0</v>
      </c>
      <c r="V17" s="107">
        <f>июль!DF16</f>
        <v>0</v>
      </c>
      <c r="W17" s="67">
        <f>SUM(X17:AA17)</f>
        <v>0</v>
      </c>
      <c r="X17" s="67"/>
      <c r="Y17" s="67"/>
      <c r="Z17" s="67"/>
      <c r="AA17" s="67"/>
      <c r="AB17" s="107">
        <f>июль!CB16</f>
        <v>17000000</v>
      </c>
      <c r="AC17" s="107">
        <f>июль!CD16</f>
        <v>5400000</v>
      </c>
      <c r="AD17" s="107">
        <f>июль!CR16</f>
        <v>0</v>
      </c>
      <c r="AE17" s="38">
        <f>SUM(AF17:BB17)</f>
        <v>237245100</v>
      </c>
      <c r="AF17" s="38">
        <f>июль!CP16</f>
        <v>0</v>
      </c>
      <c r="AG17" s="46">
        <f>июль!X16</f>
        <v>0</v>
      </c>
      <c r="AH17" s="46">
        <f>июль!Z16</f>
        <v>2438800</v>
      </c>
      <c r="AI17" s="46">
        <f>июль!AB16</f>
        <v>0</v>
      </c>
      <c r="AJ17" s="46">
        <f>июль!AE16</f>
        <v>0</v>
      </c>
      <c r="AK17" s="46">
        <f>июль!AG16</f>
        <v>1364200</v>
      </c>
      <c r="AL17" s="46">
        <f>июль!BK16</f>
        <v>43357000</v>
      </c>
      <c r="AM17" s="46"/>
      <c r="AN17" s="46">
        <f>июль!BS16</f>
        <v>0</v>
      </c>
      <c r="AO17" s="46">
        <f>июль!CW16</f>
        <v>9137500</v>
      </c>
      <c r="AP17" s="46">
        <f>июль!CX16</f>
        <v>9691800</v>
      </c>
      <c r="AQ17" s="46">
        <f>июль!CY16</f>
        <v>14755800</v>
      </c>
      <c r="AR17" s="46">
        <f>июль!CZ16</f>
        <v>0</v>
      </c>
      <c r="AS17" s="46">
        <f>июль!DA16</f>
        <v>0</v>
      </c>
      <c r="AT17" s="46">
        <f>июль!DH16</f>
        <v>0</v>
      </c>
      <c r="AU17" s="46">
        <f>июль!DK16</f>
        <v>0</v>
      </c>
      <c r="AV17" s="46">
        <f>июль!DL16</f>
        <v>0</v>
      </c>
      <c r="AW17" s="67">
        <v>0</v>
      </c>
      <c r="AX17" s="67">
        <f>июль!ET16</f>
        <v>0</v>
      </c>
      <c r="AY17" s="67">
        <f>июль!EU16</f>
        <v>0</v>
      </c>
      <c r="AZ17" s="67">
        <f>июль!DB16+июль!DR16+июль!DW16+июль!EE16+июль!EM16+июль!EN16</f>
        <v>156500000</v>
      </c>
      <c r="BA17" s="67">
        <f>июль!BQ16</f>
        <v>0</v>
      </c>
      <c r="BB17" s="67">
        <f>июль!BW16</f>
        <v>0</v>
      </c>
      <c r="BC17" s="93">
        <f>BE17+BF17+BI17+CI17+CJ17+CK17</f>
        <v>358914150</v>
      </c>
      <c r="BD17" s="103"/>
      <c r="BE17" s="76">
        <f>июль!P16</f>
        <v>738200</v>
      </c>
      <c r="BF17" s="76">
        <f>BG17+BH17</f>
        <v>10182900</v>
      </c>
      <c r="BG17" s="76">
        <f>июль!CF16</f>
        <v>2064900</v>
      </c>
      <c r="BH17" s="76">
        <f>июль!CG16</f>
        <v>8118000</v>
      </c>
      <c r="BI17" s="67">
        <f>SUM(BJ17:CH17)</f>
        <v>305078750</v>
      </c>
      <c r="BJ17" s="159">
        <f>июль!F16</f>
        <v>358300</v>
      </c>
      <c r="BK17" s="159">
        <f>июль!G16</f>
        <v>143600</v>
      </c>
      <c r="BL17" s="159">
        <f>июль!H16</f>
        <v>0</v>
      </c>
      <c r="BM17" s="159">
        <f>июль!I16</f>
        <v>0</v>
      </c>
      <c r="BN17" s="159">
        <f>июль!J16</f>
        <v>755400</v>
      </c>
      <c r="BO17" s="159">
        <f>июль!K16</f>
        <v>0</v>
      </c>
      <c r="BP17" s="159">
        <f>июль!L16</f>
        <v>42200</v>
      </c>
      <c r="BQ17" s="263">
        <f>июль!N16</f>
        <v>500</v>
      </c>
      <c r="BR17" s="46">
        <f>июль!Y16</f>
        <v>54150</v>
      </c>
      <c r="BS17" s="263">
        <f>июль!AC16</f>
        <v>274592000</v>
      </c>
      <c r="BT17" s="263">
        <f>июль!AD16</f>
        <v>5206300</v>
      </c>
      <c r="BU17" s="46">
        <f>июль!AI16</f>
        <v>302300</v>
      </c>
      <c r="BV17" s="46">
        <f>июль!AJ16</f>
        <v>3904800</v>
      </c>
      <c r="BW17" s="46">
        <f>июль!AK16</f>
        <v>88600</v>
      </c>
      <c r="BX17" s="46">
        <f>июль!AL16</f>
        <v>2400</v>
      </c>
      <c r="BY17" s="46">
        <f>июль!AQ16</f>
        <v>106500</v>
      </c>
      <c r="BZ17" s="46">
        <f>июль!AR16</f>
        <v>42000</v>
      </c>
      <c r="CA17" s="46">
        <f>июль!AS16</f>
        <v>0</v>
      </c>
      <c r="CB17" s="46">
        <f>июль!AT16</f>
        <v>0</v>
      </c>
      <c r="CC17" s="46">
        <f>июль!BL16</f>
        <v>15499000</v>
      </c>
      <c r="CD17" s="46">
        <f>июль!BM16</f>
        <v>177100</v>
      </c>
      <c r="CE17" s="263">
        <f>июль!CJ16</f>
        <v>19900</v>
      </c>
      <c r="CF17" s="263">
        <f>июль!CM16</f>
        <v>0</v>
      </c>
      <c r="CG17" s="50">
        <f>июль!CS16</f>
        <v>3780594.6</v>
      </c>
      <c r="CH17" s="50">
        <f>июль!CT16</f>
        <v>3105.4</v>
      </c>
      <c r="CI17" s="17">
        <f>июль!AP16</f>
        <v>28573200</v>
      </c>
      <c r="CJ17" s="76">
        <f>июль!AO16</f>
        <v>14341100</v>
      </c>
      <c r="CK17" s="76">
        <f>июль!CL16</f>
        <v>0</v>
      </c>
      <c r="CL17" s="93">
        <f>CO17+CP17+CU17+CV17+CM17</f>
        <v>342212</v>
      </c>
      <c r="CM17" s="107"/>
      <c r="CN17" s="107"/>
      <c r="CO17" s="76"/>
      <c r="CP17" s="17">
        <f>CQ17+CR17+CS17</f>
        <v>45000</v>
      </c>
      <c r="CQ17" s="17">
        <f>июль!DP16</f>
        <v>0</v>
      </c>
      <c r="CR17" s="17">
        <f>июль!DQ16</f>
        <v>45000</v>
      </c>
      <c r="CS17" s="76">
        <f>июль!BH16</f>
        <v>0</v>
      </c>
      <c r="CT17" s="76"/>
      <c r="CU17" s="264">
        <f>июль!BP16</f>
        <v>90000</v>
      </c>
      <c r="CV17" s="17">
        <f>SUM(CW17:CX17)</f>
        <v>207212</v>
      </c>
      <c r="CW17" s="76">
        <f>июль!T16</f>
        <v>207212</v>
      </c>
      <c r="CX17" s="281">
        <f>июль!BG16</f>
        <v>0</v>
      </c>
    </row>
    <row r="18" spans="1:102" ht="16.5" customHeight="1" x14ac:dyDescent="0.25">
      <c r="A18" s="144">
        <v>13</v>
      </c>
      <c r="B18" s="1" t="s">
        <v>72</v>
      </c>
      <c r="C18" s="4">
        <f>D18+L18+BC18+CL18</f>
        <v>322166131</v>
      </c>
      <c r="D18" s="93">
        <f>E18+F18+G18+H18</f>
        <v>90581000</v>
      </c>
      <c r="E18" s="107"/>
      <c r="F18" s="107">
        <f>июль!AZ17</f>
        <v>58487000</v>
      </c>
      <c r="G18" s="107">
        <f>июль!BC17</f>
        <v>32094000</v>
      </c>
      <c r="H18" s="107"/>
      <c r="I18" s="107">
        <f>J18+K18</f>
        <v>0</v>
      </c>
      <c r="J18" s="107">
        <f>июль!BD17</f>
        <v>0</v>
      </c>
      <c r="K18" s="107">
        <f>июль!BE17</f>
        <v>0</v>
      </c>
      <c r="L18" s="93">
        <f>M18+N18+O18+P18+V18+W18+AD18+AE18+AC18+AB18</f>
        <v>73685162</v>
      </c>
      <c r="M18" s="107">
        <f>июль!EH17</f>
        <v>0</v>
      </c>
      <c r="N18" s="107">
        <f>июль!EG17</f>
        <v>0</v>
      </c>
      <c r="O18" s="107"/>
      <c r="P18" s="225">
        <f>SUM(Q18:U18)</f>
        <v>8000000</v>
      </c>
      <c r="Q18" s="268">
        <f>июль!CV17</f>
        <v>0</v>
      </c>
      <c r="R18" s="225">
        <f>июль!DO17</f>
        <v>0</v>
      </c>
      <c r="S18" s="225">
        <f>июль!DX17</f>
        <v>5000000</v>
      </c>
      <c r="T18" s="225">
        <f>июль!ED17</f>
        <v>1000000</v>
      </c>
      <c r="U18" s="225">
        <f>июль!EL17</f>
        <v>2000000</v>
      </c>
      <c r="V18" s="107">
        <f>июль!DF17</f>
        <v>0</v>
      </c>
      <c r="W18" s="67">
        <f>SUM(X18:AA18)</f>
        <v>0</v>
      </c>
      <c r="X18" s="67"/>
      <c r="Y18" s="67"/>
      <c r="Z18" s="67"/>
      <c r="AA18" s="67"/>
      <c r="AB18" s="107">
        <f>июль!CB17</f>
        <v>7524600</v>
      </c>
      <c r="AC18" s="107">
        <f>июль!CD17</f>
        <v>6500000</v>
      </c>
      <c r="AD18" s="107">
        <f>июль!CR17</f>
        <v>0</v>
      </c>
      <c r="AE18" s="38">
        <f>SUM(AF18:BB18)</f>
        <v>51660562</v>
      </c>
      <c r="AF18" s="38">
        <f>июль!CP17</f>
        <v>0</v>
      </c>
      <c r="AG18" s="46">
        <f>июль!X17</f>
        <v>0</v>
      </c>
      <c r="AH18" s="46">
        <f>июль!Z17</f>
        <v>1871000</v>
      </c>
      <c r="AI18" s="46">
        <f>июль!AB17</f>
        <v>0</v>
      </c>
      <c r="AJ18" s="46">
        <f>июль!AE17</f>
        <v>750000</v>
      </c>
      <c r="AK18" s="46">
        <f>июль!AG17</f>
        <v>4563000</v>
      </c>
      <c r="AL18" s="46">
        <f>июль!BK17</f>
        <v>7463800</v>
      </c>
      <c r="AM18" s="46"/>
      <c r="AN18" s="46">
        <f>июль!BS17</f>
        <v>0</v>
      </c>
      <c r="AO18" s="46">
        <f>июль!CW17</f>
        <v>7840700</v>
      </c>
      <c r="AP18" s="46">
        <f>июль!CX17</f>
        <v>1986800</v>
      </c>
      <c r="AQ18" s="46">
        <f>июль!CY17</f>
        <v>10847000</v>
      </c>
      <c r="AR18" s="46">
        <f>июль!CZ17</f>
        <v>9180200</v>
      </c>
      <c r="AS18" s="46">
        <f>июль!DA17</f>
        <v>0</v>
      </c>
      <c r="AT18" s="46">
        <f>июль!DH17</f>
        <v>0</v>
      </c>
      <c r="AU18" s="46">
        <f>июль!DK17</f>
        <v>5368062</v>
      </c>
      <c r="AV18" s="46">
        <f>июль!DL17</f>
        <v>0</v>
      </c>
      <c r="AW18" s="67">
        <v>0</v>
      </c>
      <c r="AX18" s="67">
        <f>июль!ET17</f>
        <v>0</v>
      </c>
      <c r="AY18" s="67">
        <f>июль!EU17</f>
        <v>800000</v>
      </c>
      <c r="AZ18" s="67"/>
      <c r="BA18" s="67">
        <f>июль!BQ17</f>
        <v>990000</v>
      </c>
      <c r="BB18" s="67">
        <f>июль!BW17</f>
        <v>0</v>
      </c>
      <c r="BC18" s="93">
        <f>BE18+BF18+BI18+CI18+CJ18+CK18</f>
        <v>157678500</v>
      </c>
      <c r="BD18" s="103"/>
      <c r="BE18" s="41">
        <f>июль!P17</f>
        <v>963600</v>
      </c>
      <c r="BF18" s="41">
        <f>BG18+BH18</f>
        <v>4565700</v>
      </c>
      <c r="BG18" s="41">
        <f>июль!CF17</f>
        <v>1169700</v>
      </c>
      <c r="BH18" s="41">
        <f>июль!CG17</f>
        <v>3396000</v>
      </c>
      <c r="BI18" s="67">
        <f>SUM(BJ18:CH18)</f>
        <v>140807600</v>
      </c>
      <c r="BJ18" s="159">
        <f>июль!F17</f>
        <v>162200</v>
      </c>
      <c r="BK18" s="159">
        <f>июль!G17</f>
        <v>8600</v>
      </c>
      <c r="BL18" s="159">
        <f>июль!H17</f>
        <v>0</v>
      </c>
      <c r="BM18" s="159">
        <f>июль!I17</f>
        <v>0</v>
      </c>
      <c r="BN18" s="159">
        <f>июль!J17</f>
        <v>359300</v>
      </c>
      <c r="BO18" s="159">
        <f>июль!K17</f>
        <v>105000</v>
      </c>
      <c r="BP18" s="159">
        <f>июль!L17</f>
        <v>61400</v>
      </c>
      <c r="BQ18" s="50">
        <f>июль!N17</f>
        <v>800</v>
      </c>
      <c r="BR18" s="46">
        <f>июль!Y17</f>
        <v>4300</v>
      </c>
      <c r="BS18" s="50">
        <f>июль!AC17</f>
        <v>129282100</v>
      </c>
      <c r="BT18" s="50">
        <f>июль!AD17</f>
        <v>3780000</v>
      </c>
      <c r="BU18" s="46">
        <f>июль!AI17</f>
        <v>69600</v>
      </c>
      <c r="BV18" s="46">
        <f>июль!AJ17</f>
        <v>1171400</v>
      </c>
      <c r="BW18" s="46">
        <f>июль!AK17</f>
        <v>122500</v>
      </c>
      <c r="BX18" s="46">
        <f>июль!AL17</f>
        <v>1300</v>
      </c>
      <c r="BY18" s="46">
        <f>июль!AQ17</f>
        <v>0</v>
      </c>
      <c r="BZ18" s="46">
        <f>июль!AR17</f>
        <v>3000</v>
      </c>
      <c r="CA18" s="46">
        <f>июль!AS17</f>
        <v>216500</v>
      </c>
      <c r="CB18" s="46">
        <f>июль!AT17</f>
        <v>0</v>
      </c>
      <c r="CC18" s="46">
        <f>июль!BL17</f>
        <v>4675000</v>
      </c>
      <c r="CD18" s="46">
        <f>июль!BM17</f>
        <v>265600</v>
      </c>
      <c r="CE18" s="50">
        <f>июль!CJ17</f>
        <v>9000</v>
      </c>
      <c r="CF18" s="50">
        <f>июль!CM17</f>
        <v>0</v>
      </c>
      <c r="CG18" s="50">
        <f>июль!CS17</f>
        <v>509917.8</v>
      </c>
      <c r="CH18" s="50">
        <f>июль!CT17</f>
        <v>82.2</v>
      </c>
      <c r="CI18" s="17">
        <f>июль!AP17</f>
        <v>9136100</v>
      </c>
      <c r="CJ18" s="41">
        <f>июль!AO17</f>
        <v>2205500</v>
      </c>
      <c r="CK18" s="41">
        <f>июль!CL17</f>
        <v>0</v>
      </c>
      <c r="CL18" s="93">
        <f>CO18+CP18+CU18+CV18+CM18</f>
        <v>221469</v>
      </c>
      <c r="CM18" s="107"/>
      <c r="CN18" s="107"/>
      <c r="CO18" s="41"/>
      <c r="CP18" s="17">
        <f>CQ18+CR18+CS18</f>
        <v>0</v>
      </c>
      <c r="CQ18" s="17">
        <f>июль!DP17</f>
        <v>0</v>
      </c>
      <c r="CR18" s="17">
        <f>июль!DQ17</f>
        <v>0</v>
      </c>
      <c r="CS18" s="41">
        <f>июль!BH17</f>
        <v>0</v>
      </c>
      <c r="CT18" s="41"/>
      <c r="CU18" s="169">
        <f>июль!BP17</f>
        <v>141000</v>
      </c>
      <c r="CV18" s="17">
        <f>SUM(CW18:CX18)</f>
        <v>80469</v>
      </c>
      <c r="CW18" s="41">
        <f>июль!T17</f>
        <v>80469</v>
      </c>
      <c r="CX18" s="281">
        <f>июль!BG17</f>
        <v>0</v>
      </c>
    </row>
    <row r="19" spans="1:102" ht="16.5" customHeight="1" x14ac:dyDescent="0.25">
      <c r="A19" s="144">
        <v>14</v>
      </c>
      <c r="B19" s="1" t="s">
        <v>73</v>
      </c>
      <c r="C19" s="4">
        <f>D19+L19+BC19+CL19</f>
        <v>194581400</v>
      </c>
      <c r="D19" s="93">
        <f>E19+F19+G19+H19</f>
        <v>32273000</v>
      </c>
      <c r="E19" s="107"/>
      <c r="F19" s="107">
        <f>июль!AZ18</f>
        <v>26773000</v>
      </c>
      <c r="G19" s="107">
        <f>июль!BC18</f>
        <v>5500000</v>
      </c>
      <c r="H19" s="107"/>
      <c r="I19" s="107">
        <f>J19+K19</f>
        <v>0</v>
      </c>
      <c r="J19" s="107">
        <f>июль!BD18</f>
        <v>0</v>
      </c>
      <c r="K19" s="107">
        <f>июль!BE18</f>
        <v>0</v>
      </c>
      <c r="L19" s="93">
        <f>M19+N19+O19+P19+V19+W19+AD19+AE19+AC19+AB19</f>
        <v>21231200</v>
      </c>
      <c r="M19" s="107">
        <f>июль!EH18</f>
        <v>0</v>
      </c>
      <c r="N19" s="107">
        <f>июль!EG18</f>
        <v>0</v>
      </c>
      <c r="O19" s="107"/>
      <c r="P19" s="225">
        <f>SUM(Q19:U19)</f>
        <v>0</v>
      </c>
      <c r="Q19" s="268">
        <f>июль!CV18</f>
        <v>0</v>
      </c>
      <c r="R19" s="225">
        <f>июль!DO18</f>
        <v>0</v>
      </c>
      <c r="S19" s="225">
        <f>июль!DX18</f>
        <v>0</v>
      </c>
      <c r="T19" s="225">
        <f>июль!ED18</f>
        <v>0</v>
      </c>
      <c r="U19" s="225">
        <f>июль!EL18</f>
        <v>0</v>
      </c>
      <c r="V19" s="107">
        <f>июль!DF18</f>
        <v>0</v>
      </c>
      <c r="W19" s="67">
        <f>SUM(X19:AA19)</f>
        <v>0</v>
      </c>
      <c r="X19" s="67"/>
      <c r="Y19" s="67"/>
      <c r="Z19" s="67"/>
      <c r="AA19" s="67"/>
      <c r="AB19" s="107">
        <f>июль!CB18</f>
        <v>225000</v>
      </c>
      <c r="AC19" s="107">
        <f>июль!CD18</f>
        <v>500000</v>
      </c>
      <c r="AD19" s="107">
        <f>июль!CR18</f>
        <v>0</v>
      </c>
      <c r="AE19" s="38">
        <f>SUM(AF19:BB19)</f>
        <v>20506200</v>
      </c>
      <c r="AF19" s="38">
        <f>июль!CP18</f>
        <v>0</v>
      </c>
      <c r="AG19" s="46">
        <f>июль!X18</f>
        <v>0</v>
      </c>
      <c r="AH19" s="46">
        <f>июль!Z18</f>
        <v>0</v>
      </c>
      <c r="AI19" s="46">
        <f>июль!AB18</f>
        <v>0</v>
      </c>
      <c r="AJ19" s="46">
        <f>июль!AE18</f>
        <v>1000000</v>
      </c>
      <c r="AK19" s="46">
        <f>июль!AG18</f>
        <v>1062800</v>
      </c>
      <c r="AL19" s="46">
        <f>июль!BK18</f>
        <v>6892700</v>
      </c>
      <c r="AM19" s="46"/>
      <c r="AN19" s="46">
        <f>июль!BS18</f>
        <v>0</v>
      </c>
      <c r="AO19" s="46">
        <f>июль!CW18</f>
        <v>4469300</v>
      </c>
      <c r="AP19" s="46">
        <f>июль!CX18</f>
        <v>339200</v>
      </c>
      <c r="AQ19" s="46">
        <f>июль!CY18</f>
        <v>6312200</v>
      </c>
      <c r="AR19" s="46">
        <f>июль!CZ18</f>
        <v>0</v>
      </c>
      <c r="AS19" s="46">
        <f>июль!DA18</f>
        <v>0</v>
      </c>
      <c r="AT19" s="46">
        <f>июль!DH18</f>
        <v>0</v>
      </c>
      <c r="AU19" s="46">
        <f>июль!DK18</f>
        <v>430000</v>
      </c>
      <c r="AV19" s="46">
        <f>июль!DL18</f>
        <v>0</v>
      </c>
      <c r="AW19" s="67">
        <v>0</v>
      </c>
      <c r="AX19" s="67">
        <f>июль!ET18</f>
        <v>0</v>
      </c>
      <c r="AY19" s="67">
        <f>июль!EU18</f>
        <v>0</v>
      </c>
      <c r="AZ19" s="67"/>
      <c r="BA19" s="67">
        <f>июль!BQ18</f>
        <v>0</v>
      </c>
      <c r="BB19" s="67">
        <f>июль!BW18</f>
        <v>0</v>
      </c>
      <c r="BC19" s="93">
        <f>BE19+BF19+BI19+CI19+CJ19+CK19</f>
        <v>140997200</v>
      </c>
      <c r="BD19" s="103"/>
      <c r="BE19" s="41">
        <f>июль!P18</f>
        <v>947100</v>
      </c>
      <c r="BF19" s="41">
        <f>BG19+BH19</f>
        <v>3623200</v>
      </c>
      <c r="BG19" s="41">
        <f>июль!CF18</f>
        <v>928200</v>
      </c>
      <c r="BH19" s="41">
        <f>июль!CG18</f>
        <v>2695000</v>
      </c>
      <c r="BI19" s="67">
        <f>SUM(BJ19:CH19)</f>
        <v>125480000</v>
      </c>
      <c r="BJ19" s="159">
        <f>июль!F18</f>
        <v>153200</v>
      </c>
      <c r="BK19" s="159">
        <f>июль!G18</f>
        <v>6100</v>
      </c>
      <c r="BL19" s="159">
        <f>июль!H18</f>
        <v>0</v>
      </c>
      <c r="BM19" s="159">
        <f>июль!I18</f>
        <v>0</v>
      </c>
      <c r="BN19" s="159">
        <f>июль!J18</f>
        <v>359300</v>
      </c>
      <c r="BO19" s="159">
        <f>июль!K18</f>
        <v>0</v>
      </c>
      <c r="BP19" s="159">
        <f>июль!L18</f>
        <v>57600</v>
      </c>
      <c r="BQ19" s="50">
        <f>июль!N18</f>
        <v>700</v>
      </c>
      <c r="BR19" s="46">
        <f>июль!Y18</f>
        <v>40500</v>
      </c>
      <c r="BS19" s="50">
        <f>июль!AC18</f>
        <v>115651100</v>
      </c>
      <c r="BT19" s="50">
        <f>июль!AD18</f>
        <v>3293600</v>
      </c>
      <c r="BU19" s="46">
        <f>июль!AI18</f>
        <v>58100</v>
      </c>
      <c r="BV19" s="46">
        <f>июль!AJ18</f>
        <v>781000</v>
      </c>
      <c r="BW19" s="46">
        <f>июль!AK18</f>
        <v>87600</v>
      </c>
      <c r="BX19" s="46">
        <f>июль!AL18</f>
        <v>7200</v>
      </c>
      <c r="BY19" s="46">
        <f>июль!AQ18</f>
        <v>0</v>
      </c>
      <c r="BZ19" s="46">
        <f>июль!AR18</f>
        <v>0</v>
      </c>
      <c r="CA19" s="46">
        <f>июль!AS18</f>
        <v>0</v>
      </c>
      <c r="CB19" s="46">
        <f>июль!AT18</f>
        <v>0</v>
      </c>
      <c r="CC19" s="46">
        <f>июль!BL18</f>
        <v>3279000</v>
      </c>
      <c r="CD19" s="46">
        <f>июль!BM18</f>
        <v>247800</v>
      </c>
      <c r="CE19" s="50">
        <f>июль!CJ18</f>
        <v>7200</v>
      </c>
      <c r="CF19" s="50">
        <f>июль!CM18</f>
        <v>0</v>
      </c>
      <c r="CG19" s="50">
        <f>июль!CS18</f>
        <v>1449919.4</v>
      </c>
      <c r="CH19" s="50">
        <f>июль!CT18</f>
        <v>80.599999999999994</v>
      </c>
      <c r="CI19" s="17">
        <f>июль!AP18</f>
        <v>9249900</v>
      </c>
      <c r="CJ19" s="41">
        <f>июль!AO18</f>
        <v>1697000</v>
      </c>
      <c r="CK19" s="41">
        <f>июль!CL18</f>
        <v>0</v>
      </c>
      <c r="CL19" s="93">
        <f>CO19+CP19+CU19+CV19+CM19</f>
        <v>80000</v>
      </c>
      <c r="CM19" s="107"/>
      <c r="CN19" s="107"/>
      <c r="CO19" s="41"/>
      <c r="CP19" s="17">
        <f>CQ19+CR19+CS19</f>
        <v>0</v>
      </c>
      <c r="CQ19" s="17">
        <f>июль!DP18</f>
        <v>0</v>
      </c>
      <c r="CR19" s="17">
        <f>июль!DQ18</f>
        <v>0</v>
      </c>
      <c r="CS19" s="41">
        <f>июль!BH18</f>
        <v>0</v>
      </c>
      <c r="CT19" s="41"/>
      <c r="CU19" s="169">
        <f>июль!BP18</f>
        <v>80000</v>
      </c>
      <c r="CV19" s="17">
        <f>SUM(CW19:CX19)</f>
        <v>0</v>
      </c>
      <c r="CW19" s="41">
        <f>июль!T18</f>
        <v>0</v>
      </c>
      <c r="CX19" s="281">
        <f>июль!BG18</f>
        <v>0</v>
      </c>
    </row>
    <row r="20" spans="1:102" ht="16.5" customHeight="1" x14ac:dyDescent="0.25">
      <c r="A20" s="144">
        <v>15</v>
      </c>
      <c r="B20" s="1" t="s">
        <v>74</v>
      </c>
      <c r="C20" s="4">
        <f>D20+L20+BC20+CL20</f>
        <v>547878813</v>
      </c>
      <c r="D20" s="93">
        <f>E20+F20+G20+H20</f>
        <v>135140000</v>
      </c>
      <c r="E20" s="107"/>
      <c r="F20" s="107">
        <f>июль!AZ19</f>
        <v>135140000</v>
      </c>
      <c r="G20" s="107">
        <f>июль!BC19</f>
        <v>0</v>
      </c>
      <c r="H20" s="107"/>
      <c r="I20" s="107">
        <f>J20+K20</f>
        <v>0</v>
      </c>
      <c r="J20" s="107">
        <f>июль!BD19</f>
        <v>0</v>
      </c>
      <c r="K20" s="107">
        <f>июль!BE19</f>
        <v>0</v>
      </c>
      <c r="L20" s="93">
        <f>M20+N20+O20+P20+V20+W20+AD20+AE20+AC20+AB20</f>
        <v>146833000</v>
      </c>
      <c r="M20" s="107">
        <f>июль!EH19</f>
        <v>0</v>
      </c>
      <c r="N20" s="107">
        <f>июль!EG19</f>
        <v>0</v>
      </c>
      <c r="O20" s="107"/>
      <c r="P20" s="225">
        <f>SUM(Q20:U20)</f>
        <v>0</v>
      </c>
      <c r="Q20" s="268">
        <f>июль!CV19</f>
        <v>0</v>
      </c>
      <c r="R20" s="225">
        <f>июль!DO19</f>
        <v>0</v>
      </c>
      <c r="S20" s="225">
        <f>июль!DX19</f>
        <v>0</v>
      </c>
      <c r="T20" s="225">
        <f>июль!ED19</f>
        <v>0</v>
      </c>
      <c r="U20" s="225">
        <f>июль!EL19</f>
        <v>0</v>
      </c>
      <c r="V20" s="107">
        <f>июль!DF19</f>
        <v>0</v>
      </c>
      <c r="W20" s="67">
        <f>SUM(X20:AA20)</f>
        <v>0</v>
      </c>
      <c r="X20" s="67"/>
      <c r="Y20" s="67"/>
      <c r="Z20" s="67"/>
      <c r="AA20" s="67"/>
      <c r="AB20" s="107">
        <f>июль!CB19</f>
        <v>90692000</v>
      </c>
      <c r="AC20" s="107">
        <f>июль!CD19</f>
        <v>500000</v>
      </c>
      <c r="AD20" s="107">
        <f>июль!CR19</f>
        <v>0</v>
      </c>
      <c r="AE20" s="38">
        <f>SUM(AF20:BB20)</f>
        <v>55641000</v>
      </c>
      <c r="AF20" s="38">
        <f>июль!CP19</f>
        <v>0</v>
      </c>
      <c r="AG20" s="46">
        <f>июль!X19</f>
        <v>1622200</v>
      </c>
      <c r="AH20" s="46">
        <f>июль!Z19</f>
        <v>1150000</v>
      </c>
      <c r="AI20" s="46">
        <f>июль!AB19</f>
        <v>812600</v>
      </c>
      <c r="AJ20" s="46">
        <f>июль!AE19</f>
        <v>500000</v>
      </c>
      <c r="AK20" s="46">
        <f>июль!AG19</f>
        <v>4435200</v>
      </c>
      <c r="AL20" s="46">
        <f>июль!BK19</f>
        <v>21226300</v>
      </c>
      <c r="AM20" s="46"/>
      <c r="AN20" s="46">
        <f>июль!BS19</f>
        <v>0</v>
      </c>
      <c r="AO20" s="46">
        <f>июль!CW19</f>
        <v>6902600</v>
      </c>
      <c r="AP20" s="46">
        <f>июль!CX19</f>
        <v>1211500</v>
      </c>
      <c r="AQ20" s="46">
        <f>июль!CY19</f>
        <v>10090600</v>
      </c>
      <c r="AR20" s="46">
        <f>июль!CZ19</f>
        <v>6400000</v>
      </c>
      <c r="AS20" s="46">
        <f>июль!DA19</f>
        <v>0</v>
      </c>
      <c r="AT20" s="46">
        <f>июль!DH19</f>
        <v>0</v>
      </c>
      <c r="AU20" s="46">
        <f>июль!DK19</f>
        <v>1290000</v>
      </c>
      <c r="AV20" s="46">
        <f>июль!DL19</f>
        <v>0</v>
      </c>
      <c r="AW20" s="67">
        <v>0</v>
      </c>
      <c r="AX20" s="67">
        <f>июль!ET19</f>
        <v>0</v>
      </c>
      <c r="AY20" s="67">
        <f>июль!EU19</f>
        <v>0</v>
      </c>
      <c r="AZ20" s="67"/>
      <c r="BA20" s="67">
        <f>июль!BQ19</f>
        <v>0</v>
      </c>
      <c r="BB20" s="67">
        <f>июль!BW19</f>
        <v>0</v>
      </c>
      <c r="BC20" s="93">
        <f>BE20+BF20+BI20+CI20+CJ20+CK20</f>
        <v>265695600</v>
      </c>
      <c r="BD20" s="103"/>
      <c r="BE20" s="41">
        <f>июль!P19</f>
        <v>1737200</v>
      </c>
      <c r="BF20" s="41">
        <f>BG20+BH20</f>
        <v>7113500</v>
      </c>
      <c r="BG20" s="41">
        <f>июль!CF19</f>
        <v>1822500</v>
      </c>
      <c r="BH20" s="41">
        <f>июль!CG19</f>
        <v>5291000</v>
      </c>
      <c r="BI20" s="67">
        <f>SUM(BJ20:CH20)</f>
        <v>239386900</v>
      </c>
      <c r="BJ20" s="159">
        <f>июль!F19</f>
        <v>162200</v>
      </c>
      <c r="BK20" s="159">
        <f>июль!G19</f>
        <v>12400</v>
      </c>
      <c r="BL20" s="159">
        <f>июль!H19</f>
        <v>0</v>
      </c>
      <c r="BM20" s="159">
        <f>июль!I19</f>
        <v>0</v>
      </c>
      <c r="BN20" s="159">
        <f>июль!J19</f>
        <v>377600</v>
      </c>
      <c r="BO20" s="159">
        <f>июль!K19</f>
        <v>0</v>
      </c>
      <c r="BP20" s="159">
        <f>июль!L19</f>
        <v>61400</v>
      </c>
      <c r="BQ20" s="50">
        <f>июль!N19</f>
        <v>800</v>
      </c>
      <c r="BR20" s="46">
        <f>июль!Y19</f>
        <v>55800</v>
      </c>
      <c r="BS20" s="50">
        <f>июль!AC19</f>
        <v>220859800</v>
      </c>
      <c r="BT20" s="50">
        <f>июль!AD19</f>
        <v>7333200</v>
      </c>
      <c r="BU20" s="46">
        <f>июль!AI19</f>
        <v>116200</v>
      </c>
      <c r="BV20" s="46">
        <f>июль!AJ19</f>
        <v>2342800</v>
      </c>
      <c r="BW20" s="46">
        <f>июль!AK19</f>
        <v>192600</v>
      </c>
      <c r="BX20" s="46">
        <f>июль!AL19</f>
        <v>29300</v>
      </c>
      <c r="BY20" s="46">
        <f>июль!AQ19</f>
        <v>0</v>
      </c>
      <c r="BZ20" s="46">
        <f>июль!AR19</f>
        <v>107800</v>
      </c>
      <c r="CA20" s="46">
        <f>июль!AS19</f>
        <v>140000</v>
      </c>
      <c r="CB20" s="46">
        <f>июль!AT19</f>
        <v>0</v>
      </c>
      <c r="CC20" s="46">
        <f>июль!BL19</f>
        <v>6688000</v>
      </c>
      <c r="CD20" s="46">
        <f>июль!BM19</f>
        <v>265600</v>
      </c>
      <c r="CE20" s="50">
        <f>июль!CJ19</f>
        <v>14100</v>
      </c>
      <c r="CF20" s="50">
        <f>июль!CM19</f>
        <v>0</v>
      </c>
      <c r="CG20" s="50">
        <f>июль!CS19</f>
        <v>627100.4</v>
      </c>
      <c r="CH20" s="50">
        <f>июль!CT19</f>
        <v>199.6</v>
      </c>
      <c r="CI20" s="17">
        <f>июль!AP19</f>
        <v>12896300</v>
      </c>
      <c r="CJ20" s="41">
        <f>июль!AO19</f>
        <v>4561700</v>
      </c>
      <c r="CK20" s="41">
        <f>июль!CL19</f>
        <v>0</v>
      </c>
      <c r="CL20" s="93">
        <f>CO20+CP20+CU20+CV20+CM20</f>
        <v>210213</v>
      </c>
      <c r="CM20" s="107"/>
      <c r="CN20" s="107"/>
      <c r="CO20" s="41"/>
      <c r="CP20" s="17">
        <f>CQ20+CR20+CS20</f>
        <v>100000</v>
      </c>
      <c r="CQ20" s="17">
        <f>июль!DP19</f>
        <v>85000</v>
      </c>
      <c r="CR20" s="17">
        <f>июль!DQ19</f>
        <v>15000</v>
      </c>
      <c r="CS20" s="41">
        <f>июль!BH19</f>
        <v>0</v>
      </c>
      <c r="CT20" s="41"/>
      <c r="CU20" s="169">
        <f>июль!BP19</f>
        <v>67000</v>
      </c>
      <c r="CV20" s="17">
        <f>SUM(CW20:CX20)</f>
        <v>43213</v>
      </c>
      <c r="CW20" s="41">
        <f>июль!T19</f>
        <v>43213</v>
      </c>
      <c r="CX20" s="281">
        <f>июль!BG19</f>
        <v>0</v>
      </c>
    </row>
    <row r="21" spans="1:102" ht="16.5" customHeight="1" x14ac:dyDescent="0.25">
      <c r="A21" s="144">
        <v>16</v>
      </c>
      <c r="B21" s="1" t="s">
        <v>75</v>
      </c>
      <c r="C21" s="4">
        <f>D21+L21+BC21+CL21</f>
        <v>252989777</v>
      </c>
      <c r="D21" s="93">
        <f>E21+F21+G21+H21</f>
        <v>33663000</v>
      </c>
      <c r="E21" s="107"/>
      <c r="F21" s="107">
        <f>июль!AZ20</f>
        <v>20663000</v>
      </c>
      <c r="G21" s="107">
        <f>июль!BC20</f>
        <v>13000000</v>
      </c>
      <c r="H21" s="107"/>
      <c r="I21" s="107">
        <f>J21+K21</f>
        <v>0</v>
      </c>
      <c r="J21" s="107">
        <f>июль!BD20</f>
        <v>0</v>
      </c>
      <c r="K21" s="107">
        <f>июль!BE20</f>
        <v>0</v>
      </c>
      <c r="L21" s="93">
        <f>M21+N21+O21+P21+V21+W21+AD21+AE21+AC21+AB21</f>
        <v>52229257</v>
      </c>
      <c r="M21" s="107">
        <f>июль!EH20</f>
        <v>0</v>
      </c>
      <c r="N21" s="107">
        <f>июль!EG20</f>
        <v>0</v>
      </c>
      <c r="O21" s="107"/>
      <c r="P21" s="225">
        <f>SUM(Q21:U21)</f>
        <v>0</v>
      </c>
      <c r="Q21" s="268">
        <f>июль!CV20</f>
        <v>0</v>
      </c>
      <c r="R21" s="225">
        <f>июль!DO20</f>
        <v>0</v>
      </c>
      <c r="S21" s="225">
        <f>июль!DX20</f>
        <v>0</v>
      </c>
      <c r="T21" s="225">
        <f>июль!ED20</f>
        <v>0</v>
      </c>
      <c r="U21" s="225">
        <f>июль!EL20</f>
        <v>0</v>
      </c>
      <c r="V21" s="107">
        <f>июль!DF20</f>
        <v>0</v>
      </c>
      <c r="W21" s="67">
        <f>SUM(X21:AA21)</f>
        <v>0</v>
      </c>
      <c r="X21" s="67"/>
      <c r="Y21" s="67"/>
      <c r="Z21" s="67"/>
      <c r="AA21" s="67"/>
      <c r="AB21" s="107">
        <f>июль!CB20</f>
        <v>1474500</v>
      </c>
      <c r="AC21" s="107">
        <f>июль!CD20</f>
        <v>500000</v>
      </c>
      <c r="AD21" s="107">
        <f>июль!CR20</f>
        <v>0</v>
      </c>
      <c r="AE21" s="38">
        <f>SUM(AF21:BB21)</f>
        <v>50254757</v>
      </c>
      <c r="AF21" s="38">
        <f>июль!CP20</f>
        <v>0</v>
      </c>
      <c r="AG21" s="46">
        <f>июль!X20</f>
        <v>458500</v>
      </c>
      <c r="AH21" s="46">
        <f>июль!Z20</f>
        <v>0</v>
      </c>
      <c r="AI21" s="46">
        <f>июль!AB20</f>
        <v>0</v>
      </c>
      <c r="AJ21" s="46">
        <f>июль!AE20</f>
        <v>0</v>
      </c>
      <c r="AK21" s="46">
        <f>июль!AG20</f>
        <v>1999200</v>
      </c>
      <c r="AL21" s="46">
        <f>июль!BK20</f>
        <v>10636400</v>
      </c>
      <c r="AM21" s="46"/>
      <c r="AN21" s="46">
        <f>июль!BS20</f>
        <v>0</v>
      </c>
      <c r="AO21" s="46">
        <f>июль!CW20</f>
        <v>8013800</v>
      </c>
      <c r="AP21" s="46">
        <f>июль!CX20</f>
        <v>7026600</v>
      </c>
      <c r="AQ21" s="46">
        <f>июль!CY20</f>
        <v>0</v>
      </c>
      <c r="AR21" s="46">
        <f>июль!CZ20</f>
        <v>0</v>
      </c>
      <c r="AS21" s="46">
        <f>июль!DA20</f>
        <v>8800000</v>
      </c>
      <c r="AT21" s="46">
        <f>июль!DH20</f>
        <v>0</v>
      </c>
      <c r="AU21" s="46">
        <f>июль!DK20</f>
        <v>13320257</v>
      </c>
      <c r="AV21" s="46">
        <f>июль!DL20</f>
        <v>0</v>
      </c>
      <c r="AW21" s="67">
        <v>0</v>
      </c>
      <c r="AX21" s="67">
        <f>июль!ET20</f>
        <v>0</v>
      </c>
      <c r="AY21" s="67">
        <f>июль!EU20</f>
        <v>0</v>
      </c>
      <c r="AZ21" s="67"/>
      <c r="BA21" s="67">
        <f>июль!BQ20</f>
        <v>0</v>
      </c>
      <c r="BB21" s="67">
        <f>июль!BW20</f>
        <v>0</v>
      </c>
      <c r="BC21" s="93">
        <f>BE21+BF21+BI21+CI21+CJ21+CK21</f>
        <v>166778700</v>
      </c>
      <c r="BD21" s="103"/>
      <c r="BE21" s="41">
        <f>июль!P20</f>
        <v>850300</v>
      </c>
      <c r="BF21" s="41">
        <f>BG21+BH21</f>
        <v>5622400</v>
      </c>
      <c r="BG21" s="41">
        <f>июль!CF20</f>
        <v>1644400</v>
      </c>
      <c r="BH21" s="41">
        <f>июль!CG20</f>
        <v>3978000</v>
      </c>
      <c r="BI21" s="67">
        <f>SUM(BJ21:CH21)</f>
        <v>146245700</v>
      </c>
      <c r="BJ21" s="159">
        <f>июль!F20</f>
        <v>342100</v>
      </c>
      <c r="BK21" s="159">
        <f>июль!G20</f>
        <v>11500</v>
      </c>
      <c r="BL21" s="159">
        <f>июль!H20</f>
        <v>0</v>
      </c>
      <c r="BM21" s="159">
        <f>июль!I20</f>
        <v>0</v>
      </c>
      <c r="BN21" s="159">
        <f>июль!J20</f>
        <v>397000</v>
      </c>
      <c r="BO21" s="159">
        <f>июль!K20</f>
        <v>0</v>
      </c>
      <c r="BP21" s="159">
        <f>июль!L20</f>
        <v>30700</v>
      </c>
      <c r="BQ21" s="50">
        <f>июль!N20</f>
        <v>400</v>
      </c>
      <c r="BR21" s="46">
        <f>июль!Y20</f>
        <v>18200</v>
      </c>
      <c r="BS21" s="50">
        <f>июль!AC20</f>
        <v>133270500</v>
      </c>
      <c r="BT21" s="50">
        <f>июль!AD20</f>
        <v>2323400</v>
      </c>
      <c r="BU21" s="46">
        <f>июль!AI20</f>
        <v>73800</v>
      </c>
      <c r="BV21" s="46">
        <f>июль!AJ20</f>
        <v>1757200</v>
      </c>
      <c r="BW21" s="46">
        <f>июль!AK20</f>
        <v>74100</v>
      </c>
      <c r="BX21" s="46">
        <f>июль!AL20</f>
        <v>13300</v>
      </c>
      <c r="BY21" s="46">
        <f>июль!AQ20</f>
        <v>104400</v>
      </c>
      <c r="BZ21" s="46">
        <f>июль!AR20</f>
        <v>56000</v>
      </c>
      <c r="CA21" s="46">
        <f>июль!AS20</f>
        <v>66600</v>
      </c>
      <c r="CB21" s="46">
        <f>июль!AT20</f>
        <v>0</v>
      </c>
      <c r="CC21" s="46">
        <f>июль!BL20</f>
        <v>6222000</v>
      </c>
      <c r="CD21" s="46">
        <f>июль!BM20</f>
        <v>123900</v>
      </c>
      <c r="CE21" s="50">
        <f>июль!CJ20</f>
        <v>11200</v>
      </c>
      <c r="CF21" s="50">
        <f>июль!CM20</f>
        <v>0</v>
      </c>
      <c r="CG21" s="50">
        <f>июль!CS20</f>
        <v>1348794</v>
      </c>
      <c r="CH21" s="50">
        <f>июль!CT20</f>
        <v>606</v>
      </c>
      <c r="CI21" s="17">
        <f>июль!AP20</f>
        <v>10120900</v>
      </c>
      <c r="CJ21" s="41">
        <f>июль!AO20</f>
        <v>3939400</v>
      </c>
      <c r="CK21" s="41">
        <f>июль!CL20</f>
        <v>0</v>
      </c>
      <c r="CL21" s="93">
        <f>CO21+CP21+CU21+CV21+CM21</f>
        <v>318820</v>
      </c>
      <c r="CM21" s="107"/>
      <c r="CN21" s="107"/>
      <c r="CO21" s="41"/>
      <c r="CP21" s="17">
        <f>CQ21+CR21+CS21</f>
        <v>0</v>
      </c>
      <c r="CQ21" s="17">
        <f>июль!DP20</f>
        <v>0</v>
      </c>
      <c r="CR21" s="17">
        <f>июль!DQ20</f>
        <v>0</v>
      </c>
      <c r="CS21" s="41">
        <f>июль!BH20</f>
        <v>0</v>
      </c>
      <c r="CT21" s="41"/>
      <c r="CU21" s="169">
        <f>июль!BP20</f>
        <v>68000</v>
      </c>
      <c r="CV21" s="17">
        <f>SUM(CW21:CX21)</f>
        <v>250820</v>
      </c>
      <c r="CW21" s="41">
        <f>июль!T20</f>
        <v>250820</v>
      </c>
      <c r="CX21" s="281">
        <f>июль!BG20</f>
        <v>0</v>
      </c>
    </row>
    <row r="22" spans="1:102" ht="16.5" customHeight="1" x14ac:dyDescent="0.25">
      <c r="A22" s="144">
        <v>17</v>
      </c>
      <c r="B22" s="1" t="s">
        <v>76</v>
      </c>
      <c r="C22" s="4">
        <f>D22+L22+BC22+CL22</f>
        <v>470605851</v>
      </c>
      <c r="D22" s="93">
        <f>E22+F22+G22+H22</f>
        <v>61866000</v>
      </c>
      <c r="E22" s="107"/>
      <c r="F22" s="107">
        <f>июль!AZ21</f>
        <v>53466000</v>
      </c>
      <c r="G22" s="107">
        <f>июль!BC21</f>
        <v>8400000</v>
      </c>
      <c r="H22" s="107"/>
      <c r="I22" s="107">
        <f>J22+K22</f>
        <v>0</v>
      </c>
      <c r="J22" s="107">
        <f>июль!BD21</f>
        <v>0</v>
      </c>
      <c r="K22" s="107">
        <f>июль!BE21</f>
        <v>0</v>
      </c>
      <c r="L22" s="93">
        <f>M22+N22+O22+P22+V22+W22+AD22+AE22+AC22+AB22</f>
        <v>194484340</v>
      </c>
      <c r="M22" s="107">
        <f>июль!EH21</f>
        <v>0</v>
      </c>
      <c r="N22" s="107">
        <f>июль!EG21</f>
        <v>0</v>
      </c>
      <c r="O22" s="107"/>
      <c r="P22" s="225">
        <f>SUM(Q22:U22)</f>
        <v>0</v>
      </c>
      <c r="Q22" s="268">
        <f>июль!CV21</f>
        <v>0</v>
      </c>
      <c r="R22" s="225">
        <f>июль!DO21</f>
        <v>0</v>
      </c>
      <c r="S22" s="225">
        <f>июль!DX21</f>
        <v>0</v>
      </c>
      <c r="T22" s="225">
        <f>июль!ED21</f>
        <v>0</v>
      </c>
      <c r="U22" s="225">
        <f>июль!EL21</f>
        <v>0</v>
      </c>
      <c r="V22" s="107">
        <f>июль!DF21</f>
        <v>0</v>
      </c>
      <c r="W22" s="67">
        <f>SUM(X22:AA22)</f>
        <v>0</v>
      </c>
      <c r="X22" s="67"/>
      <c r="Y22" s="67"/>
      <c r="Z22" s="67"/>
      <c r="AA22" s="67"/>
      <c r="AB22" s="107">
        <f>июль!CB21</f>
        <v>34000000</v>
      </c>
      <c r="AC22" s="107">
        <f>июль!CD21</f>
        <v>10500000</v>
      </c>
      <c r="AD22" s="107">
        <f>июль!CR21</f>
        <v>0</v>
      </c>
      <c r="AE22" s="38">
        <f>SUM(AF22:BB22)</f>
        <v>149984340</v>
      </c>
      <c r="AF22" s="38">
        <f>июль!CP21</f>
        <v>0</v>
      </c>
      <c r="AG22" s="46">
        <f>июль!X21</f>
        <v>423200</v>
      </c>
      <c r="AH22" s="46">
        <f>июль!Z21</f>
        <v>800000</v>
      </c>
      <c r="AI22" s="46">
        <f>июль!AB21</f>
        <v>0</v>
      </c>
      <c r="AJ22" s="46">
        <f>июль!AE21</f>
        <v>0</v>
      </c>
      <c r="AK22" s="46">
        <f>июль!AG21</f>
        <v>3601400</v>
      </c>
      <c r="AL22" s="46">
        <f>июль!BK21</f>
        <v>8590800</v>
      </c>
      <c r="AM22" s="46"/>
      <c r="AN22" s="46">
        <f>июль!BS21</f>
        <v>190500</v>
      </c>
      <c r="AO22" s="46">
        <f>июль!CW21</f>
        <v>8053300</v>
      </c>
      <c r="AP22" s="46">
        <f>июль!CX21</f>
        <v>6996900</v>
      </c>
      <c r="AQ22" s="46">
        <f>июль!CY21</f>
        <v>11571200</v>
      </c>
      <c r="AR22" s="46">
        <f>июль!CZ21</f>
        <v>29000000</v>
      </c>
      <c r="AS22" s="46">
        <f>июль!DA21</f>
        <v>67411000</v>
      </c>
      <c r="AT22" s="46">
        <f>июль!DH21</f>
        <v>0</v>
      </c>
      <c r="AU22" s="46">
        <f>июль!DK21</f>
        <v>13314040</v>
      </c>
      <c r="AV22" s="46">
        <f>июль!DL21</f>
        <v>0</v>
      </c>
      <c r="AW22" s="67">
        <v>0</v>
      </c>
      <c r="AX22" s="67">
        <f>июль!ET21</f>
        <v>0</v>
      </c>
      <c r="AY22" s="67">
        <f>июль!EU21</f>
        <v>0</v>
      </c>
      <c r="AZ22" s="67"/>
      <c r="BA22" s="67">
        <f>июль!BQ21</f>
        <v>0</v>
      </c>
      <c r="BB22" s="67">
        <f>июль!BW21</f>
        <v>32000</v>
      </c>
      <c r="BC22" s="93">
        <f>BE22+BF22+BI22+CI22+CJ22+CK22</f>
        <v>213386300</v>
      </c>
      <c r="BD22" s="103"/>
      <c r="BE22" s="41">
        <f>июль!P21</f>
        <v>883500</v>
      </c>
      <c r="BF22" s="41">
        <f>BG22+BH22</f>
        <v>6048600</v>
      </c>
      <c r="BG22" s="41">
        <f>июль!CF21</f>
        <v>1549600</v>
      </c>
      <c r="BH22" s="41">
        <f>июль!CG21</f>
        <v>4499000</v>
      </c>
      <c r="BI22" s="67">
        <f>SUM(BJ22:CH22)</f>
        <v>188986900</v>
      </c>
      <c r="BJ22" s="159">
        <f>июль!F21</f>
        <v>324200</v>
      </c>
      <c r="BK22" s="159">
        <f>июль!G21</f>
        <v>12600</v>
      </c>
      <c r="BL22" s="159">
        <f>июль!H21</f>
        <v>0</v>
      </c>
      <c r="BM22" s="159">
        <f>июль!I21</f>
        <v>0</v>
      </c>
      <c r="BN22" s="159">
        <f>июль!J21</f>
        <v>360300</v>
      </c>
      <c r="BO22" s="159">
        <f>июль!K21</f>
        <v>0</v>
      </c>
      <c r="BP22" s="159">
        <f>июль!L21</f>
        <v>61400</v>
      </c>
      <c r="BQ22" s="50">
        <f>июль!N21</f>
        <v>800</v>
      </c>
      <c r="BR22" s="46">
        <f>июль!Y21</f>
        <v>9100</v>
      </c>
      <c r="BS22" s="50">
        <f>июль!AC21</f>
        <v>172133500</v>
      </c>
      <c r="BT22" s="50">
        <f>июль!AD21</f>
        <v>5145800</v>
      </c>
      <c r="BU22" s="46">
        <f>июль!AI21</f>
        <v>93000</v>
      </c>
      <c r="BV22" s="46">
        <f>июль!AJ21</f>
        <v>1952400</v>
      </c>
      <c r="BW22" s="46">
        <f>июль!AK21</f>
        <v>148800</v>
      </c>
      <c r="BX22" s="46">
        <f>июль!AL21</f>
        <v>10200</v>
      </c>
      <c r="BY22" s="46">
        <f>июль!AQ21</f>
        <v>0</v>
      </c>
      <c r="BZ22" s="46">
        <f>июль!AR21</f>
        <v>47700</v>
      </c>
      <c r="CA22" s="46">
        <f>июль!AS21</f>
        <v>0</v>
      </c>
      <c r="CB22" s="46">
        <f>июль!AT21</f>
        <v>0</v>
      </c>
      <c r="CC22" s="46">
        <f>июль!BL21</f>
        <v>6845000</v>
      </c>
      <c r="CD22" s="46">
        <f>июль!BM21</f>
        <v>265600</v>
      </c>
      <c r="CE22" s="50">
        <f>июль!CJ21</f>
        <v>11900</v>
      </c>
      <c r="CF22" s="50">
        <f>июль!CM21</f>
        <v>700</v>
      </c>
      <c r="CG22" s="50">
        <f>июль!CS21</f>
        <v>1562906.9</v>
      </c>
      <c r="CH22" s="50">
        <f>июль!CT21</f>
        <v>993.1</v>
      </c>
      <c r="CI22" s="17">
        <f>июль!AP21</f>
        <v>14640300</v>
      </c>
      <c r="CJ22" s="41">
        <f>июль!AO21</f>
        <v>2516800</v>
      </c>
      <c r="CK22" s="41">
        <f>июль!CL21</f>
        <v>310200</v>
      </c>
      <c r="CL22" s="93">
        <f>CO22+CP22+CU22+CV22+CM22</f>
        <v>869211</v>
      </c>
      <c r="CM22" s="107"/>
      <c r="CN22" s="107"/>
      <c r="CO22" s="41"/>
      <c r="CP22" s="17">
        <f>CQ22+CR22+CS22</f>
        <v>0</v>
      </c>
      <c r="CQ22" s="17">
        <f>июль!DP21</f>
        <v>0</v>
      </c>
      <c r="CR22" s="17">
        <f>июль!DQ21</f>
        <v>0</v>
      </c>
      <c r="CS22" s="41">
        <f>июль!BH21</f>
        <v>0</v>
      </c>
      <c r="CT22" s="41"/>
      <c r="CU22" s="169">
        <f>июль!BP21</f>
        <v>133000</v>
      </c>
      <c r="CV22" s="17">
        <f>SUM(CW22:CX22)</f>
        <v>736211</v>
      </c>
      <c r="CW22" s="41">
        <f>июль!T21</f>
        <v>736211</v>
      </c>
      <c r="CX22" s="281">
        <f>июль!BG21</f>
        <v>0</v>
      </c>
    </row>
    <row r="23" spans="1:102" ht="16.5" customHeight="1" x14ac:dyDescent="0.25">
      <c r="A23" s="144">
        <v>18</v>
      </c>
      <c r="B23" s="1" t="s">
        <v>77</v>
      </c>
      <c r="C23" s="4">
        <f>D23+L23+BC23+CL23</f>
        <v>162301649</v>
      </c>
      <c r="D23" s="93">
        <f>E23+F23+G23+H23</f>
        <v>23376000</v>
      </c>
      <c r="E23" s="107"/>
      <c r="F23" s="107">
        <f>июль!AZ22</f>
        <v>23376000</v>
      </c>
      <c r="G23" s="107">
        <f>июль!BC22</f>
        <v>0</v>
      </c>
      <c r="H23" s="107"/>
      <c r="I23" s="107">
        <f>J23+K23</f>
        <v>0</v>
      </c>
      <c r="J23" s="107">
        <f>июль!BD22</f>
        <v>0</v>
      </c>
      <c r="K23" s="107">
        <f>июль!BE22</f>
        <v>0</v>
      </c>
      <c r="L23" s="93">
        <f>M23+N23+O23+P23+V23+W23+AD23+AE23+AC23+AB23</f>
        <v>21846700</v>
      </c>
      <c r="M23" s="107">
        <f>июль!EH22</f>
        <v>0</v>
      </c>
      <c r="N23" s="107">
        <f>июль!EG22</f>
        <v>0</v>
      </c>
      <c r="O23" s="107"/>
      <c r="P23" s="225">
        <f>SUM(Q23:U23)</f>
        <v>0</v>
      </c>
      <c r="Q23" s="268">
        <f>июль!CV22</f>
        <v>0</v>
      </c>
      <c r="R23" s="225">
        <f>июль!DO22</f>
        <v>0</v>
      </c>
      <c r="S23" s="225">
        <f>июль!DX22</f>
        <v>0</v>
      </c>
      <c r="T23" s="225">
        <f>июль!ED22</f>
        <v>0</v>
      </c>
      <c r="U23" s="225">
        <f>июль!EL22</f>
        <v>0</v>
      </c>
      <c r="V23" s="107">
        <f>июль!DF22</f>
        <v>0</v>
      </c>
      <c r="W23" s="67">
        <f>SUM(X23:AA23)</f>
        <v>0</v>
      </c>
      <c r="X23" s="67"/>
      <c r="Y23" s="67"/>
      <c r="Z23" s="67"/>
      <c r="AA23" s="67"/>
      <c r="AB23" s="107">
        <f>июль!CB22</f>
        <v>1130000</v>
      </c>
      <c r="AC23" s="107">
        <f>июль!CD22</f>
        <v>400000</v>
      </c>
      <c r="AD23" s="107">
        <f>июль!CR22</f>
        <v>0</v>
      </c>
      <c r="AE23" s="38">
        <f>SUM(AF23:BB23)</f>
        <v>20316700</v>
      </c>
      <c r="AF23" s="38">
        <f>июль!CP22</f>
        <v>0</v>
      </c>
      <c r="AG23" s="46">
        <f>июль!X22</f>
        <v>0</v>
      </c>
      <c r="AH23" s="46">
        <f>июль!Z22</f>
        <v>0</v>
      </c>
      <c r="AI23" s="46">
        <f>июль!AB22</f>
        <v>0</v>
      </c>
      <c r="AJ23" s="46">
        <f>июль!AE22</f>
        <v>0</v>
      </c>
      <c r="AK23" s="46">
        <f>июль!AG22</f>
        <v>1274700</v>
      </c>
      <c r="AL23" s="46">
        <f>июль!BK22</f>
        <v>4545300</v>
      </c>
      <c r="AM23" s="46"/>
      <c r="AN23" s="46">
        <f>июль!BS22</f>
        <v>0</v>
      </c>
      <c r="AO23" s="46">
        <f>июль!CW22</f>
        <v>5389400</v>
      </c>
      <c r="AP23" s="46">
        <f>июль!CX22</f>
        <v>0</v>
      </c>
      <c r="AQ23" s="46">
        <f>июль!CY22</f>
        <v>7317300</v>
      </c>
      <c r="AR23" s="46">
        <f>июль!CZ22</f>
        <v>0</v>
      </c>
      <c r="AS23" s="46">
        <f>июль!DA22</f>
        <v>0</v>
      </c>
      <c r="AT23" s="46">
        <f>июль!DH22</f>
        <v>0</v>
      </c>
      <c r="AU23" s="46">
        <f>июль!DK22</f>
        <v>1290000</v>
      </c>
      <c r="AV23" s="46">
        <f>июль!DL22</f>
        <v>0</v>
      </c>
      <c r="AW23" s="67">
        <v>0</v>
      </c>
      <c r="AX23" s="67">
        <f>июль!ET22</f>
        <v>0</v>
      </c>
      <c r="AY23" s="67">
        <f>июль!EU22</f>
        <v>500000</v>
      </c>
      <c r="AZ23" s="67"/>
      <c r="BA23" s="67">
        <f>июль!BQ22</f>
        <v>0</v>
      </c>
      <c r="BB23" s="67">
        <f>июль!BW22</f>
        <v>0</v>
      </c>
      <c r="BC23" s="93">
        <f>BE23+BF23+BI23+CI23+CJ23+CK23</f>
        <v>116965800</v>
      </c>
      <c r="BD23" s="103"/>
      <c r="BE23" s="41">
        <f>июль!P22</f>
        <v>876500</v>
      </c>
      <c r="BF23" s="41">
        <f>BG23+BH23</f>
        <v>2919100</v>
      </c>
      <c r="BG23" s="41">
        <f>июль!CF22</f>
        <v>748100</v>
      </c>
      <c r="BH23" s="41">
        <f>июль!CG22</f>
        <v>2171000</v>
      </c>
      <c r="BI23" s="67">
        <f>SUM(BJ23:CH23)</f>
        <v>105839700</v>
      </c>
      <c r="BJ23" s="159">
        <f>июль!F22</f>
        <v>153200</v>
      </c>
      <c r="BK23" s="159">
        <f>июль!G22</f>
        <v>4700</v>
      </c>
      <c r="BL23" s="159">
        <f>июль!H22</f>
        <v>0</v>
      </c>
      <c r="BM23" s="159">
        <f>июль!I22</f>
        <v>0</v>
      </c>
      <c r="BN23" s="159">
        <f>июль!J22</f>
        <v>341100</v>
      </c>
      <c r="BO23" s="159">
        <f>июль!K22</f>
        <v>0</v>
      </c>
      <c r="BP23" s="159">
        <f>июль!L22</f>
        <v>61400</v>
      </c>
      <c r="BQ23" s="50">
        <f>июль!N22</f>
        <v>800</v>
      </c>
      <c r="BR23" s="46">
        <f>июль!Y22</f>
        <v>4500</v>
      </c>
      <c r="BS23" s="50">
        <f>июль!AC22</f>
        <v>97974300</v>
      </c>
      <c r="BT23" s="50">
        <f>июль!AD22</f>
        <v>3276000</v>
      </c>
      <c r="BU23" s="46">
        <f>июль!AI22</f>
        <v>34800</v>
      </c>
      <c r="BV23" s="46">
        <f>июль!AJ22</f>
        <v>781000</v>
      </c>
      <c r="BW23" s="46">
        <f>июль!AK22</f>
        <v>96300</v>
      </c>
      <c r="BX23" s="46">
        <f>июль!AL22</f>
        <v>9700</v>
      </c>
      <c r="BY23" s="46">
        <f>июль!AQ22</f>
        <v>0</v>
      </c>
      <c r="BZ23" s="46">
        <f>июль!AR22</f>
        <v>49700</v>
      </c>
      <c r="CA23" s="46">
        <f>июль!AS22</f>
        <v>0</v>
      </c>
      <c r="CB23" s="46">
        <f>июль!AT22</f>
        <v>0</v>
      </c>
      <c r="CC23" s="46">
        <f>июль!BL22</f>
        <v>2555000</v>
      </c>
      <c r="CD23" s="46">
        <f>июль!BM22</f>
        <v>265600</v>
      </c>
      <c r="CE23" s="50">
        <f>июль!CJ22</f>
        <v>5800</v>
      </c>
      <c r="CF23" s="50">
        <f>июль!CM22</f>
        <v>0</v>
      </c>
      <c r="CG23" s="50">
        <f>июль!CS22</f>
        <v>225741.8</v>
      </c>
      <c r="CH23" s="50">
        <f>июль!CT22</f>
        <v>58.2</v>
      </c>
      <c r="CI23" s="17">
        <f>июль!AP22</f>
        <v>6101900</v>
      </c>
      <c r="CJ23" s="41">
        <f>июль!AO22</f>
        <v>1228600</v>
      </c>
      <c r="CK23" s="41">
        <f>июль!CL22</f>
        <v>0</v>
      </c>
      <c r="CL23" s="93">
        <f>CO23+CP23+CU23+CV23+CM23</f>
        <v>113149</v>
      </c>
      <c r="CM23" s="107"/>
      <c r="CN23" s="107"/>
      <c r="CO23" s="41"/>
      <c r="CP23" s="17">
        <f>CQ23+CR23+CS23</f>
        <v>0</v>
      </c>
      <c r="CQ23" s="17">
        <f>июль!DP22</f>
        <v>0</v>
      </c>
      <c r="CR23" s="17">
        <f>июль!DQ22</f>
        <v>0</v>
      </c>
      <c r="CS23" s="41">
        <f>июль!BH22</f>
        <v>0</v>
      </c>
      <c r="CT23" s="41"/>
      <c r="CU23" s="169">
        <f>июль!BP22</f>
        <v>89000</v>
      </c>
      <c r="CV23" s="17">
        <f>SUM(CW23:CX23)</f>
        <v>24149</v>
      </c>
      <c r="CW23" s="41">
        <f>июль!T22</f>
        <v>24149</v>
      </c>
      <c r="CX23" s="281">
        <f>июль!BG22</f>
        <v>0</v>
      </c>
    </row>
    <row r="24" spans="1:102" ht="16.5" customHeight="1" x14ac:dyDescent="0.25">
      <c r="A24" s="144">
        <v>19</v>
      </c>
      <c r="B24" s="1" t="s">
        <v>78</v>
      </c>
      <c r="C24" s="4">
        <f>D24+L24+BC24+CL24</f>
        <v>496593420</v>
      </c>
      <c r="D24" s="93">
        <f>E24+F24+G24+H24</f>
        <v>73273000</v>
      </c>
      <c r="E24" s="107"/>
      <c r="F24" s="107">
        <f>июль!AZ23</f>
        <v>51273000</v>
      </c>
      <c r="G24" s="107">
        <f>июль!BC23</f>
        <v>22000000</v>
      </c>
      <c r="H24" s="107"/>
      <c r="I24" s="107">
        <f>J24+K24</f>
        <v>0</v>
      </c>
      <c r="J24" s="107">
        <f>июль!BD23</f>
        <v>0</v>
      </c>
      <c r="K24" s="107">
        <f>июль!BE23</f>
        <v>0</v>
      </c>
      <c r="L24" s="93">
        <f>M24+N24+O24+P24+V24+W24+AD24+AE24+AC24+AB24</f>
        <v>94643430</v>
      </c>
      <c r="M24" s="107">
        <f>июль!EH23</f>
        <v>0</v>
      </c>
      <c r="N24" s="107">
        <f>июль!EG23</f>
        <v>0</v>
      </c>
      <c r="O24" s="107"/>
      <c r="P24" s="225">
        <f>SUM(Q24:U24)</f>
        <v>0</v>
      </c>
      <c r="Q24" s="268">
        <f>июль!CV23</f>
        <v>0</v>
      </c>
      <c r="R24" s="225">
        <f>июль!DO23</f>
        <v>0</v>
      </c>
      <c r="S24" s="225">
        <f>июль!DX23</f>
        <v>0</v>
      </c>
      <c r="T24" s="225">
        <f>июль!ED23</f>
        <v>0</v>
      </c>
      <c r="U24" s="225">
        <f>июль!EL23</f>
        <v>0</v>
      </c>
      <c r="V24" s="107">
        <f>июль!DF23</f>
        <v>0</v>
      </c>
      <c r="W24" s="67">
        <f>SUM(X24:AA24)</f>
        <v>0</v>
      </c>
      <c r="X24" s="67"/>
      <c r="Y24" s="67"/>
      <c r="Z24" s="67"/>
      <c r="AA24" s="67"/>
      <c r="AB24" s="107">
        <f>июль!CB23</f>
        <v>20964000</v>
      </c>
      <c r="AC24" s="107">
        <f>июль!CD23</f>
        <v>2500000</v>
      </c>
      <c r="AD24" s="107">
        <f>июль!CR23</f>
        <v>0</v>
      </c>
      <c r="AE24" s="38">
        <f>SUM(AF24:BB24)</f>
        <v>71179430</v>
      </c>
      <c r="AF24" s="38">
        <f>июль!CP23</f>
        <v>660730</v>
      </c>
      <c r="AG24" s="46">
        <f>июль!X23</f>
        <v>4902000</v>
      </c>
      <c r="AH24" s="46">
        <f>июль!Z23</f>
        <v>1172000</v>
      </c>
      <c r="AI24" s="46">
        <f>июль!AB23</f>
        <v>1625300</v>
      </c>
      <c r="AJ24" s="46">
        <f>июль!AE23</f>
        <v>0</v>
      </c>
      <c r="AK24" s="46">
        <f>июль!AG23</f>
        <v>5204900</v>
      </c>
      <c r="AL24" s="46">
        <f>июль!BK23</f>
        <v>14293000</v>
      </c>
      <c r="AM24" s="46"/>
      <c r="AN24" s="46">
        <f>июль!BS23</f>
        <v>0</v>
      </c>
      <c r="AO24" s="46">
        <f>июль!CW23</f>
        <v>8579200</v>
      </c>
      <c r="AP24" s="46">
        <f>июль!CX23</f>
        <v>7848000</v>
      </c>
      <c r="AQ24" s="46">
        <f>июль!CY23</f>
        <v>12896300</v>
      </c>
      <c r="AR24" s="46">
        <f>июль!CZ23</f>
        <v>2500000</v>
      </c>
      <c r="AS24" s="46">
        <f>июль!DA23</f>
        <v>0</v>
      </c>
      <c r="AT24" s="46">
        <f>июль!DH23</f>
        <v>0</v>
      </c>
      <c r="AU24" s="46">
        <f>июль!DK23</f>
        <v>11498000</v>
      </c>
      <c r="AV24" s="46">
        <f>июль!DL23</f>
        <v>0</v>
      </c>
      <c r="AW24" s="67">
        <v>0</v>
      </c>
      <c r="AX24" s="67">
        <f>июль!ET23</f>
        <v>0</v>
      </c>
      <c r="AY24" s="67">
        <f>июль!EU23</f>
        <v>0</v>
      </c>
      <c r="AZ24" s="67"/>
      <c r="BA24" s="67">
        <f>июль!BQ23</f>
        <v>0</v>
      </c>
      <c r="BB24" s="67">
        <f>июль!BW23</f>
        <v>0</v>
      </c>
      <c r="BC24" s="93">
        <f>BE24+BF24+BI24+CI24+CJ24+CK24</f>
        <v>307446200</v>
      </c>
      <c r="BD24" s="103"/>
      <c r="BE24" s="41">
        <f>июль!P23</f>
        <v>1950300</v>
      </c>
      <c r="BF24" s="41">
        <f>BG24+BH24</f>
        <v>9195600</v>
      </c>
      <c r="BG24" s="41">
        <f>июль!CF23</f>
        <v>2318600</v>
      </c>
      <c r="BH24" s="41">
        <f>июль!CG23</f>
        <v>6877000</v>
      </c>
      <c r="BI24" s="67">
        <f>SUM(BJ24:CH24)</f>
        <v>267199500</v>
      </c>
      <c r="BJ24" s="159">
        <f>июль!F23</f>
        <v>342200</v>
      </c>
      <c r="BK24" s="159">
        <f>июль!G23</f>
        <v>18500</v>
      </c>
      <c r="BL24" s="159">
        <f>июль!H23</f>
        <v>0</v>
      </c>
      <c r="BM24" s="159">
        <f>июль!I23</f>
        <v>0</v>
      </c>
      <c r="BN24" s="159">
        <f>июль!J23</f>
        <v>707000</v>
      </c>
      <c r="BO24" s="159">
        <f>июль!K23</f>
        <v>0</v>
      </c>
      <c r="BP24" s="159">
        <f>июль!L23</f>
        <v>80600</v>
      </c>
      <c r="BQ24" s="50">
        <f>июль!N23</f>
        <v>1100</v>
      </c>
      <c r="BR24" s="46">
        <f>июль!Y23</f>
        <v>28700</v>
      </c>
      <c r="BS24" s="50">
        <f>июль!AC23</f>
        <v>246365300</v>
      </c>
      <c r="BT24" s="50">
        <f>июль!AD23</f>
        <v>4788000</v>
      </c>
      <c r="BU24" s="46">
        <f>июль!AI23</f>
        <v>104600</v>
      </c>
      <c r="BV24" s="46">
        <f>июль!AJ23</f>
        <v>2928600</v>
      </c>
      <c r="BW24" s="46">
        <f>июль!AK23</f>
        <v>88600</v>
      </c>
      <c r="BX24" s="46">
        <f>июль!AL23</f>
        <v>22700</v>
      </c>
      <c r="BY24" s="46">
        <f>июль!AQ23</f>
        <v>757400</v>
      </c>
      <c r="BZ24" s="46">
        <f>июль!AR23</f>
        <v>97900</v>
      </c>
      <c r="CA24" s="46">
        <f>июль!AS23</f>
        <v>168400</v>
      </c>
      <c r="CB24" s="46">
        <f>июль!AT23</f>
        <v>0</v>
      </c>
      <c r="CC24" s="46">
        <f>июль!BL23</f>
        <v>9999000</v>
      </c>
      <c r="CD24" s="46">
        <f>июль!BM23</f>
        <v>355100</v>
      </c>
      <c r="CE24" s="50">
        <f>июль!CJ23</f>
        <v>18300</v>
      </c>
      <c r="CF24" s="50">
        <f>июль!CM23</f>
        <v>2100</v>
      </c>
      <c r="CG24" s="50">
        <f>июль!CS23</f>
        <v>325238.3</v>
      </c>
      <c r="CH24" s="50">
        <f>июль!CT23</f>
        <v>161.69999999999999</v>
      </c>
      <c r="CI24" s="17">
        <f>июль!AP23</f>
        <v>24124300</v>
      </c>
      <c r="CJ24" s="41">
        <f>июль!AO23</f>
        <v>4315300</v>
      </c>
      <c r="CK24" s="41">
        <f>июль!CL23</f>
        <v>661200</v>
      </c>
      <c r="CL24" s="93">
        <f>CO24+CP24+CU24+CV24+CM24</f>
        <v>21230790</v>
      </c>
      <c r="CM24" s="107"/>
      <c r="CN24" s="107"/>
      <c r="CO24" s="41"/>
      <c r="CP24" s="17">
        <f>CQ24+CR24+CS24</f>
        <v>21000000</v>
      </c>
      <c r="CQ24" s="17">
        <f>июль!DP23</f>
        <v>0</v>
      </c>
      <c r="CR24" s="17">
        <f>июль!DQ23</f>
        <v>0</v>
      </c>
      <c r="CS24" s="41">
        <f>июль!BH23</f>
        <v>21000000</v>
      </c>
      <c r="CT24" s="41"/>
      <c r="CU24" s="169">
        <f>июль!BP23</f>
        <v>106000</v>
      </c>
      <c r="CV24" s="17">
        <f>SUM(CW24:CX24)</f>
        <v>124790</v>
      </c>
      <c r="CW24" s="41">
        <f>июль!T23</f>
        <v>124790</v>
      </c>
      <c r="CX24" s="281">
        <f>июль!BG23</f>
        <v>0</v>
      </c>
    </row>
    <row r="25" spans="1:102" ht="16.5" customHeight="1" x14ac:dyDescent="0.25">
      <c r="A25" s="144">
        <v>20</v>
      </c>
      <c r="B25" s="1" t="s">
        <v>79</v>
      </c>
      <c r="C25" s="4">
        <f>D25+L25+BC25+CL25</f>
        <v>201405700</v>
      </c>
      <c r="D25" s="93">
        <f>E25+F25+G25+H25</f>
        <v>70178000</v>
      </c>
      <c r="E25" s="107"/>
      <c r="F25" s="107">
        <f>июль!AZ24</f>
        <v>64678000</v>
      </c>
      <c r="G25" s="107">
        <f>июль!BC24</f>
        <v>5500000</v>
      </c>
      <c r="H25" s="107"/>
      <c r="I25" s="107">
        <f>J25+K25</f>
        <v>0</v>
      </c>
      <c r="J25" s="107">
        <f>июль!BD24</f>
        <v>0</v>
      </c>
      <c r="K25" s="107">
        <f>июль!BE24</f>
        <v>0</v>
      </c>
      <c r="L25" s="93">
        <f>M25+N25+O25+P25+V25+W25+AD25+AE25+AC25+AB25</f>
        <v>21957400</v>
      </c>
      <c r="M25" s="107">
        <f>июль!EH24</f>
        <v>0</v>
      </c>
      <c r="N25" s="107">
        <f>июль!EG24</f>
        <v>0</v>
      </c>
      <c r="O25" s="107"/>
      <c r="P25" s="225">
        <f>SUM(Q25:U25)</f>
        <v>0</v>
      </c>
      <c r="Q25" s="268">
        <f>июль!CV24</f>
        <v>0</v>
      </c>
      <c r="R25" s="225">
        <f>июль!DO24</f>
        <v>0</v>
      </c>
      <c r="S25" s="225">
        <f>июль!DX24</f>
        <v>0</v>
      </c>
      <c r="T25" s="225">
        <f>июль!ED24</f>
        <v>0</v>
      </c>
      <c r="U25" s="225">
        <f>июль!EL24</f>
        <v>0</v>
      </c>
      <c r="V25" s="107">
        <f>июль!DF24</f>
        <v>0</v>
      </c>
      <c r="W25" s="67">
        <f>SUM(X25:AA25)</f>
        <v>0</v>
      </c>
      <c r="X25" s="67"/>
      <c r="Y25" s="67"/>
      <c r="Z25" s="67"/>
      <c r="AA25" s="67"/>
      <c r="AB25" s="107">
        <f>июль!CB24</f>
        <v>0</v>
      </c>
      <c r="AC25" s="107">
        <f>июль!CD24</f>
        <v>2000000</v>
      </c>
      <c r="AD25" s="107">
        <f>июль!CR24</f>
        <v>0</v>
      </c>
      <c r="AE25" s="38">
        <f>SUM(AF25:BB25)</f>
        <v>19957400</v>
      </c>
      <c r="AF25" s="38">
        <f>июль!CP24</f>
        <v>0</v>
      </c>
      <c r="AG25" s="46">
        <f>июль!X24</f>
        <v>0</v>
      </c>
      <c r="AH25" s="46">
        <f>июль!Z24</f>
        <v>0</v>
      </c>
      <c r="AI25" s="46">
        <f>июль!AB24</f>
        <v>0</v>
      </c>
      <c r="AJ25" s="46">
        <f>июль!AE24</f>
        <v>0</v>
      </c>
      <c r="AK25" s="46">
        <f>июль!AG24</f>
        <v>1610300</v>
      </c>
      <c r="AL25" s="46">
        <f>июль!BK24</f>
        <v>7833300</v>
      </c>
      <c r="AM25" s="46"/>
      <c r="AN25" s="46">
        <f>июль!BS24</f>
        <v>0</v>
      </c>
      <c r="AO25" s="46">
        <f>июль!CW24</f>
        <v>3497200</v>
      </c>
      <c r="AP25" s="46">
        <f>июль!CX24</f>
        <v>339200</v>
      </c>
      <c r="AQ25" s="46">
        <f>июль!CY24</f>
        <v>4957400</v>
      </c>
      <c r="AR25" s="46">
        <f>июль!CZ24</f>
        <v>0</v>
      </c>
      <c r="AS25" s="46">
        <f>июль!DA24</f>
        <v>0</v>
      </c>
      <c r="AT25" s="46">
        <f>июль!DH24</f>
        <v>0</v>
      </c>
      <c r="AU25" s="46">
        <f>июль!DK24</f>
        <v>1720000</v>
      </c>
      <c r="AV25" s="46">
        <f>июль!DL24</f>
        <v>0</v>
      </c>
      <c r="AW25" s="67">
        <v>0</v>
      </c>
      <c r="AX25" s="67">
        <f>июль!ET24</f>
        <v>0</v>
      </c>
      <c r="AY25" s="67">
        <f>июль!EU24</f>
        <v>0</v>
      </c>
      <c r="AZ25" s="67"/>
      <c r="BA25" s="67">
        <f>июль!BQ24</f>
        <v>0</v>
      </c>
      <c r="BB25" s="67">
        <f>июль!BW24</f>
        <v>0</v>
      </c>
      <c r="BC25" s="93">
        <f>BE25+BF25+BI25+CI25+CJ25+CK25</f>
        <v>106549300</v>
      </c>
      <c r="BD25" s="103"/>
      <c r="BE25" s="41">
        <f>июль!P24</f>
        <v>681300</v>
      </c>
      <c r="BF25" s="41">
        <f>BG25+BH25</f>
        <v>3194500</v>
      </c>
      <c r="BG25" s="41">
        <f>июль!CF24</f>
        <v>818500</v>
      </c>
      <c r="BH25" s="41">
        <f>июль!CG24</f>
        <v>2376000</v>
      </c>
      <c r="BI25" s="67">
        <f>SUM(BJ25:CH25)</f>
        <v>95102100</v>
      </c>
      <c r="BJ25" s="159">
        <f>июль!F24</f>
        <v>153200</v>
      </c>
      <c r="BK25" s="159">
        <f>июль!G24</f>
        <v>4900</v>
      </c>
      <c r="BL25" s="159">
        <f>июль!H24</f>
        <v>0</v>
      </c>
      <c r="BM25" s="159">
        <f>июль!I24</f>
        <v>0</v>
      </c>
      <c r="BN25" s="159">
        <f>июль!J24</f>
        <v>359300</v>
      </c>
      <c r="BO25" s="159">
        <f>июль!K24</f>
        <v>0</v>
      </c>
      <c r="BP25" s="159">
        <f>июль!L24</f>
        <v>46100</v>
      </c>
      <c r="BQ25" s="50">
        <f>июль!N24</f>
        <v>600</v>
      </c>
      <c r="BR25" s="46">
        <f>июль!Y24</f>
        <v>15100</v>
      </c>
      <c r="BS25" s="50">
        <f>июль!AC24</f>
        <v>87771000</v>
      </c>
      <c r="BT25" s="50">
        <f>июль!AD24</f>
        <v>2520000</v>
      </c>
      <c r="BU25" s="46">
        <f>июль!AI24</f>
        <v>46500</v>
      </c>
      <c r="BV25" s="46">
        <f>июль!AJ24</f>
        <v>781000</v>
      </c>
      <c r="BW25" s="46">
        <f>июль!AK24</f>
        <v>87600</v>
      </c>
      <c r="BX25" s="46">
        <f>июль!AL24</f>
        <v>2700</v>
      </c>
      <c r="BY25" s="46">
        <f>июль!AQ24</f>
        <v>0</v>
      </c>
      <c r="BZ25" s="46">
        <f>июль!AR24</f>
        <v>0</v>
      </c>
      <c r="CA25" s="46">
        <f>июль!AS24</f>
        <v>0</v>
      </c>
      <c r="CB25" s="46">
        <f>июль!AT24</f>
        <v>0</v>
      </c>
      <c r="CC25" s="46">
        <f>июль!BL24</f>
        <v>2652000</v>
      </c>
      <c r="CD25" s="46">
        <f>июль!BM24</f>
        <v>195800</v>
      </c>
      <c r="CE25" s="50">
        <f>июль!CJ24</f>
        <v>6300</v>
      </c>
      <c r="CF25" s="50">
        <f>июль!CM24</f>
        <v>0</v>
      </c>
      <c r="CG25" s="50">
        <f>июль!CS24</f>
        <v>459982</v>
      </c>
      <c r="CH25" s="50">
        <f>июль!CT24</f>
        <v>18</v>
      </c>
      <c r="CI25" s="17">
        <f>июль!AP24</f>
        <v>6489700</v>
      </c>
      <c r="CJ25" s="41">
        <f>июль!AO24</f>
        <v>1081700</v>
      </c>
      <c r="CK25" s="41">
        <f>июль!CL24</f>
        <v>0</v>
      </c>
      <c r="CL25" s="93">
        <f>CO25+CP25+CU25+CV25+CM25</f>
        <v>2721000</v>
      </c>
      <c r="CM25" s="107"/>
      <c r="CN25" s="107"/>
      <c r="CO25" s="41"/>
      <c r="CP25" s="17">
        <f>CQ25+CR25+CS25</f>
        <v>0</v>
      </c>
      <c r="CQ25" s="17">
        <f>июль!DP24</f>
        <v>0</v>
      </c>
      <c r="CR25" s="17">
        <f>июль!DQ24</f>
        <v>0</v>
      </c>
      <c r="CS25" s="41">
        <f>июль!BH24</f>
        <v>0</v>
      </c>
      <c r="CT25" s="41"/>
      <c r="CU25" s="169">
        <f>июль!BP24</f>
        <v>121000</v>
      </c>
      <c r="CV25" s="17">
        <f>SUM(CW25:CX25)</f>
        <v>2600000</v>
      </c>
      <c r="CW25" s="41">
        <f>июль!T24</f>
        <v>0</v>
      </c>
      <c r="CX25" s="281">
        <f>июль!BG24</f>
        <v>2600000</v>
      </c>
    </row>
    <row r="26" spans="1:102" ht="16.5" customHeight="1" x14ac:dyDescent="0.25">
      <c r="A26" s="144">
        <v>21</v>
      </c>
      <c r="B26" s="1" t="s">
        <v>80</v>
      </c>
      <c r="C26" s="4">
        <f>D26+L26+BC26+CL26</f>
        <v>231185381</v>
      </c>
      <c r="D26" s="93">
        <f>E26+F26+G26+H26</f>
        <v>32600000</v>
      </c>
      <c r="E26" s="107"/>
      <c r="F26" s="107">
        <f>июль!AZ25</f>
        <v>32600000</v>
      </c>
      <c r="G26" s="107">
        <f>июль!BC25</f>
        <v>0</v>
      </c>
      <c r="H26" s="107"/>
      <c r="I26" s="107">
        <f>J26+K26</f>
        <v>0</v>
      </c>
      <c r="J26" s="107">
        <f>июль!BD25</f>
        <v>0</v>
      </c>
      <c r="K26" s="107">
        <f>июль!BE25</f>
        <v>0</v>
      </c>
      <c r="L26" s="93">
        <f>M26+N26+O26+P26+V26+W26+AD26+AE26+AC26+AB26</f>
        <v>49699700</v>
      </c>
      <c r="M26" s="107">
        <f>июль!EH25</f>
        <v>0</v>
      </c>
      <c r="N26" s="107">
        <f>июль!EG25</f>
        <v>0</v>
      </c>
      <c r="O26" s="107"/>
      <c r="P26" s="225">
        <f>SUM(Q26:U26)</f>
        <v>0</v>
      </c>
      <c r="Q26" s="268">
        <f>июль!CV25</f>
        <v>0</v>
      </c>
      <c r="R26" s="225">
        <f>июль!DO25</f>
        <v>0</v>
      </c>
      <c r="S26" s="225">
        <f>июль!DX25</f>
        <v>0</v>
      </c>
      <c r="T26" s="225">
        <f>июль!ED25</f>
        <v>0</v>
      </c>
      <c r="U26" s="225">
        <f>июль!EL25</f>
        <v>0</v>
      </c>
      <c r="V26" s="107">
        <f>июль!DF25</f>
        <v>0</v>
      </c>
      <c r="W26" s="67">
        <f>SUM(X26:AA26)</f>
        <v>0</v>
      </c>
      <c r="X26" s="67"/>
      <c r="Y26" s="67"/>
      <c r="Z26" s="67"/>
      <c r="AA26" s="67"/>
      <c r="AB26" s="107">
        <f>июль!CB25</f>
        <v>4630200</v>
      </c>
      <c r="AC26" s="107">
        <f>июль!CD25</f>
        <v>5000000</v>
      </c>
      <c r="AD26" s="107">
        <f>июль!CR25</f>
        <v>0</v>
      </c>
      <c r="AE26" s="38">
        <f>SUM(AF26:BB26)</f>
        <v>40069500</v>
      </c>
      <c r="AF26" s="38">
        <f>июль!CP25</f>
        <v>0</v>
      </c>
      <c r="AG26" s="46">
        <f>июль!X25</f>
        <v>1199100</v>
      </c>
      <c r="AH26" s="46">
        <f>июль!Z25</f>
        <v>0</v>
      </c>
      <c r="AI26" s="46">
        <f>июль!AB25</f>
        <v>2177800</v>
      </c>
      <c r="AJ26" s="46">
        <f>июль!AE25</f>
        <v>0</v>
      </c>
      <c r="AK26" s="46">
        <f>июль!AG25</f>
        <v>4112900</v>
      </c>
      <c r="AL26" s="46">
        <f>июль!BK25</f>
        <v>12272900</v>
      </c>
      <c r="AM26" s="46"/>
      <c r="AN26" s="46">
        <f>июль!BS25</f>
        <v>0</v>
      </c>
      <c r="AO26" s="46">
        <f>июль!CW25</f>
        <v>5722000</v>
      </c>
      <c r="AP26" s="46">
        <f>июль!CX25</f>
        <v>872300</v>
      </c>
      <c r="AQ26" s="46">
        <f>июль!CY25</f>
        <v>8166500</v>
      </c>
      <c r="AR26" s="46">
        <f>июль!CZ25</f>
        <v>2300000</v>
      </c>
      <c r="AS26" s="46">
        <f>июль!DA25</f>
        <v>0</v>
      </c>
      <c r="AT26" s="46">
        <f>июль!DH25</f>
        <v>0</v>
      </c>
      <c r="AU26" s="46">
        <f>июль!DK25</f>
        <v>3150000</v>
      </c>
      <c r="AV26" s="46">
        <f>июль!DL25</f>
        <v>0</v>
      </c>
      <c r="AW26" s="67">
        <v>0</v>
      </c>
      <c r="AX26" s="67">
        <f>июль!ET25</f>
        <v>0</v>
      </c>
      <c r="AY26" s="67">
        <f>июль!EU25</f>
        <v>0</v>
      </c>
      <c r="AZ26" s="67"/>
      <c r="BA26" s="67">
        <f>июль!BQ25</f>
        <v>0</v>
      </c>
      <c r="BB26" s="67">
        <f>июль!BW25</f>
        <v>96000</v>
      </c>
      <c r="BC26" s="93">
        <f>BE26+BF26+BI26+CI26+CJ26+CK26</f>
        <v>146724300</v>
      </c>
      <c r="BD26" s="103"/>
      <c r="BE26" s="41">
        <f>июль!P25</f>
        <v>1288100</v>
      </c>
      <c r="BF26" s="41">
        <f>BG26+BH26</f>
        <v>3590500</v>
      </c>
      <c r="BG26" s="41">
        <f>июль!CF25</f>
        <v>845500</v>
      </c>
      <c r="BH26" s="41">
        <f>июль!CG25</f>
        <v>2745000</v>
      </c>
      <c r="BI26" s="67">
        <f>SUM(BJ26:CH26)</f>
        <v>128434800</v>
      </c>
      <c r="BJ26" s="159">
        <f>июль!F25</f>
        <v>162200</v>
      </c>
      <c r="BK26" s="159">
        <f>июль!G25</f>
        <v>8500</v>
      </c>
      <c r="BL26" s="159">
        <f>июль!H25</f>
        <v>0</v>
      </c>
      <c r="BM26" s="159">
        <f>июль!I25</f>
        <v>0</v>
      </c>
      <c r="BN26" s="159">
        <f>июль!J25</f>
        <v>359300</v>
      </c>
      <c r="BO26" s="159">
        <f>июль!K25</f>
        <v>0</v>
      </c>
      <c r="BP26" s="159">
        <f>июль!L25</f>
        <v>53800</v>
      </c>
      <c r="BQ26" s="50">
        <f>июль!N25</f>
        <v>700</v>
      </c>
      <c r="BR26" s="46">
        <f>июль!Y25</f>
        <v>33300</v>
      </c>
      <c r="BS26" s="50">
        <f>июль!AC25</f>
        <v>117106200</v>
      </c>
      <c r="BT26" s="50">
        <f>июль!AD25</f>
        <v>3671600</v>
      </c>
      <c r="BU26" s="46">
        <f>июль!AI25</f>
        <v>69600</v>
      </c>
      <c r="BV26" s="46">
        <f>июль!AJ25</f>
        <v>1366700</v>
      </c>
      <c r="BW26" s="46">
        <f>июль!AK25</f>
        <v>105000</v>
      </c>
      <c r="BX26" s="46">
        <f>июль!AL25</f>
        <v>6000</v>
      </c>
      <c r="BY26" s="46">
        <f>июль!AQ25</f>
        <v>220200</v>
      </c>
      <c r="BZ26" s="46">
        <f>июль!AR25</f>
        <v>0</v>
      </c>
      <c r="CA26" s="46">
        <f>июль!AS25</f>
        <v>0</v>
      </c>
      <c r="CB26" s="46">
        <f>июль!AT25</f>
        <v>0</v>
      </c>
      <c r="CC26" s="46">
        <f>июль!BL25</f>
        <v>4602000</v>
      </c>
      <c r="CD26" s="46">
        <f>июль!BM25</f>
        <v>230200</v>
      </c>
      <c r="CE26" s="50">
        <f>июль!CJ25</f>
        <v>7300</v>
      </c>
      <c r="CF26" s="50">
        <f>июль!CM25</f>
        <v>0</v>
      </c>
      <c r="CG26" s="50">
        <f>июль!CS25</f>
        <v>432107.1</v>
      </c>
      <c r="CH26" s="50">
        <f>июль!CT25</f>
        <v>92.9</v>
      </c>
      <c r="CI26" s="17">
        <f>июль!AP25</f>
        <v>10972800</v>
      </c>
      <c r="CJ26" s="41">
        <f>июль!AO25</f>
        <v>2438100</v>
      </c>
      <c r="CK26" s="41">
        <f>июль!CL25</f>
        <v>0</v>
      </c>
      <c r="CL26" s="93">
        <f>CO26+CP26+CU26+CV26+CM26</f>
        <v>2161381</v>
      </c>
      <c r="CM26" s="107"/>
      <c r="CN26" s="107"/>
      <c r="CO26" s="41"/>
      <c r="CP26" s="17">
        <f>CQ26+CR26+CS26</f>
        <v>2000000</v>
      </c>
      <c r="CQ26" s="17">
        <f>июль!DP25</f>
        <v>0</v>
      </c>
      <c r="CR26" s="17">
        <f>июль!DQ25</f>
        <v>0</v>
      </c>
      <c r="CS26" s="41">
        <f>июль!BH25</f>
        <v>2000000</v>
      </c>
      <c r="CT26" s="41"/>
      <c r="CU26" s="169">
        <f>июль!BP25</f>
        <v>113000</v>
      </c>
      <c r="CV26" s="17">
        <f>SUM(CW26:CX26)</f>
        <v>48381</v>
      </c>
      <c r="CW26" s="41">
        <f>июль!T25</f>
        <v>48381</v>
      </c>
      <c r="CX26" s="281">
        <f>июль!BG25</f>
        <v>0</v>
      </c>
    </row>
    <row r="27" spans="1:102" ht="16.5" customHeight="1" x14ac:dyDescent="0.25">
      <c r="A27" s="144">
        <v>22</v>
      </c>
      <c r="B27" s="1" t="s">
        <v>81</v>
      </c>
      <c r="C27" s="4">
        <f>D27+L27+BC27+CL27</f>
        <v>306729451</v>
      </c>
      <c r="D27" s="93">
        <f>E27+F27+G27+H27</f>
        <v>66175800</v>
      </c>
      <c r="E27" s="107"/>
      <c r="F27" s="107">
        <f>июль!AZ26</f>
        <v>35072000</v>
      </c>
      <c r="G27" s="107">
        <f>июль!BC26</f>
        <v>31103800</v>
      </c>
      <c r="H27" s="107"/>
      <c r="I27" s="107">
        <f>J27+K27</f>
        <v>0</v>
      </c>
      <c r="J27" s="107">
        <f>июль!BD26</f>
        <v>0</v>
      </c>
      <c r="K27" s="107">
        <f>июль!BE26</f>
        <v>0</v>
      </c>
      <c r="L27" s="93">
        <f>M27+N27+O27+P27+V27+W27+AD27+AE27+AC27+AB27</f>
        <v>47416800</v>
      </c>
      <c r="M27" s="107">
        <f>июль!EH26</f>
        <v>0</v>
      </c>
      <c r="N27" s="107">
        <f>июль!EG26</f>
        <v>0</v>
      </c>
      <c r="O27" s="107"/>
      <c r="P27" s="225">
        <f>SUM(Q27:U27)</f>
        <v>0</v>
      </c>
      <c r="Q27" s="268">
        <f>июль!CV26</f>
        <v>0</v>
      </c>
      <c r="R27" s="225">
        <f>июль!DO26</f>
        <v>0</v>
      </c>
      <c r="S27" s="225">
        <f>июль!DX26</f>
        <v>0</v>
      </c>
      <c r="T27" s="225">
        <f>июль!ED26</f>
        <v>0</v>
      </c>
      <c r="U27" s="225">
        <f>июль!EL26</f>
        <v>0</v>
      </c>
      <c r="V27" s="107">
        <f>июль!DF26</f>
        <v>0</v>
      </c>
      <c r="W27" s="67">
        <f>SUM(X27:AA27)</f>
        <v>0</v>
      </c>
      <c r="X27" s="67"/>
      <c r="Y27" s="67"/>
      <c r="Z27" s="67"/>
      <c r="AA27" s="67"/>
      <c r="AB27" s="107">
        <f>июль!CB26</f>
        <v>1200000</v>
      </c>
      <c r="AC27" s="107">
        <f>июль!CD26</f>
        <v>500000</v>
      </c>
      <c r="AD27" s="107">
        <f>июль!CR26</f>
        <v>0</v>
      </c>
      <c r="AE27" s="38">
        <f>SUM(AF27:BB27)</f>
        <v>45716800</v>
      </c>
      <c r="AF27" s="38">
        <f>июль!CP26</f>
        <v>0</v>
      </c>
      <c r="AG27" s="46">
        <f>июль!X26</f>
        <v>1093300</v>
      </c>
      <c r="AH27" s="46">
        <f>июль!Z26</f>
        <v>0</v>
      </c>
      <c r="AI27" s="46">
        <f>июль!AB26</f>
        <v>1202700</v>
      </c>
      <c r="AJ27" s="46">
        <f>июль!AE26</f>
        <v>0</v>
      </c>
      <c r="AK27" s="46">
        <f>июль!AG26</f>
        <v>5181000</v>
      </c>
      <c r="AL27" s="46">
        <f>июль!BK26</f>
        <v>7863500</v>
      </c>
      <c r="AM27" s="46"/>
      <c r="AN27" s="46">
        <f>июль!BS26</f>
        <v>0</v>
      </c>
      <c r="AO27" s="46">
        <f>июль!CW26</f>
        <v>7637000</v>
      </c>
      <c r="AP27" s="46">
        <f>июль!CX26</f>
        <v>12029800</v>
      </c>
      <c r="AQ27" s="46">
        <f>июль!CY26</f>
        <v>10709500</v>
      </c>
      <c r="AR27" s="46">
        <f>июль!CZ26</f>
        <v>0</v>
      </c>
      <c r="AS27" s="46">
        <f>июль!DA26</f>
        <v>0</v>
      </c>
      <c r="AT27" s="46">
        <f>июль!DH26</f>
        <v>0</v>
      </c>
      <c r="AU27" s="46">
        <f>июль!DK26</f>
        <v>0</v>
      </c>
      <c r="AV27" s="46">
        <f>июль!DL26</f>
        <v>0</v>
      </c>
      <c r="AW27" s="67">
        <v>0</v>
      </c>
      <c r="AX27" s="67">
        <f>июль!ET26</f>
        <v>0</v>
      </c>
      <c r="AY27" s="67">
        <f>июль!EU26</f>
        <v>0</v>
      </c>
      <c r="AZ27" s="67"/>
      <c r="BA27" s="67">
        <f>июль!BQ26</f>
        <v>0</v>
      </c>
      <c r="BB27" s="67">
        <f>июль!BW26</f>
        <v>0</v>
      </c>
      <c r="BC27" s="93">
        <f>BE27+BF27+BI27+CI27+CJ27+CK27</f>
        <v>192916148</v>
      </c>
      <c r="BD27" s="103"/>
      <c r="BE27" s="41">
        <f>июль!P26</f>
        <v>1066200</v>
      </c>
      <c r="BF27" s="41">
        <f>BG27+BH27</f>
        <v>5668000</v>
      </c>
      <c r="BG27" s="41">
        <f>июль!CF26</f>
        <v>853000</v>
      </c>
      <c r="BH27" s="41">
        <f>июль!CG26</f>
        <v>4815000</v>
      </c>
      <c r="BI27" s="67">
        <f>SUM(BJ27:CH27)</f>
        <v>175879248</v>
      </c>
      <c r="BJ27" s="159">
        <f>июль!F26</f>
        <v>324200</v>
      </c>
      <c r="BK27" s="159">
        <f>июль!G26</f>
        <v>9700</v>
      </c>
      <c r="BL27" s="159">
        <f>июль!H26</f>
        <v>0</v>
      </c>
      <c r="BM27" s="159">
        <f>июль!I26</f>
        <v>0</v>
      </c>
      <c r="BN27" s="159">
        <f>июль!J26</f>
        <v>359300</v>
      </c>
      <c r="BO27" s="159">
        <f>июль!K26</f>
        <v>0</v>
      </c>
      <c r="BP27" s="159">
        <f>июль!L26</f>
        <v>53800</v>
      </c>
      <c r="BQ27" s="50">
        <f>июль!N26</f>
        <v>700</v>
      </c>
      <c r="BR27" s="46">
        <f>июль!Y26</f>
        <v>2600</v>
      </c>
      <c r="BS27" s="50">
        <f>июль!AC26</f>
        <v>162709200</v>
      </c>
      <c r="BT27" s="50">
        <f>июль!AD26</f>
        <v>4284000</v>
      </c>
      <c r="BU27" s="46">
        <f>июль!AI26</f>
        <v>45400</v>
      </c>
      <c r="BV27" s="46">
        <f>июль!AJ26</f>
        <v>1561900</v>
      </c>
      <c r="BW27" s="46">
        <f>июль!AK26</f>
        <v>87600</v>
      </c>
      <c r="BX27" s="46">
        <f>июль!AL26</f>
        <v>1600</v>
      </c>
      <c r="BY27" s="46">
        <f>июль!AQ26</f>
        <v>0</v>
      </c>
      <c r="BZ27" s="46">
        <f>июль!AR26</f>
        <v>0</v>
      </c>
      <c r="CA27" s="46">
        <f>июль!AS26</f>
        <v>199800</v>
      </c>
      <c r="CB27" s="46">
        <f>июль!AT26</f>
        <v>0</v>
      </c>
      <c r="CC27" s="46">
        <f>июль!BL26</f>
        <v>5239000</v>
      </c>
      <c r="CD27" s="46">
        <f>июль!BM26</f>
        <v>231200</v>
      </c>
      <c r="CE27" s="50">
        <f>июль!CJ26</f>
        <v>11000</v>
      </c>
      <c r="CF27" s="50">
        <f>июль!CM26</f>
        <v>0</v>
      </c>
      <c r="CG27" s="50">
        <f>июль!CS26</f>
        <v>757955</v>
      </c>
      <c r="CH27" s="50">
        <f>июль!CT26</f>
        <v>293</v>
      </c>
      <c r="CI27" s="17">
        <f>июль!AP26</f>
        <v>8366400</v>
      </c>
      <c r="CJ27" s="41">
        <f>июль!AO26</f>
        <v>1936300</v>
      </c>
      <c r="CK27" s="41">
        <f>июль!CL26</f>
        <v>0</v>
      </c>
      <c r="CL27" s="93">
        <f>CO27+CP27+CU27+CV27+CM27</f>
        <v>220703</v>
      </c>
      <c r="CM27" s="107"/>
      <c r="CN27" s="107"/>
      <c r="CO27" s="41"/>
      <c r="CP27" s="17">
        <f>CQ27+CR27+CS27</f>
        <v>56000</v>
      </c>
      <c r="CQ27" s="17">
        <f>июль!DP26</f>
        <v>0</v>
      </c>
      <c r="CR27" s="17">
        <f>июль!DQ26</f>
        <v>56000</v>
      </c>
      <c r="CS27" s="41">
        <f>июль!BH26</f>
        <v>0</v>
      </c>
      <c r="CT27" s="41"/>
      <c r="CU27" s="169">
        <f>июль!BP26</f>
        <v>92000</v>
      </c>
      <c r="CV27" s="17">
        <f>SUM(CW27:CX27)</f>
        <v>72703</v>
      </c>
      <c r="CW27" s="41">
        <f>июль!T26</f>
        <v>72703</v>
      </c>
      <c r="CX27" s="281">
        <f>июль!BG26</f>
        <v>0</v>
      </c>
    </row>
    <row r="28" spans="1:102" ht="16.5" customHeight="1" x14ac:dyDescent="0.25">
      <c r="A28" s="144">
        <v>23</v>
      </c>
      <c r="B28" s="1" t="s">
        <v>82</v>
      </c>
      <c r="C28" s="4">
        <f>D28+L28+BC28+CL28</f>
        <v>295161153</v>
      </c>
      <c r="D28" s="93">
        <f>E28+F28+G28+H28</f>
        <v>53850000</v>
      </c>
      <c r="E28" s="107"/>
      <c r="F28" s="107">
        <f>июль!AZ27</f>
        <v>46850000</v>
      </c>
      <c r="G28" s="107">
        <f>июль!BC27</f>
        <v>7000000</v>
      </c>
      <c r="H28" s="107"/>
      <c r="I28" s="107">
        <f>J28+K28</f>
        <v>0</v>
      </c>
      <c r="J28" s="107">
        <f>июль!BD27</f>
        <v>0</v>
      </c>
      <c r="K28" s="107">
        <f>июль!BE27</f>
        <v>0</v>
      </c>
      <c r="L28" s="93">
        <f>M28+N28+O28+P28+V28+W28+AD28+AE28+AC28+AB28</f>
        <v>51835800</v>
      </c>
      <c r="M28" s="107">
        <f>июль!EH27</f>
        <v>0</v>
      </c>
      <c r="N28" s="107">
        <f>июль!EG27</f>
        <v>0</v>
      </c>
      <c r="O28" s="107"/>
      <c r="P28" s="225">
        <f>SUM(Q28:U28)</f>
        <v>0</v>
      </c>
      <c r="Q28" s="268">
        <f>июль!CV27</f>
        <v>0</v>
      </c>
      <c r="R28" s="225">
        <f>июль!DO27</f>
        <v>0</v>
      </c>
      <c r="S28" s="225">
        <f>июль!DX27</f>
        <v>0</v>
      </c>
      <c r="T28" s="225">
        <f>июль!ED27</f>
        <v>0</v>
      </c>
      <c r="U28" s="225">
        <f>июль!EL27</f>
        <v>0</v>
      </c>
      <c r="V28" s="107">
        <f>июль!DF27</f>
        <v>0</v>
      </c>
      <c r="W28" s="67">
        <f>SUM(X28:AA28)</f>
        <v>0</v>
      </c>
      <c r="X28" s="67"/>
      <c r="Y28" s="67"/>
      <c r="Z28" s="67"/>
      <c r="AA28" s="67"/>
      <c r="AB28" s="107">
        <f>июль!CB27</f>
        <v>6907500</v>
      </c>
      <c r="AC28" s="107">
        <f>июль!CD27</f>
        <v>500000</v>
      </c>
      <c r="AD28" s="107">
        <f>июль!CR27</f>
        <v>0</v>
      </c>
      <c r="AE28" s="38">
        <f>SUM(AF28:BB28)</f>
        <v>44428300</v>
      </c>
      <c r="AF28" s="38">
        <f>июль!CP27</f>
        <v>0</v>
      </c>
      <c r="AG28" s="46">
        <f>июль!X27</f>
        <v>1833800</v>
      </c>
      <c r="AH28" s="46">
        <f>июль!Z27</f>
        <v>1200000</v>
      </c>
      <c r="AI28" s="46">
        <f>июль!AB27</f>
        <v>942600</v>
      </c>
      <c r="AJ28" s="46">
        <f>июль!AE27</f>
        <v>0</v>
      </c>
      <c r="AK28" s="46">
        <f>июль!AG27</f>
        <v>2527800</v>
      </c>
      <c r="AL28" s="46">
        <f>июль!BK27</f>
        <v>10377700</v>
      </c>
      <c r="AM28" s="46"/>
      <c r="AN28" s="46">
        <f>июль!BS27</f>
        <v>0</v>
      </c>
      <c r="AO28" s="46">
        <f>июль!CW27</f>
        <v>6011100</v>
      </c>
      <c r="AP28" s="46">
        <f>июль!CX27</f>
        <v>9643300</v>
      </c>
      <c r="AQ28" s="46">
        <f>июль!CY27</f>
        <v>0</v>
      </c>
      <c r="AR28" s="46">
        <f>июль!CZ27</f>
        <v>2500000</v>
      </c>
      <c r="AS28" s="46">
        <f>июль!DA27</f>
        <v>0</v>
      </c>
      <c r="AT28" s="46">
        <f>июль!DH27</f>
        <v>0</v>
      </c>
      <c r="AU28" s="46">
        <f>июль!DK27</f>
        <v>9392000</v>
      </c>
      <c r="AV28" s="46">
        <f>июль!DL27</f>
        <v>0</v>
      </c>
      <c r="AW28" s="67">
        <v>0</v>
      </c>
      <c r="AX28" s="67">
        <f>июль!ET27</f>
        <v>0</v>
      </c>
      <c r="AY28" s="67">
        <f>июль!EU27</f>
        <v>0</v>
      </c>
      <c r="AZ28" s="67"/>
      <c r="BA28" s="67">
        <f>июль!BQ27</f>
        <v>0</v>
      </c>
      <c r="BB28" s="67">
        <f>июль!BW27</f>
        <v>0</v>
      </c>
      <c r="BC28" s="93">
        <f>BE28+BF28+BI28+CI28+CJ28+CK28</f>
        <v>187181200</v>
      </c>
      <c r="BD28" s="103"/>
      <c r="BE28" s="41">
        <f>июль!P27</f>
        <v>1221200</v>
      </c>
      <c r="BF28" s="41">
        <f>BG28+BH28</f>
        <v>4633300</v>
      </c>
      <c r="BG28" s="41">
        <f>июль!CF27</f>
        <v>1187300</v>
      </c>
      <c r="BH28" s="41">
        <f>июль!CG27</f>
        <v>3446000</v>
      </c>
      <c r="BI28" s="67">
        <f>SUM(BJ28:CH28)</f>
        <v>165747200</v>
      </c>
      <c r="BJ28" s="159">
        <f>июль!F27</f>
        <v>324200</v>
      </c>
      <c r="BK28" s="159">
        <f>июль!G27</f>
        <v>10400</v>
      </c>
      <c r="BL28" s="159">
        <f>июль!H27</f>
        <v>0</v>
      </c>
      <c r="BM28" s="159">
        <f>июль!I27</f>
        <v>0</v>
      </c>
      <c r="BN28" s="159">
        <f>июль!J27</f>
        <v>359300</v>
      </c>
      <c r="BO28" s="159">
        <f>июль!K27</f>
        <v>217500</v>
      </c>
      <c r="BP28" s="159">
        <f>июль!L27</f>
        <v>57600</v>
      </c>
      <c r="BQ28" s="50">
        <f>июль!N27</f>
        <v>700</v>
      </c>
      <c r="BR28" s="46">
        <f>июль!Y27</f>
        <v>0</v>
      </c>
      <c r="BS28" s="50">
        <f>июль!AC27</f>
        <v>152085400</v>
      </c>
      <c r="BT28" s="50">
        <f>июль!AD27</f>
        <v>4032000</v>
      </c>
      <c r="BU28" s="46">
        <f>июль!AI27</f>
        <v>93000</v>
      </c>
      <c r="BV28" s="46">
        <f>июль!AJ27</f>
        <v>1561900</v>
      </c>
      <c r="BW28" s="46">
        <f>июль!AK27</f>
        <v>96300</v>
      </c>
      <c r="BX28" s="46">
        <f>июль!AL27</f>
        <v>0</v>
      </c>
      <c r="BY28" s="46">
        <f>июль!AQ27</f>
        <v>0</v>
      </c>
      <c r="BZ28" s="46">
        <f>июль!AR27</f>
        <v>41000</v>
      </c>
      <c r="CA28" s="46">
        <f>июль!AS27</f>
        <v>0</v>
      </c>
      <c r="CB28" s="46">
        <f>июль!AT27</f>
        <v>0</v>
      </c>
      <c r="CC28" s="46">
        <f>июль!BL27</f>
        <v>5611000</v>
      </c>
      <c r="CD28" s="46">
        <f>июль!BM27</f>
        <v>247800</v>
      </c>
      <c r="CE28" s="50">
        <f>июль!CJ27</f>
        <v>9200</v>
      </c>
      <c r="CF28" s="50">
        <f>июль!CM27</f>
        <v>0</v>
      </c>
      <c r="CG28" s="50">
        <f>июль!CS27</f>
        <v>999299.4</v>
      </c>
      <c r="CH28" s="50">
        <f>июль!CT27</f>
        <v>600.6</v>
      </c>
      <c r="CI28" s="17">
        <f>июль!AP27</f>
        <v>11804900</v>
      </c>
      <c r="CJ28" s="41">
        <f>июль!AO27</f>
        <v>3774600</v>
      </c>
      <c r="CK28" s="41">
        <f>июль!CL27</f>
        <v>0</v>
      </c>
      <c r="CL28" s="93">
        <f>CO28+CP28+CU28+CV28+CM28</f>
        <v>2294153</v>
      </c>
      <c r="CM28" s="107"/>
      <c r="CN28" s="107"/>
      <c r="CO28" s="41"/>
      <c r="CP28" s="17">
        <f>CQ28+CR28+CS28</f>
        <v>1962434</v>
      </c>
      <c r="CQ28" s="17">
        <f>июль!DP27</f>
        <v>0</v>
      </c>
      <c r="CR28" s="17">
        <f>июль!DQ27</f>
        <v>0</v>
      </c>
      <c r="CS28" s="41">
        <f>июль!BH27</f>
        <v>1962434</v>
      </c>
      <c r="CT28" s="41"/>
      <c r="CU28" s="169">
        <f>июль!BP27</f>
        <v>127000</v>
      </c>
      <c r="CV28" s="17">
        <f>SUM(CW28:CX28)</f>
        <v>204719</v>
      </c>
      <c r="CW28" s="41">
        <f>июль!T27</f>
        <v>204719</v>
      </c>
      <c r="CX28" s="281">
        <f>июль!BG27</f>
        <v>0</v>
      </c>
    </row>
    <row r="29" spans="1:102" ht="16.5" customHeight="1" x14ac:dyDescent="0.25">
      <c r="A29" s="144">
        <v>24</v>
      </c>
      <c r="B29" s="1" t="s">
        <v>83</v>
      </c>
      <c r="C29" s="4">
        <f>D29+L29+BC29+CL29</f>
        <v>77169973.400000006</v>
      </c>
      <c r="D29" s="93">
        <f>E29+F29+G29+H29</f>
        <v>54006000</v>
      </c>
      <c r="E29" s="107"/>
      <c r="F29" s="107">
        <f>июль!AZ28</f>
        <v>47506000</v>
      </c>
      <c r="G29" s="107">
        <f>июль!BC28</f>
        <v>6500000</v>
      </c>
      <c r="H29" s="107"/>
      <c r="I29" s="107">
        <f>J29+K29</f>
        <v>0</v>
      </c>
      <c r="J29" s="107">
        <f>июль!BD28</f>
        <v>0</v>
      </c>
      <c r="K29" s="107">
        <f>июль!BE28</f>
        <v>0</v>
      </c>
      <c r="L29" s="93">
        <f>M29+N29+O29+P29+V29+W29+AD29+AE29+AC29+AB29</f>
        <v>6932200</v>
      </c>
      <c r="M29" s="107">
        <f>июль!EH28</f>
        <v>0</v>
      </c>
      <c r="N29" s="107">
        <f>июль!EG28</f>
        <v>0</v>
      </c>
      <c r="O29" s="107"/>
      <c r="P29" s="225">
        <f>SUM(Q29:U29)</f>
        <v>0</v>
      </c>
      <c r="Q29" s="268">
        <f>июль!CV28</f>
        <v>0</v>
      </c>
      <c r="R29" s="225">
        <f>июль!DO28</f>
        <v>0</v>
      </c>
      <c r="S29" s="225">
        <f>июль!DX28</f>
        <v>0</v>
      </c>
      <c r="T29" s="225">
        <f>июль!ED28</f>
        <v>0</v>
      </c>
      <c r="U29" s="225">
        <f>июль!EL28</f>
        <v>0</v>
      </c>
      <c r="V29" s="107">
        <f>июль!DF28</f>
        <v>0</v>
      </c>
      <c r="W29" s="67">
        <f>SUM(X29:AA29)</f>
        <v>1537000</v>
      </c>
      <c r="X29" s="67">
        <f>июль!DD28</f>
        <v>150000</v>
      </c>
      <c r="Y29" s="67">
        <f>июль!DJ28</f>
        <v>0</v>
      </c>
      <c r="Z29" s="67">
        <f>июль!DG28</f>
        <v>967000</v>
      </c>
      <c r="AA29" s="67">
        <f>июль!DT28+июль!DV28</f>
        <v>420000</v>
      </c>
      <c r="AB29" s="107">
        <f>июль!CB28</f>
        <v>0</v>
      </c>
      <c r="AC29" s="107">
        <f>июль!CD28</f>
        <v>300000</v>
      </c>
      <c r="AD29" s="107">
        <f>июль!CR28</f>
        <v>0</v>
      </c>
      <c r="AE29" s="38">
        <f>SUM(AF29:BB29)</f>
        <v>5095200</v>
      </c>
      <c r="AF29" s="38">
        <f>июль!CP28</f>
        <v>0</v>
      </c>
      <c r="AG29" s="46">
        <f>июль!X28</f>
        <v>0</v>
      </c>
      <c r="AH29" s="46">
        <f>июль!Z28</f>
        <v>0</v>
      </c>
      <c r="AI29" s="46">
        <f>июль!AB28</f>
        <v>0</v>
      </c>
      <c r="AJ29" s="46">
        <f>июль!AE28</f>
        <v>0</v>
      </c>
      <c r="AK29" s="46">
        <f>июль!AG28</f>
        <v>236400</v>
      </c>
      <c r="AL29" s="46">
        <f>июль!BK28</f>
        <v>1857500</v>
      </c>
      <c r="AM29" s="46"/>
      <c r="AN29" s="46">
        <f>июль!BS28</f>
        <v>0</v>
      </c>
      <c r="AO29" s="46">
        <f>июль!CW28</f>
        <v>550300</v>
      </c>
      <c r="AP29" s="46">
        <f>июль!CX28</f>
        <v>0</v>
      </c>
      <c r="AQ29" s="46">
        <f>июль!CY28</f>
        <v>0</v>
      </c>
      <c r="AR29" s="46">
        <f>июль!CZ28</f>
        <v>0</v>
      </c>
      <c r="AS29" s="46">
        <f>июль!DA28</f>
        <v>0</v>
      </c>
      <c r="AT29" s="46">
        <f>июль!DH28</f>
        <v>0</v>
      </c>
      <c r="AU29" s="46">
        <f>июль!DK28</f>
        <v>2451000</v>
      </c>
      <c r="AV29" s="46">
        <f>июль!DL28</f>
        <v>0</v>
      </c>
      <c r="AW29" s="67">
        <v>0</v>
      </c>
      <c r="AX29" s="67">
        <f>июль!ET28</f>
        <v>0</v>
      </c>
      <c r="AY29" s="67">
        <f>июль!EU28</f>
        <v>0</v>
      </c>
      <c r="AZ29" s="67"/>
      <c r="BA29" s="67">
        <f>июль!BQ28</f>
        <v>0</v>
      </c>
      <c r="BB29" s="67">
        <f>июль!BW28</f>
        <v>0</v>
      </c>
      <c r="BC29" s="93">
        <f>BE29+BF29+BI29+CI29+CJ29+CK29</f>
        <v>16207389.4</v>
      </c>
      <c r="BD29" s="103"/>
      <c r="BE29" s="41">
        <f>июль!P28</f>
        <v>159600</v>
      </c>
      <c r="BF29" s="41">
        <f>BG29+BH29</f>
        <v>420400</v>
      </c>
      <c r="BG29" s="41">
        <f>июль!CF28</f>
        <v>35400</v>
      </c>
      <c r="BH29" s="41">
        <f>июль!CG28</f>
        <v>385000</v>
      </c>
      <c r="BI29" s="67">
        <f>SUM(BJ29:CH29)</f>
        <v>14671689.4</v>
      </c>
      <c r="BJ29" s="159">
        <f>июль!F28</f>
        <v>178500</v>
      </c>
      <c r="BK29" s="159">
        <f>июль!G28</f>
        <v>600</v>
      </c>
      <c r="BL29" s="159">
        <f>июль!H28</f>
        <v>67700</v>
      </c>
      <c r="BM29" s="159">
        <f>июль!I28</f>
        <v>356800</v>
      </c>
      <c r="BN29" s="159">
        <f>июль!J28</f>
        <v>393800</v>
      </c>
      <c r="BO29" s="159">
        <f>июль!K28</f>
        <v>31000</v>
      </c>
      <c r="BP29" s="159">
        <f>июль!L28</f>
        <v>11500</v>
      </c>
      <c r="BQ29" s="50">
        <f>июль!N28</f>
        <v>100</v>
      </c>
      <c r="BR29" s="46">
        <f>июль!Y28</f>
        <v>0</v>
      </c>
      <c r="BS29" s="50">
        <f>июль!AC28</f>
        <v>12376500</v>
      </c>
      <c r="BT29" s="50">
        <f>июль!AD28</f>
        <v>352800</v>
      </c>
      <c r="BU29" s="46">
        <f>июль!AI28</f>
        <v>13600</v>
      </c>
      <c r="BV29" s="46">
        <f>июль!AJ28</f>
        <v>390500</v>
      </c>
      <c r="BW29" s="46">
        <f>июль!AK28</f>
        <v>103000</v>
      </c>
      <c r="BX29" s="46">
        <f>июль!AL28</f>
        <v>0</v>
      </c>
      <c r="BY29" s="46">
        <f>июль!AQ28</f>
        <v>0</v>
      </c>
      <c r="BZ29" s="46">
        <f>июль!AR28</f>
        <v>0</v>
      </c>
      <c r="CA29" s="46">
        <f>июль!AS28</f>
        <v>0</v>
      </c>
      <c r="CB29" s="46">
        <f>июль!AT28</f>
        <v>0</v>
      </c>
      <c r="CC29" s="46">
        <f>июль!BL28</f>
        <v>340000</v>
      </c>
      <c r="CD29" s="46">
        <f>июль!BM28</f>
        <v>35400</v>
      </c>
      <c r="CE29" s="50">
        <f>июль!CJ28</f>
        <v>800</v>
      </c>
      <c r="CF29" s="50">
        <f>июль!CM28</f>
        <v>0</v>
      </c>
      <c r="CG29" s="50">
        <f>июль!CS28</f>
        <v>19089.400000000001</v>
      </c>
      <c r="CH29" s="50">
        <f>июль!CT28</f>
        <v>0</v>
      </c>
      <c r="CI29" s="17">
        <f>июль!AP28</f>
        <v>500300</v>
      </c>
      <c r="CJ29" s="41">
        <f>июль!AO28</f>
        <v>455400</v>
      </c>
      <c r="CK29" s="41">
        <f>июль!CL28</f>
        <v>0</v>
      </c>
      <c r="CL29" s="93">
        <f>CO29+CP29+CU29+CV29+CM29</f>
        <v>24384</v>
      </c>
      <c r="CM29" s="107"/>
      <c r="CN29" s="107"/>
      <c r="CO29" s="41"/>
      <c r="CP29" s="17">
        <f>CQ29+CR29+CS29</f>
        <v>0</v>
      </c>
      <c r="CQ29" s="17">
        <f>июль!DP28</f>
        <v>0</v>
      </c>
      <c r="CR29" s="17">
        <f>июль!DQ28</f>
        <v>0</v>
      </c>
      <c r="CS29" s="41">
        <f>июль!BH28</f>
        <v>0</v>
      </c>
      <c r="CT29" s="41"/>
      <c r="CU29" s="169">
        <f>июль!BP28</f>
        <v>22000</v>
      </c>
      <c r="CV29" s="17">
        <f>SUM(CW29:CX29)</f>
        <v>2384</v>
      </c>
      <c r="CW29" s="41">
        <f>июль!T28</f>
        <v>2384</v>
      </c>
      <c r="CX29" s="281">
        <f>июль!BG28</f>
        <v>0</v>
      </c>
    </row>
    <row r="30" spans="1:102" ht="16.5" customHeight="1" x14ac:dyDescent="0.25">
      <c r="A30" s="144">
        <v>25</v>
      </c>
      <c r="B30" s="1" t="s">
        <v>84</v>
      </c>
      <c r="C30" s="4">
        <f>D30+L30+BC30+CL30</f>
        <v>265405686</v>
      </c>
      <c r="D30" s="93">
        <f>E30+F30+G30+H30</f>
        <v>115061700</v>
      </c>
      <c r="E30" s="107"/>
      <c r="F30" s="107">
        <f>июль!AZ29</f>
        <v>95965000</v>
      </c>
      <c r="G30" s="107">
        <f>июль!BC29</f>
        <v>19096700</v>
      </c>
      <c r="H30" s="107"/>
      <c r="I30" s="107">
        <f>J30+K30</f>
        <v>0</v>
      </c>
      <c r="J30" s="107">
        <f>июль!BD29</f>
        <v>0</v>
      </c>
      <c r="K30" s="107">
        <f>июль!BE29</f>
        <v>0</v>
      </c>
      <c r="L30" s="93">
        <f>M30+N30+O30+P30+V30+W30+AD30+AE30+AC30+AB30</f>
        <v>40717636</v>
      </c>
      <c r="M30" s="107">
        <f>июль!EH29</f>
        <v>0</v>
      </c>
      <c r="N30" s="107">
        <f>июль!EG29</f>
        <v>0</v>
      </c>
      <c r="O30" s="107"/>
      <c r="P30" s="225">
        <f>SUM(Q30:U30)</f>
        <v>0</v>
      </c>
      <c r="Q30" s="268">
        <f>июль!CV29</f>
        <v>0</v>
      </c>
      <c r="R30" s="225">
        <f>июль!DO29</f>
        <v>0</v>
      </c>
      <c r="S30" s="225">
        <f>июль!DX29</f>
        <v>0</v>
      </c>
      <c r="T30" s="225">
        <f>июль!ED29</f>
        <v>0</v>
      </c>
      <c r="U30" s="225">
        <f>июль!EL29</f>
        <v>0</v>
      </c>
      <c r="V30" s="107">
        <f>июль!DF29</f>
        <v>0</v>
      </c>
      <c r="W30" s="67">
        <f>SUM(X30:AA30)</f>
        <v>580640</v>
      </c>
      <c r="X30" s="67"/>
      <c r="Y30" s="67">
        <f>июль!EA29</f>
        <v>150000</v>
      </c>
      <c r="Z30" s="67"/>
      <c r="AA30" s="67">
        <f>июль!EB29</f>
        <v>430640</v>
      </c>
      <c r="AB30" s="107">
        <f>июль!CB29</f>
        <v>2500000</v>
      </c>
      <c r="AC30" s="107">
        <f>июль!CD29</f>
        <v>400000</v>
      </c>
      <c r="AD30" s="107">
        <f>июль!CR29</f>
        <v>0</v>
      </c>
      <c r="AE30" s="38">
        <f>SUM(AF30:BB30)</f>
        <v>37236996</v>
      </c>
      <c r="AF30" s="38">
        <f>июль!CP29</f>
        <v>0</v>
      </c>
      <c r="AG30" s="46">
        <f>июль!X29</f>
        <v>1199100</v>
      </c>
      <c r="AH30" s="46">
        <f>июль!Z29</f>
        <v>1000000</v>
      </c>
      <c r="AI30" s="46">
        <f>июль!AB29</f>
        <v>357600</v>
      </c>
      <c r="AJ30" s="46">
        <f>июль!AE29</f>
        <v>0</v>
      </c>
      <c r="AK30" s="46">
        <f>июль!AG29</f>
        <v>2006700</v>
      </c>
      <c r="AL30" s="46">
        <f>июль!BK29</f>
        <v>11910600</v>
      </c>
      <c r="AM30" s="46"/>
      <c r="AN30" s="46">
        <f>июль!BS29</f>
        <v>0</v>
      </c>
      <c r="AO30" s="46">
        <f>июль!CW29</f>
        <v>3114000</v>
      </c>
      <c r="AP30" s="46">
        <f>июль!CX29</f>
        <v>1744500</v>
      </c>
      <c r="AQ30" s="46">
        <f>июль!CY29</f>
        <v>4550100</v>
      </c>
      <c r="AR30" s="46">
        <f>июль!CZ29</f>
        <v>0</v>
      </c>
      <c r="AS30" s="46">
        <f>июль!DA29</f>
        <v>7140000</v>
      </c>
      <c r="AT30" s="46">
        <f>июль!DH29</f>
        <v>0</v>
      </c>
      <c r="AU30" s="46">
        <f>июль!DK29</f>
        <v>3268000</v>
      </c>
      <c r="AV30" s="46">
        <f>июль!DL29</f>
        <v>0</v>
      </c>
      <c r="AW30" s="67">
        <v>0</v>
      </c>
      <c r="AX30" s="67">
        <f>июль!ET29</f>
        <v>0</v>
      </c>
      <c r="AY30" s="67">
        <f>июль!EU29</f>
        <v>900000</v>
      </c>
      <c r="AZ30" s="67"/>
      <c r="BA30" s="67">
        <f>июль!BQ29</f>
        <v>34396</v>
      </c>
      <c r="BB30" s="67">
        <f>июль!BW29</f>
        <v>12000</v>
      </c>
      <c r="BC30" s="93">
        <f>BE30+BF30+BI30+CI30+CJ30+CK30</f>
        <v>106103200</v>
      </c>
      <c r="BD30" s="103"/>
      <c r="BE30" s="41">
        <f>июль!P29</f>
        <v>954200</v>
      </c>
      <c r="BF30" s="41">
        <f>BG30+BH30</f>
        <v>3201300</v>
      </c>
      <c r="BG30" s="41">
        <f>июль!CF29</f>
        <v>269300</v>
      </c>
      <c r="BH30" s="41">
        <f>июль!CG29</f>
        <v>2932000</v>
      </c>
      <c r="BI30" s="67">
        <f>SUM(BJ30:CH30)</f>
        <v>94828400</v>
      </c>
      <c r="BJ30" s="159">
        <f>июль!F29</f>
        <v>178500</v>
      </c>
      <c r="BK30" s="159">
        <f>июль!G29</f>
        <v>5600</v>
      </c>
      <c r="BL30" s="159">
        <f>июль!H29</f>
        <v>495100</v>
      </c>
      <c r="BM30" s="159">
        <f>июль!I29</f>
        <v>0</v>
      </c>
      <c r="BN30" s="159">
        <f>июль!J29</f>
        <v>414200</v>
      </c>
      <c r="BO30" s="159">
        <f>июль!K29</f>
        <v>83000</v>
      </c>
      <c r="BP30" s="159">
        <f>июль!L29</f>
        <v>30700</v>
      </c>
      <c r="BQ30" s="50">
        <f>июль!N29</f>
        <v>400</v>
      </c>
      <c r="BR30" s="46">
        <f>июль!Y29</f>
        <v>16500</v>
      </c>
      <c r="BS30" s="50">
        <f>июль!AC29</f>
        <v>87320500</v>
      </c>
      <c r="BT30" s="50">
        <f>июль!AD29</f>
        <v>1940400</v>
      </c>
      <c r="BU30" s="46">
        <f>июль!AI29</f>
        <v>54600</v>
      </c>
      <c r="BV30" s="46">
        <f>июль!AJ29</f>
        <v>781000</v>
      </c>
      <c r="BW30" s="46">
        <f>июль!AK29</f>
        <v>72100</v>
      </c>
      <c r="BX30" s="46">
        <f>июль!AL29</f>
        <v>11100</v>
      </c>
      <c r="BY30" s="46">
        <f>июль!AQ29</f>
        <v>0</v>
      </c>
      <c r="BZ30" s="46">
        <f>июль!AR29</f>
        <v>95700</v>
      </c>
      <c r="CA30" s="46">
        <f>июль!AS29</f>
        <v>0</v>
      </c>
      <c r="CB30" s="46">
        <f>июль!AT29</f>
        <v>0</v>
      </c>
      <c r="CC30" s="46">
        <f>июль!BL29</f>
        <v>3008000</v>
      </c>
      <c r="CD30" s="46">
        <f>июль!BM29</f>
        <v>124800</v>
      </c>
      <c r="CE30" s="50">
        <f>июль!CJ29</f>
        <v>6200</v>
      </c>
      <c r="CF30" s="50">
        <f>июль!CM29</f>
        <v>0</v>
      </c>
      <c r="CG30" s="50">
        <f>июль!CS29</f>
        <v>190000</v>
      </c>
      <c r="CH30" s="50">
        <f>июль!CT29</f>
        <v>0</v>
      </c>
      <c r="CI30" s="17">
        <f>июль!AP29</f>
        <v>5555000</v>
      </c>
      <c r="CJ30" s="41">
        <f>июль!AO29</f>
        <v>1564300</v>
      </c>
      <c r="CK30" s="41">
        <f>июль!CL29</f>
        <v>0</v>
      </c>
      <c r="CL30" s="93">
        <f>CO30+CP30+CU30+CV30+CM30</f>
        <v>3523150</v>
      </c>
      <c r="CM30" s="107">
        <f>июль!R29</f>
        <v>2280000</v>
      </c>
      <c r="CN30" s="107"/>
      <c r="CO30" s="41"/>
      <c r="CP30" s="17">
        <f>CQ30+CR30+CS30</f>
        <v>1170150</v>
      </c>
      <c r="CQ30" s="17">
        <f>июль!DP29</f>
        <v>0</v>
      </c>
      <c r="CR30" s="17">
        <f>июль!DQ29</f>
        <v>0</v>
      </c>
      <c r="CS30" s="41">
        <f>июль!BH29</f>
        <v>1170150</v>
      </c>
      <c r="CT30" s="41"/>
      <c r="CU30" s="169">
        <f>июль!BP29</f>
        <v>73000</v>
      </c>
      <c r="CV30" s="17">
        <f>SUM(CW30:CX30)</f>
        <v>0</v>
      </c>
      <c r="CW30" s="41">
        <f>июль!T29</f>
        <v>0</v>
      </c>
      <c r="CX30" s="281">
        <f>июль!BG29</f>
        <v>0</v>
      </c>
    </row>
    <row r="31" spans="1:102" ht="16.5" customHeight="1" x14ac:dyDescent="0.25">
      <c r="A31" s="144">
        <v>26</v>
      </c>
      <c r="B31" s="1" t="s">
        <v>85</v>
      </c>
      <c r="C31" s="4">
        <f>D31+L31+BC31+CL31</f>
        <v>246604909</v>
      </c>
      <c r="D31" s="93">
        <f>E31+F31+G31+H31</f>
        <v>54359000</v>
      </c>
      <c r="E31" s="107"/>
      <c r="F31" s="107">
        <f>июль!AZ30</f>
        <v>49409000</v>
      </c>
      <c r="G31" s="107">
        <f>июль!BC30</f>
        <v>4950000</v>
      </c>
      <c r="H31" s="107"/>
      <c r="I31" s="107">
        <f>J31+K31</f>
        <v>0</v>
      </c>
      <c r="J31" s="107">
        <f>июль!BD30</f>
        <v>0</v>
      </c>
      <c r="K31" s="107">
        <f>июль!BE30</f>
        <v>0</v>
      </c>
      <c r="L31" s="93">
        <f>M31+N31+O31+P31+V31+W31+AD31+AE31+AC31+AB31</f>
        <v>48967400</v>
      </c>
      <c r="M31" s="107">
        <f>июль!EH30</f>
        <v>0</v>
      </c>
      <c r="N31" s="107">
        <f>июль!EG30</f>
        <v>0</v>
      </c>
      <c r="O31" s="107"/>
      <c r="P31" s="225">
        <f>SUM(Q31:U31)</f>
        <v>0</v>
      </c>
      <c r="Q31" s="268">
        <f>июль!CV30</f>
        <v>0</v>
      </c>
      <c r="R31" s="225">
        <f>июль!DO30</f>
        <v>0</v>
      </c>
      <c r="S31" s="225">
        <f>июль!DX30</f>
        <v>0</v>
      </c>
      <c r="T31" s="225">
        <f>июль!ED30</f>
        <v>0</v>
      </c>
      <c r="U31" s="225">
        <f>июль!EL30</f>
        <v>0</v>
      </c>
      <c r="V31" s="107">
        <f>июль!DF30</f>
        <v>0</v>
      </c>
      <c r="W31" s="67">
        <f>SUM(X31:AA31)</f>
        <v>0</v>
      </c>
      <c r="X31" s="67"/>
      <c r="Y31" s="67"/>
      <c r="Z31" s="67"/>
      <c r="AA31" s="67"/>
      <c r="AB31" s="107">
        <f>июль!CB30</f>
        <v>13125000</v>
      </c>
      <c r="AC31" s="107">
        <f>июль!CD30</f>
        <v>5500000</v>
      </c>
      <c r="AD31" s="107">
        <f>июль!CR30</f>
        <v>0</v>
      </c>
      <c r="AE31" s="38">
        <f>SUM(AF31:BB31)</f>
        <v>30342400</v>
      </c>
      <c r="AF31" s="38">
        <f>июль!CP30</f>
        <v>0</v>
      </c>
      <c r="AG31" s="46">
        <f>июль!X30</f>
        <v>599500</v>
      </c>
      <c r="AH31" s="46">
        <f>июль!Z30</f>
        <v>0</v>
      </c>
      <c r="AI31" s="46">
        <f>июль!AB30</f>
        <v>585100</v>
      </c>
      <c r="AJ31" s="46">
        <f>июль!AE30</f>
        <v>0</v>
      </c>
      <c r="AK31" s="46">
        <f>июль!AG30</f>
        <v>1676400</v>
      </c>
      <c r="AL31" s="46">
        <f>июль!BK30</f>
        <v>8416900</v>
      </c>
      <c r="AM31" s="46"/>
      <c r="AN31" s="46">
        <f>июль!BS30</f>
        <v>0</v>
      </c>
      <c r="AO31" s="46">
        <f>июль!CW30</f>
        <v>5727600</v>
      </c>
      <c r="AP31" s="46">
        <f>июль!CX30</f>
        <v>1017600</v>
      </c>
      <c r="AQ31" s="46">
        <f>июль!CY30</f>
        <v>8174300</v>
      </c>
      <c r="AR31" s="46">
        <f>июль!CZ30</f>
        <v>0</v>
      </c>
      <c r="AS31" s="46">
        <f>июль!DA30</f>
        <v>0</v>
      </c>
      <c r="AT31" s="46">
        <f>июль!DH30</f>
        <v>0</v>
      </c>
      <c r="AU31" s="46">
        <f>июль!DK30</f>
        <v>4085000</v>
      </c>
      <c r="AV31" s="46">
        <f>июль!DL30</f>
        <v>0</v>
      </c>
      <c r="AW31" s="67">
        <v>0</v>
      </c>
      <c r="AX31" s="67">
        <f>июль!ET30</f>
        <v>0</v>
      </c>
      <c r="AY31" s="67">
        <f>июль!EU30</f>
        <v>0</v>
      </c>
      <c r="AZ31" s="67"/>
      <c r="BA31" s="67">
        <f>июль!BQ30</f>
        <v>0</v>
      </c>
      <c r="BB31" s="67">
        <f>июль!BW30</f>
        <v>60000</v>
      </c>
      <c r="BC31" s="93">
        <f>BE31+BF31+BI31+CI31+CJ31+CK31</f>
        <v>143108400</v>
      </c>
      <c r="BD31" s="103"/>
      <c r="BE31" s="41">
        <f>июль!P30</f>
        <v>936100</v>
      </c>
      <c r="BF31" s="41">
        <f>BG31+BH31</f>
        <v>4154400</v>
      </c>
      <c r="BG31" s="41">
        <f>июль!CF30</f>
        <v>1064400</v>
      </c>
      <c r="BH31" s="41">
        <f>июль!CG30</f>
        <v>3090000</v>
      </c>
      <c r="BI31" s="67">
        <f>SUM(BJ31:CH31)</f>
        <v>128916000</v>
      </c>
      <c r="BJ31" s="159">
        <f>июль!F30</f>
        <v>162200</v>
      </c>
      <c r="BK31" s="159">
        <f>июль!G30</f>
        <v>8500</v>
      </c>
      <c r="BL31" s="159">
        <f>июль!H30</f>
        <v>0</v>
      </c>
      <c r="BM31" s="159">
        <f>июль!I30</f>
        <v>0</v>
      </c>
      <c r="BN31" s="159">
        <f>июль!J30</f>
        <v>360300</v>
      </c>
      <c r="BO31" s="159">
        <f>июль!K30</f>
        <v>0</v>
      </c>
      <c r="BP31" s="159">
        <f>июль!L30</f>
        <v>42200</v>
      </c>
      <c r="BQ31" s="50">
        <f>июль!N30</f>
        <v>500</v>
      </c>
      <c r="BR31" s="46">
        <f>июль!Y30</f>
        <v>16500</v>
      </c>
      <c r="BS31" s="50">
        <f>июль!AC30</f>
        <v>118302000</v>
      </c>
      <c r="BT31" s="50">
        <f>июль!AD30</f>
        <v>3402000</v>
      </c>
      <c r="BU31" s="46">
        <f>июль!AI30</f>
        <v>46400</v>
      </c>
      <c r="BV31" s="46">
        <f>июль!AJ30</f>
        <v>1171300</v>
      </c>
      <c r="BW31" s="46">
        <f>июль!AK30</f>
        <v>122500</v>
      </c>
      <c r="BX31" s="46">
        <f>июль!AL30</f>
        <v>11300</v>
      </c>
      <c r="BY31" s="46">
        <f>июль!AQ30</f>
        <v>162600</v>
      </c>
      <c r="BZ31" s="46">
        <f>июль!AR30</f>
        <v>46400</v>
      </c>
      <c r="CA31" s="46">
        <f>июль!AS30</f>
        <v>66600</v>
      </c>
      <c r="CB31" s="46">
        <f>июль!AT30</f>
        <v>0</v>
      </c>
      <c r="CC31" s="46">
        <f>июль!BL30</f>
        <v>4606000</v>
      </c>
      <c r="CD31" s="46">
        <f>июль!BM30</f>
        <v>177100</v>
      </c>
      <c r="CE31" s="50">
        <f>июль!CJ30</f>
        <v>8200</v>
      </c>
      <c r="CF31" s="50">
        <f>июль!CM30</f>
        <v>0</v>
      </c>
      <c r="CG31" s="50">
        <f>июль!CS30</f>
        <v>203365.6</v>
      </c>
      <c r="CH31" s="50">
        <f>июль!CT30</f>
        <v>34.4</v>
      </c>
      <c r="CI31" s="17">
        <f>июль!AP30</f>
        <v>6783500</v>
      </c>
      <c r="CJ31" s="41">
        <f>июль!AO30</f>
        <v>2318400</v>
      </c>
      <c r="CK31" s="41">
        <f>июль!CL30</f>
        <v>0</v>
      </c>
      <c r="CL31" s="93">
        <f>CO31+CP31+CU31+CV31+CM31</f>
        <v>170109</v>
      </c>
      <c r="CM31" s="107"/>
      <c r="CN31" s="107"/>
      <c r="CO31" s="41"/>
      <c r="CP31" s="17">
        <f>CQ31+CR31+CS31</f>
        <v>0</v>
      </c>
      <c r="CQ31" s="17">
        <f>июль!DP30</f>
        <v>0</v>
      </c>
      <c r="CR31" s="17">
        <f>июль!DQ30</f>
        <v>0</v>
      </c>
      <c r="CS31" s="41">
        <f>июль!BH30</f>
        <v>0</v>
      </c>
      <c r="CT31" s="41"/>
      <c r="CU31" s="169">
        <f>июль!BP30</f>
        <v>103000</v>
      </c>
      <c r="CV31" s="17">
        <f>SUM(CW31:CX31)</f>
        <v>67109</v>
      </c>
      <c r="CW31" s="41">
        <f>июль!T30</f>
        <v>67109</v>
      </c>
      <c r="CX31" s="281">
        <f>июль!BG30</f>
        <v>0</v>
      </c>
    </row>
    <row r="32" spans="1:102" ht="16.5" customHeight="1" x14ac:dyDescent="0.25">
      <c r="A32" s="144">
        <v>27</v>
      </c>
      <c r="B32" s="1" t="s">
        <v>86</v>
      </c>
      <c r="C32" s="4">
        <f>D32+L32+BC32+CL32</f>
        <v>367119700</v>
      </c>
      <c r="D32" s="93">
        <f>E32+F32+G32+H32</f>
        <v>47816000</v>
      </c>
      <c r="E32" s="107"/>
      <c r="F32" s="107">
        <f>июль!AZ31</f>
        <v>36516000</v>
      </c>
      <c r="G32" s="107">
        <f>июль!BC31</f>
        <v>11300000</v>
      </c>
      <c r="H32" s="107"/>
      <c r="I32" s="107">
        <f>J32+K32</f>
        <v>0</v>
      </c>
      <c r="J32" s="107">
        <f>июль!BD31</f>
        <v>0</v>
      </c>
      <c r="K32" s="107">
        <f>июль!BE31</f>
        <v>0</v>
      </c>
      <c r="L32" s="93">
        <f>M32+N32+O32+P32+V32+W32+AD32+AE32+AC32+AB32</f>
        <v>109688700</v>
      </c>
      <c r="M32" s="107">
        <f>июль!EH31</f>
        <v>0</v>
      </c>
      <c r="N32" s="107">
        <f>июль!EG31</f>
        <v>0</v>
      </c>
      <c r="O32" s="107"/>
      <c r="P32" s="225">
        <f>SUM(Q32:U32)</f>
        <v>0</v>
      </c>
      <c r="Q32" s="268">
        <f>июль!CV31</f>
        <v>0</v>
      </c>
      <c r="R32" s="225">
        <f>июль!DO31</f>
        <v>0</v>
      </c>
      <c r="S32" s="225">
        <f>июль!DX31</f>
        <v>0</v>
      </c>
      <c r="T32" s="225">
        <f>июль!ED31</f>
        <v>0</v>
      </c>
      <c r="U32" s="225">
        <f>июль!EL31</f>
        <v>0</v>
      </c>
      <c r="V32" s="107">
        <f>июль!DF31</f>
        <v>0</v>
      </c>
      <c r="W32" s="67">
        <f>SUM(X32:AA32)</f>
        <v>0</v>
      </c>
      <c r="X32" s="67"/>
      <c r="Y32" s="67"/>
      <c r="Z32" s="67"/>
      <c r="AA32" s="67"/>
      <c r="AB32" s="107">
        <f>июль!CB31</f>
        <v>9701000</v>
      </c>
      <c r="AC32" s="107">
        <f>июль!CD31</f>
        <v>3950000</v>
      </c>
      <c r="AD32" s="107">
        <f>июль!CR31</f>
        <v>0</v>
      </c>
      <c r="AE32" s="38">
        <f>SUM(AF32:BB32)</f>
        <v>96037700</v>
      </c>
      <c r="AF32" s="38">
        <f>июль!CP31</f>
        <v>1981000</v>
      </c>
      <c r="AG32" s="46">
        <f>июль!X31</f>
        <v>105800</v>
      </c>
      <c r="AH32" s="46">
        <f>июль!Z31</f>
        <v>2600000</v>
      </c>
      <c r="AI32" s="46">
        <f>июль!AB31</f>
        <v>97500</v>
      </c>
      <c r="AJ32" s="46">
        <f>июль!AE31</f>
        <v>3300000</v>
      </c>
      <c r="AK32" s="46">
        <f>июль!AG31</f>
        <v>2264400</v>
      </c>
      <c r="AL32" s="46">
        <f>июль!BK31</f>
        <v>12795200</v>
      </c>
      <c r="AM32" s="46"/>
      <c r="AN32" s="46">
        <f>июль!BS31</f>
        <v>0</v>
      </c>
      <c r="AO32" s="46">
        <f>июль!CW31</f>
        <v>9885700</v>
      </c>
      <c r="AP32" s="46">
        <f>июль!CX31</f>
        <v>13598900</v>
      </c>
      <c r="AQ32" s="46">
        <f>июль!CY31</f>
        <v>14028000</v>
      </c>
      <c r="AR32" s="46">
        <f>июль!CZ31</f>
        <v>22932200</v>
      </c>
      <c r="AS32" s="46">
        <f>июль!DA31</f>
        <v>4825000</v>
      </c>
      <c r="AT32" s="46">
        <f>июль!DH31</f>
        <v>0</v>
      </c>
      <c r="AU32" s="46">
        <f>июль!DK31</f>
        <v>7624000</v>
      </c>
      <c r="AV32" s="46">
        <f>июль!DL31</f>
        <v>0</v>
      </c>
      <c r="AW32" s="67">
        <v>0</v>
      </c>
      <c r="AX32" s="67">
        <f>июль!ET31</f>
        <v>0</v>
      </c>
      <c r="AY32" s="67">
        <f>июль!EU31</f>
        <v>0</v>
      </c>
      <c r="AZ32" s="67"/>
      <c r="BA32" s="67">
        <f>июль!BQ31</f>
        <v>0</v>
      </c>
      <c r="BB32" s="67">
        <f>июль!BW31</f>
        <v>0</v>
      </c>
      <c r="BC32" s="93">
        <f>BE32+BF32+BI32+CI32+CJ32+CK32</f>
        <v>209376000</v>
      </c>
      <c r="BD32" s="103"/>
      <c r="BE32" s="41">
        <f>июль!P31</f>
        <v>1238900</v>
      </c>
      <c r="BF32" s="41">
        <f>BG32+BH32</f>
        <v>6024400</v>
      </c>
      <c r="BG32" s="41">
        <f>июль!CF31</f>
        <v>1543400</v>
      </c>
      <c r="BH32" s="41">
        <f>июль!CG31</f>
        <v>4481000</v>
      </c>
      <c r="BI32" s="67">
        <f>SUM(BJ32:CH32)</f>
        <v>182158100</v>
      </c>
      <c r="BJ32" s="159">
        <f>июль!F31</f>
        <v>324200</v>
      </c>
      <c r="BK32" s="159">
        <f>июль!G31</f>
        <v>14000</v>
      </c>
      <c r="BL32" s="159">
        <f>июль!H31</f>
        <v>0</v>
      </c>
      <c r="BM32" s="159">
        <f>июль!I31</f>
        <v>0</v>
      </c>
      <c r="BN32" s="159">
        <f>июль!J31</f>
        <v>377600</v>
      </c>
      <c r="BO32" s="159">
        <f>июль!K31</f>
        <v>0</v>
      </c>
      <c r="BP32" s="159">
        <f>июль!L31</f>
        <v>49900</v>
      </c>
      <c r="BQ32" s="50">
        <f>июль!N31</f>
        <v>600</v>
      </c>
      <c r="BR32" s="46">
        <f>июль!Y31</f>
        <v>0</v>
      </c>
      <c r="BS32" s="50">
        <f>июль!AC31</f>
        <v>167225700</v>
      </c>
      <c r="BT32" s="50">
        <f>июль!AD31</f>
        <v>4032000</v>
      </c>
      <c r="BU32" s="46">
        <f>июль!AI31</f>
        <v>58100</v>
      </c>
      <c r="BV32" s="46">
        <f>июль!AJ31</f>
        <v>1952400</v>
      </c>
      <c r="BW32" s="46">
        <f>июль!AK31</f>
        <v>122500</v>
      </c>
      <c r="BX32" s="46">
        <f>июль!AL31</f>
        <v>0</v>
      </c>
      <c r="BY32" s="46">
        <f>июль!AQ31</f>
        <v>0</v>
      </c>
      <c r="BZ32" s="46">
        <f>июль!AR31</f>
        <v>0</v>
      </c>
      <c r="CA32" s="46">
        <f>июль!AS31</f>
        <v>199800</v>
      </c>
      <c r="CB32" s="46">
        <f>июль!AT31</f>
        <v>0</v>
      </c>
      <c r="CC32" s="46">
        <f>июль!BL31</f>
        <v>7567000</v>
      </c>
      <c r="CD32" s="46">
        <f>июль!BM31</f>
        <v>212400</v>
      </c>
      <c r="CE32" s="50">
        <f>июль!CJ31</f>
        <v>11900</v>
      </c>
      <c r="CF32" s="50">
        <f>июль!CM31</f>
        <v>0</v>
      </c>
      <c r="CG32" s="50">
        <f>июль!CS31</f>
        <v>10000</v>
      </c>
      <c r="CH32" s="50">
        <f>июль!CT31</f>
        <v>0</v>
      </c>
      <c r="CI32" s="17">
        <f>июль!AP31</f>
        <v>17006800</v>
      </c>
      <c r="CJ32" s="41">
        <f>июль!AO31</f>
        <v>2947800</v>
      </c>
      <c r="CK32" s="41">
        <f>июль!CL31</f>
        <v>0</v>
      </c>
      <c r="CL32" s="93">
        <f>CO32+CP32+CU32+CV32+CM32</f>
        <v>239000</v>
      </c>
      <c r="CM32" s="107"/>
      <c r="CN32" s="107"/>
      <c r="CO32" s="41"/>
      <c r="CP32" s="17">
        <f>CQ32+CR32+CS32</f>
        <v>150000</v>
      </c>
      <c r="CQ32" s="17">
        <f>июль!DP31</f>
        <v>0</v>
      </c>
      <c r="CR32" s="17">
        <f>июль!DQ31</f>
        <v>0</v>
      </c>
      <c r="CS32" s="41">
        <f>июль!BH31</f>
        <v>150000</v>
      </c>
      <c r="CT32" s="41"/>
      <c r="CU32" s="169">
        <f>июль!BP31</f>
        <v>89000</v>
      </c>
      <c r="CV32" s="17">
        <f>SUM(CW32:CX32)</f>
        <v>0</v>
      </c>
      <c r="CW32" s="41">
        <f>июль!T31</f>
        <v>0</v>
      </c>
      <c r="CX32" s="281">
        <f>июль!BG31</f>
        <v>0</v>
      </c>
    </row>
    <row r="33" spans="1:102" ht="16.5" customHeight="1" x14ac:dyDescent="0.25">
      <c r="A33" s="144">
        <v>28</v>
      </c>
      <c r="B33" s="1" t="s">
        <v>87</v>
      </c>
      <c r="C33" s="352">
        <f>D33+L33+BC33+CL33</f>
        <v>725044045.83000004</v>
      </c>
      <c r="D33" s="93">
        <f>E33+F33+G33+H33+I33</f>
        <v>53861000</v>
      </c>
      <c r="E33" s="107"/>
      <c r="F33" s="107">
        <f>июль!AZ32</f>
        <v>39861000</v>
      </c>
      <c r="G33" s="107">
        <f>июль!BC32</f>
        <v>14000000</v>
      </c>
      <c r="H33" s="107"/>
      <c r="I33" s="107">
        <f>J33+K33</f>
        <v>0</v>
      </c>
      <c r="J33" s="107">
        <f>июль!BD32</f>
        <v>0</v>
      </c>
      <c r="K33" s="107">
        <f>июль!BE32</f>
        <v>0</v>
      </c>
      <c r="L33" s="93">
        <f>M33+N33+O33+P33+V33+W33+AD33+AE33+AC33+AB33</f>
        <v>367711034</v>
      </c>
      <c r="M33" s="107">
        <f>июль!EH32</f>
        <v>0</v>
      </c>
      <c r="N33" s="107">
        <f>июль!EG32</f>
        <v>0</v>
      </c>
      <c r="O33" s="107"/>
      <c r="P33" s="225">
        <f>SUM(Q33:U33)</f>
        <v>0</v>
      </c>
      <c r="Q33" s="268">
        <f>июль!CV32</f>
        <v>0</v>
      </c>
      <c r="R33" s="225">
        <f>июль!DO32</f>
        <v>0</v>
      </c>
      <c r="S33" s="225">
        <f>июль!DX32</f>
        <v>0</v>
      </c>
      <c r="T33" s="225">
        <f>июль!ED32</f>
        <v>0</v>
      </c>
      <c r="U33" s="225">
        <f>июль!EL32</f>
        <v>0</v>
      </c>
      <c r="V33" s="107">
        <f>июль!DF32</f>
        <v>240000000</v>
      </c>
      <c r="W33" s="67">
        <f>SUM(X33:AA33)</f>
        <v>0</v>
      </c>
      <c r="X33" s="67"/>
      <c r="Y33" s="67"/>
      <c r="Z33" s="67"/>
      <c r="AA33" s="67"/>
      <c r="AB33" s="107">
        <f>июль!CB32</f>
        <v>4500000</v>
      </c>
      <c r="AC33" s="107">
        <f>июль!CD32</f>
        <v>500000</v>
      </c>
      <c r="AD33" s="107">
        <f>июль!CR32</f>
        <v>0</v>
      </c>
      <c r="AE33" s="38">
        <f>SUM(AF33:BB33)</f>
        <v>122711034</v>
      </c>
      <c r="AF33" s="38">
        <f>июль!CP32</f>
        <v>0</v>
      </c>
      <c r="AG33" s="330">
        <f>июль!X32</f>
        <v>3879300</v>
      </c>
      <c r="AH33" s="330">
        <f>июль!Z32</f>
        <v>0</v>
      </c>
      <c r="AI33" s="330">
        <f>июль!AB32</f>
        <v>2470400</v>
      </c>
      <c r="AJ33" s="330">
        <f>июль!AE32</f>
        <v>0</v>
      </c>
      <c r="AK33" s="330">
        <f>июль!AG32</f>
        <v>4313400</v>
      </c>
      <c r="AL33" s="330">
        <f>июль!BK32</f>
        <v>20857600</v>
      </c>
      <c r="AM33" s="330"/>
      <c r="AN33" s="330">
        <f>июль!BS32</f>
        <v>0</v>
      </c>
      <c r="AO33" s="330">
        <f>июль!CW32</f>
        <v>9822500</v>
      </c>
      <c r="AP33" s="330">
        <f>июль!CX32</f>
        <v>6518300</v>
      </c>
      <c r="AQ33" s="330">
        <f>июль!CY32</f>
        <v>14128200</v>
      </c>
      <c r="AR33" s="330">
        <f>июль!CZ32</f>
        <v>19000000</v>
      </c>
      <c r="AS33" s="330">
        <f>июль!DA32</f>
        <v>35000000</v>
      </c>
      <c r="AT33" s="330">
        <f>июль!DH32</f>
        <v>0</v>
      </c>
      <c r="AU33" s="330">
        <f>июль!DK32</f>
        <v>5590000</v>
      </c>
      <c r="AV33" s="330">
        <f>июль!DL32</f>
        <v>1131334</v>
      </c>
      <c r="AW33" s="331">
        <v>0</v>
      </c>
      <c r="AX33" s="331">
        <f>июль!ET32</f>
        <v>0</v>
      </c>
      <c r="AY33" s="331">
        <f>июль!EU32</f>
        <v>0</v>
      </c>
      <c r="AZ33" s="331"/>
      <c r="BA33" s="331">
        <f>июль!BQ32</f>
        <v>0</v>
      </c>
      <c r="BB33" s="331">
        <f>июль!BW32</f>
        <v>0</v>
      </c>
      <c r="BC33" s="93">
        <f>BE33+BF33+BI33+CI33+CJ33+CK33</f>
        <v>274313600</v>
      </c>
      <c r="BD33" s="103"/>
      <c r="BE33" s="41">
        <f>июль!P32</f>
        <v>1960300</v>
      </c>
      <c r="BF33" s="41">
        <f>BG33+BH33</f>
        <v>7781800</v>
      </c>
      <c r="BG33" s="41">
        <f>июль!CF32</f>
        <v>2275800</v>
      </c>
      <c r="BH33" s="41">
        <f>июль!CG32</f>
        <v>5506000</v>
      </c>
      <c r="BI33" s="67">
        <f>SUM(BJ33:CH33)</f>
        <v>244291500</v>
      </c>
      <c r="BJ33" s="332">
        <f>июль!F32</f>
        <v>361200</v>
      </c>
      <c r="BK33" s="332">
        <f>июль!G32</f>
        <v>15600</v>
      </c>
      <c r="BL33" s="332">
        <f>июль!H32</f>
        <v>0</v>
      </c>
      <c r="BM33" s="332">
        <f>июль!I32</f>
        <v>0</v>
      </c>
      <c r="BN33" s="332">
        <f>июль!J32</f>
        <v>397000</v>
      </c>
      <c r="BO33" s="332">
        <f>июль!K32</f>
        <v>0</v>
      </c>
      <c r="BP33" s="332">
        <f>июль!L32</f>
        <v>73000</v>
      </c>
      <c r="BQ33" s="333">
        <f>июль!N32</f>
        <v>1000</v>
      </c>
      <c r="BR33" s="330">
        <f>июль!Y32</f>
        <v>10500</v>
      </c>
      <c r="BS33" s="333">
        <f>июль!AC32</f>
        <v>224894900</v>
      </c>
      <c r="BT33" s="333">
        <f>июль!AD32</f>
        <v>4788000</v>
      </c>
      <c r="BU33" s="330">
        <f>июль!AI32</f>
        <v>135300</v>
      </c>
      <c r="BV33" s="330">
        <f>июль!AJ32</f>
        <v>2342700</v>
      </c>
      <c r="BW33" s="330">
        <f>июль!AK32</f>
        <v>139000</v>
      </c>
      <c r="BX33" s="330">
        <f>июль!AL32</f>
        <v>9900</v>
      </c>
      <c r="BY33" s="330">
        <f>июль!AQ32</f>
        <v>0</v>
      </c>
      <c r="BZ33" s="330">
        <f>июль!AR32</f>
        <v>44700</v>
      </c>
      <c r="CA33" s="330">
        <f>июль!AS32</f>
        <v>0</v>
      </c>
      <c r="CB33" s="330">
        <f>июль!AT32</f>
        <v>0</v>
      </c>
      <c r="CC33" s="330">
        <f>июль!BL32</f>
        <v>8420000</v>
      </c>
      <c r="CD33" s="330">
        <f>июль!BM32</f>
        <v>318700</v>
      </c>
      <c r="CE33" s="333">
        <f>июль!CJ32</f>
        <v>15500</v>
      </c>
      <c r="CF33" s="333">
        <f>июль!CM32</f>
        <v>700</v>
      </c>
      <c r="CG33" s="333">
        <f>июль!CS32</f>
        <v>2322507.5</v>
      </c>
      <c r="CH33" s="333">
        <f>июль!CT32</f>
        <v>1292.5</v>
      </c>
      <c r="CI33" s="17">
        <f>июль!AP32</f>
        <v>15334300</v>
      </c>
      <c r="CJ33" s="41">
        <f>июль!AO32</f>
        <v>4666100</v>
      </c>
      <c r="CK33" s="41">
        <f>июль!CL32</f>
        <v>279600</v>
      </c>
      <c r="CL33" s="93">
        <f>CO33+CP33+CU33+CV33+CM33+CN33</f>
        <v>29158411.829999998</v>
      </c>
      <c r="CM33" s="107"/>
      <c r="CN33" s="107">
        <f>июль!U32</f>
        <v>28596688.829999998</v>
      </c>
      <c r="CO33" s="41"/>
      <c r="CP33" s="17">
        <f>CQ33+CR33+CS33</f>
        <v>0</v>
      </c>
      <c r="CQ33" s="17">
        <f>июль!DP32</f>
        <v>0</v>
      </c>
      <c r="CR33" s="17">
        <f>июль!DQ32</f>
        <v>0</v>
      </c>
      <c r="CS33" s="41">
        <f>июль!BH32</f>
        <v>0</v>
      </c>
      <c r="CT33" s="41"/>
      <c r="CU33" s="334">
        <f>июль!BP32</f>
        <v>85000</v>
      </c>
      <c r="CV33" s="17">
        <f>SUM(CW33:CX33)</f>
        <v>476723</v>
      </c>
      <c r="CW33" s="41">
        <f>июль!T32</f>
        <v>476723</v>
      </c>
      <c r="CX33" s="281">
        <f>июль!BG32</f>
        <v>0</v>
      </c>
    </row>
    <row r="34" spans="1:102" ht="16.5" customHeight="1" x14ac:dyDescent="0.25">
      <c r="A34" s="144">
        <v>29</v>
      </c>
      <c r="B34" s="1" t="s">
        <v>88</v>
      </c>
      <c r="C34" s="4">
        <f>D34+L34+BC34+CL34</f>
        <v>651455667</v>
      </c>
      <c r="D34" s="93">
        <f>E34+F34+G34+H34</f>
        <v>75534000</v>
      </c>
      <c r="E34" s="107"/>
      <c r="F34" s="107">
        <f>июль!AZ33</f>
        <v>75534000</v>
      </c>
      <c r="G34" s="107">
        <f>июль!BC33</f>
        <v>0</v>
      </c>
      <c r="H34" s="107"/>
      <c r="I34" s="107">
        <f>J34+K34</f>
        <v>0</v>
      </c>
      <c r="J34" s="107">
        <f>июль!BD33</f>
        <v>0</v>
      </c>
      <c r="K34" s="107">
        <f>июль!BE33</f>
        <v>0</v>
      </c>
      <c r="L34" s="93">
        <f>M34+N34+O34+P34+V34+W34+AD34+AE34+AC34+AB34</f>
        <v>136677970</v>
      </c>
      <c r="M34" s="107">
        <f>июль!EH33</f>
        <v>0</v>
      </c>
      <c r="N34" s="107">
        <f>июль!EG33</f>
        <v>0</v>
      </c>
      <c r="O34" s="107"/>
      <c r="P34" s="225">
        <f>SUM(Q34:U34)</f>
        <v>7000000</v>
      </c>
      <c r="Q34" s="268">
        <f>июль!CV33</f>
        <v>0</v>
      </c>
      <c r="R34" s="225">
        <f>июль!DO33</f>
        <v>0</v>
      </c>
      <c r="S34" s="225">
        <f>июль!DX33</f>
        <v>7000000</v>
      </c>
      <c r="T34" s="225">
        <f>июль!ED33</f>
        <v>0</v>
      </c>
      <c r="U34" s="225">
        <f>июль!EL33</f>
        <v>0</v>
      </c>
      <c r="V34" s="107">
        <f>июль!DF33</f>
        <v>0</v>
      </c>
      <c r="W34" s="67">
        <f>SUM(X34:AA34)</f>
        <v>0</v>
      </c>
      <c r="X34" s="67"/>
      <c r="Y34" s="67"/>
      <c r="Z34" s="67"/>
      <c r="AA34" s="67"/>
      <c r="AB34" s="107">
        <f>июль!CB33</f>
        <v>9997200</v>
      </c>
      <c r="AC34" s="107">
        <f>июль!CD33</f>
        <v>4000000</v>
      </c>
      <c r="AD34" s="107">
        <f>июль!CR33</f>
        <v>0</v>
      </c>
      <c r="AE34" s="38">
        <f>SUM(AF34:BB34)</f>
        <v>115680770</v>
      </c>
      <c r="AF34" s="38">
        <f>июль!CP33</f>
        <v>906270</v>
      </c>
      <c r="AG34" s="46">
        <f>июль!X33</f>
        <v>2645000</v>
      </c>
      <c r="AH34" s="46">
        <f>июль!Z33</f>
        <v>0</v>
      </c>
      <c r="AI34" s="46">
        <f>июль!AB33</f>
        <v>1690300</v>
      </c>
      <c r="AJ34" s="46">
        <f>июль!AE33</f>
        <v>0</v>
      </c>
      <c r="AK34" s="46">
        <f>июль!AG33</f>
        <v>7375200</v>
      </c>
      <c r="AL34" s="46">
        <f>июль!BK33</f>
        <v>21933200</v>
      </c>
      <c r="AM34" s="46"/>
      <c r="AN34" s="46">
        <f>июль!BS33</f>
        <v>381000</v>
      </c>
      <c r="AO34" s="46">
        <f>июль!CW33</f>
        <v>16304000</v>
      </c>
      <c r="AP34" s="46">
        <f>июль!CX33</f>
        <v>15156800</v>
      </c>
      <c r="AQ34" s="46">
        <f>июль!CY33</f>
        <v>23845000</v>
      </c>
      <c r="AR34" s="46">
        <f>июль!CZ33</f>
        <v>6500000</v>
      </c>
      <c r="AS34" s="46">
        <f>июль!DA33</f>
        <v>3120000</v>
      </c>
      <c r="AT34" s="46">
        <f>июль!DH33</f>
        <v>0</v>
      </c>
      <c r="AU34" s="46">
        <f>июль!DK33</f>
        <v>15824000</v>
      </c>
      <c r="AV34" s="46">
        <f>июль!DL33</f>
        <v>0</v>
      </c>
      <c r="AW34" s="67">
        <v>0</v>
      </c>
      <c r="AX34" s="67">
        <f>июль!ET33</f>
        <v>0</v>
      </c>
      <c r="AY34" s="67">
        <f>июль!EU33</f>
        <v>0</v>
      </c>
      <c r="AZ34" s="67"/>
      <c r="BA34" s="67">
        <f>июль!BQ33</f>
        <v>0</v>
      </c>
      <c r="BB34" s="67">
        <f>июль!BW33</f>
        <v>0</v>
      </c>
      <c r="BC34" s="93">
        <f>BE34+BF34+BI34+CI34+CJ34+CK34</f>
        <v>433272900</v>
      </c>
      <c r="BD34" s="103"/>
      <c r="BE34" s="41">
        <f>июль!P33</f>
        <v>3848500</v>
      </c>
      <c r="BF34" s="41">
        <f>BG34+BH34</f>
        <v>11887600</v>
      </c>
      <c r="BG34" s="41">
        <f>июль!CF33</f>
        <v>3045600</v>
      </c>
      <c r="BH34" s="41">
        <f>июль!CG33</f>
        <v>8842000</v>
      </c>
      <c r="BI34" s="67">
        <f>SUM(BJ34:CH34)</f>
        <v>382142300</v>
      </c>
      <c r="BJ34" s="159">
        <f>июль!F33</f>
        <v>358300</v>
      </c>
      <c r="BK34" s="159">
        <f>июль!G33</f>
        <v>29300</v>
      </c>
      <c r="BL34" s="159">
        <f>июль!H33</f>
        <v>0</v>
      </c>
      <c r="BM34" s="159">
        <f>июль!I33</f>
        <v>0</v>
      </c>
      <c r="BN34" s="159">
        <f>июль!J33</f>
        <v>757700</v>
      </c>
      <c r="BO34" s="159">
        <f>июль!K33</f>
        <v>0</v>
      </c>
      <c r="BP34" s="159">
        <f>июль!L33</f>
        <v>92200</v>
      </c>
      <c r="BQ34" s="50">
        <f>июль!N33</f>
        <v>1100</v>
      </c>
      <c r="BR34" s="46">
        <f>июль!Y33</f>
        <v>52000</v>
      </c>
      <c r="BS34" s="50">
        <f>июль!AC33</f>
        <v>338732500</v>
      </c>
      <c r="BT34" s="50">
        <f>июль!AD33</f>
        <v>8568000</v>
      </c>
      <c r="BU34" s="46">
        <f>июль!AI33</f>
        <v>174400</v>
      </c>
      <c r="BV34" s="46">
        <f>июль!AJ33</f>
        <v>4099900</v>
      </c>
      <c r="BW34" s="46">
        <f>июль!AK33</f>
        <v>262600</v>
      </c>
      <c r="BX34" s="46">
        <f>июль!AL33</f>
        <v>2100</v>
      </c>
      <c r="BY34" s="46">
        <f>июль!AQ33</f>
        <v>153600</v>
      </c>
      <c r="BZ34" s="46">
        <f>июль!AR33</f>
        <v>12000</v>
      </c>
      <c r="CA34" s="46">
        <f>июль!AS33</f>
        <v>226600</v>
      </c>
      <c r="CB34" s="46">
        <f>июль!AT33</f>
        <v>0</v>
      </c>
      <c r="CC34" s="46">
        <f>июль!BL33</f>
        <v>15850000</v>
      </c>
      <c r="CD34" s="46">
        <f>июль!BM33</f>
        <v>407200</v>
      </c>
      <c r="CE34" s="50">
        <f>июль!CJ33</f>
        <v>23500</v>
      </c>
      <c r="CF34" s="50">
        <f>июль!CM33</f>
        <v>3700</v>
      </c>
      <c r="CG34" s="50">
        <f>июль!CS33</f>
        <v>12329696.5</v>
      </c>
      <c r="CH34" s="50">
        <f>июль!CT33</f>
        <v>5903.5</v>
      </c>
      <c r="CI34" s="17">
        <f>июль!AP33</f>
        <v>30087900</v>
      </c>
      <c r="CJ34" s="41">
        <f>июль!AO33</f>
        <v>4289000</v>
      </c>
      <c r="CK34" s="41">
        <f>июль!CL33</f>
        <v>1017600</v>
      </c>
      <c r="CL34" s="93">
        <f>CO34+CP34+CU34+CV34+CM34</f>
        <v>5970797</v>
      </c>
      <c r="CM34" s="107"/>
      <c r="CN34" s="107"/>
      <c r="CO34" s="41"/>
      <c r="CP34" s="17">
        <f>CQ34+CR34+CS34</f>
        <v>1036000</v>
      </c>
      <c r="CQ34" s="17">
        <f>июль!DP33</f>
        <v>0</v>
      </c>
      <c r="CR34" s="17">
        <f>июль!DQ33</f>
        <v>36000</v>
      </c>
      <c r="CS34" s="41">
        <f>июль!BH33</f>
        <v>1000000</v>
      </c>
      <c r="CT34" s="41"/>
      <c r="CU34" s="169">
        <f>июль!BP33</f>
        <v>130000</v>
      </c>
      <c r="CV34" s="17">
        <f>SUM(CW34:CX34)</f>
        <v>4804797</v>
      </c>
      <c r="CW34" s="41">
        <f>июль!T33</f>
        <v>4804797</v>
      </c>
      <c r="CX34" s="281">
        <f>июль!BG33</f>
        <v>0</v>
      </c>
    </row>
    <row r="35" spans="1:102" ht="16.5" customHeight="1" x14ac:dyDescent="0.25">
      <c r="A35" s="144">
        <v>30</v>
      </c>
      <c r="B35" s="1" t="s">
        <v>89</v>
      </c>
      <c r="C35" s="4">
        <f>D35+L35+BC35+CL35</f>
        <v>234280600</v>
      </c>
      <c r="D35" s="93">
        <f>E35+F35+G35+H35</f>
        <v>64683000</v>
      </c>
      <c r="E35" s="107"/>
      <c r="F35" s="107">
        <f>июль!AZ34</f>
        <v>57383000</v>
      </c>
      <c r="G35" s="107">
        <f>июль!BC34</f>
        <v>7300000</v>
      </c>
      <c r="H35" s="107"/>
      <c r="I35" s="107">
        <f>J35+K35</f>
        <v>0</v>
      </c>
      <c r="J35" s="107">
        <f>июль!BD34</f>
        <v>0</v>
      </c>
      <c r="K35" s="107">
        <f>июль!BE34</f>
        <v>0</v>
      </c>
      <c r="L35" s="93">
        <f>M35+N35+O35+P35+V35+W35+AD35+AE35+AC35+AB35</f>
        <v>83796600</v>
      </c>
      <c r="M35" s="107">
        <f>июль!EH34</f>
        <v>0</v>
      </c>
      <c r="N35" s="107">
        <f>июль!EG34</f>
        <v>0</v>
      </c>
      <c r="O35" s="107"/>
      <c r="P35" s="225">
        <f>SUM(Q35:U35)</f>
        <v>0</v>
      </c>
      <c r="Q35" s="268">
        <f>июль!CV34</f>
        <v>0</v>
      </c>
      <c r="R35" s="225">
        <f>июль!DO34</f>
        <v>0</v>
      </c>
      <c r="S35" s="225">
        <f>июль!DX34</f>
        <v>0</v>
      </c>
      <c r="T35" s="225">
        <f>июль!ED34</f>
        <v>0</v>
      </c>
      <c r="U35" s="225">
        <f>июль!EL34</f>
        <v>0</v>
      </c>
      <c r="V35" s="107">
        <f>июль!DF34</f>
        <v>0</v>
      </c>
      <c r="W35" s="67">
        <f>SUM(X35:AA35)</f>
        <v>0</v>
      </c>
      <c r="X35" s="67"/>
      <c r="Y35" s="67"/>
      <c r="Z35" s="67"/>
      <c r="AA35" s="67"/>
      <c r="AB35" s="107">
        <f>июль!CB34</f>
        <v>6142800</v>
      </c>
      <c r="AC35" s="107">
        <f>июль!CD34</f>
        <v>10500000</v>
      </c>
      <c r="AD35" s="107">
        <f>июль!CR34</f>
        <v>0</v>
      </c>
      <c r="AE35" s="38">
        <f>SUM(AF35:BB35)</f>
        <v>67153800</v>
      </c>
      <c r="AF35" s="38">
        <f>июль!CP34</f>
        <v>0</v>
      </c>
      <c r="AG35" s="46">
        <f>июль!X34</f>
        <v>0</v>
      </c>
      <c r="AH35" s="46">
        <f>июль!Z34</f>
        <v>500000</v>
      </c>
      <c r="AI35" s="46">
        <f>июль!AB34</f>
        <v>0</v>
      </c>
      <c r="AJ35" s="46">
        <f>июль!AE34</f>
        <v>0</v>
      </c>
      <c r="AK35" s="46">
        <f>июль!AG34</f>
        <v>1223000</v>
      </c>
      <c r="AL35" s="46">
        <f>июль!BK34</f>
        <v>4286000</v>
      </c>
      <c r="AM35" s="46"/>
      <c r="AN35" s="46">
        <f>июль!BS34</f>
        <v>0</v>
      </c>
      <c r="AO35" s="46">
        <f>июль!CW34</f>
        <v>2540600</v>
      </c>
      <c r="AP35" s="46">
        <f>июль!CX34</f>
        <v>193800</v>
      </c>
      <c r="AQ35" s="46">
        <f>июль!CY34</f>
        <v>3612100</v>
      </c>
      <c r="AR35" s="46">
        <f>июль!CZ34</f>
        <v>370000</v>
      </c>
      <c r="AS35" s="46">
        <f>июль!DA34</f>
        <v>53019300</v>
      </c>
      <c r="AT35" s="46">
        <f>июль!DH34</f>
        <v>0</v>
      </c>
      <c r="AU35" s="46">
        <f>июль!DK34</f>
        <v>1409000</v>
      </c>
      <c r="AV35" s="46">
        <f>июль!DL34</f>
        <v>0</v>
      </c>
      <c r="AW35" s="67">
        <v>0</v>
      </c>
      <c r="AX35" s="67">
        <f>июль!ET34</f>
        <v>0</v>
      </c>
      <c r="AY35" s="67">
        <f>июль!EU34</f>
        <v>0</v>
      </c>
      <c r="AZ35" s="67"/>
      <c r="BA35" s="67">
        <f>июль!BQ34</f>
        <v>0</v>
      </c>
      <c r="BB35" s="67">
        <f>июль!BW34</f>
        <v>0</v>
      </c>
      <c r="BC35" s="93">
        <f>BE35+BF35+BI35+CI35+CJ35+CK35</f>
        <v>83935500</v>
      </c>
      <c r="BD35" s="103"/>
      <c r="BE35" s="41">
        <f>июль!P34</f>
        <v>419100</v>
      </c>
      <c r="BF35" s="41">
        <f>BG35+BH35</f>
        <v>2293500</v>
      </c>
      <c r="BG35" s="41">
        <f>июль!CF34</f>
        <v>587500</v>
      </c>
      <c r="BH35" s="41">
        <f>июль!CG34</f>
        <v>1706000</v>
      </c>
      <c r="BI35" s="67">
        <f>SUM(BJ35:CH35)</f>
        <v>76238800</v>
      </c>
      <c r="BJ35" s="159">
        <f>июль!F34</f>
        <v>153200</v>
      </c>
      <c r="BK35" s="159">
        <f>июль!G34</f>
        <v>3700</v>
      </c>
      <c r="BL35" s="159">
        <f>июль!H34</f>
        <v>0</v>
      </c>
      <c r="BM35" s="159">
        <f>июль!I34</f>
        <v>0</v>
      </c>
      <c r="BN35" s="159">
        <f>июль!J34</f>
        <v>341100</v>
      </c>
      <c r="BO35" s="159">
        <f>июль!K34</f>
        <v>0</v>
      </c>
      <c r="BP35" s="159">
        <f>июль!L34</f>
        <v>34600</v>
      </c>
      <c r="BQ35" s="50">
        <f>июль!N34</f>
        <v>400</v>
      </c>
      <c r="BR35" s="46">
        <f>июль!Y34</f>
        <v>0</v>
      </c>
      <c r="BS35" s="50">
        <f>июль!AC34</f>
        <v>70560700</v>
      </c>
      <c r="BT35" s="50">
        <f>июль!AD34</f>
        <v>1940400</v>
      </c>
      <c r="BU35" s="46">
        <f>июль!AI34</f>
        <v>23100</v>
      </c>
      <c r="BV35" s="46">
        <f>июль!AJ34</f>
        <v>585800</v>
      </c>
      <c r="BW35" s="46">
        <f>июль!AK34</f>
        <v>52500</v>
      </c>
      <c r="BX35" s="46">
        <f>июль!AL34</f>
        <v>20800</v>
      </c>
      <c r="BY35" s="46">
        <f>июль!AQ34</f>
        <v>0</v>
      </c>
      <c r="BZ35" s="46">
        <f>июль!AR34</f>
        <v>116300</v>
      </c>
      <c r="CA35" s="46">
        <f>июль!AS34</f>
        <v>0</v>
      </c>
      <c r="CB35" s="46">
        <f>июль!AT34</f>
        <v>0</v>
      </c>
      <c r="CC35" s="46">
        <f>июль!BL34</f>
        <v>1978000</v>
      </c>
      <c r="CD35" s="46">
        <f>июль!BM34</f>
        <v>141700</v>
      </c>
      <c r="CE35" s="50">
        <f>июль!CJ34</f>
        <v>4500</v>
      </c>
      <c r="CF35" s="50">
        <f>июль!CM34</f>
        <v>0</v>
      </c>
      <c r="CG35" s="50">
        <f>июль!CS34</f>
        <v>281954</v>
      </c>
      <c r="CH35" s="50">
        <f>июль!CT34</f>
        <v>46</v>
      </c>
      <c r="CI35" s="17">
        <f>июль!AP34</f>
        <v>4292900</v>
      </c>
      <c r="CJ35" s="41">
        <f>июль!AO34</f>
        <v>691200</v>
      </c>
      <c r="CK35" s="41">
        <f>июль!CL34</f>
        <v>0</v>
      </c>
      <c r="CL35" s="93">
        <f>CO35+CP35+CU35+CV35+CM35</f>
        <v>1865500</v>
      </c>
      <c r="CM35" s="107"/>
      <c r="CN35" s="107"/>
      <c r="CO35" s="41"/>
      <c r="CP35" s="17">
        <f>CQ35+CR35+CS35</f>
        <v>1775000</v>
      </c>
      <c r="CQ35" s="17">
        <f>июль!DP34</f>
        <v>0</v>
      </c>
      <c r="CR35" s="17">
        <f>июль!DQ34</f>
        <v>0</v>
      </c>
      <c r="CS35" s="41">
        <f>июль!BH34</f>
        <v>1775000</v>
      </c>
      <c r="CT35" s="41"/>
      <c r="CU35" s="169">
        <f>июль!BP34</f>
        <v>62000</v>
      </c>
      <c r="CV35" s="17">
        <f>SUM(CW35:CX35)</f>
        <v>28500</v>
      </c>
      <c r="CW35" s="41">
        <f>июль!T34</f>
        <v>28500</v>
      </c>
      <c r="CX35" s="281">
        <f>июль!BG34</f>
        <v>0</v>
      </c>
    </row>
    <row r="36" spans="1:102" ht="16.5" customHeight="1" x14ac:dyDescent="0.25">
      <c r="A36" s="144">
        <v>31</v>
      </c>
      <c r="B36" s="1" t="s">
        <v>90</v>
      </c>
      <c r="C36" s="4">
        <f>D36+L36+BC36+CL36</f>
        <v>567674098</v>
      </c>
      <c r="D36" s="93">
        <f>E36+F36+G36+H36</f>
        <v>68773500</v>
      </c>
      <c r="E36" s="107"/>
      <c r="F36" s="107">
        <f>июль!AZ35</f>
        <v>51898000</v>
      </c>
      <c r="G36" s="107">
        <f>июль!BC35</f>
        <v>16875500</v>
      </c>
      <c r="H36" s="107"/>
      <c r="I36" s="107">
        <f>J36+K36</f>
        <v>0</v>
      </c>
      <c r="J36" s="107">
        <f>июль!BD35</f>
        <v>0</v>
      </c>
      <c r="K36" s="107">
        <f>июль!BE35</f>
        <v>0</v>
      </c>
      <c r="L36" s="93">
        <f>M36+N36+O36+P36+V36+W36+AD36+AE36+AC36+AB36</f>
        <v>172685300</v>
      </c>
      <c r="M36" s="107">
        <f>июль!EH35</f>
        <v>0</v>
      </c>
      <c r="N36" s="107">
        <f>июль!EG35</f>
        <v>0</v>
      </c>
      <c r="O36" s="107"/>
      <c r="P36" s="225">
        <f>SUM(Q36:U36)</f>
        <v>59770000</v>
      </c>
      <c r="Q36" s="268">
        <f>июль!CV35</f>
        <v>0</v>
      </c>
      <c r="R36" s="225">
        <f>июль!DO35</f>
        <v>59770000</v>
      </c>
      <c r="S36" s="225">
        <f>июль!DX35</f>
        <v>0</v>
      </c>
      <c r="T36" s="225">
        <f>июль!ED35</f>
        <v>0</v>
      </c>
      <c r="U36" s="225">
        <f>июль!EL35</f>
        <v>0</v>
      </c>
      <c r="V36" s="107">
        <f>июль!DF35</f>
        <v>0</v>
      </c>
      <c r="W36" s="67">
        <f>SUM(X36:AA36)</f>
        <v>0</v>
      </c>
      <c r="X36" s="67"/>
      <c r="Y36" s="67"/>
      <c r="Z36" s="67"/>
      <c r="AA36" s="67"/>
      <c r="AB36" s="107">
        <f>июль!CB35</f>
        <v>14261000</v>
      </c>
      <c r="AC36" s="107">
        <f>июль!CD35</f>
        <v>500000</v>
      </c>
      <c r="AD36" s="107">
        <f>июль!CR35</f>
        <v>2500000</v>
      </c>
      <c r="AE36" s="38">
        <f>SUM(AF36:BB36)</f>
        <v>95654300</v>
      </c>
      <c r="AF36" s="38">
        <f>июль!CP35</f>
        <v>119000</v>
      </c>
      <c r="AG36" s="46">
        <f>июль!X35</f>
        <v>2609700</v>
      </c>
      <c r="AH36" s="46">
        <f>июль!Z35</f>
        <v>575000</v>
      </c>
      <c r="AI36" s="46">
        <f>июль!AB35</f>
        <v>2372900</v>
      </c>
      <c r="AJ36" s="46">
        <f>июль!AE35</f>
        <v>0</v>
      </c>
      <c r="AK36" s="46">
        <f>июль!AG35</f>
        <v>5712800</v>
      </c>
      <c r="AL36" s="46">
        <f>июль!BK35</f>
        <v>17923600</v>
      </c>
      <c r="AM36" s="46"/>
      <c r="AN36" s="46">
        <f>июль!BS35</f>
        <v>0</v>
      </c>
      <c r="AO36" s="46">
        <f>июль!CW35</f>
        <v>11271200</v>
      </c>
      <c r="AP36" s="46">
        <f>июль!CX35</f>
        <v>17445200</v>
      </c>
      <c r="AQ36" s="46">
        <f>июль!CY35</f>
        <v>16352900</v>
      </c>
      <c r="AR36" s="46">
        <f>июль!CZ35</f>
        <v>0</v>
      </c>
      <c r="AS36" s="46">
        <f>июль!DA35</f>
        <v>2300000</v>
      </c>
      <c r="AT36" s="46">
        <f>июль!DH35</f>
        <v>0</v>
      </c>
      <c r="AU36" s="46">
        <f>июль!DK35</f>
        <v>18972000</v>
      </c>
      <c r="AV36" s="46">
        <f>июль!DL35</f>
        <v>0</v>
      </c>
      <c r="AW36" s="67">
        <v>0</v>
      </c>
      <c r="AX36" s="67">
        <f>июль!ET35</f>
        <v>0</v>
      </c>
      <c r="AY36" s="67">
        <f>июль!EU35</f>
        <v>0</v>
      </c>
      <c r="AZ36" s="67"/>
      <c r="BA36" s="67">
        <f>июль!BQ35</f>
        <v>0</v>
      </c>
      <c r="BB36" s="67">
        <f>июль!BW35</f>
        <v>0</v>
      </c>
      <c r="BC36" s="93">
        <f>BE36+BF36+BI36+CI36+CJ36+CK36</f>
        <v>286555500</v>
      </c>
      <c r="BD36" s="103"/>
      <c r="BE36" s="41">
        <f>июль!P35</f>
        <v>1808100</v>
      </c>
      <c r="BF36" s="41">
        <f>BG36+BH36</f>
        <v>8550700</v>
      </c>
      <c r="BG36" s="41">
        <f>июль!CF35</f>
        <v>2190700</v>
      </c>
      <c r="BH36" s="41">
        <f>июль!CG35</f>
        <v>6360000</v>
      </c>
      <c r="BI36" s="67">
        <f>SUM(BJ36:CH36)</f>
        <v>252684900</v>
      </c>
      <c r="BJ36" s="159">
        <f>июль!F35</f>
        <v>342200</v>
      </c>
      <c r="BK36" s="159">
        <f>июль!G35</f>
        <v>19100</v>
      </c>
      <c r="BL36" s="159">
        <f>июль!H35</f>
        <v>0</v>
      </c>
      <c r="BM36" s="159">
        <f>июль!I35</f>
        <v>0</v>
      </c>
      <c r="BN36" s="159">
        <f>июль!J35</f>
        <v>377600</v>
      </c>
      <c r="BO36" s="159">
        <f>июль!K35</f>
        <v>0</v>
      </c>
      <c r="BP36" s="159">
        <f>июль!L35</f>
        <v>57600</v>
      </c>
      <c r="BQ36" s="50">
        <f>июль!N35</f>
        <v>700</v>
      </c>
      <c r="BR36" s="46">
        <f>июль!Y35</f>
        <v>4500</v>
      </c>
      <c r="BS36" s="50">
        <f>июль!AC35</f>
        <v>231039200</v>
      </c>
      <c r="BT36" s="50">
        <f>июль!AD35</f>
        <v>6606600</v>
      </c>
      <c r="BU36" s="46">
        <f>июль!AI35</f>
        <v>127800</v>
      </c>
      <c r="BV36" s="46">
        <f>июль!AJ35</f>
        <v>2733300</v>
      </c>
      <c r="BW36" s="46">
        <f>июль!AK35</f>
        <v>157500</v>
      </c>
      <c r="BX36" s="46">
        <f>июль!AL35</f>
        <v>58400</v>
      </c>
      <c r="BY36" s="46">
        <f>июль!AQ35</f>
        <v>0</v>
      </c>
      <c r="BZ36" s="46">
        <f>июль!AR35</f>
        <v>321500</v>
      </c>
      <c r="CA36" s="46">
        <f>июль!AS35</f>
        <v>0</v>
      </c>
      <c r="CB36" s="46">
        <f>июль!AT35</f>
        <v>0</v>
      </c>
      <c r="CC36" s="46">
        <f>июль!BL35</f>
        <v>10333000</v>
      </c>
      <c r="CD36" s="46">
        <f>июль!BM35</f>
        <v>247800</v>
      </c>
      <c r="CE36" s="50">
        <f>июль!CJ35</f>
        <v>16900</v>
      </c>
      <c r="CF36" s="50">
        <f>июль!CM35</f>
        <v>0</v>
      </c>
      <c r="CG36" s="50">
        <f>июль!CS35</f>
        <v>240958.1</v>
      </c>
      <c r="CH36" s="50">
        <f>июль!CT35</f>
        <v>241.9</v>
      </c>
      <c r="CI36" s="17">
        <f>июль!AP35</f>
        <v>19105400</v>
      </c>
      <c r="CJ36" s="41">
        <f>июль!AO35</f>
        <v>4406400</v>
      </c>
      <c r="CK36" s="41">
        <f>июль!CL35</f>
        <v>0</v>
      </c>
      <c r="CL36" s="93">
        <f>CO36+CP36+CU36+CV36+CM36</f>
        <v>39659798</v>
      </c>
      <c r="CM36" s="107"/>
      <c r="CN36" s="107"/>
      <c r="CO36" s="41"/>
      <c r="CP36" s="17">
        <f>CQ36+CR36+CS36</f>
        <v>39500000</v>
      </c>
      <c r="CQ36" s="17">
        <f>июль!DP35</f>
        <v>0</v>
      </c>
      <c r="CR36" s="17">
        <f>июль!DQ35</f>
        <v>0</v>
      </c>
      <c r="CS36" s="41">
        <f>июль!BH35</f>
        <v>39500000</v>
      </c>
      <c r="CT36" s="41"/>
      <c r="CU36" s="169">
        <f>июль!BP35</f>
        <v>141000</v>
      </c>
      <c r="CV36" s="17">
        <f>SUM(CW36:CX36)</f>
        <v>18798</v>
      </c>
      <c r="CW36" s="41">
        <f>июль!T35</f>
        <v>18798</v>
      </c>
      <c r="CX36" s="281">
        <f>июль!BG35</f>
        <v>0</v>
      </c>
    </row>
    <row r="37" spans="1:102" ht="16.5" customHeight="1" x14ac:dyDescent="0.25">
      <c r="A37" s="5"/>
      <c r="B37" s="156" t="s">
        <v>91</v>
      </c>
      <c r="C37" s="8">
        <f>SUM(C6:C36)</f>
        <v>10709441284.83</v>
      </c>
      <c r="D37" s="90">
        <f>SUM(D6:D36)</f>
        <v>2092801400</v>
      </c>
      <c r="E37" s="99">
        <f>SUM(E6:E36)</f>
        <v>0</v>
      </c>
      <c r="F37" s="99">
        <f>SUM(F6:F36)</f>
        <v>1748566000</v>
      </c>
      <c r="G37" s="99">
        <f>SUM(G6:G36)</f>
        <v>344235400</v>
      </c>
      <c r="H37" s="99">
        <f>SUM(H6:H36)</f>
        <v>0</v>
      </c>
      <c r="I37" s="99">
        <f>SUM(I6:I36)</f>
        <v>0</v>
      </c>
      <c r="J37" s="99">
        <f>SUM(J6:J36)</f>
        <v>0</v>
      </c>
      <c r="K37" s="99">
        <f>SUM(K6:K36)</f>
        <v>0</v>
      </c>
      <c r="L37" s="94">
        <f>SUM(L6:L36)</f>
        <v>2860368212</v>
      </c>
      <c r="M37" s="105">
        <f>SUM(M6:M36)</f>
        <v>198400</v>
      </c>
      <c r="N37" s="105">
        <f>SUM(N6:N36)</f>
        <v>730648</v>
      </c>
      <c r="O37" s="105">
        <f>SUM(O6:O36)</f>
        <v>7500000</v>
      </c>
      <c r="P37" s="226">
        <f>SUM(P6:P36)</f>
        <v>279400000</v>
      </c>
      <c r="Q37" s="226">
        <f>SUM(Q6:Q36)</f>
        <v>0</v>
      </c>
      <c r="R37" s="226">
        <f>июль!DO36</f>
        <v>263400000</v>
      </c>
      <c r="S37" s="226">
        <f>июль!DX36</f>
        <v>12000000</v>
      </c>
      <c r="T37" s="226">
        <f>июль!ED36</f>
        <v>1000000</v>
      </c>
      <c r="U37" s="226">
        <f>июль!EL36</f>
        <v>3000000</v>
      </c>
      <c r="V37" s="105">
        <f>SUM(V6:V36)</f>
        <v>240000000</v>
      </c>
      <c r="W37" s="48">
        <f>SUM(W6:W36)</f>
        <v>2972040</v>
      </c>
      <c r="X37" s="48">
        <f>SUM(X6:X36)</f>
        <v>150000</v>
      </c>
      <c r="Y37" s="48">
        <f>SUM(Y6:Y36)</f>
        <v>350000</v>
      </c>
      <c r="Z37" s="48">
        <f>SUM(Z6:Z36)</f>
        <v>967000</v>
      </c>
      <c r="AA37" s="48">
        <f>SUM(AA6:AA36)</f>
        <v>1505040</v>
      </c>
      <c r="AB37" s="105">
        <f>июль!CB36</f>
        <v>354508600</v>
      </c>
      <c r="AC37" s="105">
        <f>SUM(AC6:AC36)</f>
        <v>97000000</v>
      </c>
      <c r="AD37" s="105">
        <f>SUM(AD6:AD36)</f>
        <v>2500000</v>
      </c>
      <c r="AE37" s="48">
        <f>SUM(AE6:AE36)</f>
        <v>1875558524</v>
      </c>
      <c r="AF37" s="48">
        <f>SUM(AF6:AF36)</f>
        <v>3667000</v>
      </c>
      <c r="AG37" s="47">
        <f>SUM(AG6:AG36)</f>
        <v>32356800</v>
      </c>
      <c r="AH37" s="47">
        <f>SUM(AH6:AH36)</f>
        <v>15994000</v>
      </c>
      <c r="AI37" s="47">
        <f>SUM(AI6:AI36)</f>
        <v>21420800</v>
      </c>
      <c r="AJ37" s="47">
        <f>SUM(AJ6:AJ36)</f>
        <v>7800000</v>
      </c>
      <c r="AK37" s="47">
        <f>SUM(AK6:AK36)</f>
        <v>91407700</v>
      </c>
      <c r="AL37" s="47">
        <f>SUM(AL6:AL36)</f>
        <v>371652200</v>
      </c>
      <c r="AM37" s="47">
        <f>SUM(AM6:AM36)</f>
        <v>0</v>
      </c>
      <c r="AN37" s="47">
        <f>SUM(AN6:AN36)</f>
        <v>952500</v>
      </c>
      <c r="AO37" s="47">
        <f>SUM(AO6:AO36)</f>
        <v>201546600</v>
      </c>
      <c r="AP37" s="47">
        <f>SUM(AP6:AP36)</f>
        <v>171106900</v>
      </c>
      <c r="AQ37" s="47">
        <f>SUM(AQ6:AQ36)</f>
        <v>256202800</v>
      </c>
      <c r="AR37" s="47">
        <f>SUM(AR6:AR36)</f>
        <v>137863600</v>
      </c>
      <c r="AS37" s="47">
        <f>SUM(AS6:AS36)</f>
        <v>191615300</v>
      </c>
      <c r="AT37" s="47">
        <f>SUM(AT6:AT36)</f>
        <v>5000000</v>
      </c>
      <c r="AU37" s="47">
        <f>SUM(AU6:AU36)</f>
        <v>202961403</v>
      </c>
      <c r="AV37" s="47">
        <f>SUM(AV6:AV36)</f>
        <v>1131334</v>
      </c>
      <c r="AW37" s="48">
        <f>SUM(AW6:AW36)</f>
        <v>0</v>
      </c>
      <c r="AX37" s="48">
        <f>SUM(AX6:AX36)</f>
        <v>2155191</v>
      </c>
      <c r="AY37" s="48">
        <f>SUM(AY6:AY36)</f>
        <v>3000000</v>
      </c>
      <c r="AZ37" s="48">
        <f>SUM(AZ6:AZ36)</f>
        <v>156500000</v>
      </c>
      <c r="BA37" s="48">
        <f>SUM(BA6:BA36)</f>
        <v>1024396</v>
      </c>
      <c r="BB37" s="48">
        <f>SUM(BB6:BB36)</f>
        <v>200000</v>
      </c>
      <c r="BC37" s="94">
        <f>SUM(BC6:BC36)</f>
        <v>5630588965</v>
      </c>
      <c r="BD37" s="105">
        <f>SUM(BD6:BD36)</f>
        <v>0</v>
      </c>
      <c r="BE37" s="105">
        <f>SUM(BE6:BE36)</f>
        <v>35949600</v>
      </c>
      <c r="BF37" s="105">
        <f>SUM(BF6:BF36)</f>
        <v>156860800</v>
      </c>
      <c r="BG37" s="105">
        <f>SUM(BG6:BG36)</f>
        <v>37945800</v>
      </c>
      <c r="BH37" s="105">
        <f>SUM(BH6:BH36)</f>
        <v>118915000</v>
      </c>
      <c r="BI37" s="47">
        <f>SUM(BI6:BI36)</f>
        <v>4993452065</v>
      </c>
      <c r="BJ37" s="47">
        <f>SUM(BJ6:BJ36)</f>
        <v>7485200</v>
      </c>
      <c r="BK37" s="47">
        <f>SUM(BK6:BK36)</f>
        <v>455700</v>
      </c>
      <c r="BL37" s="47">
        <f>SUM(BL6:BL36)</f>
        <v>1020600</v>
      </c>
      <c r="BM37" s="47">
        <f>SUM(BM6:BM36)</f>
        <v>978200</v>
      </c>
      <c r="BN37" s="47">
        <f>SUM(BN6:BN36)</f>
        <v>12893600</v>
      </c>
      <c r="BO37" s="47">
        <f>SUM(BO6:BO36)</f>
        <v>485500</v>
      </c>
      <c r="BP37" s="47">
        <f>SUM(BP6:BP36)</f>
        <v>1566700</v>
      </c>
      <c r="BQ37" s="47">
        <f>SUM(BQ6:BQ36)</f>
        <v>19800</v>
      </c>
      <c r="BR37" s="48">
        <f>SUM(BR6:BR36)</f>
        <v>525450</v>
      </c>
      <c r="BS37" s="47">
        <f>SUM(BS6:BS36)</f>
        <v>4563191900</v>
      </c>
      <c r="BT37" s="47">
        <f>SUM(BT6:BT36)</f>
        <v>119928300</v>
      </c>
      <c r="BU37" s="48">
        <f>SUM(BU6:BU36)</f>
        <v>2555800</v>
      </c>
      <c r="BV37" s="48">
        <f>SUM(BV6:BV36)</f>
        <v>49590700</v>
      </c>
      <c r="BW37" s="48">
        <f>SUM(BW6:BW36)</f>
        <v>3428000</v>
      </c>
      <c r="BX37" s="48">
        <f>SUM(BX6:BX36)</f>
        <v>267200</v>
      </c>
      <c r="BY37" s="48">
        <f>SUM(BY6:BY36)</f>
        <v>1680100</v>
      </c>
      <c r="BZ37" s="48">
        <f>SUM(BZ6:BZ36)</f>
        <v>1239400</v>
      </c>
      <c r="CA37" s="48">
        <f>SUM(CA6:CA36)</f>
        <v>2487600</v>
      </c>
      <c r="CB37" s="47">
        <f>SUM(CB6:CB36)</f>
        <v>492200</v>
      </c>
      <c r="CC37" s="48">
        <f>SUM(CC6:CC36)</f>
        <v>176525000</v>
      </c>
      <c r="CD37" s="48">
        <f>SUM(CD6:CD36)</f>
        <v>6678900</v>
      </c>
      <c r="CE37" s="47">
        <f>SUM(CE6:CE36)</f>
        <v>309500</v>
      </c>
      <c r="CF37" s="47">
        <f>SUM(CF6:CF36)</f>
        <v>7900</v>
      </c>
      <c r="CG37" s="47">
        <f>SUM(CG6:CG36)</f>
        <v>39618539.300000004</v>
      </c>
      <c r="CH37" s="47">
        <f>SUM(CH6:CH36)</f>
        <v>20275.700000000004</v>
      </c>
      <c r="CI37" s="99">
        <f>SUM(CI6:CI36)</f>
        <v>345621400</v>
      </c>
      <c r="CJ37" s="99">
        <f>SUM(CJ6:CJ36)</f>
        <v>96158000</v>
      </c>
      <c r="CK37" s="99">
        <f>SUM(CK6:CK36)</f>
        <v>2547100</v>
      </c>
      <c r="CL37" s="94">
        <f>SUM(CL6:CL36)</f>
        <v>125682707.83</v>
      </c>
      <c r="CM37" s="105">
        <f>SUM(CM6:CM36)</f>
        <v>2280000</v>
      </c>
      <c r="CN37" s="105">
        <f>SUM(CN6:CN36)</f>
        <v>28596688.829999998</v>
      </c>
      <c r="CO37" s="99">
        <f>SUM(CO6:CO36)</f>
        <v>0</v>
      </c>
      <c r="CP37" s="105">
        <f>SUM(CP6:CP36)</f>
        <v>73765504</v>
      </c>
      <c r="CQ37" s="105">
        <f>SUM(CQ6:CQ36)</f>
        <v>85000</v>
      </c>
      <c r="CR37" s="105">
        <f>SUM(CR6:CR36)</f>
        <v>350000</v>
      </c>
      <c r="CS37" s="99">
        <f>SUM(CS6:CS36)</f>
        <v>73330504</v>
      </c>
      <c r="CT37" s="99">
        <f>SUM(CT6:CT36)</f>
        <v>0</v>
      </c>
      <c r="CU37" s="99">
        <f>SUM(CU6:CU36)</f>
        <v>2604200</v>
      </c>
      <c r="CV37" s="105">
        <f>SUM(CV6:CV36)</f>
        <v>18436315</v>
      </c>
      <c r="CW37" s="99">
        <f>SUM(CW6:CW36)</f>
        <v>11436315</v>
      </c>
      <c r="CX37" s="99">
        <f>SUM(CX6:CX36)</f>
        <v>7000000</v>
      </c>
    </row>
    <row r="38" spans="1:102" ht="16.5" customHeight="1" x14ac:dyDescent="0.25">
      <c r="A38" s="127"/>
      <c r="B38" s="158" t="s">
        <v>43</v>
      </c>
      <c r="C38" s="136" t="s">
        <v>44</v>
      </c>
      <c r="D38" s="138" t="s">
        <v>44</v>
      </c>
      <c r="E38" s="112" t="s">
        <v>105</v>
      </c>
      <c r="F38" s="251" t="str">
        <f>июль!AZ37</f>
        <v>902 202 01001 04 0000 151</v>
      </c>
      <c r="G38" s="251" t="str">
        <f>июль!BC37</f>
        <v>902 202 01003 04 0000 151</v>
      </c>
      <c r="H38" s="112" t="s">
        <v>106</v>
      </c>
      <c r="I38" s="112" t="s">
        <v>229</v>
      </c>
      <c r="J38" s="251" t="str">
        <f>июль!BD37</f>
        <v>902 202 01999 04 0000 151</v>
      </c>
      <c r="K38" s="251" t="str">
        <f>июль!BE37</f>
        <v>902 202 01999 04 0000 151</v>
      </c>
      <c r="L38" s="120" t="s">
        <v>44</v>
      </c>
      <c r="M38" s="114" t="s">
        <v>319</v>
      </c>
      <c r="N38" s="114" t="s">
        <v>359</v>
      </c>
      <c r="O38" s="114" t="s">
        <v>359</v>
      </c>
      <c r="P38" s="224" t="s">
        <v>98</v>
      </c>
      <c r="Q38" s="224" t="s">
        <v>98</v>
      </c>
      <c r="R38" s="260" t="str">
        <f>июль!DO37</f>
        <v>902 202 02077 04 0000 151</v>
      </c>
      <c r="S38" s="260" t="str">
        <f>июль!DX37</f>
        <v>902 202 02077 04 0000 151</v>
      </c>
      <c r="T38" s="224" t="s">
        <v>98</v>
      </c>
      <c r="U38" s="260" t="str">
        <f>июль!EL37</f>
        <v>902 202 02077 04 0000 151</v>
      </c>
      <c r="V38" s="114" t="s">
        <v>368</v>
      </c>
      <c r="W38" s="121" t="s">
        <v>307</v>
      </c>
      <c r="X38" s="121" t="s">
        <v>307</v>
      </c>
      <c r="Y38" s="121" t="s">
        <v>44</v>
      </c>
      <c r="Z38" s="121" t="s">
        <v>307</v>
      </c>
      <c r="AA38" s="121" t="s">
        <v>307</v>
      </c>
      <c r="AB38" s="107" t="str">
        <f>июль!CB37</f>
        <v>902- 202-02204000000 151</v>
      </c>
      <c r="AC38" s="251" t="str">
        <f>июль!CD37</f>
        <v>902 202 02145 04 0000 151</v>
      </c>
      <c r="AD38" s="251" t="str">
        <f>июль!CR37</f>
        <v>902 202 02156 04 0000 151</v>
      </c>
      <c r="AE38" s="124" t="s">
        <v>95</v>
      </c>
      <c r="AF38" s="124" t="s">
        <v>95</v>
      </c>
      <c r="AG38" s="124" t="s">
        <v>95</v>
      </c>
      <c r="AH38" s="124" t="s">
        <v>95</v>
      </c>
      <c r="AI38" s="124" t="s">
        <v>95</v>
      </c>
      <c r="AJ38" s="124" t="s">
        <v>95</v>
      </c>
      <c r="AK38" s="124" t="s">
        <v>95</v>
      </c>
      <c r="AL38" s="255" t="str">
        <f>июль!BK37</f>
        <v>902 202 02999 04 0000 151</v>
      </c>
      <c r="AM38" s="124" t="s">
        <v>95</v>
      </c>
      <c r="AN38" s="255" t="str">
        <f>июль!BS37</f>
        <v>902 202 02999 04 0000 151</v>
      </c>
      <c r="AO38" s="255" t="str">
        <f>июль!CW37</f>
        <v>902 202 02999 04 0000 151</v>
      </c>
      <c r="AP38" s="255" t="str">
        <f>июль!CX37</f>
        <v>903 202 02999 04 0000 151</v>
      </c>
      <c r="AQ38" s="255" t="str">
        <f>июль!CY37</f>
        <v>902 202 02999 04 0000 151</v>
      </c>
      <c r="AR38" s="255" t="str">
        <f>июль!CZ37</f>
        <v>902 202 02999 04 0000 151</v>
      </c>
      <c r="AS38" s="255" t="str">
        <f>июль!DA37</f>
        <v>902 202 02999 04 0000 151</v>
      </c>
      <c r="AT38" s="124" t="s">
        <v>95</v>
      </c>
      <c r="AU38" s="124" t="s">
        <v>95</v>
      </c>
      <c r="AV38" s="124" t="s">
        <v>95</v>
      </c>
      <c r="AW38" s="124" t="s">
        <v>95</v>
      </c>
      <c r="AX38" s="124" t="s">
        <v>95</v>
      </c>
      <c r="AY38" s="124" t="s">
        <v>95</v>
      </c>
      <c r="AZ38" s="124" t="s">
        <v>95</v>
      </c>
      <c r="BA38" s="124" t="s">
        <v>95</v>
      </c>
      <c r="BB38" s="124" t="s">
        <v>95</v>
      </c>
      <c r="BC38" s="139" t="s">
        <v>44</v>
      </c>
      <c r="BD38" s="129" t="s">
        <v>93</v>
      </c>
      <c r="BE38" s="113" t="s">
        <v>96</v>
      </c>
      <c r="BF38" s="114" t="s">
        <v>99</v>
      </c>
      <c r="BG38" s="114" t="s">
        <v>99</v>
      </c>
      <c r="BH38" s="114" t="s">
        <v>99</v>
      </c>
      <c r="BI38" s="121" t="s">
        <v>99</v>
      </c>
      <c r="BJ38" s="125" t="s">
        <v>92</v>
      </c>
      <c r="BK38" s="125" t="s">
        <v>92</v>
      </c>
      <c r="BL38" s="125" t="s">
        <v>92</v>
      </c>
      <c r="BM38" s="125" t="s">
        <v>92</v>
      </c>
      <c r="BN38" s="125" t="s">
        <v>92</v>
      </c>
      <c r="BO38" s="125" t="s">
        <v>92</v>
      </c>
      <c r="BP38" s="125" t="s">
        <v>92</v>
      </c>
      <c r="BQ38" s="125" t="s">
        <v>92</v>
      </c>
      <c r="BR38" s="125" t="s">
        <v>103</v>
      </c>
      <c r="BS38" s="124" t="s">
        <v>92</v>
      </c>
      <c r="BT38" s="125" t="s">
        <v>92</v>
      </c>
      <c r="BU38" s="125" t="s">
        <v>92</v>
      </c>
      <c r="BV38" s="125" t="s">
        <v>92</v>
      </c>
      <c r="BW38" s="124" t="s">
        <v>92</v>
      </c>
      <c r="BX38" s="124" t="s">
        <v>92</v>
      </c>
      <c r="BY38" s="124" t="s">
        <v>92</v>
      </c>
      <c r="BZ38" s="124" t="s">
        <v>92</v>
      </c>
      <c r="CA38" s="124" t="s">
        <v>92</v>
      </c>
      <c r="CB38" s="125" t="s">
        <v>92</v>
      </c>
      <c r="CC38" s="124" t="s">
        <v>92</v>
      </c>
      <c r="CD38" s="124" t="s">
        <v>92</v>
      </c>
      <c r="CE38" s="258" t="str">
        <f>июль!CJ37</f>
        <v>903 202 03024 04 0000 151</v>
      </c>
      <c r="CF38" s="258" t="str">
        <f>июль!CM37</f>
        <v>902 202 03024 04 0000 151</v>
      </c>
      <c r="CG38" s="258" t="str">
        <f>июль!CS37</f>
        <v>902 202 03024 04 0000 151</v>
      </c>
      <c r="CH38" s="258" t="str">
        <f>июль!CT37</f>
        <v>902 202 03024 04 0000 151</v>
      </c>
      <c r="CI38" s="112" t="s">
        <v>92</v>
      </c>
      <c r="CJ38" s="113" t="s">
        <v>92</v>
      </c>
      <c r="CK38" s="259" t="str">
        <f>июль!CL37</f>
        <v>902 202 03999 04 0000 151</v>
      </c>
      <c r="CL38" s="120" t="s">
        <v>44</v>
      </c>
      <c r="CM38" s="112" t="s">
        <v>386</v>
      </c>
      <c r="CN38" s="112" t="s">
        <v>44</v>
      </c>
      <c r="CO38" s="113" t="s">
        <v>104</v>
      </c>
      <c r="CP38" s="134" t="str">
        <f>CS38</f>
        <v>902 202 04012 04 0000 151</v>
      </c>
      <c r="CQ38" s="114" t="s">
        <v>94</v>
      </c>
      <c r="CR38" s="114" t="s">
        <v>94</v>
      </c>
      <c r="CS38" s="113" t="s">
        <v>94</v>
      </c>
      <c r="CT38" s="129" t="s">
        <v>297</v>
      </c>
      <c r="CU38" s="170" t="str">
        <f>июль!BP37</f>
        <v>902 202 04025 04 0000 151</v>
      </c>
      <c r="CV38" s="134" t="s">
        <v>97</v>
      </c>
      <c r="CW38" s="134" t="s">
        <v>97</v>
      </c>
      <c r="CX38" s="134" t="s">
        <v>97</v>
      </c>
    </row>
    <row r="39" spans="1:102" ht="16.5" customHeight="1" x14ac:dyDescent="0.25">
      <c r="A39" s="144">
        <v>32</v>
      </c>
      <c r="B39" s="338" t="s">
        <v>116</v>
      </c>
      <c r="C39" s="4">
        <f>D39+L39+BC39+CL39</f>
        <v>316160905</v>
      </c>
      <c r="D39" s="93">
        <f>E39+F39+G39+H39</f>
        <v>54208000</v>
      </c>
      <c r="E39" s="17">
        <f>июль!AY38</f>
        <v>9205000</v>
      </c>
      <c r="F39" s="107">
        <f>июль!AZ38</f>
        <v>40003000</v>
      </c>
      <c r="G39" s="107">
        <f>июль!BC38</f>
        <v>5000000</v>
      </c>
      <c r="H39" s="107"/>
      <c r="I39" s="107">
        <f>J39+K39</f>
        <v>0</v>
      </c>
      <c r="J39" s="107">
        <f>июль!BD38</f>
        <v>0</v>
      </c>
      <c r="K39" s="107">
        <f>июль!BE38</f>
        <v>0</v>
      </c>
      <c r="L39" s="93">
        <f>M39+N39+O39+P39+V39+W39+AD39+AE39+AC39+AB39</f>
        <v>111737000</v>
      </c>
      <c r="M39" s="107">
        <f>июль!EH38</f>
        <v>0</v>
      </c>
      <c r="N39" s="107">
        <f>июль!EG38</f>
        <v>0</v>
      </c>
      <c r="O39" s="107"/>
      <c r="P39" s="225">
        <f>SUM(Q39:U39)</f>
        <v>5000000</v>
      </c>
      <c r="Q39" s="268">
        <f>июль!CV38</f>
        <v>0</v>
      </c>
      <c r="R39" s="225">
        <f>июль!DO38</f>
        <v>0</v>
      </c>
      <c r="S39" s="225">
        <f>июль!DX38</f>
        <v>0</v>
      </c>
      <c r="T39" s="225">
        <f>июль!ED38</f>
        <v>0</v>
      </c>
      <c r="U39" s="225">
        <f>июль!EL38</f>
        <v>5000000</v>
      </c>
      <c r="V39" s="107">
        <f>июль!DF38</f>
        <v>0</v>
      </c>
      <c r="W39" s="67">
        <f>SUM(X39:AA39)</f>
        <v>0</v>
      </c>
      <c r="X39" s="67"/>
      <c r="Y39" s="67"/>
      <c r="Z39" s="67"/>
      <c r="AA39" s="67"/>
      <c r="AB39" s="107">
        <f>июль!CB38</f>
        <v>60000000</v>
      </c>
      <c r="AC39" s="107">
        <f>июль!CD38</f>
        <v>2000000</v>
      </c>
      <c r="AD39" s="107">
        <f>июль!CR38</f>
        <v>0</v>
      </c>
      <c r="AE39" s="38">
        <f>SUM(AF39:BB39)</f>
        <v>44737000</v>
      </c>
      <c r="AF39" s="38">
        <f>июль!CP38</f>
        <v>0</v>
      </c>
      <c r="AG39" s="46">
        <f>июль!X38</f>
        <v>2927100</v>
      </c>
      <c r="AH39" s="46">
        <f>июль!Z38</f>
        <v>154000</v>
      </c>
      <c r="AI39" s="46">
        <f>июль!AB38</f>
        <v>1787800</v>
      </c>
      <c r="AJ39" s="46">
        <f>июль!AE38</f>
        <v>0</v>
      </c>
      <c r="AK39" s="46">
        <f>июль!AG38</f>
        <v>893800</v>
      </c>
      <c r="AL39" s="46">
        <f>июль!BK38</f>
        <v>14391400</v>
      </c>
      <c r="AM39" s="46">
        <f>июль!BJ38</f>
        <v>10550000</v>
      </c>
      <c r="AN39" s="46">
        <f>июль!BS38</f>
        <v>0</v>
      </c>
      <c r="AO39" s="46">
        <f>июль!CW38</f>
        <v>3127600</v>
      </c>
      <c r="AP39" s="46">
        <f>июль!CX38</f>
        <v>2035300</v>
      </c>
      <c r="AQ39" s="46">
        <f>июль!CY38</f>
        <v>0</v>
      </c>
      <c r="AR39" s="46">
        <f>июль!CZ38</f>
        <v>5000000</v>
      </c>
      <c r="AS39" s="46">
        <f>июль!DA38</f>
        <v>0</v>
      </c>
      <c r="AT39" s="46">
        <f>июль!DH38</f>
        <v>0</v>
      </c>
      <c r="AU39" s="46">
        <f>июль!DK38</f>
        <v>3870000</v>
      </c>
      <c r="AV39" s="46"/>
      <c r="AW39" s="67">
        <v>0</v>
      </c>
      <c r="AX39" s="67">
        <f>июль!ET38</f>
        <v>0</v>
      </c>
      <c r="AY39" s="67">
        <f>июль!EU38</f>
        <v>0</v>
      </c>
      <c r="AZ39" s="67"/>
      <c r="BA39" s="67">
        <f>июль!BQ38</f>
        <v>0</v>
      </c>
      <c r="BB39" s="67">
        <f>июль!BW38</f>
        <v>0</v>
      </c>
      <c r="BC39" s="93">
        <f>BE39+BF39+BI39+CI39+CJ39+CK39</f>
        <v>150143280</v>
      </c>
      <c r="BD39" s="103"/>
      <c r="BE39" s="41">
        <f>июль!P38</f>
        <v>0</v>
      </c>
      <c r="BF39" s="41">
        <f>BG39+BH39</f>
        <v>3566700</v>
      </c>
      <c r="BG39" s="41">
        <f>июль!CF38</f>
        <v>913700</v>
      </c>
      <c r="BH39" s="41">
        <f>июль!CG38</f>
        <v>2653000</v>
      </c>
      <c r="BI39" s="67">
        <f>SUM(BJ39:CH39)</f>
        <v>137507380</v>
      </c>
      <c r="BJ39" s="159">
        <f>июль!F38</f>
        <v>175500</v>
      </c>
      <c r="BK39" s="159">
        <f>июль!G38</f>
        <v>64800</v>
      </c>
      <c r="BL39" s="159">
        <f>июль!H38</f>
        <v>0</v>
      </c>
      <c r="BM39" s="159">
        <f>июль!I38</f>
        <v>0</v>
      </c>
      <c r="BN39" s="159">
        <f>июль!J38</f>
        <v>377600</v>
      </c>
      <c r="BO39" s="159">
        <f>июль!K38</f>
        <v>0</v>
      </c>
      <c r="BP39" s="159">
        <f>июль!L38</f>
        <v>0</v>
      </c>
      <c r="BQ39" s="50">
        <f>июль!N38</f>
        <v>0</v>
      </c>
      <c r="BR39" s="46">
        <f>июль!Y38</f>
        <v>58900</v>
      </c>
      <c r="BS39" s="50">
        <f>июль!AC38</f>
        <v>130169800</v>
      </c>
      <c r="BT39" s="50">
        <f>июль!AD38</f>
        <v>3024000</v>
      </c>
      <c r="BU39" s="46">
        <f>июль!AI38</f>
        <v>93000</v>
      </c>
      <c r="BV39" s="46">
        <f>июль!AJ38</f>
        <v>1171400</v>
      </c>
      <c r="BW39" s="46">
        <f>июль!AK38</f>
        <v>87600</v>
      </c>
      <c r="BX39" s="46">
        <f>июль!AL38</f>
        <v>77300</v>
      </c>
      <c r="BY39" s="46">
        <f>июль!AQ38</f>
        <v>0</v>
      </c>
      <c r="BZ39" s="46">
        <f>июль!AR38</f>
        <v>373100</v>
      </c>
      <c r="CA39" s="46">
        <f>июль!AS38</f>
        <v>0</v>
      </c>
      <c r="CB39" s="46">
        <f>июль!AT38</f>
        <v>0</v>
      </c>
      <c r="CC39" s="46">
        <f>июль!BL38</f>
        <v>0</v>
      </c>
      <c r="CD39" s="46">
        <f>июль!BM38</f>
        <v>0</v>
      </c>
      <c r="CE39" s="50">
        <f>июль!CJ38</f>
        <v>7000</v>
      </c>
      <c r="CF39" s="50">
        <f>июль!CM38</f>
        <v>0</v>
      </c>
      <c r="CG39" s="50">
        <f>июль!CS38</f>
        <v>1826079.8</v>
      </c>
      <c r="CH39" s="50">
        <f>июль!CT38</f>
        <v>1300.2</v>
      </c>
      <c r="CI39" s="17">
        <f>июль!AP38</f>
        <v>6576300</v>
      </c>
      <c r="CJ39" s="41">
        <f>июль!AO38</f>
        <v>2492900</v>
      </c>
      <c r="CK39" s="41">
        <f>июль!CL38</f>
        <v>0</v>
      </c>
      <c r="CL39" s="93">
        <f>CO39+CP39+CU39+CV39</f>
        <v>72625</v>
      </c>
      <c r="CM39" s="107"/>
      <c r="CN39" s="107"/>
      <c r="CO39" s="41"/>
      <c r="CP39" s="17">
        <f>CQ39+CR39+CS39</f>
        <v>0</v>
      </c>
      <c r="CQ39" s="17">
        <f>июль!DP38</f>
        <v>0</v>
      </c>
      <c r="CR39" s="17">
        <f>июль!DQ38</f>
        <v>0</v>
      </c>
      <c r="CS39" s="41">
        <f>июль!BH38</f>
        <v>0</v>
      </c>
      <c r="CT39" s="41"/>
      <c r="CU39" s="169">
        <f>июль!BP38</f>
        <v>0</v>
      </c>
      <c r="CV39" s="17">
        <f>SUM(CW39:CX39)</f>
        <v>72625</v>
      </c>
      <c r="CW39" s="41">
        <f>июль!T38</f>
        <v>72625</v>
      </c>
      <c r="CX39" s="281">
        <f>июль!BG38</f>
        <v>0</v>
      </c>
    </row>
    <row r="40" spans="1:102" ht="16.5" customHeight="1" x14ac:dyDescent="0.25">
      <c r="A40" s="144">
        <v>33</v>
      </c>
      <c r="B40" s="1" t="s">
        <v>117</v>
      </c>
      <c r="C40" s="4">
        <f>D40+L40+BC40+CL40</f>
        <v>176322165</v>
      </c>
      <c r="D40" s="93">
        <f>E40+F40+G40+H40</f>
        <v>38357000</v>
      </c>
      <c r="E40" s="17">
        <f>июль!AY39</f>
        <v>10215000</v>
      </c>
      <c r="F40" s="107">
        <f>июль!AZ39</f>
        <v>28142000</v>
      </c>
      <c r="G40" s="107">
        <f>июль!BC39</f>
        <v>0</v>
      </c>
      <c r="H40" s="107"/>
      <c r="I40" s="107">
        <f>J40+K40</f>
        <v>0</v>
      </c>
      <c r="J40" s="107">
        <f>июль!BD39</f>
        <v>0</v>
      </c>
      <c r="K40" s="107">
        <f>июль!BE39</f>
        <v>0</v>
      </c>
      <c r="L40" s="93">
        <f>M40+N40+O40+P40+V40+W40+AD40+AE40+AC40+AB40</f>
        <v>51411600</v>
      </c>
      <c r="M40" s="107">
        <f>июль!EH39</f>
        <v>0</v>
      </c>
      <c r="N40" s="107">
        <f>июль!EG39</f>
        <v>0</v>
      </c>
      <c r="O40" s="107"/>
      <c r="P40" s="225">
        <f>SUM(Q40:U40)</f>
        <v>0</v>
      </c>
      <c r="Q40" s="268">
        <f>июль!CV39</f>
        <v>0</v>
      </c>
      <c r="R40" s="225">
        <f>июль!DO39</f>
        <v>0</v>
      </c>
      <c r="S40" s="225">
        <f>июль!DX39</f>
        <v>0</v>
      </c>
      <c r="T40" s="225">
        <f>июль!ED39</f>
        <v>0</v>
      </c>
      <c r="U40" s="225">
        <f>июль!EL39</f>
        <v>0</v>
      </c>
      <c r="V40" s="107">
        <f>июль!DF39</f>
        <v>0</v>
      </c>
      <c r="W40" s="67">
        <f>SUM(X40:AA40)</f>
        <v>0</v>
      </c>
      <c r="X40" s="67"/>
      <c r="Y40" s="67"/>
      <c r="Z40" s="67"/>
      <c r="AA40" s="67"/>
      <c r="AB40" s="107">
        <f>июль!CB39</f>
        <v>0</v>
      </c>
      <c r="AC40" s="107">
        <f>июль!CD39</f>
        <v>9000000</v>
      </c>
      <c r="AD40" s="107">
        <f>июль!CR39</f>
        <v>0</v>
      </c>
      <c r="AE40" s="38">
        <f>SUM(AF40:BB40)</f>
        <v>42411600</v>
      </c>
      <c r="AF40" s="38">
        <f>июль!CP39</f>
        <v>0</v>
      </c>
      <c r="AG40" s="46">
        <f>июль!X39</f>
        <v>0</v>
      </c>
      <c r="AH40" s="46">
        <f>июль!Z39</f>
        <v>0</v>
      </c>
      <c r="AI40" s="46">
        <f>июль!AB39</f>
        <v>0</v>
      </c>
      <c r="AJ40" s="46">
        <f>июль!AE39</f>
        <v>0</v>
      </c>
      <c r="AK40" s="46">
        <f>июль!AG39</f>
        <v>1015800</v>
      </c>
      <c r="AL40" s="46">
        <f>июль!BK39</f>
        <v>9229700</v>
      </c>
      <c r="AM40" s="46"/>
      <c r="AN40" s="46">
        <f>июль!BS39</f>
        <v>0</v>
      </c>
      <c r="AO40" s="46">
        <f>июль!CW39</f>
        <v>4343000</v>
      </c>
      <c r="AP40" s="46">
        <f>июль!CX39</f>
        <v>9205100</v>
      </c>
      <c r="AQ40" s="46">
        <f>июль!CY39</f>
        <v>0</v>
      </c>
      <c r="AR40" s="46">
        <f>июль!CZ39</f>
        <v>0</v>
      </c>
      <c r="AS40" s="46">
        <f>июль!DA39</f>
        <v>0</v>
      </c>
      <c r="AT40" s="46">
        <f>июль!DH39</f>
        <v>0</v>
      </c>
      <c r="AU40" s="46">
        <f>июль!DK39</f>
        <v>18588000</v>
      </c>
      <c r="AV40" s="46"/>
      <c r="AW40" s="67">
        <v>0</v>
      </c>
      <c r="AX40" s="67">
        <f>июль!ET39</f>
        <v>0</v>
      </c>
      <c r="AY40" s="67">
        <f>июль!EU39</f>
        <v>0</v>
      </c>
      <c r="AZ40" s="67"/>
      <c r="BA40" s="67">
        <f>июль!BQ39</f>
        <v>0</v>
      </c>
      <c r="BB40" s="67">
        <f>июль!BW39</f>
        <v>30000</v>
      </c>
      <c r="BC40" s="93">
        <f>BE40+BF40+BI40+CI40+CJ40+CK40</f>
        <v>86426900</v>
      </c>
      <c r="BD40" s="103"/>
      <c r="BE40" s="41">
        <f>июль!P39</f>
        <v>0</v>
      </c>
      <c r="BF40" s="41">
        <f>BG40+BH40</f>
        <v>2508700</v>
      </c>
      <c r="BG40" s="41">
        <f>июль!CF39</f>
        <v>642700</v>
      </c>
      <c r="BH40" s="41">
        <f>июль!CG39</f>
        <v>1866000</v>
      </c>
      <c r="BI40" s="67">
        <f>SUM(BJ40:CH40)</f>
        <v>73230600</v>
      </c>
      <c r="BJ40" s="159">
        <f>июль!F39</f>
        <v>351300</v>
      </c>
      <c r="BK40" s="159">
        <f>июль!G39</f>
        <v>49000</v>
      </c>
      <c r="BL40" s="159">
        <f>июль!H39</f>
        <v>0</v>
      </c>
      <c r="BM40" s="159">
        <f>июль!I39</f>
        <v>0</v>
      </c>
      <c r="BN40" s="159">
        <f>июль!J39</f>
        <v>360300</v>
      </c>
      <c r="BO40" s="159">
        <f>июль!K39</f>
        <v>0</v>
      </c>
      <c r="BP40" s="159">
        <f>июль!L39</f>
        <v>0</v>
      </c>
      <c r="BQ40" s="50">
        <f>июль!N39</f>
        <v>0</v>
      </c>
      <c r="BR40" s="46">
        <f>июль!Y39</f>
        <v>47300</v>
      </c>
      <c r="BS40" s="50">
        <f>июль!AC39</f>
        <v>68667400</v>
      </c>
      <c r="BT40" s="50">
        <f>июль!AD39</f>
        <v>2268000</v>
      </c>
      <c r="BU40" s="46">
        <f>июль!AI39</f>
        <v>93000</v>
      </c>
      <c r="BV40" s="46">
        <f>июль!AJ39</f>
        <v>976200</v>
      </c>
      <c r="BW40" s="46">
        <f>июль!AK39</f>
        <v>70100</v>
      </c>
      <c r="BX40" s="46">
        <f>июль!AL39</f>
        <v>13800</v>
      </c>
      <c r="BY40" s="46">
        <f>июль!AQ39</f>
        <v>113400</v>
      </c>
      <c r="BZ40" s="46">
        <f>июль!AR39</f>
        <v>0</v>
      </c>
      <c r="CA40" s="46">
        <f>июль!AS39</f>
        <v>0</v>
      </c>
      <c r="CB40" s="46">
        <f>июль!AT39</f>
        <v>0</v>
      </c>
      <c r="CC40" s="46">
        <f>июль!BL39</f>
        <v>0</v>
      </c>
      <c r="CD40" s="46">
        <f>июль!BM39</f>
        <v>0</v>
      </c>
      <c r="CE40" s="50">
        <f>июль!CJ39</f>
        <v>5000</v>
      </c>
      <c r="CF40" s="50">
        <f>июль!CM39</f>
        <v>0</v>
      </c>
      <c r="CG40" s="50">
        <f>июль!CS39</f>
        <v>215678.8</v>
      </c>
      <c r="CH40" s="50">
        <f>июль!CT39</f>
        <v>121.2</v>
      </c>
      <c r="CI40" s="17">
        <f>июль!AP39</f>
        <v>8582800</v>
      </c>
      <c r="CJ40" s="41">
        <f>июль!AO39</f>
        <v>2104800</v>
      </c>
      <c r="CK40" s="41">
        <f>июль!CL39</f>
        <v>0</v>
      </c>
      <c r="CL40" s="93">
        <f>CO40+CP40+CU40+CV40</f>
        <v>126665</v>
      </c>
      <c r="CM40" s="107"/>
      <c r="CN40" s="107"/>
      <c r="CO40" s="41"/>
      <c r="CP40" s="17">
        <f>CQ40+CR40+CS40</f>
        <v>95000</v>
      </c>
      <c r="CQ40" s="17">
        <f>июль!DP39</f>
        <v>95000</v>
      </c>
      <c r="CR40" s="17">
        <f>июль!DQ39</f>
        <v>0</v>
      </c>
      <c r="CS40" s="41">
        <f>июль!BH39</f>
        <v>0</v>
      </c>
      <c r="CT40" s="41"/>
      <c r="CU40" s="169">
        <f>июль!BP39</f>
        <v>12000</v>
      </c>
      <c r="CV40" s="17">
        <f>SUM(CW40:CX40)</f>
        <v>19665</v>
      </c>
      <c r="CW40" s="41">
        <f>июль!T39</f>
        <v>19665</v>
      </c>
      <c r="CX40" s="281">
        <f>июль!BG39</f>
        <v>0</v>
      </c>
    </row>
    <row r="41" spans="1:102" ht="16.5" customHeight="1" x14ac:dyDescent="0.25">
      <c r="A41" s="144">
        <v>34</v>
      </c>
      <c r="B41" s="338" t="s">
        <v>118</v>
      </c>
      <c r="C41" s="4">
        <f>D41+L41+BC41+CL41</f>
        <v>2516277828.4400001</v>
      </c>
      <c r="D41" s="93">
        <f>E41+F41+G41+H41</f>
        <v>191659000</v>
      </c>
      <c r="E41" s="17">
        <f>июль!AY40</f>
        <v>185159000</v>
      </c>
      <c r="F41" s="107">
        <f>июль!AZ40</f>
        <v>0</v>
      </c>
      <c r="G41" s="107">
        <f>июль!BC40</f>
        <v>6500000</v>
      </c>
      <c r="H41" s="107"/>
      <c r="I41" s="107">
        <f>J41+K41</f>
        <v>0</v>
      </c>
      <c r="J41" s="107">
        <f>июль!BD40</f>
        <v>0</v>
      </c>
      <c r="K41" s="107">
        <f>июль!BE40</f>
        <v>0</v>
      </c>
      <c r="L41" s="93">
        <f>M41+N41+O41+P41+V41+W41+AD41+AE41+AC41+AB41</f>
        <v>1172426078.4400001</v>
      </c>
      <c r="M41" s="107">
        <f>июль!EH40</f>
        <v>3551.37</v>
      </c>
      <c r="N41" s="107">
        <f>июль!EG40</f>
        <v>49427.07</v>
      </c>
      <c r="O41" s="107"/>
      <c r="P41" s="225">
        <f>SUM(Q41:U41)</f>
        <v>400100000</v>
      </c>
      <c r="Q41" s="268">
        <f>июль!CV40</f>
        <v>400100000</v>
      </c>
      <c r="R41" s="225">
        <f>июль!DO40</f>
        <v>0</v>
      </c>
      <c r="S41" s="225">
        <f>июль!DX40</f>
        <v>0</v>
      </c>
      <c r="T41" s="225">
        <f>июль!ED40</f>
        <v>0</v>
      </c>
      <c r="U41" s="225">
        <f>июль!EL40</f>
        <v>0</v>
      </c>
      <c r="V41" s="107">
        <f>июль!DF40</f>
        <v>0</v>
      </c>
      <c r="W41" s="67">
        <f>SUM(X41:AA41)</f>
        <v>0</v>
      </c>
      <c r="X41" s="67"/>
      <c r="Y41" s="67"/>
      <c r="Z41" s="67"/>
      <c r="AA41" s="67"/>
      <c r="AB41" s="107">
        <f>июль!CB40</f>
        <v>0</v>
      </c>
      <c r="AC41" s="107">
        <f>июль!CD40</f>
        <v>2500000</v>
      </c>
      <c r="AD41" s="107">
        <f>июль!CR40</f>
        <v>42000000</v>
      </c>
      <c r="AE41" s="38">
        <f>SUM(AF41:BB41)</f>
        <v>727773100</v>
      </c>
      <c r="AF41" s="38">
        <f>июль!CP40</f>
        <v>0</v>
      </c>
      <c r="AG41" s="46">
        <f>июль!X40</f>
        <v>0</v>
      </c>
      <c r="AH41" s="46">
        <f>июль!Z40</f>
        <v>3852000</v>
      </c>
      <c r="AI41" s="46">
        <f>июль!AB40</f>
        <v>0</v>
      </c>
      <c r="AJ41" s="46">
        <f>июль!AE40</f>
        <v>0</v>
      </c>
      <c r="AK41" s="46">
        <f>июль!AG40</f>
        <v>22887000</v>
      </c>
      <c r="AL41" s="46">
        <f>июль!BK40</f>
        <v>91225700</v>
      </c>
      <c r="AM41" s="46"/>
      <c r="AN41" s="46">
        <f>июль!BS40</f>
        <v>0</v>
      </c>
      <c r="AO41" s="46">
        <f>июль!CW40</f>
        <v>45388500</v>
      </c>
      <c r="AP41" s="46">
        <f>июль!CX40</f>
        <v>97499400</v>
      </c>
      <c r="AQ41" s="46">
        <f>июль!CY40</f>
        <v>0</v>
      </c>
      <c r="AR41" s="46">
        <f>июль!CZ40</f>
        <v>155000000</v>
      </c>
      <c r="AS41" s="46">
        <f>июль!DA40</f>
        <v>252371000</v>
      </c>
      <c r="AT41" s="46">
        <f>июль!DH40</f>
        <v>0</v>
      </c>
      <c r="AU41" s="46">
        <f>июль!DK40</f>
        <v>0</v>
      </c>
      <c r="AV41" s="46"/>
      <c r="AW41" s="67">
        <v>59549500</v>
      </c>
      <c r="AX41" s="67">
        <f>июль!ET40</f>
        <v>0</v>
      </c>
      <c r="AY41" s="67">
        <f>июль!EU40</f>
        <v>0</v>
      </c>
      <c r="AZ41" s="67"/>
      <c r="BA41" s="67">
        <f>июль!BQ40</f>
        <v>0</v>
      </c>
      <c r="BB41" s="67">
        <f>июль!BW40</f>
        <v>0</v>
      </c>
      <c r="BC41" s="93">
        <f>BD41+BE41+BF41+BI41+CI41+CJ41+CK41</f>
        <v>1132729553</v>
      </c>
      <c r="BD41" s="103">
        <f>июль!ER40</f>
        <v>1677300</v>
      </c>
      <c r="BE41" s="41">
        <f>июль!P40</f>
        <v>0</v>
      </c>
      <c r="BF41" s="41">
        <f>BG41+BH41</f>
        <v>39223400</v>
      </c>
      <c r="BG41" s="41">
        <f>июль!CF40</f>
        <v>10048400</v>
      </c>
      <c r="BH41" s="41">
        <f>июль!CG40</f>
        <v>29175000</v>
      </c>
      <c r="BI41" s="67">
        <f>SUM(BJ41:CH41)</f>
        <v>990795553</v>
      </c>
      <c r="BJ41" s="159">
        <f>июль!F40</f>
        <v>1108800</v>
      </c>
      <c r="BK41" s="159">
        <f>июль!G40</f>
        <v>320100</v>
      </c>
      <c r="BL41" s="159">
        <f>июль!H40</f>
        <v>0</v>
      </c>
      <c r="BM41" s="159">
        <f>июль!I40</f>
        <v>0</v>
      </c>
      <c r="BN41" s="159">
        <f>июль!J40</f>
        <v>2671300</v>
      </c>
      <c r="BO41" s="159">
        <f>июль!K40</f>
        <v>0</v>
      </c>
      <c r="BP41" s="159">
        <f>июль!L40</f>
        <v>0</v>
      </c>
      <c r="BQ41" s="50">
        <f>июль!N40</f>
        <v>0</v>
      </c>
      <c r="BR41" s="46">
        <f>июль!Y40</f>
        <v>610350</v>
      </c>
      <c r="BS41" s="50">
        <f>июль!AC40</f>
        <v>915287100</v>
      </c>
      <c r="BT41" s="50">
        <f>июль!AD40</f>
        <v>15624000</v>
      </c>
      <c r="BU41" s="46">
        <f>июль!AI40</f>
        <v>1535300</v>
      </c>
      <c r="BV41" s="46">
        <f>июль!AJ40</f>
        <v>14447600</v>
      </c>
      <c r="BW41" s="46">
        <f>июль!AK40</f>
        <v>551400</v>
      </c>
      <c r="BX41" s="46">
        <f>июль!AL40</f>
        <v>349400</v>
      </c>
      <c r="BY41" s="46">
        <f>июль!AQ40</f>
        <v>1073300</v>
      </c>
      <c r="BZ41" s="46">
        <f>июль!AR40</f>
        <v>1097800</v>
      </c>
      <c r="CA41" s="46">
        <f>июль!AS40</f>
        <v>512400</v>
      </c>
      <c r="CB41" s="46">
        <f>июль!AT40</f>
        <v>1286700</v>
      </c>
      <c r="CC41" s="46">
        <f>июль!BL40</f>
        <v>0</v>
      </c>
      <c r="CD41" s="46">
        <f>июль!BM40</f>
        <v>0</v>
      </c>
      <c r="CE41" s="50">
        <f>июль!CJ40</f>
        <v>87400</v>
      </c>
      <c r="CF41" s="50">
        <f>июль!CM40</f>
        <v>9300</v>
      </c>
      <c r="CG41" s="50">
        <f>июль!CS40</f>
        <v>34186200.100000001</v>
      </c>
      <c r="CH41" s="50">
        <f>июль!CT40</f>
        <v>37102.9</v>
      </c>
      <c r="CI41" s="17">
        <f>июль!AP40</f>
        <v>72404300</v>
      </c>
      <c r="CJ41" s="41">
        <f>июль!AO40</f>
        <v>26193300</v>
      </c>
      <c r="CK41" s="41">
        <f>июль!CL40</f>
        <v>2435700</v>
      </c>
      <c r="CL41" s="93">
        <f>CO41+CP41+CU41+CV41</f>
        <v>19463197</v>
      </c>
      <c r="CM41" s="107"/>
      <c r="CN41" s="107"/>
      <c r="CO41" s="41"/>
      <c r="CP41" s="17">
        <f>CQ41+CR41+CS41</f>
        <v>0</v>
      </c>
      <c r="CQ41" s="17">
        <f>июль!DP40</f>
        <v>0</v>
      </c>
      <c r="CR41" s="17">
        <f>июль!DQ40</f>
        <v>0</v>
      </c>
      <c r="CS41" s="41">
        <f>июль!BH40</f>
        <v>0</v>
      </c>
      <c r="CT41" s="41"/>
      <c r="CU41" s="169">
        <f>июль!BP40</f>
        <v>91800</v>
      </c>
      <c r="CV41" s="17">
        <f>SUM(CW41:CX41)</f>
        <v>19371397</v>
      </c>
      <c r="CW41" s="41">
        <f>июль!T40</f>
        <v>19371397</v>
      </c>
      <c r="CX41" s="281">
        <f>июль!BG40</f>
        <v>0</v>
      </c>
    </row>
    <row r="42" spans="1:102" ht="16.5" customHeight="1" x14ac:dyDescent="0.25">
      <c r="A42" s="144">
        <v>35</v>
      </c>
      <c r="B42" s="338" t="s">
        <v>108</v>
      </c>
      <c r="C42" s="4">
        <f>D42+L42+BC42+CL42</f>
        <v>145478552</v>
      </c>
      <c r="D42" s="93">
        <f>E42+F42+G42+H42</f>
        <v>75357000</v>
      </c>
      <c r="E42" s="17">
        <f>июль!AY41</f>
        <v>6766000</v>
      </c>
      <c r="F42" s="107">
        <f>июль!AZ41</f>
        <v>16529000</v>
      </c>
      <c r="G42" s="107">
        <f>июль!BC41</f>
        <v>0</v>
      </c>
      <c r="H42" s="107">
        <f>июль!BB41</f>
        <v>52062000</v>
      </c>
      <c r="I42" s="107">
        <f>J42+K42</f>
        <v>0</v>
      </c>
      <c r="J42" s="107">
        <f>июль!BD41</f>
        <v>0</v>
      </c>
      <c r="K42" s="107">
        <f>июль!BE41</f>
        <v>0</v>
      </c>
      <c r="L42" s="93">
        <f>M42+N42+O42+P42+V42+W42+AD42+AE42+AC42+AB42</f>
        <v>13664800</v>
      </c>
      <c r="M42" s="107">
        <f>июль!EH41</f>
        <v>0</v>
      </c>
      <c r="N42" s="107">
        <f>июль!EG41</f>
        <v>0</v>
      </c>
      <c r="O42" s="107"/>
      <c r="P42" s="225">
        <f>SUM(Q42:U42)</f>
        <v>0</v>
      </c>
      <c r="Q42" s="268">
        <f>июль!CV41</f>
        <v>0</v>
      </c>
      <c r="R42" s="225">
        <f>июль!DO41</f>
        <v>0</v>
      </c>
      <c r="S42" s="225">
        <f>июль!DX41</f>
        <v>0</v>
      </c>
      <c r="T42" s="225">
        <f>июль!ED41</f>
        <v>0</v>
      </c>
      <c r="U42" s="225">
        <f>июль!EL41</f>
        <v>0</v>
      </c>
      <c r="V42" s="107">
        <f>июль!DF41</f>
        <v>0</v>
      </c>
      <c r="W42" s="67">
        <f>SUM(X42:AA42)</f>
        <v>0</v>
      </c>
      <c r="X42" s="67"/>
      <c r="Y42" s="67"/>
      <c r="Z42" s="67"/>
      <c r="AA42" s="67"/>
      <c r="AB42" s="107">
        <f>июль!CB41</f>
        <v>0</v>
      </c>
      <c r="AC42" s="107">
        <f>июль!CD41</f>
        <v>0</v>
      </c>
      <c r="AD42" s="107">
        <f>июль!CR41</f>
        <v>0</v>
      </c>
      <c r="AE42" s="38">
        <f>SUM(AF42:BB42)</f>
        <v>13664800</v>
      </c>
      <c r="AF42" s="38">
        <f>июль!CP41</f>
        <v>0</v>
      </c>
      <c r="AG42" s="46">
        <f>июль!X41</f>
        <v>564200</v>
      </c>
      <c r="AH42" s="46">
        <f>июль!Z41</f>
        <v>0</v>
      </c>
      <c r="AI42" s="46">
        <f>июль!AB41</f>
        <v>266000</v>
      </c>
      <c r="AJ42" s="46">
        <f>июль!AE41</f>
        <v>0</v>
      </c>
      <c r="AK42" s="46">
        <f>июль!AG41</f>
        <v>235200</v>
      </c>
      <c r="AL42" s="46">
        <f>июль!BK41</f>
        <v>8040400</v>
      </c>
      <c r="AM42" s="46"/>
      <c r="AN42" s="46">
        <f>июль!BS41</f>
        <v>0</v>
      </c>
      <c r="AO42" s="46">
        <f>июль!CW41</f>
        <v>1796800</v>
      </c>
      <c r="AP42" s="46">
        <f>июль!CX41</f>
        <v>2762200</v>
      </c>
      <c r="AQ42" s="46">
        <f>июль!CY41</f>
        <v>0</v>
      </c>
      <c r="AR42" s="46">
        <f>июль!CZ41</f>
        <v>0</v>
      </c>
      <c r="AS42" s="46">
        <f>июль!DA41</f>
        <v>0</v>
      </c>
      <c r="AT42" s="46">
        <f>июль!DH41</f>
        <v>0</v>
      </c>
      <c r="AU42" s="46">
        <f>июль!DK41</f>
        <v>0</v>
      </c>
      <c r="AV42" s="46"/>
      <c r="AW42" s="67">
        <v>0</v>
      </c>
      <c r="AX42" s="67">
        <f>июль!ET41</f>
        <v>0</v>
      </c>
      <c r="AY42" s="67">
        <f>июль!EU41</f>
        <v>0</v>
      </c>
      <c r="AZ42" s="67"/>
      <c r="BA42" s="67">
        <f>июль!BQ41</f>
        <v>0</v>
      </c>
      <c r="BB42" s="67">
        <f>июль!BW41</f>
        <v>0</v>
      </c>
      <c r="BC42" s="93">
        <f>BE42+BF42+BI42+CI42+CJ42+CK42</f>
        <v>45050900</v>
      </c>
      <c r="BD42" s="103"/>
      <c r="BE42" s="41">
        <f>июль!P41</f>
        <v>367500</v>
      </c>
      <c r="BF42" s="41">
        <f>BG42+BH42</f>
        <v>1094400</v>
      </c>
      <c r="BG42" s="41">
        <f>июль!CF41</f>
        <v>280400</v>
      </c>
      <c r="BH42" s="41">
        <f>июль!CG41</f>
        <v>814000</v>
      </c>
      <c r="BI42" s="67">
        <f>SUM(BJ42:CH42)</f>
        <v>41110200</v>
      </c>
      <c r="BJ42" s="159">
        <f>июль!F41</f>
        <v>166300</v>
      </c>
      <c r="BK42" s="159">
        <f>июль!G41</f>
        <v>5400</v>
      </c>
      <c r="BL42" s="159">
        <f>июль!H41</f>
        <v>0</v>
      </c>
      <c r="BM42" s="159">
        <f>июль!I41</f>
        <v>0</v>
      </c>
      <c r="BN42" s="159">
        <f>июль!J41</f>
        <v>341100</v>
      </c>
      <c r="BO42" s="159">
        <f>июль!K41</f>
        <v>0</v>
      </c>
      <c r="BP42" s="159">
        <f>июль!L41</f>
        <v>0</v>
      </c>
      <c r="BQ42" s="50">
        <f>июль!N41</f>
        <v>0</v>
      </c>
      <c r="BR42" s="46">
        <f>июль!Y41</f>
        <v>19600</v>
      </c>
      <c r="BS42" s="50">
        <f>июль!AC41</f>
        <v>39025800</v>
      </c>
      <c r="BT42" s="50">
        <f>июль!AD41</f>
        <v>778700</v>
      </c>
      <c r="BU42" s="46">
        <f>июль!AI41</f>
        <v>46400</v>
      </c>
      <c r="BV42" s="46">
        <f>июль!AJ41</f>
        <v>585700</v>
      </c>
      <c r="BW42" s="46">
        <f>июль!AK41</f>
        <v>87600</v>
      </c>
      <c r="BX42" s="46">
        <f>июль!AL41</f>
        <v>10600</v>
      </c>
      <c r="BY42" s="46">
        <f>июль!AQ41</f>
        <v>0</v>
      </c>
      <c r="BZ42" s="46">
        <f>июль!AR41</f>
        <v>40800</v>
      </c>
      <c r="CA42" s="46">
        <f>июль!AS41</f>
        <v>0</v>
      </c>
      <c r="CB42" s="46">
        <f>июль!AT41</f>
        <v>0</v>
      </c>
      <c r="CC42" s="46">
        <f>июль!BL41</f>
        <v>0</v>
      </c>
      <c r="CD42" s="46">
        <f>июль!BM41</f>
        <v>0</v>
      </c>
      <c r="CE42" s="50">
        <f>июль!CJ41</f>
        <v>2200</v>
      </c>
      <c r="CF42" s="50">
        <f>июль!CM41</f>
        <v>0</v>
      </c>
      <c r="CG42" s="50">
        <f>июль!CS41</f>
        <v>0</v>
      </c>
      <c r="CH42" s="50">
        <f>июль!CT41</f>
        <v>0</v>
      </c>
      <c r="CI42" s="17">
        <f>июль!AP41</f>
        <v>1270800</v>
      </c>
      <c r="CJ42" s="41">
        <f>июль!AO41</f>
        <v>1208000</v>
      </c>
      <c r="CK42" s="41">
        <f>июль!CL41</f>
        <v>0</v>
      </c>
      <c r="CL42" s="93">
        <f>CO42+CP42+CU42+CV42+CT42</f>
        <v>11405852</v>
      </c>
      <c r="CM42" s="107"/>
      <c r="CN42" s="107"/>
      <c r="CO42" s="41">
        <f>июль!AV41</f>
        <v>7805000</v>
      </c>
      <c r="CP42" s="17">
        <f>CQ42+CR42+CS42</f>
        <v>0</v>
      </c>
      <c r="CQ42" s="17">
        <f>июль!DP41</f>
        <v>0</v>
      </c>
      <c r="CR42" s="17">
        <f>июль!DQ41</f>
        <v>0</v>
      </c>
      <c r="CS42" s="41">
        <f>июль!BH41</f>
        <v>0</v>
      </c>
      <c r="CT42" s="41">
        <v>3600852</v>
      </c>
      <c r="CU42" s="169">
        <f>июль!BP41</f>
        <v>0</v>
      </c>
      <c r="CV42" s="17">
        <f>SUM(CW42:CX42)</f>
        <v>0</v>
      </c>
      <c r="CW42" s="41">
        <f>июль!T41</f>
        <v>0</v>
      </c>
      <c r="CX42" s="281">
        <f>июль!BG41</f>
        <v>0</v>
      </c>
    </row>
    <row r="43" spans="1:102" ht="16.5" customHeight="1" x14ac:dyDescent="0.25">
      <c r="A43" s="5"/>
      <c r="B43" s="156" t="s">
        <v>109</v>
      </c>
      <c r="C43" s="8">
        <f>SUM(C39:C42)</f>
        <v>3154239450.4400001</v>
      </c>
      <c r="D43" s="90">
        <f>SUM(D39:D42)</f>
        <v>359581000</v>
      </c>
      <c r="E43" s="99">
        <f>SUM(E39:E42)</f>
        <v>211345000</v>
      </c>
      <c r="F43" s="99">
        <f>SUM(F39:F42)</f>
        <v>84674000</v>
      </c>
      <c r="G43" s="99">
        <f>SUM(G39:G42)</f>
        <v>11500000</v>
      </c>
      <c r="H43" s="99">
        <f>SUM(H39:H42)</f>
        <v>52062000</v>
      </c>
      <c r="I43" s="99">
        <f>SUM(I39:I42)</f>
        <v>0</v>
      </c>
      <c r="J43" s="99">
        <f>SUM(J39:J42)</f>
        <v>0</v>
      </c>
      <c r="K43" s="99">
        <f>SUM(K39:K42)</f>
        <v>0</v>
      </c>
      <c r="L43" s="94">
        <f>SUM(L39:L42)</f>
        <v>1349239478.4400001</v>
      </c>
      <c r="M43" s="105">
        <f>SUM(M39:M42)</f>
        <v>3551.37</v>
      </c>
      <c r="N43" s="105">
        <f>SUM(N39:N42)</f>
        <v>49427.07</v>
      </c>
      <c r="O43" s="105">
        <f>SUM(O39:O42)</f>
        <v>0</v>
      </c>
      <c r="P43" s="226">
        <f>SUM(P39:P42)</f>
        <v>405100000</v>
      </c>
      <c r="Q43" s="226">
        <f>SUM(Q39:Q42)</f>
        <v>400100000</v>
      </c>
      <c r="R43" s="226">
        <f>июль!DO42</f>
        <v>0</v>
      </c>
      <c r="S43" s="226">
        <f>июль!DX42</f>
        <v>0</v>
      </c>
      <c r="T43" s="226">
        <f>июль!ED42</f>
        <v>0</v>
      </c>
      <c r="U43" s="226">
        <f>июль!EL42</f>
        <v>5000000</v>
      </c>
      <c r="V43" s="105">
        <f>SUM(V39:V42)</f>
        <v>0</v>
      </c>
      <c r="W43" s="48">
        <f>SUM(W39:W42)</f>
        <v>0</v>
      </c>
      <c r="X43" s="48">
        <f>SUM(X39:X42)</f>
        <v>0</v>
      </c>
      <c r="Y43" s="48">
        <f>SUM(Y39:Y42)</f>
        <v>0</v>
      </c>
      <c r="Z43" s="48">
        <f>SUM(Z39:Z42)</f>
        <v>0</v>
      </c>
      <c r="AA43" s="48">
        <f>SUM(AA39:AA42)</f>
        <v>0</v>
      </c>
      <c r="AB43" s="105">
        <f>июль!CB42</f>
        <v>60000000</v>
      </c>
      <c r="AC43" s="105">
        <f>SUM(AC39:AC42)</f>
        <v>13500000</v>
      </c>
      <c r="AD43" s="226">
        <f>SUM(AD39:AD42)</f>
        <v>42000000</v>
      </c>
      <c r="AE43" s="40">
        <f>SUM(AE39:AE42)</f>
        <v>828586500</v>
      </c>
      <c r="AF43" s="40">
        <f>SUM(AF39:AF42)</f>
        <v>0</v>
      </c>
      <c r="AG43" s="47">
        <f>SUM(AG39:AG42)</f>
        <v>3491300</v>
      </c>
      <c r="AH43" s="47">
        <f>SUM(AH39:AH42)</f>
        <v>4006000</v>
      </c>
      <c r="AI43" s="47">
        <f>SUM(AI39:AI42)</f>
        <v>2053800</v>
      </c>
      <c r="AJ43" s="47">
        <f>SUM(AJ39:AJ42)</f>
        <v>0</v>
      </c>
      <c r="AK43" s="47">
        <f>SUM(AK39:AK42)</f>
        <v>25031800</v>
      </c>
      <c r="AL43" s="47">
        <f>SUM(AL39:AL42)</f>
        <v>122887200</v>
      </c>
      <c r="AM43" s="47">
        <f>SUM(AM39:AM42)</f>
        <v>10550000</v>
      </c>
      <c r="AN43" s="47">
        <f>SUM(AN39:AN42)</f>
        <v>0</v>
      </c>
      <c r="AO43" s="47">
        <f>SUM(AO39:AO42)</f>
        <v>54655900</v>
      </c>
      <c r="AP43" s="47">
        <f>SUM(AP39:AP42)</f>
        <v>111502000</v>
      </c>
      <c r="AQ43" s="47">
        <f>SUM(AQ39:AQ42)</f>
        <v>0</v>
      </c>
      <c r="AR43" s="47">
        <f>SUM(AR39:AR42)</f>
        <v>160000000</v>
      </c>
      <c r="AS43" s="47">
        <f>SUM(AS39:AS42)</f>
        <v>252371000</v>
      </c>
      <c r="AT43" s="47">
        <f>SUM(AT39:AT42)</f>
        <v>0</v>
      </c>
      <c r="AU43" s="47">
        <f>SUM(AU39:AU42)</f>
        <v>22458000</v>
      </c>
      <c r="AV43" s="47">
        <f>SUM(AV39:AV42)</f>
        <v>0</v>
      </c>
      <c r="AW43" s="48">
        <f>SUM(AW39:AW42)</f>
        <v>59549500</v>
      </c>
      <c r="AX43" s="48">
        <f>SUM(AX39:AX42)</f>
        <v>0</v>
      </c>
      <c r="AY43" s="48">
        <f>SUM(AY39:AY42)</f>
        <v>0</v>
      </c>
      <c r="AZ43" s="48">
        <f>SUM(AZ39:AZ42)</f>
        <v>0</v>
      </c>
      <c r="BA43" s="48">
        <f>SUM(BA39:BA42)</f>
        <v>0</v>
      </c>
      <c r="BB43" s="48">
        <f>SUM(BB39:BB42)</f>
        <v>30000</v>
      </c>
      <c r="BC43" s="94">
        <f>SUM(BC39:BC42)</f>
        <v>1414350633</v>
      </c>
      <c r="BD43" s="105">
        <f>SUM(BD39:BD42)</f>
        <v>1677300</v>
      </c>
      <c r="BE43" s="61">
        <f>BE39+BE40+BE41+BE42</f>
        <v>367500</v>
      </c>
      <c r="BF43" s="61">
        <f>BF39+BF40+BF41+BF42</f>
        <v>46393200</v>
      </c>
      <c r="BG43" s="61">
        <f>BG39+BG40+BG41+BG42</f>
        <v>11885200</v>
      </c>
      <c r="BH43" s="61">
        <f>BH39+BH40+BH41+BH42</f>
        <v>34508000</v>
      </c>
      <c r="BI43" s="47">
        <f>SUM(BI39:BI42)</f>
        <v>1242643733</v>
      </c>
      <c r="BJ43" s="47">
        <f>SUM(BJ39:BJ42)</f>
        <v>1801900</v>
      </c>
      <c r="BK43" s="47">
        <f>SUM(BK39:BK42)</f>
        <v>439300</v>
      </c>
      <c r="BL43" s="47">
        <f>SUM(BL39:BL42)</f>
        <v>0</v>
      </c>
      <c r="BM43" s="47">
        <f>SUM(BM39:BM42)</f>
        <v>0</v>
      </c>
      <c r="BN43" s="47">
        <f>SUM(BN39:BN42)</f>
        <v>3750300</v>
      </c>
      <c r="BO43" s="47">
        <f>SUM(BO39:BO42)</f>
        <v>0</v>
      </c>
      <c r="BP43" s="47">
        <f>SUM(BP39:BP42)</f>
        <v>0</v>
      </c>
      <c r="BQ43" s="47">
        <f>SUM(BQ39:BQ42)</f>
        <v>0</v>
      </c>
      <c r="BR43" s="48">
        <f>SUM(BR39:BR42)</f>
        <v>736150</v>
      </c>
      <c r="BS43" s="47">
        <f>SUM(BS39:BS42)</f>
        <v>1153150100</v>
      </c>
      <c r="BT43" s="47">
        <f>SUM(BT39:BT42)</f>
        <v>21694700</v>
      </c>
      <c r="BU43" s="48">
        <f>SUM(BU39:BU42)</f>
        <v>1767700</v>
      </c>
      <c r="BV43" s="48">
        <f>SUM(BV39:BV42)</f>
        <v>17180900</v>
      </c>
      <c r="BW43" s="48">
        <f>SUM(BW39:BW42)</f>
        <v>796700</v>
      </c>
      <c r="BX43" s="48">
        <f>SUM(BX39:BX42)</f>
        <v>451100</v>
      </c>
      <c r="BY43" s="48">
        <f>SUM(BY39:BY42)</f>
        <v>1186700</v>
      </c>
      <c r="BZ43" s="48">
        <f>SUM(BZ39:BZ42)</f>
        <v>1511700</v>
      </c>
      <c r="CA43" s="48">
        <f>SUM(CA39:CA42)</f>
        <v>512400</v>
      </c>
      <c r="CB43" s="47">
        <f>SUM(CB39:CB42)</f>
        <v>1286700</v>
      </c>
      <c r="CC43" s="48">
        <f>SUM(CC39:CC42)</f>
        <v>0</v>
      </c>
      <c r="CD43" s="48">
        <f>SUM(CD39:CD42)</f>
        <v>0</v>
      </c>
      <c r="CE43" s="47">
        <f>SUM(CE39:CE42)</f>
        <v>101600</v>
      </c>
      <c r="CF43" s="47">
        <f>SUM(CF39:CF42)</f>
        <v>9300</v>
      </c>
      <c r="CG43" s="47">
        <f>SUM(CG39:CG42)</f>
        <v>36227958.700000003</v>
      </c>
      <c r="CH43" s="47">
        <f>SUM(CH39:CH42)</f>
        <v>38524.300000000003</v>
      </c>
      <c r="CI43" s="99">
        <f>SUM(CI39:CI42)</f>
        <v>88834200</v>
      </c>
      <c r="CJ43" s="99">
        <f>SUM(CJ39:CJ42)</f>
        <v>31999000</v>
      </c>
      <c r="CK43" s="99">
        <f>SUM(CK39:CK42)</f>
        <v>2435700</v>
      </c>
      <c r="CL43" s="94">
        <f>SUM(CL39:CL42)</f>
        <v>31068339</v>
      </c>
      <c r="CM43" s="105">
        <f>SUM(CM39:CM42)</f>
        <v>0</v>
      </c>
      <c r="CN43" s="105">
        <f>SUM(CN39:CN42)</f>
        <v>0</v>
      </c>
      <c r="CO43" s="99">
        <f>SUM(CO39:CO42)</f>
        <v>7805000</v>
      </c>
      <c r="CP43" s="99">
        <f>SUM(CP39:CP42)</f>
        <v>95000</v>
      </c>
      <c r="CQ43" s="99">
        <f>SUM(CQ39:CQ42)</f>
        <v>95000</v>
      </c>
      <c r="CR43" s="99">
        <f>SUM(CR39:CR42)</f>
        <v>0</v>
      </c>
      <c r="CS43" s="99">
        <f>SUM(CS39:CS42)</f>
        <v>0</v>
      </c>
      <c r="CT43" s="99">
        <f>SUM(CT39:CT42)</f>
        <v>3600852</v>
      </c>
      <c r="CU43" s="99">
        <f>SUM(CU39:CU42)</f>
        <v>103800</v>
      </c>
      <c r="CV43" s="99">
        <f>SUM(CV39:CV42)</f>
        <v>19463687</v>
      </c>
      <c r="CW43" s="99">
        <f>SUM(CW39:CW42)</f>
        <v>19463687</v>
      </c>
      <c r="CX43" s="99">
        <f>SUM(CX39:CX42)</f>
        <v>0</v>
      </c>
    </row>
    <row r="44" spans="1:102" ht="16.5" customHeight="1" x14ac:dyDescent="0.25">
      <c r="A44" s="5"/>
      <c r="B44" s="42" t="s">
        <v>144</v>
      </c>
      <c r="C44" s="44">
        <f>C37+C43</f>
        <v>13863680735.27</v>
      </c>
      <c r="D44" s="90">
        <f>D37+D43</f>
        <v>2452382400</v>
      </c>
      <c r="E44" s="99">
        <f>E37+E43</f>
        <v>211345000</v>
      </c>
      <c r="F44" s="99">
        <f>F37+F43</f>
        <v>1833240000</v>
      </c>
      <c r="G44" s="99">
        <f>G37+G43</f>
        <v>355735400</v>
      </c>
      <c r="H44" s="99">
        <f>H37+H43</f>
        <v>52062000</v>
      </c>
      <c r="I44" s="99">
        <f>I37+I43</f>
        <v>0</v>
      </c>
      <c r="J44" s="99">
        <f>J37+J43</f>
        <v>0</v>
      </c>
      <c r="K44" s="99">
        <f>K37+K43</f>
        <v>0</v>
      </c>
      <c r="L44" s="94">
        <f>L37+L43</f>
        <v>4209607690.4400001</v>
      </c>
      <c r="M44" s="105">
        <f>M37+M43</f>
        <v>201951.37</v>
      </c>
      <c r="N44" s="105">
        <f>N37+N43</f>
        <v>780075.07</v>
      </c>
      <c r="O44" s="105">
        <f>O37+O43</f>
        <v>7500000</v>
      </c>
      <c r="P44" s="226">
        <f>P37+P43</f>
        <v>684500000</v>
      </c>
      <c r="Q44" s="226">
        <f>Q37+Q43</f>
        <v>400100000</v>
      </c>
      <c r="R44" s="226">
        <f>июль!DO43</f>
        <v>263400000</v>
      </c>
      <c r="S44" s="226">
        <f>июль!DX43</f>
        <v>12000000</v>
      </c>
      <c r="T44" s="226">
        <f>июль!ED43</f>
        <v>1000000</v>
      </c>
      <c r="U44" s="226">
        <f>июль!EL43</f>
        <v>8000000</v>
      </c>
      <c r="V44" s="105">
        <f>V37+V43</f>
        <v>240000000</v>
      </c>
      <c r="W44" s="48">
        <f>W37+W43</f>
        <v>2972040</v>
      </c>
      <c r="X44" s="48">
        <f>X37+X43</f>
        <v>150000</v>
      </c>
      <c r="Y44" s="48">
        <f>Y37+Y43</f>
        <v>350000</v>
      </c>
      <c r="Z44" s="48">
        <f>Z37+Z43</f>
        <v>967000</v>
      </c>
      <c r="AA44" s="48">
        <f>AA37+AA43</f>
        <v>1505040</v>
      </c>
      <c r="AB44" s="105">
        <f>AB37+AB43</f>
        <v>414508600</v>
      </c>
      <c r="AC44" s="105">
        <f>AC37+AC43</f>
        <v>110500000</v>
      </c>
      <c r="AD44" s="226">
        <f>AD37+AD43</f>
        <v>44500000</v>
      </c>
      <c r="AE44" s="47">
        <f>AE37+AE43</f>
        <v>2704145024</v>
      </c>
      <c r="AF44" s="47">
        <f>AF37+AF43</f>
        <v>3667000</v>
      </c>
      <c r="AG44" s="47">
        <f>AG37+AG43</f>
        <v>35848100</v>
      </c>
      <c r="AH44" s="47">
        <f>AH37+AH43</f>
        <v>20000000</v>
      </c>
      <c r="AI44" s="47">
        <f>AI37+AI43</f>
        <v>23474600</v>
      </c>
      <c r="AJ44" s="47">
        <f>AJ37+AJ43</f>
        <v>7800000</v>
      </c>
      <c r="AK44" s="47">
        <f>AK37+AK43</f>
        <v>116439500</v>
      </c>
      <c r="AL44" s="47">
        <f>AL37+AL43</f>
        <v>494539400</v>
      </c>
      <c r="AM44" s="47">
        <f>AM37+AM43</f>
        <v>10550000</v>
      </c>
      <c r="AN44" s="47">
        <f>AN37+AN43</f>
        <v>952500</v>
      </c>
      <c r="AO44" s="47">
        <f>AO37+AO43</f>
        <v>256202500</v>
      </c>
      <c r="AP44" s="47">
        <f>AP37+AP43</f>
        <v>282608900</v>
      </c>
      <c r="AQ44" s="47">
        <f>AQ37+AQ43</f>
        <v>256202800</v>
      </c>
      <c r="AR44" s="47">
        <f>AR37+AR43</f>
        <v>297863600</v>
      </c>
      <c r="AS44" s="47">
        <f>AS37+AS43</f>
        <v>443986300</v>
      </c>
      <c r="AT44" s="47">
        <f>AT37+AT43</f>
        <v>5000000</v>
      </c>
      <c r="AU44" s="47">
        <f>AU37+AU43</f>
        <v>225419403</v>
      </c>
      <c r="AV44" s="47">
        <f>AV37+AV43</f>
        <v>1131334</v>
      </c>
      <c r="AW44" s="48">
        <f>AW37+AW43</f>
        <v>59549500</v>
      </c>
      <c r="AX44" s="48">
        <f>AX37+AX43</f>
        <v>2155191</v>
      </c>
      <c r="AY44" s="48">
        <f>AY37+AY43</f>
        <v>3000000</v>
      </c>
      <c r="AZ44" s="48">
        <f>AZ37+AZ43</f>
        <v>156500000</v>
      </c>
      <c r="BA44" s="48">
        <f>BA37+BA43</f>
        <v>1024396</v>
      </c>
      <c r="BB44" s="48">
        <f>BB37+BB43</f>
        <v>230000</v>
      </c>
      <c r="BC44" s="94">
        <f>BC37+BC43</f>
        <v>7044939598</v>
      </c>
      <c r="BD44" s="105">
        <f>BD37+BD43</f>
        <v>1677300</v>
      </c>
      <c r="BE44" s="105">
        <f>BE37+BE43</f>
        <v>36317100</v>
      </c>
      <c r="BF44" s="105">
        <f>BF37+BF43</f>
        <v>203254000</v>
      </c>
      <c r="BG44" s="105">
        <f>BG37+BG43</f>
        <v>49831000</v>
      </c>
      <c r="BH44" s="105">
        <f>BH37+BH43</f>
        <v>153423000</v>
      </c>
      <c r="BI44" s="47">
        <f>BI37+BI43</f>
        <v>6236095798</v>
      </c>
      <c r="BJ44" s="47">
        <f>BJ37+BJ43</f>
        <v>9287100</v>
      </c>
      <c r="BK44" s="47">
        <f>BK37+BK43</f>
        <v>895000</v>
      </c>
      <c r="BL44" s="47">
        <f>BL37+BL43</f>
        <v>1020600</v>
      </c>
      <c r="BM44" s="47">
        <f>BM37+BM43</f>
        <v>978200</v>
      </c>
      <c r="BN44" s="47">
        <f>BN37+BN43</f>
        <v>16643900</v>
      </c>
      <c r="BO44" s="47">
        <f>BO37+BO43</f>
        <v>485500</v>
      </c>
      <c r="BP44" s="47">
        <f>BP37+BP43</f>
        <v>1566700</v>
      </c>
      <c r="BQ44" s="47">
        <f>BQ37+BQ43</f>
        <v>19800</v>
      </c>
      <c r="BR44" s="48">
        <f>BR37+BR43</f>
        <v>1261600</v>
      </c>
      <c r="BS44" s="47">
        <f>BS37+BS43</f>
        <v>5716342000</v>
      </c>
      <c r="BT44" s="47">
        <f>BT37+BT43</f>
        <v>141623000</v>
      </c>
      <c r="BU44" s="48">
        <f>BU37+BU43</f>
        <v>4323500</v>
      </c>
      <c r="BV44" s="48">
        <f>BV37+BV43</f>
        <v>66771600</v>
      </c>
      <c r="BW44" s="48">
        <f>BW37+BW43</f>
        <v>4224700</v>
      </c>
      <c r="BX44" s="48">
        <f>BX37+BX43</f>
        <v>718300</v>
      </c>
      <c r="BY44" s="48">
        <f>BY37+BY43</f>
        <v>2866800</v>
      </c>
      <c r="BZ44" s="48">
        <f>BZ37+BZ43</f>
        <v>2751100</v>
      </c>
      <c r="CA44" s="48">
        <f>CA37+CA43</f>
        <v>3000000</v>
      </c>
      <c r="CB44" s="47">
        <f>CB37+CB43</f>
        <v>1778900</v>
      </c>
      <c r="CC44" s="48">
        <f>CC37+CC43</f>
        <v>176525000</v>
      </c>
      <c r="CD44" s="48">
        <f>CD37+CD43</f>
        <v>6678900</v>
      </c>
      <c r="CE44" s="47">
        <f>CE37+CE43</f>
        <v>411100</v>
      </c>
      <c r="CF44" s="47">
        <f>CF37+CF43</f>
        <v>17200</v>
      </c>
      <c r="CG44" s="47">
        <f>CG37+CG43</f>
        <v>75846498</v>
      </c>
      <c r="CH44" s="47">
        <f>CH37+CH43</f>
        <v>58800.000000000007</v>
      </c>
      <c r="CI44" s="99">
        <f>CI37+CI43</f>
        <v>434455600</v>
      </c>
      <c r="CJ44" s="99">
        <f>CJ37+CJ43</f>
        <v>128157000</v>
      </c>
      <c r="CK44" s="99">
        <f>CK37+CK43</f>
        <v>4982800</v>
      </c>
      <c r="CL44" s="94">
        <f>CL37+CL43</f>
        <v>156751046.82999998</v>
      </c>
      <c r="CM44" s="105">
        <f>CM37+CM43</f>
        <v>2280000</v>
      </c>
      <c r="CN44" s="105">
        <f>CN37+CN43</f>
        <v>28596688.829999998</v>
      </c>
      <c r="CO44" s="99">
        <f>CO37+CO43</f>
        <v>7805000</v>
      </c>
      <c r="CP44" s="99">
        <f>CP37+CP43</f>
        <v>73860504</v>
      </c>
      <c r="CQ44" s="99">
        <f>CQ37+CQ43</f>
        <v>180000</v>
      </c>
      <c r="CR44" s="99">
        <f>CR37+CR43</f>
        <v>350000</v>
      </c>
      <c r="CS44" s="99">
        <f>CS37+CS43</f>
        <v>73330504</v>
      </c>
      <c r="CT44" s="99">
        <f>CT37+CT43</f>
        <v>3600852</v>
      </c>
      <c r="CU44" s="99">
        <f>CU37+CU43</f>
        <v>2708000</v>
      </c>
      <c r="CV44" s="99">
        <f>CV37+CV43</f>
        <v>37900002</v>
      </c>
      <c r="CW44" s="99">
        <f>CW37+CW43</f>
        <v>30900002</v>
      </c>
      <c r="CX44" s="99">
        <f>CX37+CX43</f>
        <v>7000000</v>
      </c>
    </row>
    <row r="45" spans="1:102" ht="16.5" customHeight="1" x14ac:dyDescent="0.25">
      <c r="A45" s="348" t="s">
        <v>225</v>
      </c>
      <c r="B45" s="348"/>
      <c r="C45" s="80">
        <f>D45+L45+BC45+CL45</f>
        <v>127720000</v>
      </c>
      <c r="D45" s="231">
        <f>G45+J45+K45</f>
        <v>33117600</v>
      </c>
      <c r="E45" s="232"/>
      <c r="F45" s="232"/>
      <c r="G45" s="231">
        <f>июль!BC44</f>
        <v>15117600</v>
      </c>
      <c r="H45" s="231"/>
      <c r="I45" s="231"/>
      <c r="J45" s="80">
        <f>июль!BD44</f>
        <v>15000000</v>
      </c>
      <c r="K45" s="80">
        <f>июль!BE44</f>
        <v>3000000</v>
      </c>
      <c r="L45" s="231">
        <f>AE45</f>
        <v>94602400</v>
      </c>
      <c r="M45" s="231"/>
      <c r="N45" s="231"/>
      <c r="O45" s="231"/>
      <c r="P45" s="80"/>
      <c r="Q45" s="80"/>
      <c r="R45" s="80">
        <f>июль!DO44</f>
        <v>0</v>
      </c>
      <c r="S45" s="80">
        <f>июль!DX44</f>
        <v>0</v>
      </c>
      <c r="T45" s="80">
        <f>июль!ED44</f>
        <v>0</v>
      </c>
      <c r="U45" s="80">
        <f>июль!EL44</f>
        <v>0</v>
      </c>
      <c r="V45" s="80"/>
      <c r="W45" s="80"/>
      <c r="X45" s="80"/>
      <c r="Y45" s="80">
        <f>июль!DF44</f>
        <v>0</v>
      </c>
      <c r="Z45" s="80"/>
      <c r="AA45" s="80"/>
      <c r="AB45" s="80"/>
      <c r="AC45" s="80"/>
      <c r="AD45" s="80"/>
      <c r="AE45" s="79">
        <f>SUM(AF45:BA45)</f>
        <v>94602400</v>
      </c>
      <c r="AF45" s="79"/>
      <c r="AG45" s="231"/>
      <c r="AH45" s="231"/>
      <c r="AI45" s="213"/>
      <c r="AJ45" s="213"/>
      <c r="AK45" s="231"/>
      <c r="AL45" s="213">
        <f>июль!BK44</f>
        <v>92694500</v>
      </c>
      <c r="AM45" s="213"/>
      <c r="AN45" s="233">
        <f>июль!BS44</f>
        <v>0</v>
      </c>
      <c r="AO45" s="213">
        <f>июль!CW44</f>
        <v>0</v>
      </c>
      <c r="AP45" s="213">
        <f>июль!CX44</f>
        <v>1851600</v>
      </c>
      <c r="AQ45" s="213">
        <f>июль!CY44</f>
        <v>0</v>
      </c>
      <c r="AR45" s="213">
        <f>июль!CZ44</f>
        <v>56300</v>
      </c>
      <c r="AS45" s="213">
        <f>июль!DA44</f>
        <v>0</v>
      </c>
      <c r="AT45" s="213">
        <f>июль!DH44</f>
        <v>0</v>
      </c>
      <c r="AU45" s="213"/>
      <c r="AV45" s="213"/>
      <c r="AW45" s="231"/>
      <c r="AX45" s="231"/>
      <c r="AY45" s="79"/>
      <c r="AZ45" s="79"/>
      <c r="BA45" s="79"/>
      <c r="BB45" s="79"/>
      <c r="BC45" s="231">
        <f>BD45</f>
        <v>0</v>
      </c>
      <c r="BD45" s="231"/>
      <c r="BE45" s="231"/>
      <c r="BF45" s="231"/>
      <c r="BG45" s="231"/>
      <c r="BH45" s="231"/>
      <c r="BI45" s="231"/>
      <c r="BJ45" s="231"/>
      <c r="BK45" s="231"/>
      <c r="BL45" s="231"/>
      <c r="BM45" s="231"/>
      <c r="BN45" s="231"/>
      <c r="BO45" s="231"/>
      <c r="BP45" s="231"/>
      <c r="BQ45" s="231"/>
      <c r="BR45" s="231"/>
      <c r="BS45" s="231"/>
      <c r="BT45" s="231"/>
      <c r="BU45" s="231"/>
      <c r="BV45" s="231"/>
      <c r="BW45" s="231"/>
      <c r="BX45" s="231"/>
      <c r="BY45" s="231"/>
      <c r="BZ45" s="231"/>
      <c r="CA45" s="231"/>
      <c r="CB45" s="231"/>
      <c r="CC45" s="231"/>
      <c r="CD45" s="231"/>
      <c r="CE45" s="231"/>
      <c r="CF45" s="231"/>
      <c r="CG45" s="231"/>
      <c r="CH45" s="231"/>
      <c r="CI45" s="231"/>
      <c r="CJ45" s="231"/>
      <c r="CK45" s="234"/>
      <c r="CL45" s="235"/>
      <c r="CM45" s="327"/>
      <c r="CN45" s="235"/>
      <c r="CO45" s="231"/>
      <c r="CP45" s="231"/>
      <c r="CQ45" s="231"/>
      <c r="CR45" s="231"/>
      <c r="CS45" s="231"/>
      <c r="CT45" s="231"/>
      <c r="CU45" s="232"/>
      <c r="CV45" s="231"/>
      <c r="CW45" s="231"/>
      <c r="CX45" s="231"/>
    </row>
    <row r="46" spans="1:102" ht="16.5" customHeight="1" x14ac:dyDescent="0.25">
      <c r="A46" s="349" t="s">
        <v>233</v>
      </c>
      <c r="B46" s="349"/>
      <c r="C46" s="228">
        <f>C44+C45</f>
        <v>13991400735.27</v>
      </c>
      <c r="D46" s="228">
        <f>D44+D45</f>
        <v>2485500000</v>
      </c>
      <c r="E46" s="228">
        <f>E44+E45</f>
        <v>211345000</v>
      </c>
      <c r="F46" s="228">
        <f>F44+F45</f>
        <v>1833240000</v>
      </c>
      <c r="G46" s="228">
        <f>G44+G45</f>
        <v>370853000</v>
      </c>
      <c r="H46" s="228">
        <f>H44+H45</f>
        <v>52062000</v>
      </c>
      <c r="I46" s="228">
        <f>I44+I45</f>
        <v>0</v>
      </c>
      <c r="J46" s="228">
        <f>J44+J45</f>
        <v>15000000</v>
      </c>
      <c r="K46" s="228">
        <f>K44+K45</f>
        <v>3000000</v>
      </c>
      <c r="L46" s="228">
        <f>L44+L45</f>
        <v>4304210090.4400005</v>
      </c>
      <c r="M46" s="228"/>
      <c r="N46" s="228"/>
      <c r="O46" s="228"/>
      <c r="P46" s="105">
        <f>P44+P45</f>
        <v>684500000</v>
      </c>
      <c r="Q46" s="105"/>
      <c r="R46" s="105">
        <f>R44+R45</f>
        <v>263400000</v>
      </c>
      <c r="S46" s="105">
        <f>S44+S45</f>
        <v>12000000</v>
      </c>
      <c r="T46" s="105">
        <f>T44+T45</f>
        <v>1000000</v>
      </c>
      <c r="U46" s="105">
        <f>U44+U45</f>
        <v>8000000</v>
      </c>
      <c r="V46" s="105"/>
      <c r="W46" s="105"/>
      <c r="X46" s="105"/>
      <c r="Y46" s="105">
        <f>Y44+Y45</f>
        <v>350000</v>
      </c>
      <c r="Z46" s="105"/>
      <c r="AA46" s="105"/>
      <c r="AB46" s="105"/>
      <c r="AC46" s="105"/>
      <c r="AD46" s="105">
        <f>AD44+AD45</f>
        <v>44500000</v>
      </c>
      <c r="AE46" s="105">
        <f>AE44+AE45</f>
        <v>2798747424</v>
      </c>
      <c r="AF46" s="105"/>
      <c r="AG46" s="105">
        <f>AG44+AG45</f>
        <v>35848100</v>
      </c>
      <c r="AH46" s="105">
        <f>AH44+AH45</f>
        <v>20000000</v>
      </c>
      <c r="AI46" s="105">
        <f>AI44+AI45</f>
        <v>23474600</v>
      </c>
      <c r="AJ46" s="105">
        <f>AJ44+AJ45</f>
        <v>7800000</v>
      </c>
      <c r="AK46" s="105">
        <f>AK44+AK45</f>
        <v>116439500</v>
      </c>
      <c r="AL46" s="105">
        <f>AL44+AL45</f>
        <v>587233900</v>
      </c>
      <c r="AM46" s="105">
        <f>AM44+AM45</f>
        <v>10550000</v>
      </c>
      <c r="AN46" s="105">
        <f>AN44+AN45</f>
        <v>952500</v>
      </c>
      <c r="AO46" s="105">
        <f>AO44+AO45</f>
        <v>256202500</v>
      </c>
      <c r="AP46" s="105">
        <f>AP44+AP45</f>
        <v>284460500</v>
      </c>
      <c r="AQ46" s="105">
        <f>AQ44+AQ45</f>
        <v>256202800</v>
      </c>
      <c r="AR46" s="105">
        <f>AR44+AR45</f>
        <v>297919900</v>
      </c>
      <c r="AS46" s="105">
        <f>AS44+AS45</f>
        <v>443986300</v>
      </c>
      <c r="AT46" s="105">
        <f>AT44+AT45</f>
        <v>5000000</v>
      </c>
      <c r="AU46" s="105">
        <f>AU44+AU45</f>
        <v>225419403</v>
      </c>
      <c r="AV46" s="105"/>
      <c r="AW46" s="105">
        <f>AW44+AW45</f>
        <v>59549500</v>
      </c>
      <c r="AX46" s="105"/>
      <c r="AY46" s="105">
        <f>AY44+AY45</f>
        <v>3000000</v>
      </c>
      <c r="AZ46" s="105">
        <f>AZ44+AZ45</f>
        <v>156500000</v>
      </c>
      <c r="BA46" s="48">
        <f>BA44+BA45</f>
        <v>1024396</v>
      </c>
      <c r="BB46" s="48">
        <f>BB44+BB45</f>
        <v>230000</v>
      </c>
      <c r="BC46" s="105">
        <f>BC44+BC45</f>
        <v>7044939598</v>
      </c>
      <c r="BD46" s="105">
        <f>BD44+BD45</f>
        <v>1677300</v>
      </c>
      <c r="BE46" s="105">
        <f>BE44+BE45</f>
        <v>36317100</v>
      </c>
      <c r="BF46" s="105">
        <f>BF44+BF45</f>
        <v>203254000</v>
      </c>
      <c r="BG46" s="105">
        <f>BG44+BG45</f>
        <v>49831000</v>
      </c>
      <c r="BH46" s="105">
        <f>BH44+BH45</f>
        <v>153423000</v>
      </c>
      <c r="BI46" s="105">
        <f>BI44+BI45</f>
        <v>6236095798</v>
      </c>
      <c r="BJ46" s="105">
        <f>BJ44+BJ45</f>
        <v>9287100</v>
      </c>
      <c r="BK46" s="105">
        <f>BK44+BK45</f>
        <v>895000</v>
      </c>
      <c r="BL46" s="105">
        <f>BL44+BL45</f>
        <v>1020600</v>
      </c>
      <c r="BM46" s="105">
        <f>BM44+BM45</f>
        <v>978200</v>
      </c>
      <c r="BN46" s="105">
        <f>BN44+BN45</f>
        <v>16643900</v>
      </c>
      <c r="BO46" s="105">
        <f>BO44+BO45</f>
        <v>485500</v>
      </c>
      <c r="BP46" s="105">
        <f>BP44+BP45</f>
        <v>1566700</v>
      </c>
      <c r="BQ46" s="105">
        <f>BQ44+BQ45</f>
        <v>19800</v>
      </c>
      <c r="BR46" s="105">
        <f>BR44+BR45</f>
        <v>1261600</v>
      </c>
      <c r="BS46" s="105">
        <f>BS44+BS45</f>
        <v>5716342000</v>
      </c>
      <c r="BT46" s="105">
        <f>BT44+BT45</f>
        <v>141623000</v>
      </c>
      <c r="BU46" s="105">
        <f>BU44+BU45</f>
        <v>4323500</v>
      </c>
      <c r="BV46" s="105">
        <f>BV44+BV45</f>
        <v>66771600</v>
      </c>
      <c r="BW46" s="105">
        <f>BW44+BW45</f>
        <v>4224700</v>
      </c>
      <c r="BX46" s="105">
        <f>BX44+BX45</f>
        <v>718300</v>
      </c>
      <c r="BY46" s="105">
        <f>BY44+BY45</f>
        <v>2866800</v>
      </c>
      <c r="BZ46" s="105">
        <f>BZ44+BZ45</f>
        <v>2751100</v>
      </c>
      <c r="CA46" s="105">
        <f>CA44+CA45</f>
        <v>3000000</v>
      </c>
      <c r="CB46" s="105">
        <f>CB44+CB45</f>
        <v>1778900</v>
      </c>
      <c r="CC46" s="105">
        <f>CC44+CC45</f>
        <v>176525000</v>
      </c>
      <c r="CD46" s="105">
        <f>CD44+CD45</f>
        <v>6678900</v>
      </c>
      <c r="CE46" s="105">
        <f>CE44+CE45</f>
        <v>411100</v>
      </c>
      <c r="CF46" s="105">
        <f>CF44+CF45</f>
        <v>17200</v>
      </c>
      <c r="CG46" s="105"/>
      <c r="CH46" s="105"/>
      <c r="CI46" s="105">
        <f>CI44+CI45</f>
        <v>434455600</v>
      </c>
      <c r="CJ46" s="105">
        <f>CJ44+CJ45</f>
        <v>128157000</v>
      </c>
      <c r="CK46" s="105">
        <f>CK44+CK45</f>
        <v>4982800</v>
      </c>
      <c r="CL46" s="105">
        <f>CL44+CL45</f>
        <v>156751046.82999998</v>
      </c>
      <c r="CM46" s="105"/>
      <c r="CN46" s="105">
        <f>CN44+CN45</f>
        <v>28596688.829999998</v>
      </c>
      <c r="CO46" s="105">
        <f>CO44+CO45</f>
        <v>7805000</v>
      </c>
      <c r="CP46" s="105">
        <f>CP44+CP45</f>
        <v>73860504</v>
      </c>
      <c r="CQ46" s="105"/>
      <c r="CR46" s="105"/>
      <c r="CS46" s="105">
        <f>CS44+CS45</f>
        <v>73330504</v>
      </c>
      <c r="CT46" s="105"/>
      <c r="CU46" s="105">
        <f>CU44+CU45</f>
        <v>2708000</v>
      </c>
      <c r="CV46" s="105">
        <f>CV44+CV45</f>
        <v>37900002</v>
      </c>
      <c r="CW46" s="105">
        <f>CW44+CW45</f>
        <v>30900002</v>
      </c>
      <c r="CX46" s="105">
        <f>CX44+CX45</f>
        <v>7000000</v>
      </c>
    </row>
    <row r="47" spans="1:102" ht="16.5" customHeight="1" x14ac:dyDescent="0.25">
      <c r="A47" s="349"/>
      <c r="B47" s="349"/>
    </row>
  </sheetData>
  <mergeCells count="6">
    <mergeCell ref="A46:B46"/>
    <mergeCell ref="A47:B47"/>
    <mergeCell ref="A2:B2"/>
    <mergeCell ref="A45:B45"/>
    <mergeCell ref="A3:A4"/>
    <mergeCell ref="B3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июль</vt:lpstr>
      <vt:lpstr>Ут.План на 01.09.2013</vt:lpstr>
      <vt:lpstr>июль!Заголовки_для_печати</vt:lpstr>
      <vt:lpstr>июль!Область_печати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3</cp:lastModifiedBy>
  <cp:lastPrinted>2013-09-05T05:50:36Z</cp:lastPrinted>
  <dcterms:created xsi:type="dcterms:W3CDTF">2011-11-03T03:18:28Z</dcterms:created>
  <dcterms:modified xsi:type="dcterms:W3CDTF">2013-09-05T07:51:40Z</dcterms:modified>
</cp:coreProperties>
</file>