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2019 год\БКАД\паспорт РП ДС и ОБСМДХ\паспорт РП ДС\"/>
    </mc:Choice>
  </mc:AlternateContent>
  <bookViews>
    <workbookView xWindow="0" yWindow="0" windowWidth="20730" windowHeight="9135"/>
  </bookViews>
  <sheets>
    <sheet name="Таблица № 1" sheetId="1" r:id="rId1"/>
    <sheet name="Таблица № 2" sheetId="2" r:id="rId2"/>
    <sheet name="Таблица №3" sheetId="3" r:id="rId3"/>
    <sheet name="Таблица №4" sheetId="4" r:id="rId4"/>
    <sheet name="Таблица №5" sheetId="5" r:id="rId5"/>
    <sheet name="Таблица №6" sheetId="6" r:id="rId6"/>
    <sheet name="Таблица №7" sheetId="7" r:id="rId7"/>
    <sheet name="Таблица №8" sheetId="8" state="hidden" r:id="rId8"/>
  </sheets>
  <definedNames>
    <definedName name="_xlnm._FilterDatabase" localSheetId="0" hidden="1">'Таблица № 1'!#REF!</definedName>
    <definedName name="_xlnm.Print_Area" localSheetId="0">'Таблица № 1'!$A$1:$AQ$123</definedName>
    <definedName name="_xlnm.Print_Area" localSheetId="1">'Таблица № 2'!$A$1:$AR$445</definedName>
    <definedName name="_xlnm.Print_Area" localSheetId="2">'Таблица №3'!$A$1:$L$38</definedName>
  </definedNames>
  <calcPr calcId="152511"/>
</workbook>
</file>

<file path=xl/calcChain.xml><?xml version="1.0" encoding="utf-8"?>
<calcChain xmlns="http://schemas.openxmlformats.org/spreadsheetml/2006/main">
  <c r="J37" i="1" l="1"/>
  <c r="M334" i="2" l="1"/>
  <c r="P37" i="1"/>
  <c r="R29" i="1" l="1"/>
  <c r="R10" i="1"/>
  <c r="R37" i="1" s="1"/>
  <c r="R15" i="1"/>
  <c r="R16" i="1"/>
  <c r="R18" i="1"/>
  <c r="R24" i="1"/>
  <c r="R26" i="1"/>
  <c r="R27" i="1"/>
  <c r="AN67" i="1" l="1"/>
  <c r="AH67" i="1"/>
  <c r="AB67" i="1"/>
  <c r="J67" i="1"/>
  <c r="AI14" i="2" l="1"/>
  <c r="W15" i="2"/>
  <c r="Q14" i="2"/>
  <c r="N146" i="6" l="1"/>
  <c r="L146" i="6"/>
  <c r="N145" i="6"/>
  <c r="M145" i="6"/>
  <c r="K145" i="6"/>
  <c r="I145" i="6"/>
  <c r="F145" i="6"/>
  <c r="E145" i="6"/>
  <c r="D145" i="6"/>
  <c r="K142" i="6"/>
  <c r="I142" i="6"/>
  <c r="E142" i="6"/>
  <c r="M141" i="6"/>
  <c r="M140" i="6"/>
  <c r="D140" i="6"/>
  <c r="M139" i="6"/>
  <c r="D139" i="6"/>
  <c r="M138" i="6"/>
  <c r="D138" i="6"/>
  <c r="M137" i="6"/>
  <c r="D137" i="6"/>
  <c r="M136" i="6"/>
  <c r="D136" i="6"/>
  <c r="M135" i="6"/>
  <c r="D135" i="6"/>
  <c r="M134" i="6"/>
  <c r="D134" i="6"/>
  <c r="M133" i="6"/>
  <c r="D133" i="6"/>
  <c r="M132" i="6"/>
  <c r="D132" i="6"/>
  <c r="M131" i="6"/>
  <c r="M142" i="6" s="1"/>
  <c r="D131" i="6"/>
  <c r="D142" i="6" s="1"/>
  <c r="K129" i="6"/>
  <c r="K146" i="6" s="1"/>
  <c r="I129" i="6"/>
  <c r="F129" i="6"/>
  <c r="I21" i="6"/>
  <c r="I146" i="6" s="1"/>
  <c r="F21" i="6"/>
  <c r="E21" i="6"/>
  <c r="D21" i="6"/>
  <c r="N20" i="6"/>
  <c r="J20" i="6"/>
  <c r="M19" i="6"/>
  <c r="N19" i="6" s="1"/>
  <c r="J19" i="6"/>
  <c r="N18" i="6"/>
  <c r="J18" i="6"/>
  <c r="N17" i="6"/>
  <c r="J17" i="6"/>
  <c r="N16" i="6"/>
  <c r="J16" i="6"/>
  <c r="N15" i="6"/>
  <c r="J15" i="6"/>
  <c r="J14" i="6"/>
  <c r="F12" i="6"/>
  <c r="E12" i="6"/>
  <c r="D12" i="6"/>
  <c r="D146" i="6" s="1"/>
  <c r="M11" i="6"/>
  <c r="N11" i="6" s="1"/>
  <c r="G11" i="6"/>
  <c r="F11" i="6"/>
  <c r="M10" i="6"/>
  <c r="N10" i="6" s="1"/>
  <c r="G10" i="6"/>
  <c r="F10" i="6"/>
  <c r="M9" i="6"/>
  <c r="M12" i="6" s="1"/>
  <c r="G9" i="6"/>
  <c r="F9" i="6"/>
  <c r="I8" i="5"/>
  <c r="L8" i="5"/>
  <c r="M8" i="5"/>
  <c r="H9" i="5"/>
  <c r="I9" i="5" s="1"/>
  <c r="I10" i="5"/>
  <c r="L10" i="5"/>
  <c r="M10" i="5"/>
  <c r="H11" i="5"/>
  <c r="I11" i="5"/>
  <c r="J11" i="5"/>
  <c r="K11" i="5"/>
  <c r="M11" i="5"/>
  <c r="F12" i="5"/>
  <c r="H12" i="5"/>
  <c r="I12" i="5"/>
  <c r="J12" i="5"/>
  <c r="K12" i="5"/>
  <c r="L12" i="5"/>
  <c r="M12" i="5"/>
  <c r="I13" i="5"/>
  <c r="L13" i="5"/>
  <c r="M13" i="5" s="1"/>
  <c r="I14" i="5"/>
  <c r="K14" i="5"/>
  <c r="L14" i="5"/>
  <c r="M14" i="5" s="1"/>
  <c r="I15" i="5"/>
  <c r="J15" i="5"/>
  <c r="K15" i="5"/>
  <c r="L15" i="5"/>
  <c r="M15" i="5"/>
  <c r="I16" i="5"/>
  <c r="L16" i="5"/>
  <c r="M16" i="5" s="1"/>
  <c r="I17" i="5"/>
  <c r="L17" i="5"/>
  <c r="M17" i="5"/>
  <c r="H18" i="5"/>
  <c r="I18" i="5"/>
  <c r="J18" i="5"/>
  <c r="K18" i="5"/>
  <c r="L18" i="5"/>
  <c r="M18" i="5"/>
  <c r="H19" i="5"/>
  <c r="L19" i="5" s="1"/>
  <c r="M19" i="5" s="1"/>
  <c r="I19" i="5"/>
  <c r="I20" i="5"/>
  <c r="M20" i="5"/>
  <c r="H21" i="5"/>
  <c r="I21" i="5"/>
  <c r="J21" i="5"/>
  <c r="K21" i="5"/>
  <c r="L21" i="5"/>
  <c r="M21" i="5"/>
  <c r="I22" i="5"/>
  <c r="K22" i="5" s="1"/>
  <c r="J22" i="5"/>
  <c r="L22" i="5"/>
  <c r="M22" i="5"/>
  <c r="I23" i="5"/>
  <c r="K23" i="5" s="1"/>
  <c r="J23" i="5"/>
  <c r="L23" i="5"/>
  <c r="M23" i="5"/>
  <c r="I24" i="5"/>
  <c r="L24" i="5"/>
  <c r="M24" i="5"/>
  <c r="H25" i="5"/>
  <c r="I25" i="5" s="1"/>
  <c r="K25" i="5" s="1"/>
  <c r="L25" i="5"/>
  <c r="M25" i="5" s="1"/>
  <c r="I26" i="5"/>
  <c r="M26" i="5"/>
  <c r="I27" i="5"/>
  <c r="L27" i="5"/>
  <c r="M27" i="5"/>
  <c r="I28" i="5"/>
  <c r="L28" i="5"/>
  <c r="M28" i="5" s="1"/>
  <c r="I29" i="5"/>
  <c r="K29" i="5"/>
  <c r="M29" i="5"/>
  <c r="H30" i="5"/>
  <c r="I30" i="5"/>
  <c r="J30" i="5"/>
  <c r="K30" i="5"/>
  <c r="L30" i="5"/>
  <c r="M30" i="5"/>
  <c r="I31" i="5"/>
  <c r="L31" i="5"/>
  <c r="M31" i="5" s="1"/>
  <c r="I32" i="5"/>
  <c r="L32" i="5"/>
  <c r="M32" i="5"/>
  <c r="I33" i="5"/>
  <c r="L33" i="5"/>
  <c r="M33" i="5"/>
  <c r="I34" i="5"/>
  <c r="L34" i="5"/>
  <c r="M34" i="5"/>
  <c r="I35" i="5"/>
  <c r="L35" i="5"/>
  <c r="M35" i="5" s="1"/>
  <c r="I36" i="5"/>
  <c r="L36" i="5"/>
  <c r="M36" i="5"/>
  <c r="I37" i="5"/>
  <c r="L37" i="5"/>
  <c r="M37" i="5"/>
  <c r="I38" i="5"/>
  <c r="L38" i="5"/>
  <c r="M38" i="5"/>
  <c r="I39" i="5"/>
  <c r="L39" i="5"/>
  <c r="M39" i="5" s="1"/>
  <c r="I40" i="5"/>
  <c r="L40" i="5"/>
  <c r="M40" i="5"/>
  <c r="I41" i="5"/>
  <c r="L41" i="5"/>
  <c r="M41" i="5"/>
  <c r="I42" i="5"/>
  <c r="L42" i="5"/>
  <c r="M42" i="5"/>
  <c r="I43" i="5"/>
  <c r="L43" i="5"/>
  <c r="M43" i="5" s="1"/>
  <c r="H44" i="5"/>
  <c r="I44" i="5"/>
  <c r="L44" i="5"/>
  <c r="M44" i="5" s="1"/>
  <c r="I45" i="5"/>
  <c r="L45" i="5"/>
  <c r="M45" i="5"/>
  <c r="I46" i="5"/>
  <c r="L46" i="5"/>
  <c r="M46" i="5"/>
  <c r="I47" i="5"/>
  <c r="L47" i="5"/>
  <c r="M47" i="5"/>
  <c r="I48" i="5"/>
  <c r="L48" i="5"/>
  <c r="M48" i="5" s="1"/>
  <c r="I49" i="5"/>
  <c r="L49" i="5"/>
  <c r="M49" i="5"/>
  <c r="I50" i="5"/>
  <c r="L50" i="5"/>
  <c r="M50" i="5"/>
  <c r="I51" i="5"/>
  <c r="L51" i="5"/>
  <c r="M51" i="5"/>
  <c r="I52" i="5"/>
  <c r="L52" i="5"/>
  <c r="M52" i="5" s="1"/>
  <c r="I53" i="5"/>
  <c r="L53" i="5"/>
  <c r="M53" i="5"/>
  <c r="I54" i="5"/>
  <c r="L54" i="5"/>
  <c r="M54" i="5"/>
  <c r="H55" i="5"/>
  <c r="I55" i="5" s="1"/>
  <c r="H56" i="5"/>
  <c r="I56" i="5" s="1"/>
  <c r="I57" i="5"/>
  <c r="L57" i="5"/>
  <c r="M57" i="5"/>
  <c r="I58" i="5"/>
  <c r="L58" i="5"/>
  <c r="M58" i="5" s="1"/>
  <c r="I59" i="5"/>
  <c r="L59" i="5"/>
  <c r="M59" i="5"/>
  <c r="I60" i="5"/>
  <c r="L60" i="5"/>
  <c r="M60" i="5"/>
  <c r="H61" i="5"/>
  <c r="I61" i="5" s="1"/>
  <c r="I62" i="5"/>
  <c r="L62" i="5"/>
  <c r="M62" i="5"/>
  <c r="I63" i="5"/>
  <c r="L63" i="5"/>
  <c r="M63" i="5" s="1"/>
  <c r="I64" i="5"/>
  <c r="L64" i="5"/>
  <c r="M64" i="5"/>
  <c r="I65" i="5"/>
  <c r="L65" i="5"/>
  <c r="M65" i="5"/>
  <c r="I66" i="5"/>
  <c r="L66" i="5"/>
  <c r="M66" i="5"/>
  <c r="I67" i="5"/>
  <c r="L67" i="5"/>
  <c r="M67" i="5" s="1"/>
  <c r="I68" i="5"/>
  <c r="L68" i="5"/>
  <c r="M68" i="5"/>
  <c r="I69" i="5"/>
  <c r="K69" i="5"/>
  <c r="M69" i="5"/>
  <c r="H70" i="5"/>
  <c r="I70" i="5" s="1"/>
  <c r="I71" i="5"/>
  <c r="M71" i="5"/>
  <c r="I72" i="5"/>
  <c r="L72" i="5"/>
  <c r="M72" i="5"/>
  <c r="I73" i="5"/>
  <c r="M73" i="5"/>
  <c r="I74" i="5"/>
  <c r="L74" i="5"/>
  <c r="M74" i="5" s="1"/>
  <c r="I75" i="5"/>
  <c r="L75" i="5"/>
  <c r="M75" i="5"/>
  <c r="I76" i="5"/>
  <c r="L76" i="5"/>
  <c r="M76" i="5"/>
  <c r="H77" i="5"/>
  <c r="I77" i="5" s="1"/>
  <c r="K77" i="5" s="1"/>
  <c r="M77" i="5"/>
  <c r="I78" i="5"/>
  <c r="L78" i="5"/>
  <c r="M78" i="5"/>
  <c r="I79" i="5"/>
  <c r="L79" i="5"/>
  <c r="M79" i="5"/>
  <c r="I80" i="5"/>
  <c r="L80" i="5"/>
  <c r="M80" i="5" s="1"/>
  <c r="I81" i="5"/>
  <c r="L81" i="5"/>
  <c r="M81" i="5"/>
  <c r="I82" i="5"/>
  <c r="L82" i="5"/>
  <c r="M82" i="5"/>
  <c r="I83" i="5"/>
  <c r="L83" i="5"/>
  <c r="M83" i="5"/>
  <c r="I84" i="5"/>
  <c r="L84" i="5"/>
  <c r="M84" i="5" s="1"/>
  <c r="I85" i="5"/>
  <c r="L85" i="5"/>
  <c r="M85" i="5"/>
  <c r="I86" i="5"/>
  <c r="L86" i="5"/>
  <c r="M86" i="5"/>
  <c r="I87" i="5"/>
  <c r="L87" i="5"/>
  <c r="M87" i="5"/>
  <c r="I88" i="5"/>
  <c r="L88" i="5"/>
  <c r="M88" i="5" s="1"/>
  <c r="I89" i="5"/>
  <c r="L89" i="5"/>
  <c r="M89" i="5"/>
  <c r="I90" i="5"/>
  <c r="L90" i="5"/>
  <c r="M90" i="5"/>
  <c r="I91" i="5"/>
  <c r="L91" i="5"/>
  <c r="M91" i="5"/>
  <c r="I92" i="5"/>
  <c r="L92" i="5"/>
  <c r="M92" i="5" s="1"/>
  <c r="I93" i="5"/>
  <c r="L93" i="5"/>
  <c r="M93" i="5"/>
  <c r="I94" i="5"/>
  <c r="L94" i="5"/>
  <c r="M94" i="5"/>
  <c r="I95" i="5"/>
  <c r="L95" i="5"/>
  <c r="M95" i="5"/>
  <c r="I96" i="5"/>
  <c r="L96" i="5"/>
  <c r="M96" i="5" s="1"/>
  <c r="I97" i="5"/>
  <c r="L97" i="5"/>
  <c r="M97" i="5"/>
  <c r="I98" i="5"/>
  <c r="L98" i="5"/>
  <c r="M98" i="5"/>
  <c r="I99" i="5"/>
  <c r="L99" i="5"/>
  <c r="M99" i="5"/>
  <c r="I100" i="5"/>
  <c r="L100" i="5"/>
  <c r="M100" i="5" s="1"/>
  <c r="I101" i="5"/>
  <c r="L101" i="5"/>
  <c r="M101" i="5"/>
  <c r="I102" i="5"/>
  <c r="L102" i="5"/>
  <c r="M102" i="5"/>
  <c r="I103" i="5"/>
  <c r="L103" i="5"/>
  <c r="M103" i="5"/>
  <c r="I104" i="5"/>
  <c r="L104" i="5"/>
  <c r="M104" i="5" s="1"/>
  <c r="I105" i="5"/>
  <c r="L105" i="5"/>
  <c r="M105" i="5"/>
  <c r="I106" i="5"/>
  <c r="L106" i="5"/>
  <c r="M106" i="5"/>
  <c r="I107" i="5"/>
  <c r="L107" i="5"/>
  <c r="M107" i="5"/>
  <c r="I108" i="5"/>
  <c r="L108" i="5"/>
  <c r="M108" i="5" s="1"/>
  <c r="I109" i="5"/>
  <c r="L109" i="5"/>
  <c r="M109" i="5"/>
  <c r="I110" i="5"/>
  <c r="L110" i="5"/>
  <c r="M110" i="5"/>
  <c r="I111" i="5"/>
  <c r="L111" i="5"/>
  <c r="M111" i="5"/>
  <c r="I112" i="5"/>
  <c r="L112" i="5"/>
  <c r="M112" i="5" s="1"/>
  <c r="I113" i="5"/>
  <c r="L113" i="5"/>
  <c r="M113" i="5"/>
  <c r="I114" i="5"/>
  <c r="J114" i="5"/>
  <c r="K114" i="5"/>
  <c r="L114" i="5"/>
  <c r="M114" i="5" s="1"/>
  <c r="I115" i="5"/>
  <c r="L115" i="5"/>
  <c r="M115" i="5"/>
  <c r="I116" i="5"/>
  <c r="L116" i="5"/>
  <c r="M116" i="5"/>
  <c r="I117" i="5"/>
  <c r="L117" i="5"/>
  <c r="M117" i="5"/>
  <c r="I118" i="5"/>
  <c r="L118" i="5"/>
  <c r="M118" i="5" s="1"/>
  <c r="I119" i="5"/>
  <c r="L119" i="5"/>
  <c r="M119" i="5"/>
  <c r="H120" i="5"/>
  <c r="I120" i="5"/>
  <c r="L120" i="5"/>
  <c r="M120" i="5"/>
  <c r="I121" i="5"/>
  <c r="L121" i="5"/>
  <c r="M121" i="5"/>
  <c r="I122" i="5"/>
  <c r="L122" i="5"/>
  <c r="M122" i="5"/>
  <c r="I123" i="5"/>
  <c r="L123" i="5"/>
  <c r="M123" i="5" s="1"/>
  <c r="I124" i="5"/>
  <c r="L124" i="5"/>
  <c r="M124" i="5"/>
  <c r="I125" i="5"/>
  <c r="L125" i="5"/>
  <c r="M125" i="5"/>
  <c r="I126" i="5"/>
  <c r="L126" i="5"/>
  <c r="M126" i="5"/>
  <c r="I127" i="5"/>
  <c r="L127" i="5"/>
  <c r="M127" i="5" s="1"/>
  <c r="H128" i="5"/>
  <c r="I128" i="5"/>
  <c r="L128" i="5"/>
  <c r="M128" i="5" s="1"/>
  <c r="I129" i="5"/>
  <c r="K129" i="5"/>
  <c r="L129" i="5"/>
  <c r="M129" i="5" s="1"/>
  <c r="I130" i="5"/>
  <c r="L130" i="5"/>
  <c r="M130" i="5"/>
  <c r="I131" i="5"/>
  <c r="L131" i="5"/>
  <c r="M131" i="5"/>
  <c r="I132" i="5"/>
  <c r="L132" i="5"/>
  <c r="M132" i="5"/>
  <c r="I133" i="5"/>
  <c r="L133" i="5"/>
  <c r="M133" i="5" s="1"/>
  <c r="I134" i="5"/>
  <c r="L134" i="5"/>
  <c r="M134" i="5"/>
  <c r="I135" i="5"/>
  <c r="L135" i="5"/>
  <c r="M135" i="5"/>
  <c r="H136" i="5"/>
  <c r="I136" i="5" s="1"/>
  <c r="I137" i="5"/>
  <c r="L137" i="5"/>
  <c r="M137" i="5"/>
  <c r="I138" i="5"/>
  <c r="L138" i="5"/>
  <c r="M138" i="5" s="1"/>
  <c r="I139" i="5"/>
  <c r="L139" i="5"/>
  <c r="M139" i="5"/>
  <c r="I140" i="5"/>
  <c r="L140" i="5"/>
  <c r="M140" i="5"/>
  <c r="I141" i="5"/>
  <c r="L141" i="5"/>
  <c r="M141" i="5"/>
  <c r="I142" i="5"/>
  <c r="L142" i="5"/>
  <c r="M142" i="5" s="1"/>
  <c r="I143" i="5"/>
  <c r="L143" i="5"/>
  <c r="M143" i="5"/>
  <c r="I144" i="5"/>
  <c r="M144" i="5"/>
  <c r="I145" i="5"/>
  <c r="L145" i="5"/>
  <c r="M145" i="5" s="1"/>
  <c r="I146" i="5"/>
  <c r="J146" i="5"/>
  <c r="K146" i="5"/>
  <c r="L146" i="5"/>
  <c r="M146" i="5"/>
  <c r="F146" i="6" l="1"/>
  <c r="M21" i="6"/>
  <c r="N9" i="6"/>
  <c r="L136" i="5"/>
  <c r="M136" i="5" s="1"/>
  <c r="J77" i="5"/>
  <c r="L70" i="5"/>
  <c r="M70" i="5" s="1"/>
  <c r="L61" i="5"/>
  <c r="M61" i="5" s="1"/>
  <c r="L56" i="5"/>
  <c r="M56" i="5" s="1"/>
  <c r="L55" i="5"/>
  <c r="M55" i="5" s="1"/>
  <c r="J25" i="5"/>
  <c r="L9" i="5"/>
  <c r="M9" i="5" s="1"/>
  <c r="R23" i="1"/>
  <c r="L37" i="1"/>
  <c r="P123" i="1"/>
  <c r="V37" i="1"/>
  <c r="V123" i="1" s="1"/>
  <c r="X37" i="1"/>
  <c r="AB37" i="1"/>
  <c r="AB123" i="1" s="1"/>
  <c r="AD37" i="1"/>
  <c r="AH37" i="1"/>
  <c r="AJ37" i="1"/>
  <c r="AN37" i="1"/>
  <c r="AN123" i="1" s="1"/>
  <c r="AP37" i="1"/>
  <c r="L123" i="1"/>
  <c r="X123" i="1"/>
  <c r="AD123" i="1"/>
  <c r="AH123" i="1"/>
  <c r="AJ123" i="1"/>
  <c r="AP123" i="1"/>
  <c r="J123" i="1"/>
  <c r="AQ14" i="2"/>
  <c r="AO14" i="2"/>
  <c r="AE14" i="2"/>
  <c r="AC14" i="2"/>
  <c r="F13" i="2"/>
  <c r="G13" i="2" s="1"/>
  <c r="E13" i="2"/>
  <c r="G12" i="2"/>
  <c r="F12" i="2"/>
  <c r="E12" i="2"/>
  <c r="F11" i="2"/>
  <c r="G11" i="2" s="1"/>
  <c r="E11" i="2"/>
  <c r="L66" i="1"/>
  <c r="AP66" i="1"/>
  <c r="AJ66" i="1"/>
  <c r="AD66" i="1"/>
  <c r="X66" i="1"/>
  <c r="W387" i="2"/>
  <c r="Y387" i="2"/>
  <c r="S393" i="2"/>
  <c r="M393" i="2"/>
  <c r="F36" i="1"/>
  <c r="F35" i="1"/>
  <c r="D208" i="5"/>
  <c r="R123" i="1" l="1"/>
  <c r="AQ124" i="1" s="1"/>
  <c r="AQ123" i="1"/>
  <c r="AQ368" i="2"/>
  <c r="AO368" i="2"/>
  <c r="AQ367" i="2"/>
  <c r="AO367" i="2"/>
  <c r="AO365" i="2"/>
  <c r="AO353" i="2"/>
  <c r="AK368" i="2"/>
  <c r="AI368" i="2"/>
  <c r="AI367" i="2"/>
  <c r="AK364" i="2"/>
  <c r="AI364" i="2"/>
  <c r="AI353" i="2"/>
  <c r="AE366" i="2"/>
  <c r="AC366" i="2"/>
  <c r="AE367" i="2"/>
  <c r="AE368" i="2"/>
  <c r="AC368" i="2"/>
  <c r="AC367" i="2"/>
  <c r="AC365" i="2"/>
  <c r="AE362" i="2"/>
  <c r="AC353" i="2"/>
  <c r="AC352" i="2"/>
  <c r="Y362" i="2"/>
  <c r="Y368" i="2"/>
  <c r="W368" i="2"/>
  <c r="Y367" i="2"/>
  <c r="W367" i="2"/>
  <c r="W365" i="2"/>
  <c r="Y364" i="2"/>
  <c r="W364" i="2"/>
  <c r="W352" i="2"/>
  <c r="S368" i="2" l="1"/>
  <c r="Q368" i="2"/>
  <c r="S367" i="2"/>
  <c r="Q367" i="2"/>
  <c r="S366" i="2"/>
  <c r="Q366" i="2"/>
  <c r="Q365" i="2"/>
  <c r="Q364" i="2"/>
  <c r="AQ328" i="2"/>
  <c r="AQ325" i="2"/>
  <c r="AQ322" i="2"/>
  <c r="AQ319" i="2"/>
  <c r="AQ316" i="2"/>
  <c r="AQ313" i="2"/>
  <c r="AQ310" i="2"/>
  <c r="AQ307" i="2"/>
  <c r="AQ304" i="2"/>
  <c r="AQ301" i="2"/>
  <c r="AQ298" i="2"/>
  <c r="AQ338" i="2"/>
  <c r="AQ342" i="2"/>
  <c r="AQ345" i="2"/>
  <c r="AQ329" i="2"/>
  <c r="AQ326" i="2"/>
  <c r="AQ323" i="2"/>
  <c r="AQ320" i="2"/>
  <c r="AQ317" i="2"/>
  <c r="AQ314" i="2"/>
  <c r="AQ311" i="2"/>
  <c r="AQ308" i="2"/>
  <c r="AQ305" i="2"/>
  <c r="AQ302" i="2"/>
  <c r="AQ299" i="2"/>
  <c r="AQ296" i="2"/>
  <c r="AQ423" i="2"/>
  <c r="AK291" i="2"/>
  <c r="AK287" i="2"/>
  <c r="AK284" i="2"/>
  <c r="AK281" i="2"/>
  <c r="AK278" i="2"/>
  <c r="AK275" i="2"/>
  <c r="AK272" i="2"/>
  <c r="AK269" i="2"/>
  <c r="AK266" i="2"/>
  <c r="AK260" i="2"/>
  <c r="AK255" i="2"/>
  <c r="AK249" i="2"/>
  <c r="AK336" i="2"/>
  <c r="AK343" i="2"/>
  <c r="AE340" i="2"/>
  <c r="AE246" i="2"/>
  <c r="AE242" i="2"/>
  <c r="AE237" i="2"/>
  <c r="AE232" i="2"/>
  <c r="AE226" i="2"/>
  <c r="AE220" i="2"/>
  <c r="AE216" i="2"/>
  <c r="AE211" i="2"/>
  <c r="AE206" i="2"/>
  <c r="AE201" i="2"/>
  <c r="AE196" i="2"/>
  <c r="AE244" i="2"/>
  <c r="AE240" i="2"/>
  <c r="AE234" i="2"/>
  <c r="AE229" i="2"/>
  <c r="AE224" i="2"/>
  <c r="AE218" i="2"/>
  <c r="AE213" i="2"/>
  <c r="AE208" i="2"/>
  <c r="AE203" i="2"/>
  <c r="AE198" i="2"/>
  <c r="AE193" i="2"/>
  <c r="K334" i="2"/>
  <c r="K351" i="2" s="1"/>
  <c r="Q334" i="2"/>
  <c r="W334" i="2"/>
  <c r="AC334" i="2"/>
  <c r="AI334" i="2"/>
  <c r="AO334" i="2"/>
  <c r="F334" i="2"/>
  <c r="M358" i="2"/>
  <c r="M362" i="2"/>
  <c r="K362" i="2"/>
  <c r="M368" i="2"/>
  <c r="K368" i="2"/>
  <c r="M367" i="2"/>
  <c r="K367" i="2"/>
  <c r="K365" i="2"/>
  <c r="M364" i="2"/>
  <c r="K364" i="2"/>
  <c r="AN102" i="1"/>
  <c r="AN103" i="1" s="1"/>
  <c r="AN100" i="1"/>
  <c r="AN101" i="1" s="1"/>
  <c r="AH102" i="1"/>
  <c r="AH103" i="1" s="1"/>
  <c r="AH100" i="1"/>
  <c r="AH101" i="1" s="1"/>
  <c r="AB102" i="1"/>
  <c r="AB100" i="1"/>
  <c r="AB101" i="1" s="1"/>
  <c r="V103" i="1"/>
  <c r="V102" i="1"/>
  <c r="V100" i="1"/>
  <c r="V101" i="1" s="1"/>
  <c r="P103" i="1"/>
  <c r="P102" i="1"/>
  <c r="P100" i="1"/>
  <c r="P101" i="1" s="1"/>
  <c r="K99" i="1"/>
  <c r="L99" i="1"/>
  <c r="P99" i="1"/>
  <c r="V99" i="1"/>
  <c r="AB99" i="1"/>
  <c r="AH99" i="1"/>
  <c r="AN99" i="1"/>
  <c r="J99" i="1"/>
  <c r="AP98" i="1"/>
  <c r="AP97" i="1"/>
  <c r="AJ97" i="1"/>
  <c r="AD97" i="1"/>
  <c r="X97" i="1"/>
  <c r="R97" i="1"/>
  <c r="AP96" i="1"/>
  <c r="AJ95" i="1"/>
  <c r="AD95" i="1"/>
  <c r="X95" i="1"/>
  <c r="R95" i="1"/>
  <c r="AD94" i="1"/>
  <c r="X94" i="1"/>
  <c r="AP92" i="1"/>
  <c r="AP93" i="1"/>
  <c r="AJ92" i="1"/>
  <c r="AD92" i="1"/>
  <c r="AD100" i="1" s="1"/>
  <c r="X92" i="1"/>
  <c r="R92" i="1"/>
  <c r="R91" i="1"/>
  <c r="R100" i="1" s="1"/>
  <c r="AP91" i="1"/>
  <c r="AP100" i="1" s="1"/>
  <c r="AJ91" i="1"/>
  <c r="AD91" i="1"/>
  <c r="X91" i="1"/>
  <c r="AP90" i="1"/>
  <c r="AP102" i="1" s="1"/>
  <c r="AJ90" i="1"/>
  <c r="AJ102" i="1" s="1"/>
  <c r="AD90" i="1"/>
  <c r="X90" i="1"/>
  <c r="R90" i="1"/>
  <c r="R99" i="1" s="1"/>
  <c r="F97" i="1"/>
  <c r="F96" i="1"/>
  <c r="F95" i="1"/>
  <c r="F94" i="1"/>
  <c r="F92" i="1"/>
  <c r="F91" i="1"/>
  <c r="F90" i="1"/>
  <c r="Y347" i="2"/>
  <c r="Y187" i="2"/>
  <c r="Y182" i="2"/>
  <c r="Y178" i="2"/>
  <c r="Y173" i="2"/>
  <c r="Y169" i="2"/>
  <c r="Y163" i="2"/>
  <c r="Y157" i="2"/>
  <c r="W14" i="2"/>
  <c r="Y10" i="2"/>
  <c r="Y189" i="2"/>
  <c r="Y184" i="2"/>
  <c r="Y180" i="2"/>
  <c r="Y175" i="2"/>
  <c r="Y171" i="2"/>
  <c r="Y165" i="2"/>
  <c r="Y160" i="2"/>
  <c r="Y155" i="2"/>
  <c r="S9" i="2"/>
  <c r="S150" i="2"/>
  <c r="S147" i="2"/>
  <c r="S144" i="2"/>
  <c r="S140" i="2"/>
  <c r="S134" i="2"/>
  <c r="S130" i="2"/>
  <c r="S125" i="2"/>
  <c r="S119" i="2"/>
  <c r="S113" i="2"/>
  <c r="S108" i="2"/>
  <c r="S339" i="2"/>
  <c r="S145" i="2"/>
  <c r="S349" i="2"/>
  <c r="Y9" i="2"/>
  <c r="R66" i="1"/>
  <c r="K353" i="2"/>
  <c r="V67" i="1"/>
  <c r="P67" i="1"/>
  <c r="AN40" i="1"/>
  <c r="AN41" i="1" s="1"/>
  <c r="AN38" i="1"/>
  <c r="AN39" i="1" s="1"/>
  <c r="AH40" i="1"/>
  <c r="AH41" i="1" s="1"/>
  <c r="AH38" i="1"/>
  <c r="AH39" i="1" s="1"/>
  <c r="AB40" i="1"/>
  <c r="AB41" i="1" s="1"/>
  <c r="AB38" i="1"/>
  <c r="AB39" i="1" s="1"/>
  <c r="V40" i="1"/>
  <c r="V41" i="1" s="1"/>
  <c r="V38" i="1"/>
  <c r="V39" i="1" s="1"/>
  <c r="P40" i="1"/>
  <c r="P41" i="1" s="1"/>
  <c r="P38" i="1"/>
  <c r="P39" i="1" s="1"/>
  <c r="X102" i="1" l="1"/>
  <c r="X100" i="1"/>
  <c r="AJ100" i="1"/>
  <c r="AD102" i="1"/>
  <c r="R102" i="1"/>
  <c r="Y15" i="2"/>
  <c r="Y14" i="2" s="1"/>
  <c r="S365" i="2"/>
  <c r="W16" i="2"/>
  <c r="Y365" i="2"/>
  <c r="AE352" i="2"/>
  <c r="AQ352" i="2"/>
  <c r="AE365" i="2"/>
  <c r="AK352" i="2"/>
  <c r="AJ99" i="1"/>
  <c r="X99" i="1"/>
  <c r="AP99" i="1"/>
  <c r="AD99" i="1"/>
  <c r="AE334" i="2"/>
  <c r="J42" i="1" l="1"/>
  <c r="J43" i="1" s="1"/>
  <c r="J38" i="1"/>
  <c r="J39" i="1" s="1"/>
  <c r="AP18" i="1" l="1"/>
  <c r="AP29" i="1"/>
  <c r="AP30" i="1"/>
  <c r="AP20" i="1"/>
  <c r="AP13" i="1"/>
  <c r="AP12" i="1"/>
  <c r="AP23" i="1"/>
  <c r="AP9" i="1"/>
  <c r="AP25" i="1"/>
  <c r="AJ30" i="1"/>
  <c r="AJ32" i="1"/>
  <c r="AJ23" i="1"/>
  <c r="AJ25" i="1"/>
  <c r="AJ19" i="1"/>
  <c r="AJ10" i="1"/>
  <c r="AJ29" i="1"/>
  <c r="AJ13" i="1"/>
  <c r="AJ20" i="1"/>
  <c r="AJ18" i="1"/>
  <c r="AD34" i="1"/>
  <c r="AD13" i="1"/>
  <c r="AD19" i="1"/>
  <c r="AD20" i="1"/>
  <c r="AD29" i="1"/>
  <c r="AD30" i="1"/>
  <c r="AD28" i="1"/>
  <c r="AD25" i="1"/>
  <c r="AD23" i="1"/>
  <c r="AD21" i="1"/>
  <c r="AD18" i="1"/>
  <c r="AD10" i="1"/>
  <c r="AD12" i="1"/>
  <c r="AD9" i="1"/>
  <c r="AD8" i="1"/>
  <c r="X33" i="1"/>
  <c r="X31" i="1"/>
  <c r="X29" i="1"/>
  <c r="X27" i="1"/>
  <c r="X26" i="1"/>
  <c r="X25" i="1"/>
  <c r="X23" i="1"/>
  <c r="X20" i="1"/>
  <c r="X18" i="1"/>
  <c r="X15" i="1"/>
  <c r="X10" i="1"/>
  <c r="R9" i="1"/>
  <c r="R40" i="1" l="1"/>
  <c r="AD38" i="1"/>
  <c r="AP38" i="1"/>
  <c r="X40" i="1"/>
  <c r="AD40" i="1"/>
  <c r="AP40" i="1"/>
  <c r="AJ9" i="1"/>
  <c r="AJ41" i="1" s="1"/>
  <c r="AJ12" i="1"/>
  <c r="AJ8" i="1"/>
  <c r="X8" i="1"/>
  <c r="AJ38" i="1" l="1"/>
  <c r="H121" i="7"/>
  <c r="E121" i="7"/>
  <c r="E208" i="5" l="1"/>
  <c r="H207" i="5"/>
  <c r="L207" i="5" s="1"/>
  <c r="M207" i="5" s="1"/>
  <c r="L206" i="5"/>
  <c r="M206" i="5" s="1"/>
  <c r="I206" i="5"/>
  <c r="M205" i="5"/>
  <c r="I205" i="5"/>
  <c r="L204" i="5"/>
  <c r="M204" i="5" s="1"/>
  <c r="I204" i="5"/>
  <c r="L203" i="5"/>
  <c r="M203" i="5" s="1"/>
  <c r="I203" i="5"/>
  <c r="M202" i="5"/>
  <c r="I202" i="5"/>
  <c r="M201" i="5"/>
  <c r="I201" i="5"/>
  <c r="H200" i="5"/>
  <c r="L200" i="5" s="1"/>
  <c r="M200" i="5" s="1"/>
  <c r="L199" i="5"/>
  <c r="M199" i="5" s="1"/>
  <c r="I199" i="5"/>
  <c r="L198" i="5"/>
  <c r="M198" i="5" s="1"/>
  <c r="I198" i="5"/>
  <c r="L197" i="5"/>
  <c r="M197" i="5" s="1"/>
  <c r="I197" i="5"/>
  <c r="L196" i="5"/>
  <c r="M196" i="5" s="1"/>
  <c r="I196" i="5"/>
  <c r="M195" i="5"/>
  <c r="L195" i="5"/>
  <c r="I195" i="5"/>
  <c r="L194" i="5"/>
  <c r="M194" i="5" s="1"/>
  <c r="I194" i="5"/>
  <c r="L193" i="5"/>
  <c r="M193" i="5" s="1"/>
  <c r="I193" i="5"/>
  <c r="L192" i="5"/>
  <c r="M192" i="5" s="1"/>
  <c r="I192" i="5"/>
  <c r="L191" i="5"/>
  <c r="M191" i="5" s="1"/>
  <c r="I191" i="5"/>
  <c r="L190" i="5"/>
  <c r="M190" i="5" s="1"/>
  <c r="I190" i="5"/>
  <c r="L189" i="5"/>
  <c r="M189" i="5" s="1"/>
  <c r="I189" i="5"/>
  <c r="H188" i="5"/>
  <c r="L188" i="5" s="1"/>
  <c r="M188" i="5" s="1"/>
  <c r="L187" i="5"/>
  <c r="M187" i="5" s="1"/>
  <c r="I187" i="5"/>
  <c r="M186" i="5"/>
  <c r="I186" i="5"/>
  <c r="M185" i="5"/>
  <c r="H185" i="5"/>
  <c r="I185" i="5" s="1"/>
  <c r="L184" i="5"/>
  <c r="M184" i="5" s="1"/>
  <c r="I184" i="5"/>
  <c r="L183" i="5"/>
  <c r="M183" i="5" s="1"/>
  <c r="I183" i="5"/>
  <c r="L182" i="5"/>
  <c r="M182" i="5" s="1"/>
  <c r="I182" i="5"/>
  <c r="L181" i="5"/>
  <c r="M181" i="5" s="1"/>
  <c r="H181" i="5"/>
  <c r="I181" i="5" s="1"/>
  <c r="L180" i="5"/>
  <c r="M180" i="5" s="1"/>
  <c r="I180" i="5"/>
  <c r="L179" i="5"/>
  <c r="M179" i="5" s="1"/>
  <c r="I179" i="5"/>
  <c r="L178" i="5"/>
  <c r="M178" i="5" s="1"/>
  <c r="I178" i="5"/>
  <c r="H177" i="5"/>
  <c r="I177" i="5" s="1"/>
  <c r="L176" i="5"/>
  <c r="M176" i="5" s="1"/>
  <c r="I176" i="5"/>
  <c r="L175" i="5"/>
  <c r="M175" i="5" s="1"/>
  <c r="I175" i="5"/>
  <c r="L174" i="5"/>
  <c r="M174" i="5" s="1"/>
  <c r="I174" i="5"/>
  <c r="L173" i="5"/>
  <c r="M173" i="5" s="1"/>
  <c r="I173" i="5"/>
  <c r="L172" i="5"/>
  <c r="M172" i="5" s="1"/>
  <c r="I172" i="5"/>
  <c r="L171" i="5"/>
  <c r="M171" i="5" s="1"/>
  <c r="I171" i="5"/>
  <c r="L170" i="5"/>
  <c r="M170" i="5" s="1"/>
  <c r="I170" i="5"/>
  <c r="L169" i="5"/>
  <c r="M169" i="5" s="1"/>
  <c r="I169" i="5"/>
  <c r="L168" i="5"/>
  <c r="M168" i="5" s="1"/>
  <c r="I168" i="5"/>
  <c r="L167" i="5"/>
  <c r="M167" i="5" s="1"/>
  <c r="I167" i="5"/>
  <c r="L166" i="5"/>
  <c r="M166" i="5" s="1"/>
  <c r="I166" i="5"/>
  <c r="L165" i="5"/>
  <c r="M165" i="5" s="1"/>
  <c r="I165" i="5"/>
  <c r="L164" i="5"/>
  <c r="M164" i="5" s="1"/>
  <c r="I164" i="5"/>
  <c r="L163" i="5"/>
  <c r="M163" i="5" s="1"/>
  <c r="I163" i="5"/>
  <c r="L162" i="5"/>
  <c r="M162" i="5" s="1"/>
  <c r="I162" i="5"/>
  <c r="L161" i="5"/>
  <c r="M161" i="5" s="1"/>
  <c r="I161" i="5"/>
  <c r="L160" i="5"/>
  <c r="M160" i="5" s="1"/>
  <c r="I160" i="5"/>
  <c r="L159" i="5"/>
  <c r="M159" i="5" s="1"/>
  <c r="I159" i="5"/>
  <c r="L158" i="5"/>
  <c r="M158" i="5" s="1"/>
  <c r="I158" i="5"/>
  <c r="L157" i="5"/>
  <c r="M157" i="5" s="1"/>
  <c r="I157" i="5"/>
  <c r="L156" i="5"/>
  <c r="M156" i="5" s="1"/>
  <c r="I156" i="5"/>
  <c r="L155" i="5"/>
  <c r="M155" i="5" s="1"/>
  <c r="I155" i="5"/>
  <c r="L154" i="5"/>
  <c r="M154" i="5" s="1"/>
  <c r="I154" i="5"/>
  <c r="L153" i="5"/>
  <c r="M153" i="5" s="1"/>
  <c r="I153" i="5"/>
  <c r="L152" i="5"/>
  <c r="M152" i="5" s="1"/>
  <c r="I152" i="5"/>
  <c r="M151" i="5"/>
  <c r="H151" i="5"/>
  <c r="I151" i="5" s="1"/>
  <c r="M150" i="5"/>
  <c r="K150" i="5"/>
  <c r="L149" i="5"/>
  <c r="M149" i="5" s="1"/>
  <c r="I149" i="5"/>
  <c r="L148" i="5"/>
  <c r="M148" i="5" s="1"/>
  <c r="I148" i="5"/>
  <c r="M147" i="5"/>
  <c r="I147" i="5"/>
  <c r="F208" i="5" l="1"/>
  <c r="H208" i="5"/>
  <c r="I208" i="5" s="1"/>
  <c r="L177" i="5"/>
  <c r="M177" i="5" s="1"/>
  <c r="I200" i="5"/>
  <c r="I188" i="5"/>
  <c r="I207" i="5"/>
  <c r="L208" i="5" l="1"/>
  <c r="M208" i="5" s="1"/>
  <c r="J208" i="5"/>
  <c r="K208" i="5" s="1"/>
  <c r="K35" i="4"/>
  <c r="I35" i="4"/>
  <c r="L30" i="4"/>
  <c r="L27" i="4"/>
  <c r="L23" i="4"/>
  <c r="L21" i="4"/>
  <c r="R19" i="4"/>
  <c r="R36" i="4" s="1"/>
  <c r="L19" i="4"/>
  <c r="K19" i="4"/>
  <c r="I19" i="4"/>
  <c r="G19" i="4"/>
  <c r="R11" i="4"/>
  <c r="L11" i="4"/>
  <c r="K11" i="4"/>
  <c r="G11" i="4"/>
  <c r="G36" i="4" l="1"/>
  <c r="I36" i="4"/>
  <c r="L35" i="4"/>
  <c r="L36" i="4" s="1"/>
  <c r="K37" i="3"/>
  <c r="F37" i="3"/>
  <c r="F18" i="3"/>
  <c r="K15" i="3"/>
  <c r="K18" i="3" s="1"/>
  <c r="Q435" i="2"/>
  <c r="S434" i="2"/>
  <c r="AO427" i="2"/>
  <c r="AE427" i="2"/>
  <c r="AC427" i="2"/>
  <c r="S427" i="2"/>
  <c r="Q427" i="2"/>
  <c r="AQ425" i="2"/>
  <c r="E423" i="2"/>
  <c r="D423" i="2"/>
  <c r="M366" i="2"/>
  <c r="L366" i="2"/>
  <c r="K366" i="2"/>
  <c r="S362" i="2"/>
  <c r="R362" i="2"/>
  <c r="Q362" i="2"/>
  <c r="S350" i="2"/>
  <c r="Q350" i="2"/>
  <c r="F350" i="2"/>
  <c r="F351" i="2" s="1"/>
  <c r="G349" i="2"/>
  <c r="G350" i="2" s="1"/>
  <c r="E349" i="2"/>
  <c r="AQ347" i="2"/>
  <c r="AO347" i="2"/>
  <c r="AO351" i="2" s="1"/>
  <c r="AI347" i="2"/>
  <c r="AI351" i="2" s="1"/>
  <c r="AE347" i="2"/>
  <c r="AE351" i="2" s="1"/>
  <c r="AC347" i="2"/>
  <c r="AC351" i="2" s="1"/>
  <c r="W347" i="2"/>
  <c r="W351" i="2" s="1"/>
  <c r="W445" i="2" s="1"/>
  <c r="Q347" i="2"/>
  <c r="F347" i="2"/>
  <c r="G346" i="2"/>
  <c r="G345" i="2"/>
  <c r="G344" i="2"/>
  <c r="G343" i="2"/>
  <c r="G342" i="2"/>
  <c r="G341" i="2"/>
  <c r="G340" i="2"/>
  <c r="S347" i="2"/>
  <c r="G339" i="2"/>
  <c r="G338" i="2"/>
  <c r="G337" i="2"/>
  <c r="G336" i="2"/>
  <c r="K445" i="2"/>
  <c r="AQ332" i="2"/>
  <c r="G329" i="2"/>
  <c r="E329" i="2" s="1"/>
  <c r="D329" i="2"/>
  <c r="E326" i="2"/>
  <c r="D326" i="2"/>
  <c r="E323" i="2"/>
  <c r="D323" i="2"/>
  <c r="E320" i="2"/>
  <c r="D320" i="2"/>
  <c r="E317" i="2"/>
  <c r="D317" i="2"/>
  <c r="E314" i="2"/>
  <c r="D314" i="2"/>
  <c r="E311" i="2"/>
  <c r="E308" i="2"/>
  <c r="D308" i="2"/>
  <c r="E305" i="2"/>
  <c r="D305" i="2"/>
  <c r="E302" i="2"/>
  <c r="D302" i="2"/>
  <c r="E299" i="2"/>
  <c r="D299" i="2"/>
  <c r="E296" i="2"/>
  <c r="D296" i="2"/>
  <c r="AK294" i="2"/>
  <c r="G291" i="2"/>
  <c r="E291" i="2" s="1"/>
  <c r="AK290" i="2"/>
  <c r="AK367" i="2" s="1"/>
  <c r="AK289" i="2"/>
  <c r="AI289" i="2"/>
  <c r="AI365" i="2" s="1"/>
  <c r="G287" i="2"/>
  <c r="E287" i="2" s="1"/>
  <c r="D287" i="2"/>
  <c r="AK286" i="2"/>
  <c r="E284" i="2"/>
  <c r="D284" i="2"/>
  <c r="AK283" i="2"/>
  <c r="E281" i="2"/>
  <c r="D281" i="2"/>
  <c r="AK280" i="2"/>
  <c r="E278" i="2"/>
  <c r="D278" i="2"/>
  <c r="AK277" i="2"/>
  <c r="E275" i="2"/>
  <c r="D275" i="2"/>
  <c r="AK274" i="2"/>
  <c r="E272" i="2"/>
  <c r="D272" i="2"/>
  <c r="AK271" i="2"/>
  <c r="E269" i="2"/>
  <c r="D269" i="2"/>
  <c r="AK268" i="2"/>
  <c r="E266" i="2"/>
  <c r="D266" i="2"/>
  <c r="AK262" i="2"/>
  <c r="E260" i="2"/>
  <c r="D260" i="2"/>
  <c r="AK257" i="2"/>
  <c r="E255" i="2"/>
  <c r="D255" i="2"/>
  <c r="AK251" i="2"/>
  <c r="E249" i="2"/>
  <c r="D249" i="2"/>
  <c r="E244" i="2"/>
  <c r="D244" i="2"/>
  <c r="E240" i="2"/>
  <c r="D240" i="2"/>
  <c r="E234" i="2"/>
  <c r="D234" i="2"/>
  <c r="E229" i="2"/>
  <c r="D229" i="2"/>
  <c r="AC228" i="2"/>
  <c r="AC362" i="2" s="1"/>
  <c r="E224" i="2"/>
  <c r="D224" i="2"/>
  <c r="E218" i="2"/>
  <c r="D218" i="2"/>
  <c r="E213" i="2"/>
  <c r="D213" i="2"/>
  <c r="E208" i="2"/>
  <c r="D208" i="2"/>
  <c r="E203" i="2"/>
  <c r="D203" i="2"/>
  <c r="E198" i="2"/>
  <c r="D198" i="2"/>
  <c r="E193" i="2"/>
  <c r="D193" i="2"/>
  <c r="W192" i="2"/>
  <c r="W362" i="2" s="1"/>
  <c r="E187" i="2"/>
  <c r="D187" i="2"/>
  <c r="E182" i="2"/>
  <c r="D182" i="2"/>
  <c r="E178" i="2"/>
  <c r="D178" i="2"/>
  <c r="E173" i="2"/>
  <c r="D173" i="2"/>
  <c r="E169" i="2"/>
  <c r="D169" i="2"/>
  <c r="E163" i="2"/>
  <c r="D163" i="2"/>
  <c r="E157" i="2"/>
  <c r="D157" i="2"/>
  <c r="W154" i="2"/>
  <c r="E153" i="2"/>
  <c r="D153" i="2"/>
  <c r="S151" i="2"/>
  <c r="S364" i="2" s="1"/>
  <c r="Q149" i="2"/>
  <c r="D148" i="2"/>
  <c r="E145" i="2"/>
  <c r="D145" i="2"/>
  <c r="Q143" i="2"/>
  <c r="S142" i="2" s="1"/>
  <c r="E142" i="2"/>
  <c r="D142" i="2"/>
  <c r="Q138" i="2"/>
  <c r="S137" i="2" s="1"/>
  <c r="G137" i="2"/>
  <c r="E137" i="2" s="1"/>
  <c r="D137" i="2"/>
  <c r="Q132" i="2"/>
  <c r="S131" i="2" s="1"/>
  <c r="E131" i="2"/>
  <c r="D131" i="2"/>
  <c r="Q128" i="2"/>
  <c r="S127" i="2" s="1"/>
  <c r="E127" i="2"/>
  <c r="D127" i="2"/>
  <c r="Q123" i="2"/>
  <c r="S122" i="2" s="1"/>
  <c r="E122" i="2"/>
  <c r="D122" i="2"/>
  <c r="Q117" i="2"/>
  <c r="S116" i="2" s="1"/>
  <c r="E116" i="2"/>
  <c r="D116" i="2"/>
  <c r="Q112" i="2"/>
  <c r="S111" i="2" s="1"/>
  <c r="E111" i="2"/>
  <c r="D111" i="2"/>
  <c r="Q107" i="2"/>
  <c r="S106" i="2" s="1"/>
  <c r="E106" i="2"/>
  <c r="D106" i="2"/>
  <c r="M105" i="2"/>
  <c r="M103" i="2"/>
  <c r="E103" i="2"/>
  <c r="D103" i="2"/>
  <c r="M100" i="2"/>
  <c r="M98" i="2"/>
  <c r="E98" i="2"/>
  <c r="D98" i="2"/>
  <c r="M97" i="2"/>
  <c r="M95" i="2"/>
  <c r="E95" i="2"/>
  <c r="D95" i="2"/>
  <c r="M92" i="2"/>
  <c r="M90" i="2"/>
  <c r="E90" i="2"/>
  <c r="D90" i="2"/>
  <c r="M87" i="2"/>
  <c r="M85" i="2"/>
  <c r="E85" i="2"/>
  <c r="D85" i="2"/>
  <c r="K84" i="2"/>
  <c r="K359" i="2" s="1"/>
  <c r="M82" i="2"/>
  <c r="M80" i="2"/>
  <c r="E80" i="2"/>
  <c r="D80" i="2"/>
  <c r="M76" i="2"/>
  <c r="M74" i="2"/>
  <c r="E74" i="2"/>
  <c r="D74" i="2"/>
  <c r="M72" i="2"/>
  <c r="M70" i="2"/>
  <c r="E70" i="2"/>
  <c r="D70" i="2"/>
  <c r="M67" i="2"/>
  <c r="M65" i="2"/>
  <c r="E65" i="2"/>
  <c r="D65" i="2"/>
  <c r="M64" i="2"/>
  <c r="M62" i="2"/>
  <c r="E62" i="2"/>
  <c r="D62" i="2"/>
  <c r="M61" i="2"/>
  <c r="M59" i="2"/>
  <c r="E59" i="2"/>
  <c r="D59" i="2"/>
  <c r="M57" i="2"/>
  <c r="M55" i="2"/>
  <c r="E55" i="2"/>
  <c r="D55" i="2"/>
  <c r="E54" i="2"/>
  <c r="D54" i="2"/>
  <c r="M51" i="2"/>
  <c r="M49" i="2"/>
  <c r="E49" i="2"/>
  <c r="D49" i="2"/>
  <c r="M46" i="2"/>
  <c r="M44" i="2"/>
  <c r="E44" i="2"/>
  <c r="D44" i="2"/>
  <c r="M42" i="2"/>
  <c r="M39" i="2"/>
  <c r="E39" i="2"/>
  <c r="D39" i="2"/>
  <c r="M37" i="2"/>
  <c r="M34" i="2"/>
  <c r="G34" i="2"/>
  <c r="E34" i="2" s="1"/>
  <c r="D34" i="2"/>
  <c r="AO15" i="2"/>
  <c r="AI15" i="2"/>
  <c r="AC15" i="2"/>
  <c r="AC16" i="2" s="1"/>
  <c r="S14" i="2"/>
  <c r="S15" i="2" s="1"/>
  <c r="Q15" i="2"/>
  <c r="Q16" i="2" s="1"/>
  <c r="AQ15" i="2"/>
  <c r="AK14" i="2"/>
  <c r="AK15" i="2" s="1"/>
  <c r="AE15" i="2"/>
  <c r="G10" i="2"/>
  <c r="E10" i="2"/>
  <c r="G9" i="2"/>
  <c r="E9" i="2"/>
  <c r="G8" i="2"/>
  <c r="E8" i="2"/>
  <c r="F38" i="3" l="1"/>
  <c r="AQ365" i="2"/>
  <c r="AQ334" i="2"/>
  <c r="AK365" i="2"/>
  <c r="M351" i="2"/>
  <c r="M445" i="2" s="1"/>
  <c r="S148" i="2"/>
  <c r="S352" i="2" s="1"/>
  <c r="Q353" i="2"/>
  <c r="AI445" i="2"/>
  <c r="Y153" i="2"/>
  <c r="W353" i="2"/>
  <c r="M365" i="2"/>
  <c r="AK334" i="2"/>
  <c r="AC445" i="2"/>
  <c r="AQ351" i="2"/>
  <c r="AQ445" i="2" s="1"/>
  <c r="Q351" i="2"/>
  <c r="Q445" i="2" s="1"/>
  <c r="AK347" i="2"/>
  <c r="M352" i="2"/>
  <c r="G347" i="2"/>
  <c r="G351" i="2" s="1"/>
  <c r="AE445" i="2"/>
  <c r="AQ427" i="2"/>
  <c r="AO445" i="2"/>
  <c r="S334" i="2" l="1"/>
  <c r="S351" i="2" s="1"/>
  <c r="S445" i="2" s="1"/>
  <c r="Y334" i="2"/>
  <c r="Y351" i="2" s="1"/>
  <c r="Y445" i="2" s="1"/>
  <c r="Y352" i="2"/>
  <c r="AR445" i="2"/>
  <c r="AK351" i="2"/>
  <c r="AK445" i="2" s="1"/>
  <c r="Q352" i="2"/>
  <c r="X9" i="1" l="1"/>
  <c r="X12" i="1"/>
  <c r="X13" i="1"/>
  <c r="X19" i="1"/>
  <c r="R8" i="1"/>
  <c r="R13" i="1"/>
  <c r="R12" i="1"/>
  <c r="R14" i="1"/>
  <c r="R38" i="1" l="1"/>
  <c r="X38" i="1"/>
  <c r="F33" i="1"/>
  <c r="F32" i="1"/>
  <c r="L7" i="1" l="1"/>
  <c r="L22" i="1"/>
  <c r="F34" i="1"/>
  <c r="F31" i="1" l="1"/>
  <c r="F29" i="1" l="1"/>
  <c r="F28" i="1"/>
  <c r="F27" i="1"/>
  <c r="F26" i="1"/>
  <c r="F25" i="1"/>
  <c r="F23" i="1"/>
  <c r="F22" i="1"/>
  <c r="F20" i="1"/>
  <c r="F19" i="1"/>
  <c r="F18" i="1"/>
  <c r="L17" i="1"/>
  <c r="F17" i="1"/>
  <c r="F16" i="1"/>
  <c r="L15" i="1"/>
  <c r="F15" i="1"/>
  <c r="L14" i="1"/>
  <c r="L42" i="1" s="1"/>
  <c r="F14" i="1"/>
  <c r="L12" i="1"/>
  <c r="F12" i="1"/>
  <c r="L11" i="1"/>
  <c r="L9" i="1"/>
  <c r="F9" i="1"/>
  <c r="F8" i="1"/>
  <c r="F7" i="1"/>
  <c r="L38" i="1" l="1"/>
</calcChain>
</file>

<file path=xl/sharedStrings.xml><?xml version="1.0" encoding="utf-8"?>
<sst xmlns="http://schemas.openxmlformats.org/spreadsheetml/2006/main" count="5050" uniqueCount="1249">
  <si>
    <t>№</t>
  </si>
  <si>
    <t>Протяженность автодороги, находящейся в нормативном состоянии, км/%</t>
  </si>
  <si>
    <t>Фактическое состояние на 31.12.2018</t>
  </si>
  <si>
    <t>Экспертная оценка</t>
  </si>
  <si>
    <t xml:space="preserve">Стоимость </t>
  </si>
  <si>
    <t>км</t>
  </si>
  <si>
    <t>кв.м</t>
  </si>
  <si>
    <t>%</t>
  </si>
  <si>
    <t>кв.м.</t>
  </si>
  <si>
    <t xml:space="preserve">                                                                                                                                                                                                             Автомобильные дороги регионального и межмуниципального значения</t>
  </si>
  <si>
    <t>ИТОГО по автомобильным дорогам регионального и межмуниципального значения</t>
  </si>
  <si>
    <t>ремонт покрытия проезжей части</t>
  </si>
  <si>
    <t>нанесение разметки</t>
  </si>
  <si>
    <t>устройство светофорных объектов</t>
  </si>
  <si>
    <t>шт.</t>
  </si>
  <si>
    <t xml:space="preserve">установка тросового/барьерного ограждения </t>
  </si>
  <si>
    <t>п.м.</t>
  </si>
  <si>
    <t>ремонт тротуаров</t>
  </si>
  <si>
    <t>устройство освещения</t>
  </si>
  <si>
    <t xml:space="preserve">                                                                                                                                                         Объекты, финансируемые из прочих источников (справочно)</t>
  </si>
  <si>
    <t>ИТОГО по автодорогам регионального и межмуниципального значения (справочно)</t>
  </si>
  <si>
    <t>Итого по резервным объектам</t>
  </si>
  <si>
    <t>ИТОГО по резервным объектам</t>
  </si>
  <si>
    <t xml:space="preserve">                                                                                                                                                                                                             Автомобильные дороги местного значения (улицы)</t>
  </si>
  <si>
    <t>ИТОГО по автомобильным дорогам местного значения (улицы)</t>
  </si>
  <si>
    <t>Код в СКДФ</t>
  </si>
  <si>
    <t>Идентификатор</t>
  </si>
  <si>
    <t>Мероприятия, реализуемые в рамках программы в 2019 году</t>
  </si>
  <si>
    <t>Адрес участка</t>
  </si>
  <si>
    <t>Вид работ</t>
  </si>
  <si>
    <t>Мощность работ</t>
  </si>
  <si>
    <t>Значение</t>
  </si>
  <si>
    <t>Единица измерения</t>
  </si>
  <si>
    <t>Начало (км+м)</t>
  </si>
  <si>
    <t>Конец (км+м)</t>
  </si>
  <si>
    <t>тыс.руб.</t>
  </si>
  <si>
    <t>Мероприятия, реализуемые в рамках программы в 2020 году</t>
  </si>
  <si>
    <t>Мероприятия, реализуемые в рамках программы в 2021 году</t>
  </si>
  <si>
    <t>Мероприятия, реализуемые в рамках программы в 2022 году</t>
  </si>
  <si>
    <t>Мероприятия, реализуемые в рамках программы в 2023 году</t>
  </si>
  <si>
    <t>Мероприятия, реализуемые в рамках программы в 2024 году</t>
  </si>
  <si>
    <t>капитальный ремонт</t>
  </si>
  <si>
    <t>реконструкция</t>
  </si>
  <si>
    <t>строительство</t>
  </si>
  <si>
    <t>установка дорожных знаков</t>
  </si>
  <si>
    <t>другое</t>
  </si>
  <si>
    <t>установка направляющих устройств</t>
  </si>
  <si>
    <t>в границах агломерации</t>
  </si>
  <si>
    <t>Мероприятия по устранению режима перегрузки</t>
  </si>
  <si>
    <t>Стоимость мероприятий</t>
  </si>
  <si>
    <t>Примечания</t>
  </si>
  <si>
    <t>ИТОГО</t>
  </si>
  <si>
    <t>Автомобильные дороги федерального значения</t>
  </si>
  <si>
    <t>ОБЩИЙ ИТОГ</t>
  </si>
  <si>
    <t>Погибло</t>
  </si>
  <si>
    <t>Ранено</t>
  </si>
  <si>
    <t>Автомобильные дороги местного значения (улицы)</t>
  </si>
  <si>
    <t>ИТОГО:</t>
  </si>
  <si>
    <t>Протяженность</t>
  </si>
  <si>
    <t>Участок, работающий в режиме перегрузки</t>
  </si>
  <si>
    <t>Автомобильные дороги регионального и межмуниципального значения</t>
  </si>
  <si>
    <t>Всего</t>
  </si>
  <si>
    <t>Протяженность дороги (улицы), км</t>
  </si>
  <si>
    <t>Ожидаемое состояние на 31.12.2019</t>
  </si>
  <si>
    <t>Инстументальная диагностика</t>
  </si>
  <si>
    <t>Месяц</t>
  </si>
  <si>
    <t>Год</t>
  </si>
  <si>
    <t>Дата проведения</t>
  </si>
  <si>
    <t>Протяженность и площадь покрытия дороги (улицы)</t>
  </si>
  <si>
    <t>Ожидаемое состояние на 31.12.2024</t>
  </si>
  <si>
    <t>всего по субъекту</t>
  </si>
  <si>
    <t>в границах субъекта</t>
  </si>
  <si>
    <t xml:space="preserve">Наименование автомобильной дороги </t>
  </si>
  <si>
    <t xml:space="preserve">Наименование автомобильной дороги (улицы) </t>
  </si>
  <si>
    <t>Протяженность и площадь покрытия дороги</t>
  </si>
  <si>
    <t>В том числе с недостатками транспортно-эксплуатационного состояния УДС</t>
  </si>
  <si>
    <t>Сроки проведения, год</t>
  </si>
  <si>
    <t>Протяженность участка (км)</t>
  </si>
  <si>
    <t>№ п/п</t>
  </si>
  <si>
    <t>Таблица № 7. Перечень участков автомобильных дорог регионального и межмуниципального значения, которые к концу 2024 года будут в нормативном транспортно-эксплуатационном состоянии</t>
  </si>
  <si>
    <t>Протяженность  автомобильной дороги (км)</t>
  </si>
  <si>
    <t>Данные об участке автомобильной дороги</t>
  </si>
  <si>
    <t>Наименование автомобильной дороги (улицы)</t>
  </si>
  <si>
    <t>Протяженность  автомобильной дороги (улицы) (км)</t>
  </si>
  <si>
    <t>Данные об участке автомобильной дороги (улицы)</t>
  </si>
  <si>
    <t>Таблица № 8. Перечень участков улично-дорожной сети городской агломерации, которые к концу 2024 года будут в нормативном транспортно-эксплуатационном состоянии</t>
  </si>
  <si>
    <t xml:space="preserve">   Автомобильные дороги местного значения (улицы)</t>
  </si>
  <si>
    <t>ИТОГО по автомобильным дорогам местного значения (улицам)</t>
  </si>
  <si>
    <t xml:space="preserve">ИТОГО по улично-дорожной сети городской агломерации </t>
  </si>
  <si>
    <t>Х</t>
  </si>
  <si>
    <t>ИТОГО по автомобильным дорогам федерального значения (справочно)</t>
  </si>
  <si>
    <t>Резервные объекты в субъекте Российской Федерации, реализация мероприятий на которых возможна при условии увеличения финансирования национального проекта, либо за счет экономии, возникшей в результате снижения начальной (максимальной) цены контрактов при проведении конкурсных процедур.</t>
  </si>
  <si>
    <t>Итого по автомобильным дорогам федерального значения</t>
  </si>
  <si>
    <t>укладка слоев износа</t>
  </si>
  <si>
    <t>шероховатая поверхностная обработка</t>
  </si>
  <si>
    <t>обработка защитной пропиткой</t>
  </si>
  <si>
    <t>установка водоотводных лотков</t>
  </si>
  <si>
    <t>очистка водоотводных полос</t>
  </si>
  <si>
    <t>установка камер автоматической фото- видеофиксации нарушения ПДД</t>
  </si>
  <si>
    <t>Таблица № 4. Перечень аварийно-опасных участков (МКДТП) на дорожной сети субъекта Российской Федерации  и мероприятия, 
запланированные для их ликвидации в 2019-2024 гг.</t>
  </si>
  <si>
    <t>1923024</t>
  </si>
  <si>
    <t>Подъезд к пгт. Дровяная км 1+600 - км 9+750</t>
  </si>
  <si>
    <t>76 ОП РЗ 76К-123</t>
  </si>
  <si>
    <t>1+600</t>
  </si>
  <si>
    <t>9+750</t>
  </si>
  <si>
    <t>ремонт</t>
  </si>
  <si>
    <t>1923002</t>
  </si>
  <si>
    <t>Подъезд к с. Беклемишево км 0+000 - км 55+000</t>
  </si>
  <si>
    <t>76 ОП РЗ 76К-144</t>
  </si>
  <si>
    <t>0+000</t>
  </si>
  <si>
    <t>10+000</t>
  </si>
  <si>
    <t xml:space="preserve">реконструкция </t>
  </si>
  <si>
    <t>20+000</t>
  </si>
  <si>
    <t>30+000</t>
  </si>
  <si>
    <t>40+000</t>
  </si>
  <si>
    <t>55+000</t>
  </si>
  <si>
    <t>1923010</t>
  </si>
  <si>
    <t>Могойтуй - Сретенск - Олочи км 91+000 - км 162+000; км 334+000 - км 432+500</t>
  </si>
  <si>
    <t>76 ОП РЗ 76А-008</t>
  </si>
  <si>
    <t>136+000</t>
  </si>
  <si>
    <t>146+000</t>
  </si>
  <si>
    <t>91+000</t>
  </si>
  <si>
    <t>112+000</t>
  </si>
  <si>
    <t>122+000</t>
  </si>
  <si>
    <t>351+400</t>
  </si>
  <si>
    <t>352+500</t>
  </si>
  <si>
    <t>334+000</t>
  </si>
  <si>
    <t>372+500</t>
  </si>
  <si>
    <t>432+500</t>
  </si>
  <si>
    <t>1923012</t>
  </si>
  <si>
    <t>Ивановка - Александровский Завод - Борзя км 112+000 - км 290+550</t>
  </si>
  <si>
    <t>76 ОП РЗ 76К-011</t>
  </si>
  <si>
    <t>210+000</t>
  </si>
  <si>
    <t>1923033</t>
  </si>
  <si>
    <t>76 ОП РЗ 76А-005</t>
  </si>
  <si>
    <t>12+000</t>
  </si>
  <si>
    <t>14+000</t>
  </si>
  <si>
    <t>1923014</t>
  </si>
  <si>
    <t>Подъезд к пгт. Вершино-Дарасунский км 0+000 - км 48+255</t>
  </si>
  <si>
    <t>76 ОП РЗ 76К-022</t>
  </si>
  <si>
    <t>38+250</t>
  </si>
  <si>
    <t>48+255</t>
  </si>
  <si>
    <t>1923144</t>
  </si>
  <si>
    <t>Подъезд к с. Нуринск км 0+000 - км 8+000</t>
  </si>
  <si>
    <t>76 ОП РЗ 76К-179</t>
  </si>
  <si>
    <t>1922956</t>
  </si>
  <si>
    <t>Подъезд к с. Урульга км 0+000 - км 16+000</t>
  </si>
  <si>
    <t>76 ОП РЗ 76К-062</t>
  </si>
  <si>
    <t>16+000</t>
  </si>
  <si>
    <t>1923075</t>
  </si>
  <si>
    <t>Дарасун - Солнцево км 75+000 - км 136+000</t>
  </si>
  <si>
    <t>76 ОП РЗ 76Н-016</t>
  </si>
  <si>
    <t>126+000</t>
  </si>
  <si>
    <t>110+000</t>
  </si>
  <si>
    <t>95+000</t>
  </si>
  <si>
    <t>85+000</t>
  </si>
  <si>
    <t>75+000</t>
  </si>
  <si>
    <t>1923009</t>
  </si>
  <si>
    <t>Нерчинск - Шоноктуй км 0+000 - км 46+300</t>
  </si>
  <si>
    <t>76 ОП РЗ 76К-007</t>
  </si>
  <si>
    <t>46+300</t>
  </si>
  <si>
    <t>1923011</t>
  </si>
  <si>
    <t>Шелопугино - Балей км 0+000 - км 78+833</t>
  </si>
  <si>
    <t>76 ОП РЗ 76К-009</t>
  </si>
  <si>
    <t>60+000</t>
  </si>
  <si>
    <t>78+833</t>
  </si>
  <si>
    <t>1923074</t>
  </si>
  <si>
    <t>Краснокаменск - Мациевская км 43+762 - км 53+762</t>
  </si>
  <si>
    <t>76 ОП РЗ 76К-014</t>
  </si>
  <si>
    <t>43+762</t>
  </si>
  <si>
    <t>53+762</t>
  </si>
  <si>
    <t>1923059</t>
  </si>
  <si>
    <t>Новая Кука - Могзон - Хилок км 0+000 - км 84+000</t>
  </si>
  <si>
    <t>76 ОП РЗ 76Н-0023</t>
  </si>
  <si>
    <t>84+000</t>
  </si>
  <si>
    <t>1923058</t>
  </si>
  <si>
    <t>Бырка - Акша км 0+000 - км 69+500</t>
  </si>
  <si>
    <t>76 ОП РЗ 76К-004</t>
  </si>
  <si>
    <t>69+500</t>
  </si>
  <si>
    <t>1922950</t>
  </si>
  <si>
    <t>Калга - Приаргунск км 50+000 - км 76+000</t>
  </si>
  <si>
    <t>76 ОП РЗ 76К-015</t>
  </si>
  <si>
    <t>50+000</t>
  </si>
  <si>
    <t>76+000</t>
  </si>
  <si>
    <t>1922995</t>
  </si>
  <si>
    <t>76 ОП РЗ 76К-108</t>
  </si>
  <si>
    <t>1923030</t>
  </si>
  <si>
    <t>Подъезд к с.Талман-Борзя км 0+000 - км 10+000</t>
  </si>
  <si>
    <t>76 ОП РЗ 76К-180</t>
  </si>
  <si>
    <t>1923013</t>
  </si>
  <si>
    <t>Баляга - Ямаровка км 0+000 - км 119+330</t>
  </si>
  <si>
    <t>76 ОП РЗ 76К-018</t>
  </si>
  <si>
    <t>119+330</t>
  </si>
  <si>
    <t>220+000</t>
  </si>
  <si>
    <t>230+000</t>
  </si>
  <si>
    <t>240+000</t>
  </si>
  <si>
    <t>136+00</t>
  </si>
  <si>
    <t>25+000</t>
  </si>
  <si>
    <t>35+000</t>
  </si>
  <si>
    <t>1923127</t>
  </si>
  <si>
    <t>76 ОП МЗ 76Н-070</t>
  </si>
  <si>
    <t>1923147</t>
  </si>
  <si>
    <t>1922975</t>
  </si>
  <si>
    <t>1923114</t>
  </si>
  <si>
    <t>76 ОП РЗ 76К-196</t>
  </si>
  <si>
    <t>76 ОП РЗ 76К-199</t>
  </si>
  <si>
    <t>76 ОП РЗ 76К-141</t>
  </si>
  <si>
    <t>1923137</t>
  </si>
  <si>
    <t>76 ОП РЗ 76К-140</t>
  </si>
  <si>
    <t>Подъезд к г.Чита км 0+000 - км 2+854</t>
  </si>
  <si>
    <t>Обход г.Чита км 0+000 - км 14+000</t>
  </si>
  <si>
    <t>Смоленка -Карповка км 0+000 - км 9+125</t>
  </si>
  <si>
    <t>8+000</t>
  </si>
  <si>
    <t>255+000</t>
  </si>
  <si>
    <t>193+000</t>
  </si>
  <si>
    <t>162+000</t>
  </si>
  <si>
    <t>7+000</t>
  </si>
  <si>
    <t>0+00</t>
  </si>
  <si>
    <t>9+125</t>
  </si>
  <si>
    <t>2+450</t>
  </si>
  <si>
    <t xml:space="preserve">км </t>
  </si>
  <si>
    <t>1923094</t>
  </si>
  <si>
    <t>Подъезд к пгт.Дарасун</t>
  </si>
  <si>
    <t>76 ОП РЗ 76К-195</t>
  </si>
  <si>
    <t>Мангут - Кыра км 35+000 - км 42+000</t>
  </si>
  <si>
    <t>42+000</t>
  </si>
  <si>
    <t>Дарасун - Госграница с МНР км 10 - км 12; км 55+000 - км 62+363</t>
  </si>
  <si>
    <t>62+363</t>
  </si>
  <si>
    <t>113+810</t>
  </si>
  <si>
    <t>93+845</t>
  </si>
  <si>
    <t>14+367</t>
  </si>
  <si>
    <t>31+130</t>
  </si>
  <si>
    <t>24+367</t>
  </si>
  <si>
    <t>255+00</t>
  </si>
  <si>
    <t>270+00</t>
  </si>
  <si>
    <t>176+000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</si>
  <si>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</si>
  <si>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1923001</t>
  </si>
  <si>
    <t>Улан-Удэ-Романовка-Чита</t>
  </si>
  <si>
    <t>4+000</t>
  </si>
  <si>
    <t>Чита-Ингода</t>
  </si>
  <si>
    <t>29+700</t>
  </si>
  <si>
    <t>36+000</t>
  </si>
  <si>
    <t>Обход г.Чита</t>
  </si>
  <si>
    <t>Подъезд к г.Чита</t>
  </si>
  <si>
    <t>2+854</t>
  </si>
  <si>
    <t>Городской округ "Город Чита"</t>
  </si>
  <si>
    <t>пр. Фадеева</t>
  </si>
  <si>
    <t>ул. Ивановскя</t>
  </si>
  <si>
    <t>пр. Жукова</t>
  </si>
  <si>
    <t>Остановочный павильон</t>
  </si>
  <si>
    <t>шт</t>
  </si>
  <si>
    <t>Романовский тракт</t>
  </si>
  <si>
    <t>ул. Ковыльная</t>
  </si>
  <si>
    <t>ул. Олимпийская</t>
  </si>
  <si>
    <t>ул. Угданская</t>
  </si>
  <si>
    <t>ул Кайдаловская</t>
  </si>
  <si>
    <t>ул. Журавлева</t>
  </si>
  <si>
    <t>ул. Богомягкова</t>
  </si>
  <si>
    <t>ул. Угданская,  стр.61</t>
  </si>
  <si>
    <t>ул. Нагорная</t>
  </si>
  <si>
    <t xml:space="preserve"> ул. Красной звезды</t>
  </si>
  <si>
    <t>ул. Народная</t>
  </si>
  <si>
    <t>ул. Ленина</t>
  </si>
  <si>
    <t>ул. Столярова</t>
  </si>
  <si>
    <t>ул. Кирова</t>
  </si>
  <si>
    <t>Светофорный объект П1</t>
  </si>
  <si>
    <t>ул. Нечаева</t>
  </si>
  <si>
    <t>ул. Кайдаловская</t>
  </si>
  <si>
    <t>ул. Автогенная</t>
  </si>
  <si>
    <t>ул. Верхнеудинская</t>
  </si>
  <si>
    <t>ул. Ярославского</t>
  </si>
  <si>
    <t>Московский тракт</t>
  </si>
  <si>
    <t>Проспект Советов</t>
  </si>
  <si>
    <t>ул. Карла Маркса</t>
  </si>
  <si>
    <t>ул. Горбунова</t>
  </si>
  <si>
    <t>ул. Магистральная</t>
  </si>
  <si>
    <t>ул. Гайдара</t>
  </si>
  <si>
    <t xml:space="preserve">установка барьерного ограждения </t>
  </si>
  <si>
    <t>Карповский тракт</t>
  </si>
  <si>
    <t xml:space="preserve">ПК 17+00 </t>
  </si>
  <si>
    <t>ПК 23+00</t>
  </si>
  <si>
    <t>ул. Кутузова</t>
  </si>
  <si>
    <t>ул. Агинский тракт</t>
  </si>
  <si>
    <t>строение №13 мкр. Осетровка</t>
  </si>
  <si>
    <t>ул.  Горького</t>
  </si>
  <si>
    <t>ул. Бабушкина</t>
  </si>
  <si>
    <t>ул. Новобульварная</t>
  </si>
  <si>
    <t>ул. Богмягкова</t>
  </si>
  <si>
    <t>ул. Генерала Белика</t>
  </si>
  <si>
    <t>ул. Кастринская</t>
  </si>
  <si>
    <t>ул. Амурская</t>
  </si>
  <si>
    <t>ул. Подгорбунского</t>
  </si>
  <si>
    <t>ул. Шилова</t>
  </si>
  <si>
    <t>ул. Белорусская</t>
  </si>
  <si>
    <t>ул. Белорусская, стр. №44б</t>
  </si>
  <si>
    <t>ул. Трактовая</t>
  </si>
  <si>
    <t>ул. Крымская</t>
  </si>
  <si>
    <t>ул. Космонавтов</t>
  </si>
  <si>
    <t>проспект Маршала Жукова</t>
  </si>
  <si>
    <t>ул. Ивановская</t>
  </si>
  <si>
    <t>проезд Раздольный</t>
  </si>
  <si>
    <t>ул. Назара Широких</t>
  </si>
  <si>
    <t>ул. Строителей</t>
  </si>
  <si>
    <t>проезд Ивановский</t>
  </si>
  <si>
    <t>ФАД  Байкал</t>
  </si>
  <si>
    <t>ул. Весовая</t>
  </si>
  <si>
    <t>проезд Александра Блгакова</t>
  </si>
  <si>
    <t>ул. Мира</t>
  </si>
  <si>
    <t>стр. №60 ул.  Александра Блгакова</t>
  </si>
  <si>
    <t>Агинский тракт</t>
  </si>
  <si>
    <t xml:space="preserve"> ул. Кирова</t>
  </si>
  <si>
    <t>Агинский тракт, 27</t>
  </si>
  <si>
    <t>пр. Рудничный</t>
  </si>
  <si>
    <t>ул. Автостроителей</t>
  </si>
  <si>
    <t>ул. Удоканская</t>
  </si>
  <si>
    <t>ул Недорезова</t>
  </si>
  <si>
    <t>ул. Байкальская</t>
  </si>
  <si>
    <t xml:space="preserve">ул. Амурская, стр. 3з </t>
  </si>
  <si>
    <t>ул. Петровско-Заводская</t>
  </si>
  <si>
    <t>ул. Николая  Островского</t>
  </si>
  <si>
    <t>ул. Верхоленская</t>
  </si>
  <si>
    <t>ул. Кайдаловская, стр. 45</t>
  </si>
  <si>
    <t>ул. Николая Островского</t>
  </si>
  <si>
    <t>ул. Ленинградская</t>
  </si>
  <si>
    <t>ул. Ленинградская, 2</t>
  </si>
  <si>
    <t>Матвеева</t>
  </si>
  <si>
    <t>проспект Генерала Белика</t>
  </si>
  <si>
    <t>ул Шилова</t>
  </si>
  <si>
    <t>ул. Недорезова</t>
  </si>
  <si>
    <t>ул. Пограничная</t>
  </si>
  <si>
    <t>ул. Авиационная</t>
  </si>
  <si>
    <t>ул. Суворова</t>
  </si>
  <si>
    <t>ул.Рахова</t>
  </si>
  <si>
    <t>ул. Рахова</t>
  </si>
  <si>
    <t>ул. Проектная</t>
  </si>
  <si>
    <t>ул. Энергостроителей</t>
  </si>
  <si>
    <t>ул. Назара  Широких</t>
  </si>
  <si>
    <t>ул. Весенняя</t>
  </si>
  <si>
    <t>ул. Чкалова</t>
  </si>
  <si>
    <t>ул. Чкалова, стр.1</t>
  </si>
  <si>
    <t>ул. Белика</t>
  </si>
  <si>
    <t>Гайдара</t>
  </si>
  <si>
    <t>Назара Губина</t>
  </si>
  <si>
    <t>ул. Тобольского</t>
  </si>
  <si>
    <t>ул. Тобольского, стр. 1</t>
  </si>
  <si>
    <t>ул. Баргузинская</t>
  </si>
  <si>
    <t>ул. Казачья</t>
  </si>
  <si>
    <t>ул. Каларская</t>
  </si>
  <si>
    <t>ул. Полины Осипенко</t>
  </si>
  <si>
    <t>ул. Промышленная</t>
  </si>
  <si>
    <t>ул. Коханского</t>
  </si>
  <si>
    <t>Богомягкова</t>
  </si>
  <si>
    <t>Шилова</t>
  </si>
  <si>
    <t>ул. Комсомольская</t>
  </si>
  <si>
    <t>ул.Генерала Белика</t>
  </si>
  <si>
    <t>стр. №2</t>
  </si>
  <si>
    <t>ул. Засопочная</t>
  </si>
  <si>
    <t>стр. №111</t>
  </si>
  <si>
    <t>ул. Онискевича</t>
  </si>
  <si>
    <t>ул. Высокая</t>
  </si>
  <si>
    <t>ул. Кочеткова</t>
  </si>
  <si>
    <t>ул. Таежная</t>
  </si>
  <si>
    <t>ул. Смоленская</t>
  </si>
  <si>
    <t>ул. Токмакова</t>
  </si>
  <si>
    <t>ул. 1-я Читинская</t>
  </si>
  <si>
    <t>стр. №2 ул. Каларская</t>
  </si>
  <si>
    <t>1-я Оранжерйная</t>
  </si>
  <si>
    <t>ул. Промышлення</t>
  </si>
  <si>
    <t>Промышленная стр №1</t>
  </si>
  <si>
    <t>Объездное шоссе</t>
  </si>
  <si>
    <t>ул. Западная</t>
  </si>
  <si>
    <t>ул. Селенгинская</t>
  </si>
  <si>
    <t>ул Столярова стр №93</t>
  </si>
  <si>
    <t>уд. Угданская</t>
  </si>
  <si>
    <t>стр №50 ул. Токмакова</t>
  </si>
  <si>
    <t>ул. Энтузиастов</t>
  </si>
  <si>
    <t>удл. Строителей</t>
  </si>
  <si>
    <t>пр. Раздольный</t>
  </si>
  <si>
    <t>Строителей стр. №96</t>
  </si>
  <si>
    <t>ул. 40 лет Октября</t>
  </si>
  <si>
    <t>ул. Победы</t>
  </si>
  <si>
    <t>стр. №1 ул.  40 лет Октября</t>
  </si>
  <si>
    <t>проезд Кутузовский</t>
  </si>
  <si>
    <t>ул. 4-я Станкозаводская</t>
  </si>
  <si>
    <t>стр №126</t>
  </si>
  <si>
    <t>ул. Якутская</t>
  </si>
  <si>
    <t>ул. Беклемишевская</t>
  </si>
  <si>
    <t>ул. Партизанская</t>
  </si>
  <si>
    <t>ул. Железобетонная</t>
  </si>
  <si>
    <t>стр. №2 ул. Трактовая</t>
  </si>
  <si>
    <t>ул. Анохина</t>
  </si>
  <si>
    <t>ИТОГО по автомобильным дорогам местного значения (улицы) городского округа "Город Чита"</t>
  </si>
  <si>
    <t>Муниципальный район "Читинский район"</t>
  </si>
  <si>
    <t>Ул. Совхозная, пгт. Атамановка</t>
  </si>
  <si>
    <t>2229136</t>
  </si>
  <si>
    <t>ул Матюгина, пгт. Атамановка</t>
  </si>
  <si>
    <t>ул Матюгина 1</t>
  </si>
  <si>
    <t>пересечение с ул. Заводская</t>
  </si>
  <si>
    <t>2227768</t>
  </si>
  <si>
    <t>ул Заводская, пгт. Атамновка</t>
  </si>
  <si>
    <t>пересечение с ул. Матюгина</t>
  </si>
  <si>
    <t>пересечение с ул. Шоссейная</t>
  </si>
  <si>
    <t>2229664</t>
  </si>
  <si>
    <t>ул Полевая, с. Засопка</t>
  </si>
  <si>
    <t>2228076</t>
  </si>
  <si>
    <t>ул Тверская, с. Засопка</t>
  </si>
  <si>
    <t>пересечение с ул. Совхозная</t>
  </si>
  <si>
    <t>пересечение с ул. Магистральная</t>
  </si>
  <si>
    <t>2222087</t>
  </si>
  <si>
    <t>ул Центральная, с. Засопка</t>
  </si>
  <si>
    <t>пересечение с ул. Полевая</t>
  </si>
  <si>
    <t>пересечение с ул. Центральный квартал</t>
  </si>
  <si>
    <t>2227458</t>
  </si>
  <si>
    <t>ул Пионерская, с. Засопка</t>
  </si>
  <si>
    <t>пересечение с ул Центральный квартал</t>
  </si>
  <si>
    <t>пересечение с ул Полевая</t>
  </si>
  <si>
    <t>Чита - Засопка</t>
  </si>
  <si>
    <t>Смоленка - Забайкальский</t>
  </si>
  <si>
    <t>пересечение с ул Советская</t>
  </si>
  <si>
    <t>пересечение с ул Дорожная</t>
  </si>
  <si>
    <t>ул Центральный квартал, с.Засопка</t>
  </si>
  <si>
    <t>пересечение с ул Центральная</t>
  </si>
  <si>
    <t>пересечение с ул Пионерская</t>
  </si>
  <si>
    <t>ул Заозерная с. Угдан</t>
  </si>
  <si>
    <t>ИТОГО по автомобильным дорогам местного значения (улицы) муниципального района "Читинский район"</t>
  </si>
  <si>
    <t>Муниципальный район "Карымский район"</t>
  </si>
  <si>
    <t>А-166 Чита - Забайкальск с Китайской Народной Республикой км 60+300 - км 66+550</t>
  </si>
  <si>
    <t>6+250</t>
  </si>
  <si>
    <t>ИТОГО по автомобильным дорогам местного значения (улицы) муниципального района "Карымский район"</t>
  </si>
  <si>
    <t xml:space="preserve">ИТОГО по автомобильным дорогам местного значения (улицы) </t>
  </si>
  <si>
    <t>-</t>
  </si>
  <si>
    <t>другое (Остановочный павильон)</t>
  </si>
  <si>
    <t xml:space="preserve">                                                                                                                                                                                                            Автомобильные дороги федерального значения     </t>
  </si>
  <si>
    <t>Автомобильная дорога Р-258 "Байкал" Иркутск-Улан-Удэ-Чита  (км 1060+168 - км 1105+536)</t>
  </si>
  <si>
    <t>1080+000</t>
  </si>
  <si>
    <t>1091+800</t>
  </si>
  <si>
    <t>1068+000</t>
  </si>
  <si>
    <t>1060+168</t>
  </si>
  <si>
    <t>1105+536</t>
  </si>
  <si>
    <t>разметка</t>
  </si>
  <si>
    <t>км/м2</t>
  </si>
  <si>
    <t>45,368/12803</t>
  </si>
  <si>
    <t>Автомобильная дорога А-350 Чита-Забакальск - ганица с Китайской Народной Республикой (км 0+000 - км 9+500)</t>
  </si>
  <si>
    <t>6+000</t>
  </si>
  <si>
    <t>19+800</t>
  </si>
  <si>
    <t>9,5/5562</t>
  </si>
  <si>
    <t>Автомобильная дорога Р-297 "Амур" Чита-Невер-Свободный-Архара-Биробиджан-Хабаровск (км 6+000 - км 19+800)</t>
  </si>
  <si>
    <t>9+500</t>
  </si>
  <si>
    <t>13,8/8757</t>
  </si>
  <si>
    <t>Резервные объекты на автомобильных дорогах городской агломерации, реализация мероприятий на которых возможна при условии увеличения финансирования приоритетного проекта, либо за счет экономии, возникшей в результате снижения начальной (максимальной) цены контрактов при проведении конкурсных процедур.</t>
  </si>
  <si>
    <t xml:space="preserve">ул. Кирпично-Заводская </t>
  </si>
  <si>
    <t>пересечение ул. Кирпично-Ззаводская -ул. Магистральная</t>
  </si>
  <si>
    <t>Строительство</t>
  </si>
  <si>
    <t>ул. Строительная</t>
  </si>
  <si>
    <t>ул. Строительная, 26</t>
  </si>
  <si>
    <t xml:space="preserve">ул. Курнатовского </t>
  </si>
  <si>
    <t>ул. Курнатовского</t>
  </si>
  <si>
    <t>автодорога "объездное шоссе"</t>
  </si>
  <si>
    <t>Итого по автомобильным дорогам общего пользования за исключением автодорог федерального значения</t>
  </si>
  <si>
    <t>Таблица № 3. Перечень автомобильных дорог (улиц) федерального, регионального и межмуниципального, местного  значения, работающих в режиме перегрузки (по субъекту Российской Федерации)</t>
  </si>
  <si>
    <t xml:space="preserve">Наименование автомобильной дороги (улиц) </t>
  </si>
  <si>
    <t>км 536+000</t>
  </si>
  <si>
    <t>572+000</t>
  </si>
  <si>
    <t>562+716</t>
  </si>
  <si>
    <t>567+716</t>
  </si>
  <si>
    <t>км 0+000</t>
  </si>
  <si>
    <t>2020-2021</t>
  </si>
  <si>
    <t>Подъезд к с.Беклемишево</t>
  </si>
  <si>
    <t>31+000</t>
  </si>
  <si>
    <t>км 20+000</t>
  </si>
  <si>
    <t>ул. Романовский тракт</t>
  </si>
  <si>
    <t>ул. Олимпмийская</t>
  </si>
  <si>
    <t>ул. Бутина</t>
  </si>
  <si>
    <t>пр. Генерала Белика</t>
  </si>
  <si>
    <t>ул. Кайдалаовская</t>
  </si>
  <si>
    <t>финансирование работ планируется в рамках иных мероприятий</t>
  </si>
  <si>
    <t>ул. Просторная</t>
  </si>
  <si>
    <t>до стр. 253а мкр. Солнечный</t>
  </si>
  <si>
    <t xml:space="preserve">ул. Чкалова </t>
  </si>
  <si>
    <t xml:space="preserve">ул. Полины Осипенко </t>
  </si>
  <si>
    <t>ул. Красноармейская</t>
  </si>
  <si>
    <t>ул. Краснознаменная</t>
  </si>
  <si>
    <t xml:space="preserve">ул. Авиационная </t>
  </si>
  <si>
    <t>ул. Ленинградская, стр.2</t>
  </si>
  <si>
    <t>Адрес аварийно-опасного участка (МКДТП)</t>
  </si>
  <si>
    <t>Количество ДТП с пострадавшими в МКДТП в 2017 г., шт.</t>
  </si>
  <si>
    <r>
      <t>Условия и причины возникновения места концентрации ДТП, выявленные по результатам анализа сведений о ДТП</t>
    </r>
    <r>
      <rPr>
        <vertAlign val="superscript"/>
        <sz val="11"/>
        <color theme="1"/>
        <rFont val="Times New Roman"/>
        <family val="1"/>
        <charset val="204"/>
      </rPr>
      <t>2</t>
    </r>
  </si>
  <si>
    <t>Количество пострадавших в МКДТП в 2017 г., чел.</t>
  </si>
  <si>
    <r>
      <t>Коды недостатков транспортно-эксплуатационного состояния УДС в местах совершения ДТП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</si>
  <si>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Мероприятия по ликвидации МКДТП</t>
    </r>
    <r>
      <rPr>
        <vertAlign val="superscript"/>
        <sz val="10"/>
        <rFont val="Times New Roman"/>
        <family val="1"/>
        <charset val="204"/>
      </rPr>
      <t>4</t>
    </r>
  </si>
  <si>
    <r>
      <t>По видам</t>
    </r>
    <r>
      <rPr>
        <vertAlign val="superscript"/>
        <sz val="11"/>
        <color rgb="FF000000"/>
        <rFont val="Times New Roman"/>
        <family val="1"/>
        <charset val="204"/>
      </rPr>
      <t>1</t>
    </r>
  </si>
  <si>
    <t>Сроки проведения (месяц, год)</t>
  </si>
  <si>
    <t>Вид</t>
  </si>
  <si>
    <t>Количество</t>
  </si>
  <si>
    <t>Р-258 Иркутск-Улан-Удэ-Чита км 719+000 - км 1105+418</t>
  </si>
  <si>
    <t>721+000</t>
  </si>
  <si>
    <t>721+900</t>
  </si>
  <si>
    <t xml:space="preserve">В 2017 году на данном участке автомобильной дороги км 721+296 проводился капитальный ремонт моста через р. Ушоты. Причина ДТП несоблюдение требований предписанных временными дорожными знаками при производстве работ, несоблюдение скорости движения, управление т/с в н/с.  </t>
  </si>
  <si>
    <t>Содержание участка. Установка аншлагов «Аварийно-опасный участок» (2 шт.)</t>
  </si>
  <si>
    <t>март 2018</t>
  </si>
  <si>
    <t xml:space="preserve">После Установки Аншлагов "Аварийноопасный участок" ДТП не зарегистрировано </t>
  </si>
  <si>
    <t>1094+400</t>
  </si>
  <si>
    <t>1095+350</t>
  </si>
  <si>
    <t xml:space="preserve">Водители не соблюдали требования установленных дорожных знаков при выезде со второстепенной дороги, не предоставляли  преимущество в движении. Управляли в нетрезвом состоянии.  </t>
  </si>
  <si>
    <t>1095+110</t>
  </si>
  <si>
    <t>1095+400</t>
  </si>
  <si>
    <t xml:space="preserve">В августе -сентябре 2017 года в рамках Федеральной Целевой Программы пересечение автомобильных дорог на км 1095+350 было обустроено автономными осветительными системами 8 шт., произведена установка знаков "Ваша скорость" 2-шт., установка дорожных знаков с повышенным информативным фоном - 8 шт., произведено устройство шумовых полос, установка световозвращающих элементов КД-3. </t>
  </si>
  <si>
    <t>с  июля 2017 по октыбрь 2017</t>
  </si>
  <si>
    <t>стабильное место концентрации ДТП</t>
  </si>
  <si>
    <t>1098+300</t>
  </si>
  <si>
    <t>1099+100</t>
  </si>
  <si>
    <t>С</t>
  </si>
  <si>
    <t>1098+800</t>
  </si>
  <si>
    <t>Содержание участка. Установка аншлагов «Аварийно-опасный участок» (2 шт.).  Дорожных знаков 3,27 "Остановка запрещена" с повышенным информативным фоном-4 шт.</t>
  </si>
  <si>
    <t>Аншлаги апрель 2018,  знаки август 2018</t>
  </si>
  <si>
    <t>Р - 297 "Амур" Чита - Невер - Свободный - Архара - Биробиджан - Хабаровск км 0+000 - км 741+967)</t>
  </si>
  <si>
    <t>266+300</t>
  </si>
  <si>
    <t>266+400</t>
  </si>
  <si>
    <t xml:space="preserve">Водители не соблюдали требования установленных дорожных знаков об ограничении скорости движения.  </t>
  </si>
  <si>
    <t xml:space="preserve">Содержание участка. Установка аншлагов «Аварийно-опасный участок» (2 шт. Выполнены работы по ликвидации просадлки </t>
  </si>
  <si>
    <t>июль 2017</t>
  </si>
  <si>
    <t>Обход г.Чита км 0 - км 14+000</t>
  </si>
  <si>
    <t>8+700</t>
  </si>
  <si>
    <t>9+600</t>
  </si>
  <si>
    <t>управление ТС в состоянии алкогольного опьянения, несоблюдение очередности движения</t>
  </si>
  <si>
    <t xml:space="preserve">Содержание. На участке км 8+500 - 9+900 установили информационные аншлаги об аварийно-опасном участке ; на участке 8+700-9+700 обустроили шумовые полосы в соответствии с ГОСТ 33025-2014; установили дорожные знаки 3.24 "Ограничение максимальной скорости до 70 км/ч" с табличкой 8.2.1 </t>
  </si>
  <si>
    <t>неправильный выбор дистанции</t>
  </si>
  <si>
    <t>водитель не имеет права на управление ТС, выезд на полосу встречного движения</t>
  </si>
  <si>
    <t>подъезд к г. Чита  км. 0-2+854</t>
  </si>
  <si>
    <t>0+847</t>
  </si>
  <si>
    <t>1+800</t>
  </si>
  <si>
    <t>управление ТС в состоянии алкогольного опьянения, неправильный выбор дистанции</t>
  </si>
  <si>
    <t>управление ТС в состоянии алкогольного опьянения, выезд на полосу встречного движения</t>
  </si>
  <si>
    <t xml:space="preserve"> Агинский тракт </t>
  </si>
  <si>
    <t>Агинский тракт, стр. 6</t>
  </si>
  <si>
    <t>Агинский тракт, стр. 25</t>
  </si>
  <si>
    <t>6/1</t>
  </si>
  <si>
    <t>ул.Бабушкина</t>
  </si>
  <si>
    <t>перекресток с ул. Журавлева</t>
  </si>
  <si>
    <t>3/1</t>
  </si>
  <si>
    <t xml:space="preserve">ул. Бабушкина </t>
  </si>
  <si>
    <t>ул. Каховская</t>
  </si>
  <si>
    <t>6/1,5</t>
  </si>
  <si>
    <t>ул.Бутина</t>
  </si>
  <si>
    <t>перекресток с ул. Бабушкина</t>
  </si>
  <si>
    <t>3/5</t>
  </si>
  <si>
    <t>ул.Красной Звезды</t>
  </si>
  <si>
    <t>ул.Красной Звезды, 51а</t>
  </si>
  <si>
    <t>ул.Красной Звезды, 58</t>
  </si>
  <si>
    <t>ул.Ленина</t>
  </si>
  <si>
    <t>ул. Выставочная</t>
  </si>
  <si>
    <t>3/8</t>
  </si>
  <si>
    <t>ул.Новобульварная</t>
  </si>
  <si>
    <t>пр.Маршала Жукова</t>
  </si>
  <si>
    <t>пр. Маршала Жукова, стр.5</t>
  </si>
  <si>
    <t>ул.Ивановская</t>
  </si>
  <si>
    <t>ул.Ивановская, 80</t>
  </si>
  <si>
    <t>ул.Ивановская, 91</t>
  </si>
  <si>
    <t>3/2</t>
  </si>
  <si>
    <t>ул.Шилова</t>
  </si>
  <si>
    <t>ул. Сухая падь</t>
  </si>
  <si>
    <t>Примечание:</t>
  </si>
  <si>
    <t>1) Заносятся данные об общем числе ДТП, после наклонной черты указывается цифрой через запятую значение кода вида каждого ДТП, например, 6/1,1,1,1,3,5</t>
  </si>
  <si>
    <t xml:space="preserve">Коды видов ДТП: </t>
  </si>
  <si>
    <t>0 – Наезд на животное; 1 – Столкновение; 2 – Опрокидывание; 3 – Наезд на стоящее ТС; 4 – Наезд на препятствие; 5 – Наезд на пешехода; 6 – Наезд на велосипедиста; 7 – Наезд на гужевой транспорт; 8 – Падение пассажира; 9 – Иной вид ДТП</t>
  </si>
  <si>
    <t>2) Указываются условия и причины возникновения места концентрации ДТП, которые могут быть полностью устранены, либо обеспечено снижение их влияния на вероятность возникновения ДТП, в результате реализации мероприятий в рамках ПРОДС.</t>
  </si>
  <si>
    <t>3) Указываются  все цифровые значения кодов (через запятую), указанные в Карточках учета ДТП .</t>
  </si>
  <si>
    <t>4) Указываются мероприятия, направленные на устранение либо снижение влияния условий и причин возникновения МКДТП, указанных в столбце 10.</t>
  </si>
  <si>
    <t>Термин "аварийно-опасный участкок дороги"  в соответствии со  статьей 2 Федерального закона от 10.12.1995 N 196-ФЗ.</t>
  </si>
  <si>
    <t xml:space="preserve"> Все столбцы таблицы по каждому аварийно-опасному участку должны быть заполнены (столбцы 7 и 14 заполняются при наличии ДТП, в местах совершения которых  выявлены недостатки транспортно-эксплуатационного состояния УДС).</t>
  </si>
  <si>
    <r>
      <t xml:space="preserve">Последняя страница Перечня подписывается руководителем проектного офиса БКАД в регионе и руководителем </t>
    </r>
    <r>
      <rPr>
        <sz val="11"/>
        <color indexed="8"/>
        <rFont val="Times New Roman"/>
        <family val="1"/>
        <charset val="204"/>
      </rPr>
      <t>подразделения Госавтоинспекции территориального органа МВД России по субъекту Российской Федерации</t>
    </r>
  </si>
  <si>
    <t>Таблица № 5.Программа проведения диагностики автомобильных дорог регионального и межмуниципального значения  
(по субъекту Российской Федерации)</t>
  </si>
  <si>
    <t>Плановые сроки проедения инструментальной диагностики</t>
  </si>
  <si>
    <t>1922977</t>
  </si>
  <si>
    <t>Агинское - Дульдурга</t>
  </si>
  <si>
    <t>март</t>
  </si>
  <si>
    <t>2019</t>
  </si>
  <si>
    <t>1922978</t>
  </si>
  <si>
    <t>Агинское - Нижний Цасучей</t>
  </si>
  <si>
    <t>1922949</t>
  </si>
  <si>
    <t>Александровский Завод - Красноярово - Трубачево</t>
  </si>
  <si>
    <t>Бырка - Акша</t>
  </si>
  <si>
    <t>2021-2023</t>
  </si>
  <si>
    <t>Дарасун - Госграница с МНР</t>
  </si>
  <si>
    <t>10</t>
  </si>
  <si>
    <t>2019-2020</t>
  </si>
  <si>
    <t>1923101</t>
  </si>
  <si>
    <t>Подъезд к пгт. Кличка</t>
  </si>
  <si>
    <t>Нерчинск - Шоноктуй</t>
  </si>
  <si>
    <t>2021-2024</t>
  </si>
  <si>
    <t>Могойтуй - Сретенск - Олочи</t>
  </si>
  <si>
    <t>сентябрь</t>
  </si>
  <si>
    <t>2019-2024</t>
  </si>
  <si>
    <t>Шелопугино - Балей</t>
  </si>
  <si>
    <t>1923034</t>
  </si>
  <si>
    <t>Балей - Улятуй</t>
  </si>
  <si>
    <t>Ивановка - Александровский Завод - Борзя</t>
  </si>
  <si>
    <t>1923102</t>
  </si>
  <si>
    <t>Первомайск - Цаган-Олуй - Кондуй</t>
  </si>
  <si>
    <t>1923122</t>
  </si>
  <si>
    <t>Забайкальск - Приаргунск</t>
  </si>
  <si>
    <t>Краснокаменск - Мациевская</t>
  </si>
  <si>
    <t>Калга - Приаргунск</t>
  </si>
  <si>
    <t>Дарасун - Солнцево</t>
  </si>
  <si>
    <t>2020-2024</t>
  </si>
  <si>
    <t>1923035</t>
  </si>
  <si>
    <t>Краснокаменск - Досатуй</t>
  </si>
  <si>
    <t>1923013.</t>
  </si>
  <si>
    <t>Баляга - Ямаровка</t>
  </si>
  <si>
    <t>1922979</t>
  </si>
  <si>
    <t>Могоча - Тупик</t>
  </si>
  <si>
    <t>1923103</t>
  </si>
  <si>
    <t>Кличка - Маргуцек</t>
  </si>
  <si>
    <t>1922951</t>
  </si>
  <si>
    <t>Подъезд к с. Староцурухайтуй</t>
  </si>
  <si>
    <t>Подъезд к пгт Вершино-Дарасунский</t>
  </si>
  <si>
    <t>2019-2021</t>
  </si>
  <si>
    <t>Новая Кука - Могзон - Хилок</t>
  </si>
  <si>
    <t>1923060</t>
  </si>
  <si>
    <t>Могойтуй - Убур-Тохтор - Акша</t>
  </si>
  <si>
    <t>1923123</t>
  </si>
  <si>
    <t>Подъезд к с. Акша</t>
  </si>
  <si>
    <t>1923015</t>
  </si>
  <si>
    <t>Подъезд к с. Курулга</t>
  </si>
  <si>
    <t>1923124</t>
  </si>
  <si>
    <t>Подъезд к с. Улача</t>
  </si>
  <si>
    <t>1923036</t>
  </si>
  <si>
    <t>Подъезд к с. Урейск</t>
  </si>
  <si>
    <t>1922952</t>
  </si>
  <si>
    <t>Александровский Завод - Журавлево - Маньково</t>
  </si>
  <si>
    <t>1923061</t>
  </si>
  <si>
    <t>Подъезд к с. Васильевский Хутор</t>
  </si>
  <si>
    <t>1923076</t>
  </si>
  <si>
    <t>Подъезд к с. Кокуй 2-й</t>
  </si>
  <si>
    <t>1922980</t>
  </si>
  <si>
    <t>Подъезд к с. Кутугай</t>
  </si>
  <si>
    <t>1923077</t>
  </si>
  <si>
    <t>Подъезд к с. Манкечур</t>
  </si>
  <si>
    <t>1923104</t>
  </si>
  <si>
    <t>Подъезд к с. Мулино</t>
  </si>
  <si>
    <t>1923125</t>
  </si>
  <si>
    <t>Подъезд к с. Николаевка</t>
  </si>
  <si>
    <t>1923037</t>
  </si>
  <si>
    <t>Подъезд к с. Новый Акатуй</t>
  </si>
  <si>
    <t>1922953</t>
  </si>
  <si>
    <t>Подъезд к с. Онон-Борзя</t>
  </si>
  <si>
    <t>1923038</t>
  </si>
  <si>
    <t>Подъезд к с. Чиндагатай</t>
  </si>
  <si>
    <t>1923039</t>
  </si>
  <si>
    <t>Подъезд к с. Шара</t>
  </si>
  <si>
    <t>1923016</t>
  </si>
  <si>
    <t>Подъезд к курорту Ургучан</t>
  </si>
  <si>
    <t>1922981</t>
  </si>
  <si>
    <t>Подъезд к с. Матусово</t>
  </si>
  <si>
    <t>1922982</t>
  </si>
  <si>
    <t>Подъезд к с. Нижний Ильдикан</t>
  </si>
  <si>
    <t>1923078</t>
  </si>
  <si>
    <t>Подъезд к с. Хада-Булак</t>
  </si>
  <si>
    <t>1923040</t>
  </si>
  <si>
    <t>Передняя Бырка - Биликтуй</t>
  </si>
  <si>
    <t>1923017</t>
  </si>
  <si>
    <t>Подъезд к пгт Шерловая Гора</t>
  </si>
  <si>
    <t>1923105</t>
  </si>
  <si>
    <t>Подъезд к с. Ключевское</t>
  </si>
  <si>
    <t>1922983</t>
  </si>
  <si>
    <t>Подъезд к с. Чиндант 2-й</t>
  </si>
  <si>
    <t>1923079</t>
  </si>
  <si>
    <t>Газимурский Завод - Батакан - Зерен</t>
  </si>
  <si>
    <t>1922954</t>
  </si>
  <si>
    <t>Подъезд к с. Кактолга</t>
  </si>
  <si>
    <t>1923106</t>
  </si>
  <si>
    <t>Подъезд к п. Новоширокинский</t>
  </si>
  <si>
    <t>1923080</t>
  </si>
  <si>
    <t>Подъезд к н. п. Солонечный</t>
  </si>
  <si>
    <t>1923041</t>
  </si>
  <si>
    <t>Подъезд к с. Красный Великан</t>
  </si>
  <si>
    <t>1923107</t>
  </si>
  <si>
    <t>Подъезд к с. Абагайтуй</t>
  </si>
  <si>
    <t>1923081</t>
  </si>
  <si>
    <t>Чара - Чапо-Олого</t>
  </si>
  <si>
    <t>1923126</t>
  </si>
  <si>
    <t>Подъезд к с. Нижний Калгукан - Верхний Калгукан</t>
  </si>
  <si>
    <t>1922984</t>
  </si>
  <si>
    <t>Подъезд к с. Бура</t>
  </si>
  <si>
    <t>1923062</t>
  </si>
  <si>
    <t>Подъезд к с. Козлово</t>
  </si>
  <si>
    <t>1923042</t>
  </si>
  <si>
    <t>Подъезд к с. Средняя Борзя</t>
  </si>
  <si>
    <t>1923063</t>
  </si>
  <si>
    <t>Подъезд к с. Чингильтуй</t>
  </si>
  <si>
    <t>1923108</t>
  </si>
  <si>
    <t>Карымская - Олентуй</t>
  </si>
  <si>
    <t>1922955</t>
  </si>
  <si>
    <t>Подъезд к с. Сыпчегур</t>
  </si>
  <si>
    <t>Подъезд к с. Урульга</t>
  </si>
  <si>
    <t>октябрь</t>
  </si>
  <si>
    <t>1923082</t>
  </si>
  <si>
    <t>Краснокаменск - Кайластуй</t>
  </si>
  <si>
    <t>1923018</t>
  </si>
  <si>
    <t>Краснокаменск - Маргуцек - Ковыли</t>
  </si>
  <si>
    <t>1922985</t>
  </si>
  <si>
    <t>Коротково - Менза</t>
  </si>
  <si>
    <t>1922986</t>
  </si>
  <si>
    <t>Малоархангельск - Урлук</t>
  </si>
  <si>
    <t>1922987</t>
  </si>
  <si>
    <t>Жиндокон - Хилкотой - Конкино</t>
  </si>
  <si>
    <t>1922988</t>
  </si>
  <si>
    <t>Красный Чикой - Архангельское</t>
  </si>
  <si>
    <t>1922989</t>
  </si>
  <si>
    <t>Кыра - Гавань</t>
  </si>
  <si>
    <t>Мангут - Кыра</t>
  </si>
  <si>
    <t>2021</t>
  </si>
  <si>
    <t>1922990</t>
  </si>
  <si>
    <t>Подъезд к с. Михайло-Павловск</t>
  </si>
  <si>
    <t>1923128</t>
  </si>
  <si>
    <t>Тупик - Заречное</t>
  </si>
  <si>
    <t>1922957</t>
  </si>
  <si>
    <t>Калинино - Волочаевка</t>
  </si>
  <si>
    <t>1923043</t>
  </si>
  <si>
    <t>Подъезд к г. Нерчинск</t>
  </si>
  <si>
    <t>1923064</t>
  </si>
  <si>
    <t>Подъезд к с. Бишигино</t>
  </si>
  <si>
    <t>1922958</t>
  </si>
  <si>
    <t>Подъезд к с. Верхние Ключи</t>
  </si>
  <si>
    <t>1923044</t>
  </si>
  <si>
    <t>Подъезд к с. Зюльзя</t>
  </si>
  <si>
    <t>1923109</t>
  </si>
  <si>
    <t>Подъезд к с. Илим</t>
  </si>
  <si>
    <t>1923045</t>
  </si>
  <si>
    <t>Подъезд к с. Левые Кумаки</t>
  </si>
  <si>
    <t>1922991</t>
  </si>
  <si>
    <t>Подъезд к с. Нижние Ключи</t>
  </si>
  <si>
    <t>1923083</t>
  </si>
  <si>
    <t>Подъезд к с. Олекан</t>
  </si>
  <si>
    <t>1923065</t>
  </si>
  <si>
    <t>Нерчинский Завод - Булдуруй 1-й</t>
  </si>
  <si>
    <t>1923019</t>
  </si>
  <si>
    <t>Нерчинский Завод - Уровские Ключи</t>
  </si>
  <si>
    <t>1922992</t>
  </si>
  <si>
    <t>Олочи - Аргунск</t>
  </si>
  <si>
    <t>1923020</t>
  </si>
  <si>
    <t>Подъезд к с. Горный Зерентуй</t>
  </si>
  <si>
    <t>1923084</t>
  </si>
  <si>
    <t>Подъезд к с. Широкая</t>
  </si>
  <si>
    <t>1922993</t>
  </si>
  <si>
    <t>Подъезд к с. Явленка</t>
  </si>
  <si>
    <t>1923129</t>
  </si>
  <si>
    <t>Улан-Цацык - Хара-Бырка</t>
  </si>
  <si>
    <t>1923085</t>
  </si>
  <si>
    <t>Долгокыча - Калангуй</t>
  </si>
  <si>
    <t>1923086</t>
  </si>
  <si>
    <t>Ононск - Оловянная</t>
  </si>
  <si>
    <t>1923130</t>
  </si>
  <si>
    <t>Ононск - Единение</t>
  </si>
  <si>
    <t>1922959</t>
  </si>
  <si>
    <t>Нижний Цасучей - Кулусутай</t>
  </si>
  <si>
    <t>1923087</t>
  </si>
  <si>
    <t>Подъезд к с. Буйлэсан</t>
  </si>
  <si>
    <t>1923088</t>
  </si>
  <si>
    <t>Подъезд к с. Красная Ималка</t>
  </si>
  <si>
    <t>1922994</t>
  </si>
  <si>
    <t>Подъезд к с. Холуй-База</t>
  </si>
  <si>
    <t>1922960</t>
  </si>
  <si>
    <t>Подъезд к с. Чиндант 1-й</t>
  </si>
  <si>
    <t>1923131</t>
  </si>
  <si>
    <t>Баляга - Катангар</t>
  </si>
  <si>
    <t>1923110</t>
  </si>
  <si>
    <t>Подъезд к с. Катаево</t>
  </si>
  <si>
    <t>1923066</t>
  </si>
  <si>
    <t>Малета - Пески</t>
  </si>
  <si>
    <t>1923021</t>
  </si>
  <si>
    <t>Новопавловка - Толбага</t>
  </si>
  <si>
    <t>1923067</t>
  </si>
  <si>
    <t>Петровск-Забайкальский - Кижа</t>
  </si>
  <si>
    <t>1923022</t>
  </si>
  <si>
    <t>Подъезд к г. Петровск-Забайкальский</t>
  </si>
  <si>
    <t>1923132</t>
  </si>
  <si>
    <t>Подъезд к с. Любовь</t>
  </si>
  <si>
    <t>1923023</t>
  </si>
  <si>
    <t>Новопавловка - Зугмара</t>
  </si>
  <si>
    <t>1923046</t>
  </si>
  <si>
    <t>Подъезд к с. Харауз</t>
  </si>
  <si>
    <t>1922961</t>
  </si>
  <si>
    <t>Подъезд к с. Тарбагатай</t>
  </si>
  <si>
    <t>Бырка - Досатуй</t>
  </si>
  <si>
    <t>2022</t>
  </si>
  <si>
    <t>1923133</t>
  </si>
  <si>
    <t>Молодежный - Досатуй</t>
  </si>
  <si>
    <t>1923111</t>
  </si>
  <si>
    <t>Приаргунск - Зоргол</t>
  </si>
  <si>
    <t>1922962</t>
  </si>
  <si>
    <t>Подъезд к п. Пограничный</t>
  </si>
  <si>
    <t>1923112</t>
  </si>
  <si>
    <t>Подъезд к с. Дурой</t>
  </si>
  <si>
    <t>1923068</t>
  </si>
  <si>
    <t>Урулюнгуй - Кличка</t>
  </si>
  <si>
    <t>1923089</t>
  </si>
  <si>
    <t>Сретенск - Бори</t>
  </si>
  <si>
    <t>1922996</t>
  </si>
  <si>
    <t>Кудея - Большие Боты</t>
  </si>
  <si>
    <t>1922963</t>
  </si>
  <si>
    <t>Подъезд к пгт Кокуй</t>
  </si>
  <si>
    <t>1922997</t>
  </si>
  <si>
    <t>Подъезд к с. Кулан</t>
  </si>
  <si>
    <t>1923047</t>
  </si>
  <si>
    <t>Подъезд к с. Алия</t>
  </si>
  <si>
    <t>1923048</t>
  </si>
  <si>
    <t>Подъезд к с. Дунаево</t>
  </si>
  <si>
    <t>1923134</t>
  </si>
  <si>
    <t>Усугли - Кыкер - Тунгокочен</t>
  </si>
  <si>
    <t>1923135</t>
  </si>
  <si>
    <t>Танга - Ленинский</t>
  </si>
  <si>
    <t>1923049</t>
  </si>
  <si>
    <t>Улеты - Могзон</t>
  </si>
  <si>
    <t>Подъезд к пгт Дровяная</t>
  </si>
  <si>
    <t>1923136</t>
  </si>
  <si>
    <t>Подъезд к с. Арта</t>
  </si>
  <si>
    <t>1922998</t>
  </si>
  <si>
    <t>Подъезд к с. Улеты</t>
  </si>
  <si>
    <t>1923090</t>
  </si>
  <si>
    <t>Подъезд к г. Хилок</t>
  </si>
  <si>
    <t>1922999</t>
  </si>
  <si>
    <t>Подъезд к п. ст. Жипхеген</t>
  </si>
  <si>
    <t>1923091</t>
  </si>
  <si>
    <t>Подъезд к с. Бада</t>
  </si>
  <si>
    <t>1923025</t>
  </si>
  <si>
    <t>Подъезд к с. Энгорок</t>
  </si>
  <si>
    <t>1923000</t>
  </si>
  <si>
    <t>Чернышевск - Букачача</t>
  </si>
  <si>
    <t>1922964</t>
  </si>
  <si>
    <t>Чернышевск - Икшица</t>
  </si>
  <si>
    <t>1923026</t>
  </si>
  <si>
    <t>Подъезд к с. Байгул</t>
  </si>
  <si>
    <t>1923027</t>
  </si>
  <si>
    <t>Подъезд к с. Курлыч</t>
  </si>
  <si>
    <t>1923092</t>
  </si>
  <si>
    <t>Подъезд к с. Новоильинск</t>
  </si>
  <si>
    <t>1922965</t>
  </si>
  <si>
    <t>Подъезд к с. Новый Олов</t>
  </si>
  <si>
    <t>1923093</t>
  </si>
  <si>
    <t>Подъезд к с. Укурей</t>
  </si>
  <si>
    <t>1923113</t>
  </si>
  <si>
    <t>Сыпчегур - Ленинский</t>
  </si>
  <si>
    <t>Улан-Удэ - Романовка - Чита</t>
  </si>
  <si>
    <t>Подъезд к с. Шишкино</t>
  </si>
  <si>
    <t>Чита - Ингода</t>
  </si>
  <si>
    <t>2021-2022</t>
  </si>
  <si>
    <t>Смоленка - Карповка</t>
  </si>
  <si>
    <t>1922966</t>
  </si>
  <si>
    <t>Подъезд к п. Песчанка</t>
  </si>
  <si>
    <t>1923115</t>
  </si>
  <si>
    <t>Подъезд к с. Сивяково</t>
  </si>
  <si>
    <t>июнь 2016</t>
  </si>
  <si>
    <t>Подъезд к с. Беклемишево</t>
  </si>
  <si>
    <t>2019-2023</t>
  </si>
  <si>
    <t>1923095</t>
  </si>
  <si>
    <t>Подъезд к с. Арахлей</t>
  </si>
  <si>
    <t>1923028</t>
  </si>
  <si>
    <t>Подъезд к с. Елизаветино</t>
  </si>
  <si>
    <t>1923096</t>
  </si>
  <si>
    <t>Подъезд к с. Новотроицк</t>
  </si>
  <si>
    <t>июль 2016</t>
  </si>
  <si>
    <t>1922967</t>
  </si>
  <si>
    <t>Подъезд к с. Кука (курорт)</t>
  </si>
  <si>
    <t>1923069</t>
  </si>
  <si>
    <t>Копунь - Малый Тонтой</t>
  </si>
  <si>
    <t>1923097</t>
  </si>
  <si>
    <t>Подъезд к с. Шивия</t>
  </si>
  <si>
    <t>1923050</t>
  </si>
  <si>
    <t>Подъезд к с. Вершино-Шахтаминский</t>
  </si>
  <si>
    <t>1923070</t>
  </si>
  <si>
    <t>Подъезд к г. Шилка</t>
  </si>
  <si>
    <t>1922968</t>
  </si>
  <si>
    <t>Подъезд к пгт Холбон</t>
  </si>
  <si>
    <t>1923116</t>
  </si>
  <si>
    <t>Подъезд к с. Митрофаново</t>
  </si>
  <si>
    <t>1923138</t>
  </si>
  <si>
    <t>Подъезд к с. Казаново (восточный)</t>
  </si>
  <si>
    <t>1923139</t>
  </si>
  <si>
    <t>Подъезд к с. Номоконово</t>
  </si>
  <si>
    <t>1923003</t>
  </si>
  <si>
    <t>Подъезд к с. Ононское</t>
  </si>
  <si>
    <t>1923098</t>
  </si>
  <si>
    <t>Подъезд к с. Усть-Теленгуй</t>
  </si>
  <si>
    <t>1923140</t>
  </si>
  <si>
    <t>Первомайск - Шиванда</t>
  </si>
  <si>
    <t>1923117</t>
  </si>
  <si>
    <t>Подъезд к с. Южный Аргалей</t>
  </si>
  <si>
    <t>1923051</t>
  </si>
  <si>
    <t>Подъезд к пгт Орловский</t>
  </si>
  <si>
    <t>1923052</t>
  </si>
  <si>
    <t>Подъезд к с. Челутай</t>
  </si>
  <si>
    <t>1923099</t>
  </si>
  <si>
    <t>Подъезд к с. Кункур</t>
  </si>
  <si>
    <t>1923053</t>
  </si>
  <si>
    <t>Подъезд к с. Гунэй</t>
  </si>
  <si>
    <t>1922969</t>
  </si>
  <si>
    <t>Подъезд к с. Будулан</t>
  </si>
  <si>
    <t>1923100</t>
  </si>
  <si>
    <t>Урдо-Ага - Хойто-Ага</t>
  </si>
  <si>
    <t>1923141</t>
  </si>
  <si>
    <t>Таптанай - Зуткулей</t>
  </si>
  <si>
    <t>1922970</t>
  </si>
  <si>
    <t>Таптанай - Чиндалей - Токчин</t>
  </si>
  <si>
    <t>1923071</t>
  </si>
  <si>
    <t>Подъезд к с. Бальзино</t>
  </si>
  <si>
    <t>1923118</t>
  </si>
  <si>
    <t>Подъезд к с. Ара-Иля</t>
  </si>
  <si>
    <t>1923054</t>
  </si>
  <si>
    <t>Подъезд к источнику Алханай</t>
  </si>
  <si>
    <t>1923119</t>
  </si>
  <si>
    <t>Подъезд к с. Узон</t>
  </si>
  <si>
    <t>1923142</t>
  </si>
  <si>
    <t>Могойтуй - Догой</t>
  </si>
  <si>
    <t>1923029</t>
  </si>
  <si>
    <t>Могойтуй - Ушарбай</t>
  </si>
  <si>
    <t>1923143</t>
  </si>
  <si>
    <t>Могойтуй - Боржигантай</t>
  </si>
  <si>
    <t>1923055</t>
  </si>
  <si>
    <t>Подъезд к с. Цаган-Челутай</t>
  </si>
  <si>
    <t>1923004</t>
  </si>
  <si>
    <t>Степь - Ортуй - Кусоча</t>
  </si>
  <si>
    <t>1922971</t>
  </si>
  <si>
    <t>Подъезд к п. Могойтуй</t>
  </si>
  <si>
    <t>Подъезд к с. Нуринск</t>
  </si>
  <si>
    <t>Подъезд к с. Талман-Борзя</t>
  </si>
  <si>
    <t>1923005</t>
  </si>
  <si>
    <t>Верхний Шергольджин - Большая Речка</t>
  </si>
  <si>
    <t>1923056</t>
  </si>
  <si>
    <t>Вершино-Дарасунский - Верх-Усугли</t>
  </si>
  <si>
    <t>1922972</t>
  </si>
  <si>
    <t>Подъезд к п. ст. Адриановка</t>
  </si>
  <si>
    <t>1923057</t>
  </si>
  <si>
    <t>Подъезд к пгт Амазар</t>
  </si>
  <si>
    <t>1923072</t>
  </si>
  <si>
    <t>Подъезд к г. Могоча</t>
  </si>
  <si>
    <t>1923145</t>
  </si>
  <si>
    <t>Подъезд к с. Курильжа</t>
  </si>
  <si>
    <t>1923006</t>
  </si>
  <si>
    <t>Борзя - Соловьевск</t>
  </si>
  <si>
    <t>1923031</t>
  </si>
  <si>
    <t>Кыра - Шумунда</t>
  </si>
  <si>
    <t>1922973</t>
  </si>
  <si>
    <t>Калангуй - Турга</t>
  </si>
  <si>
    <t>1923073</t>
  </si>
  <si>
    <t>Подъезд к спортивно-оздоровительному комплексу "Высокогорье"</t>
  </si>
  <si>
    <t>1922974</t>
  </si>
  <si>
    <t>Подъезд к с. Цугол</t>
  </si>
  <si>
    <t>1923120</t>
  </si>
  <si>
    <t>Подъезд к с. Казаковский Промысел</t>
  </si>
  <si>
    <t>1923146</t>
  </si>
  <si>
    <t>Подъезд к с. Байхор</t>
  </si>
  <si>
    <t>1923007</t>
  </si>
  <si>
    <t>Ядрихино - Усть-Жергей</t>
  </si>
  <si>
    <t>1923032</t>
  </si>
  <si>
    <t>Подъезд к пгт. Дарасун</t>
  </si>
  <si>
    <t>Подъезд к г. Чита</t>
  </si>
  <si>
    <t>1923148</t>
  </si>
  <si>
    <t>Подъезд к ст. Сретенск</t>
  </si>
  <si>
    <t>1923121</t>
  </si>
  <si>
    <t>Подъезд к с. Степной</t>
  </si>
  <si>
    <t>Обход г. Чита</t>
  </si>
  <si>
    <t>1923008</t>
  </si>
  <si>
    <t>Подъезд к пгт. Ключевский</t>
  </si>
  <si>
    <t>1922976</t>
  </si>
  <si>
    <t>Подъезд к пгт. Ясногорск</t>
  </si>
  <si>
    <t>Р-258 "Байкал" Ирутск-Улан-Удэ-Чита</t>
  </si>
  <si>
    <t>август-сентябрь</t>
  </si>
  <si>
    <t>Р-297 "Амур" Чита-Невер-Свободный-Архара-Биробиджан-Хабаровск</t>
  </si>
  <si>
    <t>А-350 Чита-Забайкальск-граница с Китайской Народной Республикой</t>
  </si>
  <si>
    <t>2023-2024</t>
  </si>
  <si>
    <t>0</t>
  </si>
  <si>
    <t>обход  г. Чита</t>
  </si>
  <si>
    <t>2023</t>
  </si>
  <si>
    <t>Смоленка-Карповка</t>
  </si>
  <si>
    <t>Подъезд к Песчанка</t>
  </si>
  <si>
    <t>9</t>
  </si>
  <si>
    <t>2024</t>
  </si>
  <si>
    <t>декабрь</t>
  </si>
  <si>
    <t>ул. Нагорная (ул.Народная)</t>
  </si>
  <si>
    <t>проезд Александра Булгакова</t>
  </si>
  <si>
    <t>ул. Тобольская</t>
  </si>
  <si>
    <t xml:space="preserve"> ул.Журавлева</t>
  </si>
  <si>
    <t>ИТОГО по городскому округу "Город Чита":</t>
  </si>
  <si>
    <t>ул Заозерная, с. Угдан</t>
  </si>
  <si>
    <t>ул Совхозная, пгт. Атамановка</t>
  </si>
  <si>
    <t>ИТОГО по муниципальному району "Читинский район:</t>
  </si>
  <si>
    <t>Карымский район</t>
  </si>
  <si>
    <t>ИТОГО по муниципальному району "Карымский район:</t>
  </si>
  <si>
    <r>
      <t xml:space="preserve">Таблица № 6. Программа проведения диагностики автомобильных дорог (улиц) федерального, регионального и межмуниципального, местного значения (в границах городской агломерации)  </t>
    </r>
    <r>
      <rPr>
        <b/>
        <i/>
        <sz val="12"/>
        <color theme="1"/>
        <rFont val="Times New Roman"/>
        <family val="1"/>
        <charset val="204"/>
      </rPr>
      <t>&lt;Читинская городская агломерация&gt;</t>
    </r>
  </si>
  <si>
    <t>76 ОП РЗ 76К-001</t>
  </si>
  <si>
    <t>76 ОП РЗ 76К-002</t>
  </si>
  <si>
    <t>62+300</t>
  </si>
  <si>
    <t>76 ОП РЗ 76К-003</t>
  </si>
  <si>
    <t>1+000</t>
  </si>
  <si>
    <t>159+500</t>
  </si>
  <si>
    <t>72+898</t>
  </si>
  <si>
    <t>76 ОП РЗ 76К-006</t>
  </si>
  <si>
    <t>97+300</t>
  </si>
  <si>
    <t>76 ОП МЗ 76Н-010</t>
  </si>
  <si>
    <t>76 ОП РЗ 76К-012</t>
  </si>
  <si>
    <t>22+000</t>
  </si>
  <si>
    <t>290+550</t>
  </si>
  <si>
    <t>76 ОП РЗ 76А-013</t>
  </si>
  <si>
    <t>3+000</t>
  </si>
  <si>
    <t>107+400</t>
  </si>
  <si>
    <t>78+208</t>
  </si>
  <si>
    <t>76 ОП МЗ 76Н-017</t>
  </si>
  <si>
    <t>14+400</t>
  </si>
  <si>
    <t>76 ОП РЗ 76К-019</t>
  </si>
  <si>
    <t>168+305</t>
  </si>
  <si>
    <t>76 ОП МЗ 76Н-020</t>
  </si>
  <si>
    <t>76 ОП МЗ 76Н-024</t>
  </si>
  <si>
    <t>138+619</t>
  </si>
  <si>
    <t>76 ОП РЗ 76К-025</t>
  </si>
  <si>
    <t>86+000</t>
  </si>
  <si>
    <t>94+000</t>
  </si>
  <si>
    <t>76 ОП РЗ 76К-026</t>
  </si>
  <si>
    <t>8+850</t>
  </si>
  <si>
    <t>76 ОП РЗ 76К-027</t>
  </si>
  <si>
    <t>76 ОП РЗ 76К-028</t>
  </si>
  <si>
    <t>76 ОП РЗ 76К-029</t>
  </si>
  <si>
    <t>2+000</t>
  </si>
  <si>
    <t>76 ОП РЗ 76К-032</t>
  </si>
  <si>
    <t>2+500</t>
  </si>
  <si>
    <t>76 ОП РЗ 76К-038</t>
  </si>
  <si>
    <t>76 ОП РЗ 76К-039</t>
  </si>
  <si>
    <t>76 ОП РЗ 76К-044</t>
  </si>
  <si>
    <t>5+000</t>
  </si>
  <si>
    <t>76 ОП РЗ 76К-046</t>
  </si>
  <si>
    <t>1+500</t>
  </si>
  <si>
    <t>3+500</t>
  </si>
  <si>
    <t>76 ОП МЗ 76Н-049</t>
  </si>
  <si>
    <t>51+600</t>
  </si>
  <si>
    <t>76 ОП РЗ 76К-050</t>
  </si>
  <si>
    <t>31+850</t>
  </si>
  <si>
    <t>76 ОП РЗ 76К-053</t>
  </si>
  <si>
    <t>76 ОП РЗ 76К-055</t>
  </si>
  <si>
    <t>15+080</t>
  </si>
  <si>
    <t>76 ОП МЗ 76Н-063</t>
  </si>
  <si>
    <t>13+000</t>
  </si>
  <si>
    <t>76 ОП МЗ 76Н-064</t>
  </si>
  <si>
    <t>76 ОП МЗ 76Н-065</t>
  </si>
  <si>
    <t>76 ОП РЗ 76К-066</t>
  </si>
  <si>
    <t>76 ОП МЗ 76Н-067</t>
  </si>
  <si>
    <t>76 ОП МЗ 76Н-068</t>
  </si>
  <si>
    <t>76 ОП МЗ 76Н-069</t>
  </si>
  <si>
    <t>76 ОП РЗ 76К-071</t>
  </si>
  <si>
    <t>76 ОП МЗ 76Н-073</t>
  </si>
  <si>
    <t>15+000</t>
  </si>
  <si>
    <t>76 ОП РЗ 76К-074</t>
  </si>
  <si>
    <t>29+180</t>
  </si>
  <si>
    <t>76 ОП РЗ 76К-081</t>
  </si>
  <si>
    <t>25+850</t>
  </si>
  <si>
    <t>76 ОП МЗ 76Н-082</t>
  </si>
  <si>
    <t>76 ОП МЗ 76Н-083</t>
  </si>
  <si>
    <t>76 ОП МЗ 76Н-088</t>
  </si>
  <si>
    <t>11+000</t>
  </si>
  <si>
    <t>76 ОП РЗ 76К-092</t>
  </si>
  <si>
    <t>76 ОП РЗ 76К-093</t>
  </si>
  <si>
    <t>76 ОП МЗ 76Н-098</t>
  </si>
  <si>
    <t>76 ОП МЗ 76Н-100</t>
  </si>
  <si>
    <t>76 ОП МЗ 76Н-102</t>
  </si>
  <si>
    <t>76 ОП МЗ 76К-104</t>
  </si>
  <si>
    <t>76 ОП РЗ 76К-106</t>
  </si>
  <si>
    <t>42+400</t>
  </si>
  <si>
    <t>76 ОП РЗ 76К-111</t>
  </si>
  <si>
    <t>76 ОП РЗ 76К-112</t>
  </si>
  <si>
    <t>76 ОП РЗ 76К-113</t>
  </si>
  <si>
    <t>76 ОП МЗ 76Н-114</t>
  </si>
  <si>
    <t>76 ОП РЗ 76К-117</t>
  </si>
  <si>
    <t>76 ОП МЗ 76Н-120</t>
  </si>
  <si>
    <t>76 ОП МЗ 76Н-121</t>
  </si>
  <si>
    <t>76 ОП МЗ 76Н-122</t>
  </si>
  <si>
    <t>47+000</t>
  </si>
  <si>
    <t>76 ОП РЗ 76К-124</t>
  </si>
  <si>
    <t>76 ОП РЗ 76К-125</t>
  </si>
  <si>
    <t>76 ОП РЗ 76К-127</t>
  </si>
  <si>
    <t>76 ОП РЗ 76К-128</t>
  </si>
  <si>
    <t>76 ОП МЗ 76Н-130</t>
  </si>
  <si>
    <t>22+300</t>
  </si>
  <si>
    <t>76 ОП РЗ 76К-131</t>
  </si>
  <si>
    <t>76 ОП РЗ 76К-132</t>
  </si>
  <si>
    <t>1+350</t>
  </si>
  <si>
    <t>76 ОП РЗ 76К-135</t>
  </si>
  <si>
    <t>76 ОП РЗ 76К-136</t>
  </si>
  <si>
    <t>0+940</t>
  </si>
  <si>
    <t>76 ОП РЗ 76А-138</t>
  </si>
  <si>
    <t>535+000</t>
  </si>
  <si>
    <t>539+500</t>
  </si>
  <si>
    <t>76 ОП РЗ 76К-139</t>
  </si>
  <si>
    <t>76 ОП РЗ 76А-142</t>
  </si>
  <si>
    <t>9+000</t>
  </si>
  <si>
    <t>76 ОП РЗ 76К-143</t>
  </si>
  <si>
    <t>76 ОП РЗ 76К-147</t>
  </si>
  <si>
    <t>3+600</t>
  </si>
  <si>
    <t>76 ОП РЗ 76К-148</t>
  </si>
  <si>
    <t>76 ОП РЗ 76К-152</t>
  </si>
  <si>
    <t>1+300</t>
  </si>
  <si>
    <t>76 ОП МЗ 76Н-154</t>
  </si>
  <si>
    <t>19+000</t>
  </si>
  <si>
    <t>76 ОП РЗ 76К-160</t>
  </si>
  <si>
    <t>76 ОП РЗ 76К-162</t>
  </si>
  <si>
    <t>76 ОП РЗ 76К-169</t>
  </si>
  <si>
    <t>76 ОП РЗ 76К-171</t>
  </si>
  <si>
    <t>27+500</t>
  </si>
  <si>
    <t>76 ОП РЗ 76К-172</t>
  </si>
  <si>
    <t>76 ОП МЗ 76Н-173</t>
  </si>
  <si>
    <t>2+610</t>
  </si>
  <si>
    <t>76 ОП МЗ 76Н-175</t>
  </si>
  <si>
    <t>76 ОП МЗ 76Н-177</t>
  </si>
  <si>
    <t>76 ОП РЗ 76К-178</t>
  </si>
  <si>
    <t>76 ОП РЗ 76К-182</t>
  </si>
  <si>
    <t>1+700</t>
  </si>
  <si>
    <t>76 ОП РЗ 76К-184</t>
  </si>
  <si>
    <t>1+090</t>
  </si>
  <si>
    <t>76ОПР3 76К-185</t>
  </si>
  <si>
    <t>5+960</t>
  </si>
  <si>
    <t>76ОПМ3 76Н-186</t>
  </si>
  <si>
    <t>76 ОП МЗ 76К-188</t>
  </si>
  <si>
    <t>76 ОП РЗ 76К-190</t>
  </si>
  <si>
    <t>3+260</t>
  </si>
  <si>
    <t>76 ОП РЗ 76К-192</t>
  </si>
  <si>
    <t>0+620</t>
  </si>
  <si>
    <t>76 ОП РЗ 76К-193</t>
  </si>
  <si>
    <t>76 ОП РЗ 76К-194</t>
  </si>
  <si>
    <t>8+090</t>
  </si>
  <si>
    <t>7+620</t>
  </si>
  <si>
    <t>76 ОП РЗ 76К-197</t>
  </si>
  <si>
    <t>76 ОП РЗ 76К-198</t>
  </si>
  <si>
    <t>76 ОП РЗ 76К-200</t>
  </si>
  <si>
    <t>9+370</t>
  </si>
  <si>
    <t>76 ОП РЗ 76К-201</t>
  </si>
  <si>
    <t>0+500</t>
  </si>
  <si>
    <t>1+100</t>
  </si>
  <si>
    <t>обустройство средств фиксации НПДД в автоматическом режиме</t>
  </si>
  <si>
    <t>установка светофорного объекта, уширение проезжей части в рамках реконструкции за счет иных мероприятий</t>
  </si>
  <si>
    <t>пересечение с ул. Баргузинской</t>
  </si>
  <si>
    <t>3</t>
  </si>
  <si>
    <t>Ремонт. Восстановление асфальтобетонного покрытия в местах ремонта зем. полотна,(устранение просадок) км.0+357, км.0+500,  км.1+170, км1+270, км.1+390, км.1+440 , км.1+560, км.1+640, км.1+750, км1+940. Устройство искусственного освещения</t>
  </si>
  <si>
    <t>2018г.-ремонт а/б покрытия, зем. полотна, искусственных сооружений км.0-2+854. Ремонт 2023</t>
  </si>
  <si>
    <t>Устройство искусственного освещения в рамках ремонтных мероприятий нацпроекта в  2023 г</t>
  </si>
  <si>
    <t>Ремонт в рамках нацпроекта в  2021 г</t>
  </si>
  <si>
    <t>необходимо выполнить устройство разделительной полосы в рамках иных мероприятий</t>
  </si>
  <si>
    <t>4                 1                   5</t>
  </si>
  <si>
    <t>4                             1                                       1</t>
  </si>
  <si>
    <t>установка барьерного ограждения, устройство тротуаров, ремонт покрытия, устройство заездных карманов и обустройство автобусных остановок, установка светофоров типа Т7</t>
  </si>
  <si>
    <t>обустройство средств фиксации НПДД в автоматическом режиме, обустройство дополнительных ТСРД со светодиодной индикацией, уширение проезжей части перекрестка, установка направляющих устройств, модернизация светофорного объекта с табло "обратного отсчета"</t>
  </si>
  <si>
    <t>ликвидация пешеходного перехода, установка светофорного объекта с вызывным устройством для пешеходов</t>
  </si>
  <si>
    <t>уширение проезжей части перекрестка, мероприятия в соответствии с ПОДД</t>
  </si>
  <si>
    <t>устройство разделительной полосы, обустройство пешеходного перехода, обустройство дублирующих знаков 5.19, обустройство дополнительных ТСРД со светодиодной индикацией, установка светофоров типа Т7</t>
  </si>
  <si>
    <t>ремонт дороги, приведение искусственнвх сооружений в нормативное состояние, установка удерживающих устройств, устройство искусственного освещения</t>
  </si>
  <si>
    <t>обустройство пешеходных ограждений, обустройство светофорного объекта с вызывным устройством для пешеходов в рамках иных мероприятий</t>
  </si>
  <si>
    <t>37+000</t>
  </si>
  <si>
    <t>82+000</t>
  </si>
  <si>
    <t>74+410</t>
  </si>
  <si>
    <t>48+000</t>
  </si>
  <si>
    <t>402+500</t>
  </si>
  <si>
    <t>270+000</t>
  </si>
  <si>
    <t>55+750</t>
  </si>
  <si>
    <t>424+050</t>
  </si>
  <si>
    <t>51+910</t>
  </si>
  <si>
    <t>61+910</t>
  </si>
  <si>
    <t>19+500</t>
  </si>
  <si>
    <t>49+400</t>
  </si>
  <si>
    <t>Бырка - Досатуй км 0+000 - км 28+400</t>
  </si>
  <si>
    <t>28+400</t>
  </si>
  <si>
    <t>33+465</t>
  </si>
  <si>
    <t>Подъезд к пгт.Дарасун км 0+000 - км 7+620</t>
  </si>
  <si>
    <t>Чита-Ингода км 29+700 - км 42+000</t>
  </si>
  <si>
    <t>24+000</t>
  </si>
  <si>
    <t>11+145</t>
  </si>
  <si>
    <t>70+000</t>
  </si>
  <si>
    <t>392+500</t>
  </si>
  <si>
    <t>39+430</t>
  </si>
  <si>
    <t>158+830</t>
  </si>
  <si>
    <t>Могойтуй - Сретенск - Олочи км  432+500 - км 537+840</t>
  </si>
  <si>
    <t>Ивановка - Александровский Завод - Борзя км 0+000 - км 112+000</t>
  </si>
  <si>
    <t>Дарасун - Госграница с МНР км 0+000 - км 10+000; км 12+000 - км 55+000; км 62+363 - км 297+515</t>
  </si>
  <si>
    <t>Мангут - Кыра км 0+000 - км 35+000;  км 42+000 - км 68+000</t>
  </si>
  <si>
    <t>Бырка - Акша км 69+500 - км 237+195</t>
  </si>
  <si>
    <t>Бырка - Досатуй км 28+400 - км 51+000</t>
  </si>
  <si>
    <t>Краснокаменск - Досатуй км 0+000 - км 52+000</t>
  </si>
  <si>
    <t>Малоархангельск- Урлук км 0+000 - км 7+500</t>
  </si>
  <si>
    <t>453+500</t>
  </si>
  <si>
    <t>474+500</t>
  </si>
  <si>
    <t>495+500</t>
  </si>
  <si>
    <t>516+500</t>
  </si>
  <si>
    <t>537+840</t>
  </si>
  <si>
    <t>68+000</t>
  </si>
  <si>
    <t>237+195</t>
  </si>
  <si>
    <t>51+000</t>
  </si>
  <si>
    <t>52+000</t>
  </si>
  <si>
    <t>7+500</t>
  </si>
  <si>
    <t>23+000</t>
  </si>
  <si>
    <t>46+000</t>
  </si>
  <si>
    <t>69+000</t>
  </si>
  <si>
    <t>92+000</t>
  </si>
  <si>
    <t>297+500</t>
  </si>
  <si>
    <t>250+000</t>
  </si>
  <si>
    <t>200+000</t>
  </si>
  <si>
    <t>150+000</t>
  </si>
  <si>
    <t>100+000</t>
  </si>
  <si>
    <t>пм</t>
  </si>
  <si>
    <t>Плановые сроки проведения инструментальной диагностики</t>
  </si>
  <si>
    <t>Таблица № 1. Перечень автомобильных дорог (участков автомобильных дорог) регионального и межмуниципального значения и планируемые мероприятия на них для достижения целевых показателей по Забайкальскому краю</t>
  </si>
  <si>
    <t>Таблица № 2. Перечень автомобильных дорог (улиц) федерального, регионального и межмуниципального, местного значения и планируемые мероприятия на них для достижения целевых показателей по Читинской городской агломерации</t>
  </si>
  <si>
    <t>Усугли - Тунгокочен</t>
  </si>
  <si>
    <t>Первомайск - Боржигонтай</t>
  </si>
  <si>
    <t>55+860</t>
  </si>
  <si>
    <t>ИТОГО:*</t>
  </si>
  <si>
    <t>*в соответствии с постановлением Губернатора Забайкальского края от №135 от 26 июня 2008г ( в ред. Постанавлений Правительства Забайкальского края от 01.02.2017 № 21 )</t>
  </si>
  <si>
    <t>2020</t>
  </si>
  <si>
    <t>май</t>
  </si>
  <si>
    <t xml:space="preserve">Итого </t>
  </si>
  <si>
    <t>Содержание автомобильных дорог</t>
  </si>
  <si>
    <t>Ремонт автомобильных дорог</t>
  </si>
  <si>
    <t>ул. Александро-Заводская</t>
  </si>
  <si>
    <t>ул. Балябина</t>
  </si>
  <si>
    <t>ул. Бекетова</t>
  </si>
  <si>
    <t>ул. Виля Липатова</t>
  </si>
  <si>
    <t>ул. Володарского</t>
  </si>
  <si>
    <t>ул. 9-я Января</t>
  </si>
  <si>
    <t>ул. Забайкальского Рабочего</t>
  </si>
  <si>
    <t>ул. Красной Звезды</t>
  </si>
  <si>
    <t>ул. Курская</t>
  </si>
  <si>
    <t>ул. Лермонтова</t>
  </si>
  <si>
    <t>ул. Луговая</t>
  </si>
  <si>
    <t>(-3,22)</t>
  </si>
  <si>
    <t>ул. Оздоровительная</t>
  </si>
  <si>
    <t>ул. Песчаная</t>
  </si>
  <si>
    <t>ул. Профсоюзная</t>
  </si>
  <si>
    <t>ул. Рокоссовского</t>
  </si>
  <si>
    <t>ул. Советская</t>
  </si>
  <si>
    <t>ул. Совхозная</t>
  </si>
  <si>
    <t>ул. Труда</t>
  </si>
  <si>
    <t>пр. Угданский</t>
  </si>
  <si>
    <t>ул. Фрунзе</t>
  </si>
  <si>
    <t>ул. Хабаровская</t>
  </si>
  <si>
    <t>ул. Чайковского</t>
  </si>
  <si>
    <t>ул. Школьная</t>
  </si>
  <si>
    <t>пр. Энергостроителей</t>
  </si>
  <si>
    <t>ул. Ямаровская</t>
  </si>
  <si>
    <t>ул. Усуглинская</t>
  </si>
  <si>
    <t>3,284</t>
  </si>
  <si>
    <t xml:space="preserve">                                                                                                                                                                                                            Автомобильные дороги  регионального и межмуниципального значения (справочно из дорожного фонда Забайкальского края)</t>
  </si>
  <si>
    <t xml:space="preserve">                                                                                                                                                                                                            Автомобильные дороги  местного значения (муниципальный дорожный фонд городского округа "Город Чита")</t>
  </si>
  <si>
    <t>Содержание и ремонт улично-дорожной сети г. Чита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</si>
</sst>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0.0"/>
    <numFmt numFmtId="167" formatCode="#,##0.00_ ;\-#,##0.00\ "/>
    <numFmt numFmtId="168" formatCode="_-* #,##0.0\ _₽_-;\-* #,##0.0\ _₽_-;_-* &quot;-&quot;??\ _₽_-;_-@_-"/>
    <numFmt numFmtId="169" formatCode="_-* #,##0.000\ _₽_-;\-* #,##0.000\ _₽_-;_-* &quot;-&quot;??\ _₽_-;_-@_-"/>
    <numFmt numFmtId="170" formatCode="_-* #,##0.000_₽_-;\-* #,##0.000_₽_-;_-* &quot;-&quot;???_₽_-;_-@_-"/>
    <numFmt numFmtId="171" formatCode="_-* #,##0.0_р_._-;\-* #,##0.0_р_._-;_-* &quot;-&quot;??_р_._-;_-@_-"/>
    <numFmt numFmtId="172" formatCode="_-* #,##0.000_р_._-;\-* #,##0.000_р_._-;_-* &quot;-&quot;??_р_._-;_-@_-"/>
  </numFmts>
  <fonts count="63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.5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Arial"/>
      <family val="2"/>
    </font>
    <font>
      <sz val="8"/>
      <name val="Arial Cyr"/>
      <charset val="204"/>
    </font>
    <font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name val="Arial"/>
      <family val="2"/>
    </font>
    <font>
      <b/>
      <sz val="11"/>
      <color theme="0"/>
      <name val="Times New Roman"/>
      <family val="1"/>
      <charset val="204"/>
    </font>
    <font>
      <sz val="10.5"/>
      <color rgb="FF2D2D2D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Arial"/>
      <family val="2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7">
    <xf numFmtId="0" fontId="0" fillId="0" borderId="0"/>
    <xf numFmtId="0" fontId="1" fillId="0" borderId="0"/>
    <xf numFmtId="0" fontId="11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70">
    <xf numFmtId="0" fontId="0" fillId="0" borderId="0" xfId="0"/>
    <xf numFmtId="0" fontId="5" fillId="0" borderId="0" xfId="0" applyFont="1"/>
    <xf numFmtId="0" fontId="5" fillId="0" borderId="0" xfId="0" applyFont="1" applyBorder="1"/>
    <xf numFmtId="2" fontId="12" fillId="0" borderId="2" xfId="2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7" borderId="0" xfId="0" applyFont="1" applyFill="1"/>
    <xf numFmtId="0" fontId="5" fillId="7" borderId="0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5" fillId="6" borderId="0" xfId="0" applyFont="1" applyFill="1" applyBorder="1"/>
    <xf numFmtId="0" fontId="14" fillId="2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5" fillId="0" borderId="0" xfId="0" applyFont="1" applyFill="1" applyBorder="1"/>
    <xf numFmtId="0" fontId="6" fillId="2" borderId="0" xfId="1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/>
    <xf numFmtId="0" fontId="15" fillId="0" borderId="0" xfId="0" applyFont="1"/>
    <xf numFmtId="0" fontId="3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20" fillId="9" borderId="2" xfId="0" applyFont="1" applyFill="1" applyBorder="1" applyAlignment="1">
      <alignment horizontal="center" vertical="center" wrapText="1"/>
    </xf>
    <xf numFmtId="0" fontId="3" fillId="10" borderId="2" xfId="0" applyFont="1" applyFill="1" applyBorder="1"/>
    <xf numFmtId="0" fontId="15" fillId="9" borderId="2" xfId="0" applyFont="1" applyFill="1" applyBorder="1"/>
    <xf numFmtId="0" fontId="17" fillId="9" borderId="2" xfId="0" applyFont="1" applyFill="1" applyBorder="1" applyAlignment="1">
      <alignment horizontal="center" vertical="center" wrapText="1"/>
    </xf>
    <xf numFmtId="0" fontId="0" fillId="0" borderId="0" xfId="0" applyFont="1"/>
    <xf numFmtId="0" fontId="15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11" borderId="0" xfId="0" applyFont="1" applyFill="1" applyBorder="1"/>
    <xf numFmtId="0" fontId="5" fillId="11" borderId="0" xfId="0" applyFont="1" applyFill="1"/>
    <xf numFmtId="0" fontId="15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8" xfId="0" applyFont="1" applyBorder="1"/>
    <xf numFmtId="0" fontId="15" fillId="0" borderId="36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30" xfId="0" applyFont="1" applyBorder="1"/>
    <xf numFmtId="0" fontId="3" fillId="0" borderId="15" xfId="0" applyFont="1" applyBorder="1"/>
    <xf numFmtId="0" fontId="3" fillId="0" borderId="32" xfId="0" applyFont="1" applyBorder="1"/>
    <xf numFmtId="0" fontId="23" fillId="0" borderId="15" xfId="1" applyFont="1" applyFill="1" applyBorder="1" applyAlignment="1">
      <alignment horizontal="center" vertical="center" wrapText="1"/>
    </xf>
    <xf numFmtId="0" fontId="5" fillId="6" borderId="0" xfId="0" applyFont="1" applyFill="1"/>
    <xf numFmtId="0" fontId="1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2" applyNumberFormat="1" applyFont="1" applyFill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2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/>
    <xf numFmtId="0" fontId="3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43" fontId="16" fillId="4" borderId="2" xfId="5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12" borderId="0" xfId="0" applyFont="1" applyFill="1"/>
    <xf numFmtId="0" fontId="5" fillId="13" borderId="0" xfId="0" applyFont="1" applyFill="1"/>
    <xf numFmtId="0" fontId="5" fillId="14" borderId="0" xfId="0" applyFont="1" applyFill="1"/>
    <xf numFmtId="0" fontId="8" fillId="15" borderId="2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 wrapText="1"/>
    </xf>
    <xf numFmtId="165" fontId="3" fillId="15" borderId="2" xfId="2" applyNumberFormat="1" applyFont="1" applyFill="1" applyBorder="1" applyAlignment="1">
      <alignment horizontal="center" vertical="center" wrapText="1"/>
    </xf>
    <xf numFmtId="2" fontId="3" fillId="15" borderId="2" xfId="2" applyNumberFormat="1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15" borderId="0" xfId="0" applyFont="1" applyFill="1" applyBorder="1"/>
    <xf numFmtId="0" fontId="8" fillId="15" borderId="2" xfId="1" applyFont="1" applyFill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/>
    </xf>
    <xf numFmtId="0" fontId="8" fillId="17" borderId="13" xfId="0" applyFont="1" applyFill="1" applyBorder="1" applyAlignment="1">
      <alignment horizontal="center" vertical="center" wrapText="1"/>
    </xf>
    <xf numFmtId="0" fontId="8" fillId="15" borderId="13" xfId="1" applyFont="1" applyFill="1" applyBorder="1" applyAlignment="1">
      <alignment horizontal="center" vertical="center" wrapText="1"/>
    </xf>
    <xf numFmtId="0" fontId="8" fillId="17" borderId="13" xfId="1" applyFont="1" applyFill="1" applyBorder="1" applyAlignment="1">
      <alignment horizontal="center" vertical="center"/>
    </xf>
    <xf numFmtId="0" fontId="8" fillId="17" borderId="13" xfId="1" applyFont="1" applyFill="1" applyBorder="1" applyAlignment="1">
      <alignment horizontal="center" vertical="center" wrapText="1"/>
    </xf>
    <xf numFmtId="0" fontId="26" fillId="17" borderId="13" xfId="0" applyFont="1" applyFill="1" applyBorder="1" applyAlignment="1">
      <alignment vertical="center"/>
    </xf>
    <xf numFmtId="0" fontId="8" fillId="17" borderId="16" xfId="0" applyFont="1" applyFill="1" applyBorder="1" applyAlignment="1">
      <alignment vertical="center"/>
    </xf>
    <xf numFmtId="0" fontId="8" fillId="17" borderId="5" xfId="0" applyFont="1" applyFill="1" applyBorder="1" applyAlignment="1">
      <alignment vertical="center"/>
    </xf>
    <xf numFmtId="166" fontId="17" fillId="15" borderId="2" xfId="0" applyNumberFormat="1" applyFont="1" applyFill="1" applyBorder="1" applyAlignment="1">
      <alignment horizontal="center" vertical="center" wrapText="1"/>
    </xf>
    <xf numFmtId="166" fontId="17" fillId="15" borderId="3" xfId="0" applyNumberFormat="1" applyFont="1" applyFill="1" applyBorder="1" applyAlignment="1">
      <alignment horizontal="center" vertical="center" wrapText="1"/>
    </xf>
    <xf numFmtId="2" fontId="17" fillId="15" borderId="3" xfId="0" applyNumberFormat="1" applyFont="1" applyFill="1" applyBorder="1" applyAlignment="1">
      <alignment horizontal="center" vertical="center" wrapText="1"/>
    </xf>
    <xf numFmtId="2" fontId="17" fillId="15" borderId="6" xfId="0" applyNumberFormat="1" applyFont="1" applyFill="1" applyBorder="1" applyAlignment="1">
      <alignment horizontal="center" vertical="center" wrapText="1"/>
    </xf>
    <xf numFmtId="14" fontId="17" fillId="15" borderId="6" xfId="0" applyNumberFormat="1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0" fontId="17" fillId="15" borderId="16" xfId="0" applyFont="1" applyFill="1" applyBorder="1" applyAlignment="1">
      <alignment horizontal="center" vertical="center" wrapText="1"/>
    </xf>
    <xf numFmtId="0" fontId="17" fillId="15" borderId="5" xfId="0" applyFont="1" applyFill="1" applyBorder="1" applyAlignment="1">
      <alignment horizontal="center" vertical="center" wrapText="1"/>
    </xf>
    <xf numFmtId="2" fontId="17" fillId="15" borderId="4" xfId="0" applyNumberFormat="1" applyFont="1" applyFill="1" applyBorder="1" applyAlignment="1">
      <alignment horizontal="center" vertical="center" wrapText="1"/>
    </xf>
    <xf numFmtId="2" fontId="17" fillId="15" borderId="16" xfId="0" applyNumberFormat="1" applyFont="1" applyFill="1" applyBorder="1" applyAlignment="1">
      <alignment horizontal="center" vertical="center" wrapText="1"/>
    </xf>
    <xf numFmtId="14" fontId="17" fillId="15" borderId="16" xfId="0" applyNumberFormat="1" applyFont="1" applyFill="1" applyBorder="1" applyAlignment="1">
      <alignment horizontal="center" vertical="center" wrapText="1"/>
    </xf>
    <xf numFmtId="2" fontId="17" fillId="15" borderId="5" xfId="0" applyNumberFormat="1" applyFont="1" applyFill="1" applyBorder="1" applyAlignment="1">
      <alignment horizontal="center" vertical="center" wrapText="1"/>
    </xf>
    <xf numFmtId="2" fontId="17" fillId="15" borderId="10" xfId="0" applyNumberFormat="1" applyFont="1" applyFill="1" applyBorder="1" applyAlignment="1">
      <alignment horizontal="center" vertical="center" wrapText="1"/>
    </xf>
    <xf numFmtId="2" fontId="17" fillId="15" borderId="17" xfId="0" applyNumberFormat="1" applyFont="1" applyFill="1" applyBorder="1" applyAlignment="1">
      <alignment horizontal="center" vertical="center" wrapText="1"/>
    </xf>
    <xf numFmtId="0" fontId="17" fillId="15" borderId="17" xfId="0" applyFont="1" applyFill="1" applyBorder="1" applyAlignment="1">
      <alignment horizontal="center" vertical="center" wrapText="1"/>
    </xf>
    <xf numFmtId="2" fontId="17" fillId="15" borderId="9" xfId="0" applyNumberFormat="1" applyFont="1" applyFill="1" applyBorder="1" applyAlignment="1">
      <alignment horizontal="center" vertical="center" wrapText="1"/>
    </xf>
    <xf numFmtId="0" fontId="3" fillId="15" borderId="6" xfId="0" applyFont="1" applyFill="1" applyBorder="1"/>
    <xf numFmtId="0" fontId="17" fillId="15" borderId="12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17" fillId="15" borderId="4" xfId="0" applyFont="1" applyFill="1" applyBorder="1" applyAlignment="1">
      <alignment horizontal="center" vertical="center" wrapText="1"/>
    </xf>
    <xf numFmtId="2" fontId="17" fillId="15" borderId="2" xfId="0" applyNumberFormat="1" applyFont="1" applyFill="1" applyBorder="1" applyAlignment="1">
      <alignment horizontal="center" vertical="center" wrapText="1"/>
    </xf>
    <xf numFmtId="0" fontId="3" fillId="15" borderId="16" xfId="0" applyFont="1" applyFill="1" applyBorder="1"/>
    <xf numFmtId="0" fontId="3" fillId="15" borderId="5" xfId="0" applyFont="1" applyFill="1" applyBorder="1"/>
    <xf numFmtId="0" fontId="17" fillId="15" borderId="10" xfId="0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 wrapText="1"/>
    </xf>
    <xf numFmtId="2" fontId="17" fillId="15" borderId="11" xfId="0" applyNumberFormat="1" applyFont="1" applyFill="1" applyBorder="1" applyAlignment="1">
      <alignment horizontal="center" vertical="center" wrapText="1"/>
    </xf>
    <xf numFmtId="0" fontId="17" fillId="15" borderId="7" xfId="0" applyFont="1" applyFill="1" applyBorder="1" applyAlignment="1">
      <alignment horizontal="center" vertical="center" wrapText="1"/>
    </xf>
    <xf numFmtId="165" fontId="24" fillId="15" borderId="2" xfId="0" applyNumberFormat="1" applyFont="1" applyFill="1" applyBorder="1" applyAlignment="1">
      <alignment horizontal="center" vertical="center"/>
    </xf>
    <xf numFmtId="2" fontId="17" fillId="15" borderId="14" xfId="0" applyNumberFormat="1" applyFont="1" applyFill="1" applyBorder="1" applyAlignment="1">
      <alignment horizontal="center" vertical="center" wrapText="1"/>
    </xf>
    <xf numFmtId="165" fontId="17" fillId="15" borderId="2" xfId="0" applyNumberFormat="1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vertical="center" wrapText="1"/>
    </xf>
    <xf numFmtId="0" fontId="17" fillId="15" borderId="0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vertical="center"/>
    </xf>
    <xf numFmtId="0" fontId="8" fillId="17" borderId="4" xfId="0" applyFont="1" applyFill="1" applyBorder="1" applyAlignment="1">
      <alignment vertical="center"/>
    </xf>
    <xf numFmtId="0" fontId="8" fillId="17" borderId="0" xfId="0" applyFont="1" applyFill="1" applyBorder="1" applyAlignment="1">
      <alignment vertical="center"/>
    </xf>
    <xf numFmtId="0" fontId="8" fillId="17" borderId="7" xfId="0" applyFont="1" applyFill="1" applyBorder="1" applyAlignment="1">
      <alignment vertical="center"/>
    </xf>
    <xf numFmtId="165" fontId="3" fillId="15" borderId="2" xfId="0" applyNumberFormat="1" applyFont="1" applyFill="1" applyBorder="1" applyAlignment="1">
      <alignment horizontal="center" vertical="center" wrapText="1"/>
    </xf>
    <xf numFmtId="2" fontId="17" fillId="15" borderId="2" xfId="5" applyNumberFormat="1" applyFont="1" applyFill="1" applyBorder="1" applyAlignment="1">
      <alignment horizontal="center" vertical="center" wrapText="1"/>
    </xf>
    <xf numFmtId="0" fontId="8" fillId="17" borderId="9" xfId="0" applyFont="1" applyFill="1" applyBorder="1" applyAlignment="1">
      <alignment vertical="center"/>
    </xf>
    <xf numFmtId="0" fontId="8" fillId="17" borderId="10" xfId="0" applyFont="1" applyFill="1" applyBorder="1" applyAlignment="1">
      <alignment vertical="center"/>
    </xf>
    <xf numFmtId="14" fontId="17" fillId="15" borderId="2" xfId="0" applyNumberFormat="1" applyFont="1" applyFill="1" applyBorder="1" applyAlignment="1">
      <alignment horizontal="center" vertical="center" wrapText="1"/>
    </xf>
    <xf numFmtId="0" fontId="3" fillId="15" borderId="0" xfId="0" applyFont="1" applyFill="1" applyAlignment="1">
      <alignment wrapText="1"/>
    </xf>
    <xf numFmtId="2" fontId="3" fillId="15" borderId="14" xfId="2" applyNumberFormat="1" applyFont="1" applyFill="1" applyBorder="1" applyAlignment="1">
      <alignment horizontal="center" vertical="center" wrapText="1"/>
    </xf>
    <xf numFmtId="165" fontId="3" fillId="15" borderId="14" xfId="2" applyNumberFormat="1" applyFont="1" applyFill="1" applyBorder="1" applyAlignment="1">
      <alignment horizontal="center" vertical="center" wrapText="1"/>
    </xf>
    <xf numFmtId="2" fontId="3" fillId="15" borderId="2" xfId="0" applyNumberFormat="1" applyFont="1" applyFill="1" applyBorder="1" applyAlignment="1">
      <alignment horizontal="center" vertical="center" wrapText="1"/>
    </xf>
    <xf numFmtId="43" fontId="17" fillId="15" borderId="2" xfId="5" applyFont="1" applyFill="1" applyBorder="1" applyAlignment="1">
      <alignment horizontal="center" vertical="center" wrapText="1"/>
    </xf>
    <xf numFmtId="2" fontId="17" fillId="15" borderId="13" xfId="0" applyNumberFormat="1" applyFont="1" applyFill="1" applyBorder="1" applyAlignment="1">
      <alignment horizontal="center" vertical="center" wrapText="1"/>
    </xf>
    <xf numFmtId="2" fontId="17" fillId="15" borderId="0" xfId="0" applyNumberFormat="1" applyFont="1" applyFill="1" applyBorder="1" applyAlignment="1">
      <alignment horizontal="center" vertical="center" wrapText="1"/>
    </xf>
    <xf numFmtId="43" fontId="17" fillId="15" borderId="0" xfId="5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2" fontId="17" fillId="15" borderId="1" xfId="0" applyNumberFormat="1" applyFont="1" applyFill="1" applyBorder="1" applyAlignment="1">
      <alignment horizontal="center" vertical="center" wrapText="1"/>
    </xf>
    <xf numFmtId="2" fontId="17" fillId="15" borderId="12" xfId="5" applyNumberFormat="1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vertical="center"/>
    </xf>
    <xf numFmtId="0" fontId="8" fillId="17" borderId="1" xfId="0" applyFont="1" applyFill="1" applyBorder="1" applyAlignment="1">
      <alignment vertical="center"/>
    </xf>
    <xf numFmtId="0" fontId="8" fillId="17" borderId="12" xfId="0" applyFont="1" applyFill="1" applyBorder="1" applyAlignment="1">
      <alignment vertical="center"/>
    </xf>
    <xf numFmtId="2" fontId="3" fillId="15" borderId="16" xfId="0" applyNumberFormat="1" applyFont="1" applyFill="1" applyBorder="1" applyAlignment="1">
      <alignment horizontal="center" vertical="center"/>
    </xf>
    <xf numFmtId="165" fontId="3" fillId="15" borderId="2" xfId="0" applyNumberFormat="1" applyFont="1" applyFill="1" applyBorder="1" applyAlignment="1">
      <alignment horizontal="center" vertical="center"/>
    </xf>
    <xf numFmtId="2" fontId="3" fillId="15" borderId="0" xfId="0" applyNumberFormat="1" applyFont="1" applyFill="1" applyBorder="1" applyAlignment="1">
      <alignment horizontal="center" vertical="center"/>
    </xf>
    <xf numFmtId="2" fontId="3" fillId="15" borderId="2" xfId="0" applyNumberFormat="1" applyFont="1" applyFill="1" applyBorder="1" applyAlignment="1">
      <alignment horizontal="center" vertical="center"/>
    </xf>
    <xf numFmtId="167" fontId="17" fillId="15" borderId="10" xfId="6" applyNumberFormat="1" applyFont="1" applyFill="1" applyBorder="1" applyAlignment="1">
      <alignment horizontal="center" vertical="center" wrapText="1"/>
    </xf>
    <xf numFmtId="167" fontId="17" fillId="15" borderId="2" xfId="6" applyNumberFormat="1" applyFont="1" applyFill="1" applyBorder="1" applyAlignment="1">
      <alignment horizontal="center" vertical="center" wrapText="1"/>
    </xf>
    <xf numFmtId="14" fontId="17" fillId="15" borderId="0" xfId="0" applyNumberFormat="1" applyFont="1" applyFill="1" applyBorder="1" applyAlignment="1">
      <alignment horizontal="center" vertical="center" wrapText="1"/>
    </xf>
    <xf numFmtId="0" fontId="17" fillId="15" borderId="2" xfId="5" applyNumberFormat="1" applyFont="1" applyFill="1" applyBorder="1" applyAlignment="1">
      <alignment horizontal="center" vertical="center" wrapText="1"/>
    </xf>
    <xf numFmtId="2" fontId="17" fillId="15" borderId="13" xfId="5" applyNumberFormat="1" applyFont="1" applyFill="1" applyBorder="1" applyAlignment="1">
      <alignment horizontal="center" vertical="center" wrapText="1"/>
    </xf>
    <xf numFmtId="0" fontId="17" fillId="15" borderId="13" xfId="5" applyNumberFormat="1" applyFont="1" applyFill="1" applyBorder="1" applyAlignment="1">
      <alignment horizontal="center" vertical="center" wrapText="1"/>
    </xf>
    <xf numFmtId="0" fontId="17" fillId="15" borderId="2" xfId="0" applyNumberFormat="1" applyFont="1" applyFill="1" applyBorder="1" applyAlignment="1">
      <alignment horizontal="center" vertical="center" wrapText="1"/>
    </xf>
    <xf numFmtId="168" fontId="17" fillId="15" borderId="2" xfId="0" applyNumberFormat="1" applyFont="1" applyFill="1" applyBorder="1" applyAlignment="1">
      <alignment horizontal="center" vertical="center" wrapText="1"/>
    </xf>
    <xf numFmtId="169" fontId="17" fillId="15" borderId="2" xfId="0" applyNumberFormat="1" applyFont="1" applyFill="1" applyBorder="1" applyAlignment="1">
      <alignment horizontal="center" vertical="center" wrapText="1"/>
    </xf>
    <xf numFmtId="168" fontId="17" fillId="15" borderId="2" xfId="5" applyNumberFormat="1" applyFont="1" applyFill="1" applyBorder="1" applyAlignment="1">
      <alignment horizontal="center" vertical="center" wrapText="1"/>
    </xf>
    <xf numFmtId="14" fontId="17" fillId="15" borderId="1" xfId="0" applyNumberFormat="1" applyFont="1" applyFill="1" applyBorder="1" applyAlignment="1">
      <alignment horizontal="center" vertical="center" wrapText="1"/>
    </xf>
    <xf numFmtId="2" fontId="17" fillId="15" borderId="12" xfId="0" applyNumberFormat="1" applyFont="1" applyFill="1" applyBorder="1" applyAlignment="1">
      <alignment horizontal="center" vertical="center" wrapText="1"/>
    </xf>
    <xf numFmtId="168" fontId="17" fillId="15" borderId="13" xfId="0" applyNumberFormat="1" applyFont="1" applyFill="1" applyBorder="1" applyAlignment="1">
      <alignment horizontal="center" vertical="center" wrapText="1"/>
    </xf>
    <xf numFmtId="0" fontId="3" fillId="15" borderId="4" xfId="0" applyFont="1" applyFill="1" applyBorder="1"/>
    <xf numFmtId="169" fontId="3" fillId="15" borderId="2" xfId="0" applyNumberFormat="1" applyFont="1" applyFill="1" applyBorder="1" applyAlignment="1">
      <alignment horizontal="center" vertical="center"/>
    </xf>
    <xf numFmtId="0" fontId="8" fillId="17" borderId="13" xfId="0" applyFont="1" applyFill="1" applyBorder="1" applyAlignment="1">
      <alignment vertical="center"/>
    </xf>
    <xf numFmtId="0" fontId="3" fillId="15" borderId="9" xfId="0" applyFont="1" applyFill="1" applyBorder="1"/>
    <xf numFmtId="0" fontId="3" fillId="15" borderId="10" xfId="0" applyFont="1" applyFill="1" applyBorder="1"/>
    <xf numFmtId="43" fontId="3" fillId="15" borderId="2" xfId="0" applyNumberFormat="1" applyFont="1" applyFill="1" applyBorder="1" applyAlignment="1">
      <alignment horizontal="center" vertical="center"/>
    </xf>
    <xf numFmtId="167" fontId="3" fillId="15" borderId="2" xfId="6" applyNumberFormat="1" applyFont="1" applyFill="1" applyBorder="1" applyAlignment="1">
      <alignment horizontal="center" vertical="center" wrapText="1"/>
    </xf>
    <xf numFmtId="168" fontId="3" fillId="15" borderId="2" xfId="0" applyNumberFormat="1" applyFont="1" applyFill="1" applyBorder="1" applyAlignment="1">
      <alignment horizontal="center" vertical="center"/>
    </xf>
    <xf numFmtId="0" fontId="3" fillId="15" borderId="11" xfId="0" applyFont="1" applyFill="1" applyBorder="1"/>
    <xf numFmtId="0" fontId="3" fillId="15" borderId="1" xfId="0" applyFont="1" applyFill="1" applyBorder="1"/>
    <xf numFmtId="0" fontId="3" fillId="15" borderId="12" xfId="0" applyFont="1" applyFill="1" applyBorder="1"/>
    <xf numFmtId="14" fontId="3" fillId="15" borderId="2" xfId="0" applyNumberFormat="1" applyFont="1" applyFill="1" applyBorder="1" applyAlignment="1">
      <alignment horizontal="center" vertical="center" wrapText="1"/>
    </xf>
    <xf numFmtId="43" fontId="17" fillId="15" borderId="5" xfId="5" applyFont="1" applyFill="1" applyBorder="1" applyAlignment="1">
      <alignment horizontal="center" vertical="center" wrapText="1"/>
    </xf>
    <xf numFmtId="43" fontId="17" fillId="15" borderId="10" xfId="5" applyFont="1" applyFill="1" applyBorder="1" applyAlignment="1">
      <alignment horizontal="center" vertical="center" wrapText="1"/>
    </xf>
    <xf numFmtId="0" fontId="17" fillId="15" borderId="16" xfId="0" applyFont="1" applyFill="1" applyBorder="1" applyAlignment="1">
      <alignment vertical="center" wrapText="1"/>
    </xf>
    <xf numFmtId="0" fontId="3" fillId="15" borderId="16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vertical="center" wrapText="1"/>
    </xf>
    <xf numFmtId="2" fontId="17" fillId="15" borderId="14" xfId="5" applyNumberFormat="1" applyFont="1" applyFill="1" applyBorder="1" applyAlignment="1">
      <alignment horizontal="center" vertical="center" wrapText="1"/>
    </xf>
    <xf numFmtId="2" fontId="3" fillId="15" borderId="10" xfId="0" applyNumberFormat="1" applyFont="1" applyFill="1" applyBorder="1" applyAlignment="1">
      <alignment horizontal="center" vertical="center"/>
    </xf>
    <xf numFmtId="167" fontId="17" fillId="15" borderId="2" xfId="5" applyNumberFormat="1" applyFont="1" applyFill="1" applyBorder="1" applyAlignment="1">
      <alignment horizontal="center" vertical="center" wrapText="1"/>
    </xf>
    <xf numFmtId="2" fontId="3" fillId="15" borderId="12" xfId="0" applyNumberFormat="1" applyFont="1" applyFill="1" applyBorder="1" applyAlignment="1">
      <alignment horizontal="center" vertical="center"/>
    </xf>
    <xf numFmtId="14" fontId="17" fillId="15" borderId="13" xfId="0" applyNumberFormat="1" applyFont="1" applyFill="1" applyBorder="1" applyAlignment="1">
      <alignment horizontal="center" vertical="center" wrapText="1"/>
    </xf>
    <xf numFmtId="2" fontId="3" fillId="15" borderId="13" xfId="0" applyNumberFormat="1" applyFont="1" applyFill="1" applyBorder="1" applyAlignment="1">
      <alignment horizontal="center" vertical="center"/>
    </xf>
    <xf numFmtId="43" fontId="17" fillId="15" borderId="16" xfId="5" applyFont="1" applyFill="1" applyBorder="1" applyAlignment="1">
      <alignment horizontal="center" vertical="center" wrapText="1"/>
    </xf>
    <xf numFmtId="165" fontId="17" fillId="15" borderId="14" xfId="0" applyNumberFormat="1" applyFont="1" applyFill="1" applyBorder="1" applyAlignment="1">
      <alignment horizontal="center" vertical="center" wrapText="1"/>
    </xf>
    <xf numFmtId="166" fontId="17" fillId="15" borderId="2" xfId="5" applyNumberFormat="1" applyFont="1" applyFill="1" applyBorder="1" applyAlignment="1">
      <alignment horizontal="center" vertical="center" wrapText="1"/>
    </xf>
    <xf numFmtId="166" fontId="3" fillId="15" borderId="2" xfId="0" applyNumberFormat="1" applyFont="1" applyFill="1" applyBorder="1" applyAlignment="1">
      <alignment horizontal="center" vertical="center"/>
    </xf>
    <xf numFmtId="167" fontId="17" fillId="15" borderId="0" xfId="6" applyNumberFormat="1" applyFont="1" applyFill="1" applyBorder="1" applyAlignment="1">
      <alignment horizontal="center" vertical="center" wrapText="1"/>
    </xf>
    <xf numFmtId="2" fontId="3" fillId="15" borderId="1" xfId="0" applyNumberFormat="1" applyFont="1" applyFill="1" applyBorder="1" applyAlignment="1">
      <alignment horizontal="center" vertical="center"/>
    </xf>
    <xf numFmtId="167" fontId="17" fillId="15" borderId="1" xfId="6" applyNumberFormat="1" applyFont="1" applyFill="1" applyBorder="1" applyAlignment="1">
      <alignment horizontal="center" vertical="center" wrapText="1"/>
    </xf>
    <xf numFmtId="43" fontId="17" fillId="15" borderId="1" xfId="5" applyFont="1" applyFill="1" applyBorder="1" applyAlignment="1">
      <alignment horizontal="center" vertical="center" wrapText="1"/>
    </xf>
    <xf numFmtId="167" fontId="17" fillId="15" borderId="13" xfId="6" applyNumberFormat="1" applyFont="1" applyFill="1" applyBorder="1" applyAlignment="1">
      <alignment horizontal="center" vertical="center" wrapText="1"/>
    </xf>
    <xf numFmtId="0" fontId="3" fillId="15" borderId="0" xfId="0" applyFont="1" applyFill="1"/>
    <xf numFmtId="0" fontId="17" fillId="15" borderId="0" xfId="0" applyNumberFormat="1" applyFont="1" applyFill="1" applyBorder="1" applyAlignment="1">
      <alignment horizontal="center" vertical="center" wrapText="1"/>
    </xf>
    <xf numFmtId="2" fontId="17" fillId="15" borderId="10" xfId="5" applyNumberFormat="1" applyFont="1" applyFill="1" applyBorder="1" applyAlignment="1">
      <alignment horizontal="center" vertical="center" wrapText="1"/>
    </xf>
    <xf numFmtId="2" fontId="17" fillId="15" borderId="5" xfId="5" applyNumberFormat="1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vertical="center" wrapText="1"/>
    </xf>
    <xf numFmtId="165" fontId="17" fillId="15" borderId="17" xfId="0" applyNumberFormat="1" applyFont="1" applyFill="1" applyBorder="1" applyAlignment="1">
      <alignment horizontal="center" vertical="center" wrapText="1"/>
    </xf>
    <xf numFmtId="0" fontId="28" fillId="15" borderId="3" xfId="0" applyFont="1" applyFill="1" applyBorder="1" applyAlignment="1">
      <alignment horizontal="center" vertical="center" wrapText="1"/>
    </xf>
    <xf numFmtId="0" fontId="28" fillId="15" borderId="6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vertical="center" wrapText="1"/>
    </xf>
    <xf numFmtId="164" fontId="17" fillId="15" borderId="16" xfId="0" applyNumberFormat="1" applyFont="1" applyFill="1" applyBorder="1" applyAlignment="1">
      <alignment vertical="center" wrapText="1"/>
    </xf>
    <xf numFmtId="164" fontId="17" fillId="15" borderId="6" xfId="0" applyNumberFormat="1" applyFont="1" applyFill="1" applyBorder="1" applyAlignment="1">
      <alignment vertical="center" wrapText="1"/>
    </xf>
    <xf numFmtId="164" fontId="27" fillId="15" borderId="5" xfId="0" applyNumberFormat="1" applyFont="1" applyFill="1" applyBorder="1" applyAlignment="1">
      <alignment vertical="center" wrapText="1"/>
    </xf>
    <xf numFmtId="0" fontId="28" fillId="15" borderId="14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/>
    </xf>
    <xf numFmtId="2" fontId="3" fillId="15" borderId="11" xfId="2" applyNumberFormat="1" applyFont="1" applyFill="1" applyBorder="1" applyAlignment="1">
      <alignment horizontal="center" vertical="center" wrapText="1"/>
    </xf>
    <xf numFmtId="3" fontId="17" fillId="15" borderId="7" xfId="0" applyNumberFormat="1" applyFont="1" applyFill="1" applyBorder="1" applyAlignment="1">
      <alignment horizontal="center" vertical="center" wrapText="1"/>
    </xf>
    <xf numFmtId="4" fontId="17" fillId="15" borderId="11" xfId="0" applyNumberFormat="1" applyFont="1" applyFill="1" applyBorder="1" applyAlignment="1">
      <alignment horizontal="center" vertical="center" wrapText="1"/>
    </xf>
    <xf numFmtId="4" fontId="17" fillId="15" borderId="9" xfId="0" applyNumberFormat="1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28" fillId="15" borderId="2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/>
    </xf>
    <xf numFmtId="2" fontId="3" fillId="15" borderId="3" xfId="2" applyNumberFormat="1" applyFont="1" applyFill="1" applyBorder="1" applyAlignment="1">
      <alignment horizontal="center" vertical="center" wrapText="1"/>
    </xf>
    <xf numFmtId="0" fontId="3" fillId="15" borderId="3" xfId="0" applyFont="1" applyFill="1" applyBorder="1"/>
    <xf numFmtId="0" fontId="29" fillId="15" borderId="2" xfId="0" applyFont="1" applyFill="1" applyBorder="1" applyAlignment="1">
      <alignment horizontal="center" vertical="center" wrapText="1"/>
    </xf>
    <xf numFmtId="4" fontId="17" fillId="15" borderId="2" xfId="0" applyNumberFormat="1" applyFont="1" applyFill="1" applyBorder="1" applyAlignment="1">
      <alignment horizontal="center" vertical="center" wrapText="1"/>
    </xf>
    <xf numFmtId="0" fontId="28" fillId="15" borderId="10" xfId="0" applyFont="1" applyFill="1" applyBorder="1" applyAlignment="1">
      <alignment horizontal="center" vertical="center" wrapText="1"/>
    </xf>
    <xf numFmtId="4" fontId="17" fillId="15" borderId="0" xfId="0" applyNumberFormat="1" applyFont="1" applyFill="1" applyBorder="1" applyAlignment="1">
      <alignment horizontal="center" vertical="center" wrapText="1"/>
    </xf>
    <xf numFmtId="4" fontId="17" fillId="15" borderId="14" xfId="0" applyNumberFormat="1" applyFont="1" applyFill="1" applyBorder="1" applyAlignment="1">
      <alignment horizontal="center" vertical="center" wrapText="1"/>
    </xf>
    <xf numFmtId="0" fontId="29" fillId="15" borderId="10" xfId="0" applyFont="1" applyFill="1" applyBorder="1" applyAlignment="1">
      <alignment horizontal="center" vertical="center" wrapText="1"/>
    </xf>
    <xf numFmtId="0" fontId="29" fillId="15" borderId="17" xfId="0" applyFont="1" applyFill="1" applyBorder="1" applyAlignment="1">
      <alignment horizontal="center" vertical="center" wrapText="1"/>
    </xf>
    <xf numFmtId="4" fontId="17" fillId="15" borderId="16" xfId="0" applyNumberFormat="1" applyFont="1" applyFill="1" applyBorder="1" applyAlignment="1">
      <alignment horizontal="center" vertical="center" wrapText="1"/>
    </xf>
    <xf numFmtId="0" fontId="29" fillId="15" borderId="12" xfId="0" applyFont="1" applyFill="1" applyBorder="1" applyAlignment="1">
      <alignment horizontal="center" vertical="center" wrapText="1"/>
    </xf>
    <xf numFmtId="0" fontId="29" fillId="15" borderId="14" xfId="0" applyFont="1" applyFill="1" applyBorder="1" applyAlignment="1">
      <alignment horizontal="center" vertical="center" wrapText="1"/>
    </xf>
    <xf numFmtId="4" fontId="17" fillId="15" borderId="17" xfId="0" applyNumberFormat="1" applyFont="1" applyFill="1" applyBorder="1" applyAlignment="1">
      <alignment horizontal="center" vertical="center" wrapText="1"/>
    </xf>
    <xf numFmtId="4" fontId="3" fillId="15" borderId="0" xfId="0" applyNumberFormat="1" applyFont="1" applyFill="1"/>
    <xf numFmtId="0" fontId="3" fillId="15" borderId="2" xfId="2" applyNumberFormat="1" applyFont="1" applyFill="1" applyBorder="1" applyAlignment="1">
      <alignment horizontal="center" vertical="center" wrapText="1"/>
    </xf>
    <xf numFmtId="4" fontId="17" fillId="15" borderId="6" xfId="0" applyNumberFormat="1" applyFont="1" applyFill="1" applyBorder="1" applyAlignment="1">
      <alignment horizontal="center" vertical="center" wrapText="1"/>
    </xf>
    <xf numFmtId="0" fontId="3" fillId="15" borderId="2" xfId="2" applyFont="1" applyFill="1" applyBorder="1" applyAlignment="1">
      <alignment horizontal="center" vertical="center" wrapText="1"/>
    </xf>
    <xf numFmtId="2" fontId="17" fillId="15" borderId="7" xfId="0" applyNumberFormat="1" applyFont="1" applyFill="1" applyBorder="1" applyAlignment="1">
      <alignment horizontal="center" vertical="center" wrapText="1"/>
    </xf>
    <xf numFmtId="0" fontId="28" fillId="15" borderId="12" xfId="0" applyFont="1" applyFill="1" applyBorder="1" applyAlignment="1">
      <alignment horizontal="center" vertical="center" wrapText="1"/>
    </xf>
    <xf numFmtId="0" fontId="29" fillId="15" borderId="3" xfId="0" applyFont="1" applyFill="1" applyBorder="1" applyAlignment="1">
      <alignment horizontal="center" vertical="center" wrapText="1"/>
    </xf>
    <xf numFmtId="0" fontId="29" fillId="15" borderId="6" xfId="0" applyFont="1" applyFill="1" applyBorder="1" applyAlignment="1">
      <alignment horizontal="center" vertical="center" wrapText="1"/>
    </xf>
    <xf numFmtId="3" fontId="17" fillId="15" borderId="6" xfId="0" applyNumberFormat="1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vertical="center" wrapText="1"/>
    </xf>
    <xf numFmtId="164" fontId="17" fillId="15" borderId="12" xfId="0" applyNumberFormat="1" applyFont="1" applyFill="1" applyBorder="1" applyAlignment="1">
      <alignment vertical="center" wrapText="1"/>
    </xf>
    <xf numFmtId="43" fontId="17" fillId="15" borderId="11" xfId="5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vertical="center" wrapText="1"/>
    </xf>
    <xf numFmtId="164" fontId="17" fillId="15" borderId="7" xfId="0" applyNumberFormat="1" applyFont="1" applyFill="1" applyBorder="1" applyAlignment="1">
      <alignment vertical="center" wrapText="1"/>
    </xf>
    <xf numFmtId="164" fontId="27" fillId="15" borderId="12" xfId="0" applyNumberFormat="1" applyFont="1" applyFill="1" applyBorder="1" applyAlignment="1">
      <alignment vertical="center" wrapText="1"/>
    </xf>
    <xf numFmtId="0" fontId="17" fillId="15" borderId="14" xfId="0" applyNumberFormat="1" applyFont="1" applyFill="1" applyBorder="1" applyAlignment="1">
      <alignment horizontal="center" vertical="center" wrapText="1"/>
    </xf>
    <xf numFmtId="0" fontId="31" fillId="17" borderId="2" xfId="0" applyFont="1" applyFill="1" applyBorder="1" applyAlignment="1">
      <alignment vertical="center"/>
    </xf>
    <xf numFmtId="0" fontId="31" fillId="17" borderId="2" xfId="0" applyFont="1" applyFill="1" applyBorder="1" applyAlignment="1">
      <alignment horizontal="center" vertical="center"/>
    </xf>
    <xf numFmtId="2" fontId="31" fillId="17" borderId="2" xfId="0" applyNumberFormat="1" applyFont="1" applyFill="1" applyBorder="1" applyAlignment="1">
      <alignment horizontal="center" vertical="center"/>
    </xf>
    <xf numFmtId="43" fontId="31" fillId="17" borderId="2" xfId="5" applyFont="1" applyFill="1" applyBorder="1" applyAlignment="1">
      <alignment horizontal="center" vertical="center"/>
    </xf>
    <xf numFmtId="2" fontId="31" fillId="17" borderId="2" xfId="0" applyNumberFormat="1" applyFont="1" applyFill="1" applyBorder="1" applyAlignment="1">
      <alignment vertical="center"/>
    </xf>
    <xf numFmtId="0" fontId="3" fillId="15" borderId="2" xfId="0" applyFont="1" applyFill="1" applyBorder="1"/>
    <xf numFmtId="2" fontId="3" fillId="15" borderId="2" xfId="0" applyNumberFormat="1" applyFont="1" applyFill="1" applyBorder="1"/>
    <xf numFmtId="0" fontId="32" fillId="15" borderId="2" xfId="0" applyFont="1" applyFill="1" applyBorder="1" applyAlignment="1">
      <alignment horizontal="center" vertical="center" wrapText="1"/>
    </xf>
    <xf numFmtId="2" fontId="15" fillId="15" borderId="2" xfId="2" applyNumberFormat="1" applyFont="1" applyFill="1" applyBorder="1" applyAlignment="1">
      <alignment horizontal="center" vertical="center" wrapText="1"/>
    </xf>
    <xf numFmtId="43" fontId="15" fillId="15" borderId="2" xfId="5" applyFont="1" applyFill="1" applyBorder="1" applyAlignment="1">
      <alignment horizontal="center" vertical="center" wrapText="1"/>
    </xf>
    <xf numFmtId="2" fontId="15" fillId="15" borderId="2" xfId="0" applyNumberFormat="1" applyFont="1" applyFill="1" applyBorder="1" applyAlignment="1">
      <alignment horizontal="center" vertical="center"/>
    </xf>
    <xf numFmtId="14" fontId="17" fillId="15" borderId="14" xfId="0" applyNumberFormat="1" applyFont="1" applyFill="1" applyBorder="1" applyAlignment="1">
      <alignment horizontal="center" vertical="center" wrapText="1"/>
    </xf>
    <xf numFmtId="43" fontId="17" fillId="15" borderId="14" xfId="5" applyFont="1" applyFill="1" applyBorder="1" applyAlignment="1">
      <alignment horizontal="center" vertical="center" wrapText="1"/>
    </xf>
    <xf numFmtId="0" fontId="15" fillId="15" borderId="14" xfId="2" applyFont="1" applyFill="1" applyBorder="1" applyAlignment="1">
      <alignment horizontal="center" vertical="center" wrapText="1"/>
    </xf>
    <xf numFmtId="165" fontId="15" fillId="15" borderId="14" xfId="2" applyNumberFormat="1" applyFont="1" applyFill="1" applyBorder="1" applyAlignment="1">
      <alignment horizontal="center" vertical="center" wrapText="1"/>
    </xf>
    <xf numFmtId="2" fontId="15" fillId="15" borderId="14" xfId="2" applyNumberFormat="1" applyFont="1" applyFill="1" applyBorder="1" applyAlignment="1">
      <alignment horizontal="center" vertical="center" wrapText="1"/>
    </xf>
    <xf numFmtId="2" fontId="29" fillId="15" borderId="14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34" fillId="0" borderId="2" xfId="0" applyFont="1" applyBorder="1" applyAlignment="1">
      <alignment horizontal="center" vertical="center"/>
    </xf>
    <xf numFmtId="0" fontId="3" fillId="15" borderId="2" xfId="0" applyFont="1" applyFill="1" applyBorder="1" applyAlignment="1">
      <alignment vertical="top" wrapText="1"/>
    </xf>
    <xf numFmtId="2" fontId="16" fillId="0" borderId="2" xfId="0" applyNumberFormat="1" applyFont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/>
    </xf>
    <xf numFmtId="2" fontId="15" fillId="0" borderId="2" xfId="0" applyNumberFormat="1" applyFont="1" applyBorder="1"/>
    <xf numFmtId="0" fontId="15" fillId="15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right"/>
    </xf>
    <xf numFmtId="0" fontId="3" fillId="15" borderId="2" xfId="0" applyFont="1" applyFill="1" applyBorder="1" applyAlignment="1">
      <alignment vertical="center" wrapText="1"/>
    </xf>
    <xf numFmtId="0" fontId="34" fillId="0" borderId="6" xfId="0" applyFont="1" applyBorder="1" applyAlignment="1">
      <alignment horizontal="center" vertical="center"/>
    </xf>
    <xf numFmtId="0" fontId="3" fillId="15" borderId="7" xfId="0" applyFont="1" applyFill="1" applyBorder="1" applyAlignment="1">
      <alignment vertical="top" wrapText="1"/>
    </xf>
    <xf numFmtId="2" fontId="2" fillId="9" borderId="2" xfId="0" applyNumberFormat="1" applyFont="1" applyFill="1" applyBorder="1" applyAlignment="1">
      <alignment horizontal="center"/>
    </xf>
    <xf numFmtId="2" fontId="15" fillId="9" borderId="2" xfId="0" applyNumberFormat="1" applyFont="1" applyFill="1" applyBorder="1"/>
    <xf numFmtId="0" fontId="3" fillId="0" borderId="2" xfId="0" applyFont="1" applyBorder="1" applyAlignment="1">
      <alignment horizontal="center" vertical="center"/>
    </xf>
    <xf numFmtId="2" fontId="29" fillId="15" borderId="2" xfId="0" applyNumberFormat="1" applyFont="1" applyFill="1" applyBorder="1" applyAlignment="1">
      <alignment horizontal="right" vertical="center" wrapText="1"/>
    </xf>
    <xf numFmtId="0" fontId="35" fillId="0" borderId="2" xfId="0" applyFont="1" applyBorder="1" applyAlignment="1">
      <alignment horizontal="center" vertical="center" wrapText="1"/>
    </xf>
    <xf numFmtId="2" fontId="15" fillId="15" borderId="2" xfId="0" applyNumberFormat="1" applyFont="1" applyFill="1" applyBorder="1" applyAlignment="1">
      <alignment vertical="center"/>
    </xf>
    <xf numFmtId="0" fontId="36" fillId="0" borderId="2" xfId="0" applyFont="1" applyBorder="1" applyAlignment="1">
      <alignment horizontal="center" vertical="center" wrapText="1"/>
    </xf>
    <xf numFmtId="0" fontId="15" fillId="15" borderId="2" xfId="0" applyFont="1" applyFill="1" applyBorder="1" applyAlignment="1">
      <alignment vertical="center"/>
    </xf>
    <xf numFmtId="0" fontId="15" fillId="10" borderId="2" xfId="0" applyFont="1" applyFill="1" applyBorder="1"/>
    <xf numFmtId="2" fontId="22" fillId="10" borderId="2" xfId="0" applyNumberFormat="1" applyFont="1" applyFill="1" applyBorder="1"/>
    <xf numFmtId="0" fontId="40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166" fontId="40" fillId="0" borderId="14" xfId="0" applyNumberFormat="1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center" vertical="center" wrapText="1"/>
    </xf>
    <xf numFmtId="166" fontId="40" fillId="0" borderId="2" xfId="0" applyNumberFormat="1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" xfId="0" applyFont="1" applyBorder="1"/>
    <xf numFmtId="0" fontId="44" fillId="0" borderId="2" xfId="0" applyFont="1" applyBorder="1" applyAlignment="1">
      <alignment horizontal="center" vertical="center"/>
    </xf>
    <xf numFmtId="166" fontId="20" fillId="9" borderId="2" xfId="0" applyNumberFormat="1" applyFont="1" applyFill="1" applyBorder="1" applyAlignment="1">
      <alignment horizontal="center" vertical="center" wrapText="1"/>
    </xf>
    <xf numFmtId="0" fontId="35" fillId="15" borderId="2" xfId="0" applyFont="1" applyFill="1" applyBorder="1" applyAlignment="1">
      <alignment horizontal="center" wrapText="1"/>
    </xf>
    <xf numFmtId="0" fontId="45" fillId="0" borderId="2" xfId="0" applyFont="1" applyBorder="1" applyAlignment="1">
      <alignment horizontal="center" vertical="center" wrapText="1"/>
    </xf>
    <xf numFmtId="0" fontId="35" fillId="15" borderId="2" xfId="0" applyFont="1" applyFill="1" applyBorder="1" applyAlignment="1">
      <alignment horizontal="center" vertical="center" wrapText="1"/>
    </xf>
    <xf numFmtId="0" fontId="40" fillId="15" borderId="2" xfId="0" applyFont="1" applyFill="1" applyBorder="1" applyAlignment="1">
      <alignment horizontal="center" vertical="center" wrapText="1"/>
    </xf>
    <xf numFmtId="0" fontId="35" fillId="15" borderId="2" xfId="0" applyFont="1" applyFill="1" applyBorder="1" applyAlignment="1">
      <alignment horizontal="center" vertical="top" wrapText="1"/>
    </xf>
    <xf numFmtId="0" fontId="35" fillId="0" borderId="2" xfId="0" applyFont="1" applyBorder="1" applyAlignment="1">
      <alignment horizontal="center" wrapText="1"/>
    </xf>
    <xf numFmtId="0" fontId="32" fillId="0" borderId="2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49" fontId="35" fillId="0" borderId="2" xfId="3" applyNumberFormat="1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/>
    </xf>
    <xf numFmtId="49" fontId="44" fillId="0" borderId="2" xfId="0" applyNumberFormat="1" applyFont="1" applyBorder="1" applyAlignment="1">
      <alignment horizontal="center"/>
    </xf>
    <xf numFmtId="0" fontId="40" fillId="0" borderId="2" xfId="0" applyFont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/>
    </xf>
    <xf numFmtId="0" fontId="20" fillId="0" borderId="9" xfId="0" applyFont="1" applyBorder="1" applyAlignment="1">
      <alignment vertical="center"/>
    </xf>
    <xf numFmtId="0" fontId="3" fillId="0" borderId="0" xfId="0" applyFont="1" applyBorder="1"/>
    <xf numFmtId="0" fontId="3" fillId="0" borderId="10" xfId="0" applyFont="1" applyBorder="1"/>
    <xf numFmtId="0" fontId="20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/>
    </xf>
    <xf numFmtId="2" fontId="17" fillId="0" borderId="46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top" wrapText="1"/>
    </xf>
    <xf numFmtId="166" fontId="3" fillId="0" borderId="25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top" wrapText="1"/>
    </xf>
    <xf numFmtId="166" fontId="3" fillId="4" borderId="2" xfId="0" applyNumberFormat="1" applyFont="1" applyFill="1" applyBorder="1" applyAlignment="1">
      <alignment horizontal="center" vertical="top" wrapText="1"/>
    </xf>
    <xf numFmtId="165" fontId="3" fillId="4" borderId="2" xfId="0" applyNumberFormat="1" applyFont="1" applyFill="1" applyBorder="1" applyAlignment="1">
      <alignment horizontal="center" vertical="center"/>
    </xf>
    <xf numFmtId="49" fontId="3" fillId="4" borderId="30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49" fontId="36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 wrapText="1"/>
    </xf>
    <xf numFmtId="166" fontId="3" fillId="4" borderId="2" xfId="0" applyNumberFormat="1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justify" vertical="center" wrapText="1"/>
    </xf>
    <xf numFmtId="49" fontId="3" fillId="15" borderId="2" xfId="0" applyNumberFormat="1" applyFont="1" applyFill="1" applyBorder="1" applyAlignment="1">
      <alignment horizontal="center" vertical="center"/>
    </xf>
    <xf numFmtId="2" fontId="3" fillId="15" borderId="7" xfId="0" applyNumberFormat="1" applyFont="1" applyFill="1" applyBorder="1" applyAlignment="1">
      <alignment horizontal="center" vertical="top" wrapText="1"/>
    </xf>
    <xf numFmtId="2" fontId="3" fillId="15" borderId="2" xfId="0" applyNumberFormat="1" applyFont="1" applyFill="1" applyBorder="1" applyAlignment="1">
      <alignment horizontal="center" vertical="top" wrapText="1"/>
    </xf>
    <xf numFmtId="49" fontId="3" fillId="15" borderId="30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vertical="top" wrapText="1"/>
    </xf>
    <xf numFmtId="2" fontId="3" fillId="0" borderId="30" xfId="0" applyNumberFormat="1" applyFont="1" applyFill="1" applyBorder="1" applyAlignment="1">
      <alignment horizontal="center" vertical="center"/>
    </xf>
    <xf numFmtId="1" fontId="3" fillId="4" borderId="30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2" fontId="3" fillId="4" borderId="30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2" fontId="16" fillId="9" borderId="15" xfId="0" applyNumberFormat="1" applyFont="1" applyFill="1" applyBorder="1" applyAlignment="1">
      <alignment horizontal="center" vertical="center"/>
    </xf>
    <xf numFmtId="165" fontId="16" fillId="9" borderId="15" xfId="0" applyNumberFormat="1" applyFont="1" applyFill="1" applyBorder="1" applyAlignment="1">
      <alignment horizontal="center" vertical="center"/>
    </xf>
    <xf numFmtId="2" fontId="16" fillId="9" borderId="3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7" fontId="8" fillId="0" borderId="2" xfId="0" applyNumberFormat="1" applyFont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/>
    </xf>
    <xf numFmtId="0" fontId="34" fillId="15" borderId="2" xfId="0" applyFont="1" applyFill="1" applyBorder="1" applyAlignment="1">
      <alignment horizontal="center" vertical="center"/>
    </xf>
    <xf numFmtId="0" fontId="0" fillId="15" borderId="2" xfId="0" applyFill="1" applyBorder="1"/>
    <xf numFmtId="0" fontId="33" fillId="15" borderId="2" xfId="0" applyFont="1" applyFill="1" applyBorder="1" applyAlignment="1">
      <alignment horizontal="center" vertical="center" wrapText="1"/>
    </xf>
    <xf numFmtId="49" fontId="30" fillId="15" borderId="2" xfId="0" applyNumberFormat="1" applyFont="1" applyFill="1" applyBorder="1" applyAlignment="1">
      <alignment horizontal="center" vertical="center"/>
    </xf>
    <xf numFmtId="49" fontId="0" fillId="15" borderId="2" xfId="0" applyNumberFormat="1" applyFill="1" applyBorder="1" applyAlignment="1">
      <alignment horizontal="center" vertical="center"/>
    </xf>
    <xf numFmtId="2" fontId="30" fillId="15" borderId="2" xfId="0" applyNumberFormat="1" applyFont="1" applyFill="1" applyBorder="1" applyAlignment="1">
      <alignment horizontal="center" vertical="center"/>
    </xf>
    <xf numFmtId="2" fontId="0" fillId="15" borderId="2" xfId="0" applyNumberFormat="1" applyFill="1" applyBorder="1" applyAlignment="1">
      <alignment horizontal="center" vertical="center"/>
    </xf>
    <xf numFmtId="49" fontId="46" fillId="15" borderId="2" xfId="0" applyNumberFormat="1" applyFont="1" applyFill="1" applyBorder="1" applyAlignment="1">
      <alignment horizontal="center" vertical="center"/>
    </xf>
    <xf numFmtId="0" fontId="34" fillId="15" borderId="2" xfId="0" applyFont="1" applyFill="1" applyBorder="1" applyAlignment="1">
      <alignment horizontal="center"/>
    </xf>
    <xf numFmtId="0" fontId="0" fillId="15" borderId="2" xfId="0" applyFill="1" applyBorder="1" applyAlignment="1">
      <alignment wrapText="1"/>
    </xf>
    <xf numFmtId="2" fontId="12" fillId="15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6" fillId="15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2" fontId="0" fillId="0" borderId="2" xfId="0" applyNumberFormat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wrapText="1"/>
    </xf>
    <xf numFmtId="2" fontId="0" fillId="15" borderId="2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2" fontId="12" fillId="4" borderId="2" xfId="2" applyNumberFormat="1" applyFont="1" applyFill="1" applyBorder="1" applyAlignment="1">
      <alignment horizontal="center" vertical="center" wrapText="1"/>
    </xf>
    <xf numFmtId="2" fontId="12" fillId="16" borderId="2" xfId="2" applyNumberFormat="1" applyFont="1" applyFill="1" applyBorder="1" applyAlignment="1">
      <alignment horizontal="center" vertical="center" wrapText="1"/>
    </xf>
    <xf numFmtId="0" fontId="47" fillId="1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15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2" fontId="16" fillId="9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2" fontId="2" fillId="10" borderId="2" xfId="0" applyNumberFormat="1" applyFont="1" applyFill="1" applyBorder="1" applyAlignment="1">
      <alignment horizontal="center" vertical="center"/>
    </xf>
    <xf numFmtId="165" fontId="23" fillId="0" borderId="15" xfId="1" applyNumberFormat="1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justify" vertical="center" wrapText="1"/>
    </xf>
    <xf numFmtId="0" fontId="48" fillId="0" borderId="52" xfId="0" applyFont="1" applyBorder="1" applyAlignment="1">
      <alignment horizontal="center" vertical="center" wrapText="1"/>
    </xf>
    <xf numFmtId="165" fontId="3" fillId="0" borderId="25" xfId="0" applyNumberFormat="1" applyFont="1" applyFill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/>
    </xf>
    <xf numFmtId="0" fontId="48" fillId="15" borderId="52" xfId="0" applyFont="1" applyFill="1" applyBorder="1" applyAlignment="1">
      <alignment horizontal="center" vertical="center" wrapText="1"/>
    </xf>
    <xf numFmtId="165" fontId="3" fillId="15" borderId="2" xfId="0" applyNumberFormat="1" applyFont="1" applyFill="1" applyBorder="1" applyAlignment="1">
      <alignment horizontal="center"/>
    </xf>
    <xf numFmtId="0" fontId="25" fillId="4" borderId="52" xfId="0" applyFont="1" applyFill="1" applyBorder="1" applyAlignment="1">
      <alignment horizontal="center" vertical="center" wrapText="1"/>
    </xf>
    <xf numFmtId="0" fontId="48" fillId="4" borderId="52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165" fontId="49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 wrapText="1"/>
    </xf>
    <xf numFmtId="0" fontId="17" fillId="15" borderId="17" xfId="0" applyFont="1" applyFill="1" applyBorder="1" applyAlignment="1">
      <alignment horizontal="center" vertical="center" wrapText="1"/>
    </xf>
    <xf numFmtId="43" fontId="3" fillId="15" borderId="3" xfId="5" applyFont="1" applyFill="1" applyBorder="1" applyAlignment="1">
      <alignment horizontal="center" vertical="center" wrapText="1"/>
    </xf>
    <xf numFmtId="0" fontId="30" fillId="15" borderId="3" xfId="0" applyFont="1" applyFill="1" applyBorder="1" applyAlignment="1">
      <alignment horizontal="center" vertical="center" wrapText="1"/>
    </xf>
    <xf numFmtId="0" fontId="30" fillId="15" borderId="6" xfId="0" applyFont="1" applyFill="1" applyBorder="1" applyAlignment="1">
      <alignment horizontal="center" vertical="center" wrapText="1"/>
    </xf>
    <xf numFmtId="43" fontId="17" fillId="15" borderId="14" xfId="5" applyFont="1" applyFill="1" applyBorder="1" applyAlignment="1">
      <alignment horizontal="center" vertical="center" wrapText="1"/>
    </xf>
    <xf numFmtId="43" fontId="16" fillId="0" borderId="2" xfId="5" applyFont="1" applyFill="1" applyBorder="1" applyAlignment="1">
      <alignment horizontal="center" vertical="center" wrapText="1"/>
    </xf>
    <xf numFmtId="43" fontId="2" fillId="0" borderId="2" xfId="5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2" fontId="10" fillId="0" borderId="2" xfId="0" applyNumberFormat="1" applyFont="1" applyFill="1" applyBorder="1" applyAlignment="1">
      <alignment vertical="center" wrapText="1"/>
    </xf>
    <xf numFmtId="43" fontId="10" fillId="0" borderId="2" xfId="5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43" fontId="10" fillId="4" borderId="2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43" fontId="16" fillId="15" borderId="2" xfId="5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horizontal="center" vertical="center" wrapText="1"/>
    </xf>
    <xf numFmtId="2" fontId="16" fillId="0" borderId="2" xfId="5" applyNumberFormat="1" applyFont="1" applyFill="1" applyBorder="1" applyAlignment="1">
      <alignment horizontal="center" vertical="center" wrapText="1"/>
    </xf>
    <xf numFmtId="43" fontId="17" fillId="15" borderId="9" xfId="5" applyFont="1" applyFill="1" applyBorder="1" applyAlignment="1">
      <alignment horizontal="center" vertical="center" wrapText="1"/>
    </xf>
    <xf numFmtId="43" fontId="10" fillId="6" borderId="2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2" fontId="17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5" fillId="0" borderId="2" xfId="0" applyFont="1" applyFill="1" applyBorder="1" applyAlignment="1"/>
    <xf numFmtId="43" fontId="17" fillId="0" borderId="2" xfId="5" applyFont="1" applyFill="1" applyBorder="1" applyAlignment="1">
      <alignment horizontal="center" vertical="center" wrapText="1"/>
    </xf>
    <xf numFmtId="0" fontId="5" fillId="6" borderId="2" xfId="0" applyFont="1" applyFill="1" applyBorder="1"/>
    <xf numFmtId="0" fontId="5" fillId="7" borderId="2" xfId="0" applyFont="1" applyFill="1" applyBorder="1"/>
    <xf numFmtId="0" fontId="5" fillId="0" borderId="0" xfId="0" applyFont="1" applyFill="1" applyAlignment="1">
      <alignment horizontal="center" vertical="center"/>
    </xf>
    <xf numFmtId="43" fontId="10" fillId="0" borderId="2" xfId="5" applyFont="1" applyFill="1" applyBorder="1" applyAlignment="1">
      <alignment horizontal="center" vertical="center" wrapText="1"/>
    </xf>
    <xf numFmtId="43" fontId="10" fillId="7" borderId="2" xfId="0" applyNumberFormat="1" applyFont="1" applyFill="1" applyBorder="1" applyAlignment="1">
      <alignment horizontal="center" vertical="center" wrapText="1"/>
    </xf>
    <xf numFmtId="0" fontId="23" fillId="17" borderId="3" xfId="0" applyFont="1" applyFill="1" applyBorder="1" applyAlignment="1">
      <alignment vertical="center"/>
    </xf>
    <xf numFmtId="0" fontId="23" fillId="17" borderId="6" xfId="0" applyFont="1" applyFill="1" applyBorder="1" applyAlignment="1">
      <alignment vertical="center"/>
    </xf>
    <xf numFmtId="0" fontId="23" fillId="17" borderId="16" xfId="0" applyFont="1" applyFill="1" applyBorder="1" applyAlignment="1">
      <alignment vertical="center"/>
    </xf>
    <xf numFmtId="0" fontId="23" fillId="17" borderId="5" xfId="0" applyFont="1" applyFill="1" applyBorder="1" applyAlignment="1">
      <alignment vertical="center"/>
    </xf>
    <xf numFmtId="0" fontId="2" fillId="15" borderId="13" xfId="0" applyFont="1" applyFill="1" applyBorder="1"/>
    <xf numFmtId="0" fontId="50" fillId="2" borderId="0" xfId="0" applyFont="1" applyFill="1" applyBorder="1" applyAlignment="1">
      <alignment vertical="center"/>
    </xf>
    <xf numFmtId="0" fontId="50" fillId="2" borderId="1" xfId="0" applyFont="1" applyFill="1" applyBorder="1" applyAlignment="1">
      <alignment vertical="center"/>
    </xf>
    <xf numFmtId="0" fontId="16" fillId="15" borderId="14" xfId="0" applyFont="1" applyFill="1" applyBorder="1" applyAlignment="1">
      <alignment horizontal="center" vertical="center" wrapText="1"/>
    </xf>
    <xf numFmtId="2" fontId="16" fillId="15" borderId="14" xfId="0" applyNumberFormat="1" applyFont="1" applyFill="1" applyBorder="1" applyAlignment="1">
      <alignment horizontal="center" vertical="center" wrapText="1"/>
    </xf>
    <xf numFmtId="43" fontId="16" fillId="15" borderId="14" xfId="5" applyFont="1" applyFill="1" applyBorder="1" applyAlignment="1">
      <alignment horizontal="center" vertical="center" wrapText="1"/>
    </xf>
    <xf numFmtId="2" fontId="16" fillId="15" borderId="2" xfId="0" applyNumberFormat="1" applyFont="1" applyFill="1" applyBorder="1" applyAlignment="1">
      <alignment horizontal="center" vertical="center" wrapText="1"/>
    </xf>
    <xf numFmtId="165" fontId="16" fillId="15" borderId="2" xfId="0" applyNumberFormat="1" applyFont="1" applyFill="1" applyBorder="1" applyAlignment="1">
      <alignment horizontal="center" vertical="center" wrapText="1"/>
    </xf>
    <xf numFmtId="2" fontId="51" fillId="15" borderId="2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2" fillId="4" borderId="16" xfId="0" applyFont="1" applyFill="1" applyBorder="1"/>
    <xf numFmtId="0" fontId="16" fillId="4" borderId="5" xfId="0" applyFont="1" applyFill="1" applyBorder="1" applyAlignment="1">
      <alignment horizontal="center" vertical="center" wrapText="1"/>
    </xf>
    <xf numFmtId="2" fontId="16" fillId="4" borderId="2" xfId="0" applyNumberFormat="1" applyFont="1" applyFill="1" applyBorder="1" applyAlignment="1">
      <alignment horizontal="center" vertical="center" wrapText="1"/>
    </xf>
    <xf numFmtId="165" fontId="16" fillId="4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16" fillId="4" borderId="10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52" fillId="15" borderId="17" xfId="0" applyNumberFormat="1" applyFont="1" applyFill="1" applyBorder="1" applyAlignment="1">
      <alignment vertical="center" wrapText="1"/>
    </xf>
    <xf numFmtId="2" fontId="52" fillId="15" borderId="17" xfId="0" applyNumberFormat="1" applyFont="1" applyFill="1" applyBorder="1" applyAlignment="1">
      <alignment vertical="center" wrapText="1"/>
    </xf>
    <xf numFmtId="0" fontId="52" fillId="15" borderId="17" xfId="0" applyNumberFormat="1" applyFont="1" applyFill="1" applyBorder="1" applyAlignment="1">
      <alignment horizontal="center" vertical="center" wrapText="1"/>
    </xf>
    <xf numFmtId="170" fontId="52" fillId="15" borderId="17" xfId="0" applyNumberFormat="1" applyFont="1" applyFill="1" applyBorder="1" applyAlignment="1">
      <alignment vertical="center" wrapText="1"/>
    </xf>
    <xf numFmtId="167" fontId="52" fillId="15" borderId="17" xfId="5" applyNumberFormat="1" applyFont="1" applyFill="1" applyBorder="1" applyAlignment="1">
      <alignment horizontal="center" vertical="center" wrapText="1"/>
    </xf>
    <xf numFmtId="165" fontId="52" fillId="15" borderId="17" xfId="0" applyNumberFormat="1" applyFont="1" applyFill="1" applyBorder="1" applyAlignment="1">
      <alignment horizontal="center" vertical="center" wrapText="1"/>
    </xf>
    <xf numFmtId="165" fontId="52" fillId="15" borderId="17" xfId="0" applyNumberFormat="1" applyFont="1" applyFill="1" applyBorder="1" applyAlignment="1">
      <alignment vertical="center" wrapText="1"/>
    </xf>
    <xf numFmtId="0" fontId="53" fillId="15" borderId="17" xfId="0" applyNumberFormat="1" applyFont="1" applyFill="1" applyBorder="1" applyAlignment="1">
      <alignment vertical="center" wrapText="1"/>
    </xf>
    <xf numFmtId="0" fontId="54" fillId="0" borderId="0" xfId="0" applyFont="1" applyBorder="1"/>
    <xf numFmtId="0" fontId="54" fillId="0" borderId="0" xfId="0" applyFont="1"/>
    <xf numFmtId="0" fontId="33" fillId="0" borderId="0" xfId="0" applyFont="1" applyBorder="1"/>
    <xf numFmtId="0" fontId="33" fillId="0" borderId="0" xfId="0" applyFont="1"/>
    <xf numFmtId="2" fontId="21" fillId="15" borderId="13" xfId="0" applyNumberFormat="1" applyFont="1" applyFill="1" applyBorder="1" applyAlignment="1">
      <alignment horizontal="center" vertical="center" wrapText="1"/>
    </xf>
    <xf numFmtId="2" fontId="21" fillId="15" borderId="17" xfId="0" applyNumberFormat="1" applyFont="1" applyFill="1" applyBorder="1" applyAlignment="1">
      <alignment horizontal="center" vertical="center" wrapText="1"/>
    </xf>
    <xf numFmtId="165" fontId="21" fillId="15" borderId="13" xfId="0" applyNumberFormat="1" applyFont="1" applyFill="1" applyBorder="1" applyAlignment="1">
      <alignment horizontal="center" vertical="center" wrapText="1"/>
    </xf>
    <xf numFmtId="2" fontId="21" fillId="15" borderId="14" xfId="0" applyNumberFormat="1" applyFont="1" applyFill="1" applyBorder="1" applyAlignment="1">
      <alignment horizontal="center" vertical="center" wrapText="1"/>
    </xf>
    <xf numFmtId="43" fontId="21" fillId="15" borderId="13" xfId="5" applyFont="1" applyFill="1" applyBorder="1" applyAlignment="1">
      <alignment horizontal="center" vertical="center" wrapText="1"/>
    </xf>
    <xf numFmtId="165" fontId="21" fillId="15" borderId="17" xfId="0" applyNumberFormat="1" applyFont="1" applyFill="1" applyBorder="1" applyAlignment="1">
      <alignment horizontal="center" vertical="center" wrapText="1"/>
    </xf>
    <xf numFmtId="43" fontId="21" fillId="15" borderId="17" xfId="5" applyFont="1" applyFill="1" applyBorder="1" applyAlignment="1">
      <alignment horizontal="center" vertical="center" wrapText="1"/>
    </xf>
    <xf numFmtId="2" fontId="56" fillId="15" borderId="17" xfId="0" applyNumberFormat="1" applyFont="1" applyFill="1" applyBorder="1" applyAlignment="1">
      <alignment vertical="center" wrapText="1"/>
    </xf>
    <xf numFmtId="0" fontId="57" fillId="0" borderId="0" xfId="0" applyFont="1" applyBorder="1"/>
    <xf numFmtId="0" fontId="57" fillId="0" borderId="0" xfId="0" applyFont="1"/>
    <xf numFmtId="0" fontId="30" fillId="15" borderId="6" xfId="0" applyFont="1" applyFill="1" applyBorder="1" applyAlignment="1">
      <alignment vertical="center" wrapText="1"/>
    </xf>
    <xf numFmtId="164" fontId="30" fillId="15" borderId="6" xfId="0" applyNumberFormat="1" applyFont="1" applyFill="1" applyBorder="1" applyAlignment="1">
      <alignment vertical="center" wrapText="1"/>
    </xf>
    <xf numFmtId="43" fontId="30" fillId="15" borderId="6" xfId="5" applyFont="1" applyFill="1" applyBorder="1" applyAlignment="1">
      <alignment horizontal="center" vertical="center" wrapText="1"/>
    </xf>
    <xf numFmtId="0" fontId="30" fillId="15" borderId="16" xfId="0" applyFont="1" applyFill="1" applyBorder="1" applyAlignment="1">
      <alignment vertical="center" wrapText="1"/>
    </xf>
    <xf numFmtId="43" fontId="30" fillId="15" borderId="16" xfId="5" applyFont="1" applyFill="1" applyBorder="1" applyAlignment="1">
      <alignment vertical="center" wrapText="1"/>
    </xf>
    <xf numFmtId="164" fontId="30" fillId="15" borderId="16" xfId="0" applyNumberFormat="1" applyFont="1" applyFill="1" applyBorder="1" applyAlignment="1">
      <alignment vertical="center" wrapText="1"/>
    </xf>
    <xf numFmtId="164" fontId="55" fillId="15" borderId="7" xfId="0" applyNumberFormat="1" applyFont="1" applyFill="1" applyBorder="1" applyAlignment="1">
      <alignment vertical="center" wrapText="1"/>
    </xf>
    <xf numFmtId="43" fontId="21" fillId="15" borderId="2" xfId="5" applyFont="1" applyFill="1" applyBorder="1" applyAlignment="1">
      <alignment horizontal="center" vertical="center" wrapText="1"/>
    </xf>
    <xf numFmtId="0" fontId="21" fillId="15" borderId="14" xfId="0" applyFont="1" applyFill="1" applyBorder="1" applyAlignment="1">
      <alignment vertical="center" wrapText="1"/>
    </xf>
    <xf numFmtId="164" fontId="21" fillId="15" borderId="14" xfId="0" applyNumberFormat="1" applyFont="1" applyFill="1" applyBorder="1" applyAlignment="1">
      <alignment vertical="center" wrapText="1"/>
    </xf>
    <xf numFmtId="0" fontId="21" fillId="15" borderId="2" xfId="0" applyFont="1" applyFill="1" applyBorder="1" applyAlignment="1">
      <alignment horizontal="center" vertical="center" wrapText="1"/>
    </xf>
    <xf numFmtId="165" fontId="21" fillId="15" borderId="14" xfId="0" applyNumberFormat="1" applyFont="1" applyFill="1" applyBorder="1" applyAlignment="1">
      <alignment vertical="center" wrapText="1"/>
    </xf>
    <xf numFmtId="0" fontId="21" fillId="15" borderId="14" xfId="0" applyNumberFormat="1" applyFont="1" applyFill="1" applyBorder="1" applyAlignment="1">
      <alignment horizontal="center" vertical="center" wrapText="1"/>
    </xf>
    <xf numFmtId="165" fontId="21" fillId="15" borderId="14" xfId="0" applyNumberFormat="1" applyFont="1" applyFill="1" applyBorder="1" applyAlignment="1">
      <alignment horizontal="center" vertical="center" wrapText="1"/>
    </xf>
    <xf numFmtId="0" fontId="21" fillId="15" borderId="14" xfId="0" applyFont="1" applyFill="1" applyBorder="1" applyAlignment="1">
      <alignment horizontal="center" vertical="center" wrapText="1"/>
    </xf>
    <xf numFmtId="164" fontId="56" fillId="15" borderId="2" xfId="0" applyNumberFormat="1" applyFont="1" applyFill="1" applyBorder="1" applyAlignment="1">
      <alignment vertical="center" wrapText="1"/>
    </xf>
    <xf numFmtId="164" fontId="16" fillId="15" borderId="2" xfId="0" applyNumberFormat="1" applyFont="1" applyFill="1" applyBorder="1" applyAlignment="1">
      <alignment vertical="center" wrapText="1"/>
    </xf>
    <xf numFmtId="171" fontId="16" fillId="15" borderId="2" xfId="0" applyNumberFormat="1" applyFont="1" applyFill="1" applyBorder="1" applyAlignment="1">
      <alignment vertical="center" wrapText="1"/>
    </xf>
    <xf numFmtId="0" fontId="16" fillId="15" borderId="2" xfId="0" applyFont="1" applyFill="1" applyBorder="1" applyAlignment="1">
      <alignment vertical="center" wrapText="1"/>
    </xf>
    <xf numFmtId="172" fontId="51" fillId="15" borderId="2" xfId="0" applyNumberFormat="1" applyFont="1" applyFill="1" applyBorder="1" applyAlignment="1">
      <alignment vertical="center" wrapText="1"/>
    </xf>
    <xf numFmtId="43" fontId="52" fillId="15" borderId="17" xfId="5" applyFont="1" applyFill="1" applyBorder="1" applyAlignment="1">
      <alignment vertical="center" wrapText="1"/>
    </xf>
    <xf numFmtId="43" fontId="17" fillId="15" borderId="3" xfId="5" applyFont="1" applyFill="1" applyBorder="1" applyAlignment="1">
      <alignment horizontal="center" vertical="center" wrapText="1"/>
    </xf>
    <xf numFmtId="0" fontId="58" fillId="15" borderId="2" xfId="0" applyFont="1" applyFill="1" applyBorder="1" applyAlignment="1">
      <alignment vertical="center" wrapText="1"/>
    </xf>
    <xf numFmtId="0" fontId="16" fillId="20" borderId="2" xfId="0" applyFont="1" applyFill="1" applyBorder="1" applyAlignment="1">
      <alignment horizontal="center" vertical="center" wrapText="1"/>
    </xf>
    <xf numFmtId="0" fontId="2" fillId="20" borderId="16" xfId="0" applyFont="1" applyFill="1" applyBorder="1"/>
    <xf numFmtId="0" fontId="16" fillId="20" borderId="5" xfId="0" applyFont="1" applyFill="1" applyBorder="1" applyAlignment="1">
      <alignment horizontal="center" vertical="center" wrapText="1"/>
    </xf>
    <xf numFmtId="0" fontId="2" fillId="20" borderId="0" xfId="0" applyFont="1" applyFill="1" applyBorder="1"/>
    <xf numFmtId="0" fontId="16" fillId="20" borderId="10" xfId="0" applyFont="1" applyFill="1" applyBorder="1" applyAlignment="1">
      <alignment horizontal="center" vertical="center" wrapText="1"/>
    </xf>
    <xf numFmtId="0" fontId="16" fillId="20" borderId="2" xfId="0" applyFont="1" applyFill="1" applyBorder="1" applyAlignment="1">
      <alignment vertical="center" wrapText="1"/>
    </xf>
    <xf numFmtId="0" fontId="16" fillId="2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7" fillId="18" borderId="2" xfId="0" applyFont="1" applyFill="1" applyBorder="1" applyAlignment="1">
      <alignment horizontal="center" vertical="center" wrapText="1"/>
    </xf>
    <xf numFmtId="0" fontId="3" fillId="18" borderId="16" xfId="0" applyFont="1" applyFill="1" applyBorder="1"/>
    <xf numFmtId="0" fontId="17" fillId="18" borderId="5" xfId="0" applyFont="1" applyFill="1" applyBorder="1" applyAlignment="1">
      <alignment horizontal="center" vertical="center" wrapText="1"/>
    </xf>
    <xf numFmtId="43" fontId="17" fillId="18" borderId="2" xfId="5" applyFont="1" applyFill="1" applyBorder="1" applyAlignment="1">
      <alignment horizontal="center" vertical="center" wrapText="1"/>
    </xf>
    <xf numFmtId="0" fontId="3" fillId="18" borderId="0" xfId="0" applyFont="1" applyFill="1" applyBorder="1"/>
    <xf numFmtId="0" fontId="17" fillId="18" borderId="10" xfId="0" applyFont="1" applyFill="1" applyBorder="1" applyAlignment="1">
      <alignment horizontal="center" vertical="center" wrapText="1"/>
    </xf>
    <xf numFmtId="0" fontId="17" fillId="18" borderId="2" xfId="0" applyFont="1" applyFill="1" applyBorder="1" applyAlignment="1">
      <alignment vertical="center" wrapText="1"/>
    </xf>
    <xf numFmtId="0" fontId="17" fillId="18" borderId="0" xfId="0" applyFont="1" applyFill="1" applyBorder="1" applyAlignment="1">
      <alignment horizontal="center" vertical="center" wrapText="1"/>
    </xf>
    <xf numFmtId="0" fontId="3" fillId="7" borderId="2" xfId="0" applyFont="1" applyFill="1" applyBorder="1"/>
    <xf numFmtId="43" fontId="8" fillId="7" borderId="2" xfId="5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vertical="center" wrapText="1"/>
    </xf>
    <xf numFmtId="2" fontId="23" fillId="15" borderId="2" xfId="0" applyNumberFormat="1" applyFont="1" applyFill="1" applyBorder="1" applyAlignment="1">
      <alignment horizontal="center" vertical="center" wrapText="1"/>
    </xf>
    <xf numFmtId="2" fontId="23" fillId="15" borderId="2" xfId="5" applyNumberFormat="1" applyFont="1" applyFill="1" applyBorder="1" applyAlignment="1">
      <alignment horizontal="center" vertical="center" wrapText="1"/>
    </xf>
    <xf numFmtId="2" fontId="17" fillId="7" borderId="2" xfId="0" applyNumberFormat="1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3" fillId="7" borderId="16" xfId="0" applyFont="1" applyFill="1" applyBorder="1"/>
    <xf numFmtId="0" fontId="17" fillId="7" borderId="5" xfId="0" applyFont="1" applyFill="1" applyBorder="1" applyAlignment="1">
      <alignment horizontal="center" vertical="center" wrapText="1"/>
    </xf>
    <xf numFmtId="43" fontId="17" fillId="7" borderId="2" xfId="5" applyFont="1" applyFill="1" applyBorder="1" applyAlignment="1">
      <alignment horizontal="center" vertical="center" wrapText="1"/>
    </xf>
    <xf numFmtId="0" fontId="3" fillId="7" borderId="0" xfId="0" applyFont="1" applyFill="1" applyBorder="1"/>
    <xf numFmtId="0" fontId="17" fillId="7" borderId="1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59" fillId="15" borderId="2" xfId="0" applyFont="1" applyFill="1" applyBorder="1" applyAlignment="1">
      <alignment horizontal="center" vertical="center"/>
    </xf>
    <xf numFmtId="2" fontId="59" fillId="15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43" fontId="59" fillId="15" borderId="2" xfId="5" applyFont="1" applyFill="1" applyBorder="1" applyAlignment="1">
      <alignment horizontal="center" vertical="center"/>
    </xf>
    <xf numFmtId="43" fontId="52" fillId="15" borderId="17" xfId="5" applyFont="1" applyFill="1" applyBorder="1" applyAlignment="1">
      <alignment horizontal="center" vertical="center" wrapText="1"/>
    </xf>
    <xf numFmtId="43" fontId="23" fillId="15" borderId="2" xfId="5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justify" vertical="center" wrapText="1"/>
    </xf>
    <xf numFmtId="1" fontId="17" fillId="4" borderId="2" xfId="0" applyNumberFormat="1" applyFont="1" applyFill="1" applyBorder="1" applyAlignment="1">
      <alignment horizontal="center" vertical="center"/>
    </xf>
    <xf numFmtId="2" fontId="17" fillId="4" borderId="7" xfId="0" applyNumberFormat="1" applyFont="1" applyFill="1" applyBorder="1" applyAlignment="1">
      <alignment horizontal="center" vertical="top" wrapText="1"/>
    </xf>
    <xf numFmtId="166" fontId="17" fillId="4" borderId="2" xfId="0" applyNumberFormat="1" applyFont="1" applyFill="1" applyBorder="1" applyAlignment="1">
      <alignment horizontal="center" vertical="top" wrapText="1"/>
    </xf>
    <xf numFmtId="165" fontId="17" fillId="4" borderId="2" xfId="0" applyNumberFormat="1" applyFont="1" applyFill="1" applyBorder="1" applyAlignment="1">
      <alignment horizontal="center" vertical="center"/>
    </xf>
    <xf numFmtId="2" fontId="17" fillId="4" borderId="2" xfId="0" applyNumberFormat="1" applyFont="1" applyFill="1" applyBorder="1" applyAlignment="1">
      <alignment horizontal="center" vertical="center"/>
    </xf>
    <xf numFmtId="2" fontId="17" fillId="4" borderId="30" xfId="0" applyNumberFormat="1" applyFont="1" applyFill="1" applyBorder="1" applyAlignment="1">
      <alignment horizontal="center" vertical="center"/>
    </xf>
    <xf numFmtId="166" fontId="3" fillId="15" borderId="2" xfId="0" applyNumberFormat="1" applyFont="1" applyFill="1" applyBorder="1" applyAlignment="1">
      <alignment horizontal="center" vertical="top" wrapText="1"/>
    </xf>
    <xf numFmtId="0" fontId="60" fillId="15" borderId="0" xfId="0" applyFont="1" applyFill="1"/>
    <xf numFmtId="0" fontId="0" fillId="4" borderId="0" xfId="0" applyFill="1"/>
    <xf numFmtId="0" fontId="49" fillId="15" borderId="0" xfId="0" applyFont="1" applyFill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61" fillId="0" borderId="37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1" fontId="61" fillId="0" borderId="21" xfId="0" applyNumberFormat="1" applyFont="1" applyBorder="1" applyAlignment="1">
      <alignment horizontal="center"/>
    </xf>
    <xf numFmtId="1" fontId="61" fillId="0" borderId="22" xfId="0" applyNumberFormat="1" applyFont="1" applyBorder="1" applyAlignment="1">
      <alignment horizontal="center"/>
    </xf>
    <xf numFmtId="0" fontId="17" fillId="15" borderId="2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0" fontId="17" fillId="15" borderId="7" xfId="0" applyFont="1" applyFill="1" applyBorder="1" applyAlignment="1">
      <alignment horizontal="center" vertical="center" wrapText="1"/>
    </xf>
    <xf numFmtId="2" fontId="3" fillId="15" borderId="2" xfId="2" applyNumberFormat="1" applyFont="1" applyFill="1" applyBorder="1" applyAlignment="1">
      <alignment horizontal="center" vertical="center" wrapText="1"/>
    </xf>
    <xf numFmtId="165" fontId="3" fillId="15" borderId="2" xfId="2" applyNumberFormat="1" applyFont="1" applyFill="1" applyBorder="1" applyAlignment="1">
      <alignment horizontal="center" vertical="center" wrapText="1"/>
    </xf>
    <xf numFmtId="2" fontId="17" fillId="15" borderId="2" xfId="0" applyNumberFormat="1" applyFont="1" applyFill="1" applyBorder="1" applyAlignment="1">
      <alignment horizontal="center" vertical="center" wrapText="1"/>
    </xf>
    <xf numFmtId="2" fontId="17" fillId="15" borderId="10" xfId="0" applyNumberFormat="1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 wrapText="1"/>
    </xf>
    <xf numFmtId="0" fontId="22" fillId="0" borderId="0" xfId="0" applyFont="1" applyFill="1"/>
    <xf numFmtId="2" fontId="22" fillId="0" borderId="0" xfId="0" applyNumberFormat="1" applyFont="1" applyFill="1"/>
    <xf numFmtId="2" fontId="5" fillId="0" borderId="0" xfId="0" applyNumberFormat="1" applyFont="1"/>
    <xf numFmtId="0" fontId="10" fillId="6" borderId="2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 wrapText="1"/>
    </xf>
    <xf numFmtId="2" fontId="3" fillId="15" borderId="2" xfId="2" applyNumberFormat="1" applyFont="1" applyFill="1" applyBorder="1" applyAlignment="1">
      <alignment horizontal="center" vertical="center" wrapText="1"/>
    </xf>
    <xf numFmtId="2" fontId="17" fillId="15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2" fontId="12" fillId="6" borderId="2" xfId="2" applyNumberFormat="1" applyFont="1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wrapText="1"/>
    </xf>
    <xf numFmtId="1" fontId="16" fillId="0" borderId="2" xfId="0" applyNumberFormat="1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" fillId="0" borderId="2" xfId="2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2" fontId="51" fillId="4" borderId="2" xfId="0" applyNumberFormat="1" applyFont="1" applyFill="1" applyBorder="1" applyAlignment="1">
      <alignment horizontal="center" vertical="center" wrapText="1"/>
    </xf>
    <xf numFmtId="0" fontId="16" fillId="4" borderId="2" xfId="5" applyNumberFormat="1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0" fontId="25" fillId="15" borderId="52" xfId="0" applyFont="1" applyFill="1" applyBorder="1" applyAlignment="1">
      <alignment horizontal="center" vertical="center" wrapText="1"/>
    </xf>
    <xf numFmtId="43" fontId="10" fillId="6" borderId="2" xfId="5" applyFont="1" applyFill="1" applyBorder="1" applyAlignment="1">
      <alignment horizontal="center" vertical="center" wrapText="1"/>
    </xf>
    <xf numFmtId="0" fontId="8" fillId="22" borderId="2" xfId="1" applyFont="1" applyFill="1" applyBorder="1" applyAlignment="1">
      <alignment horizontal="center" vertical="center" wrapText="1"/>
    </xf>
    <xf numFmtId="0" fontId="7" fillId="22" borderId="2" xfId="0" applyFont="1" applyFill="1" applyBorder="1" applyAlignment="1">
      <alignment horizontal="center" vertical="center"/>
    </xf>
    <xf numFmtId="0" fontId="7" fillId="22" borderId="2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vertical="center"/>
    </xf>
    <xf numFmtId="0" fontId="17" fillId="22" borderId="2" xfId="0" applyFont="1" applyFill="1" applyBorder="1" applyAlignment="1">
      <alignment vertical="center" wrapText="1"/>
    </xf>
    <xf numFmtId="0" fontId="17" fillId="22" borderId="2" xfId="0" applyFont="1" applyFill="1" applyBorder="1" applyAlignment="1">
      <alignment horizontal="center" vertical="center" wrapText="1"/>
    </xf>
    <xf numFmtId="43" fontId="16" fillId="22" borderId="2" xfId="5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2" fontId="17" fillId="22" borderId="2" xfId="0" applyNumberFormat="1" applyFont="1" applyFill="1" applyBorder="1" applyAlignment="1">
      <alignment horizontal="center" vertical="center" wrapText="1"/>
    </xf>
    <xf numFmtId="2" fontId="17" fillId="22" borderId="2" xfId="0" applyNumberFormat="1" applyFont="1" applyFill="1" applyBorder="1" applyAlignment="1">
      <alignment vertical="center" wrapText="1"/>
    </xf>
    <xf numFmtId="0" fontId="5" fillId="22" borderId="2" xfId="0" applyFont="1" applyFill="1" applyBorder="1" applyAlignment="1"/>
    <xf numFmtId="2" fontId="17" fillId="22" borderId="2" xfId="5" applyNumberFormat="1" applyFont="1" applyFill="1" applyBorder="1" applyAlignment="1">
      <alignment horizontal="center" vertical="center" wrapText="1"/>
    </xf>
    <xf numFmtId="43" fontId="17" fillId="22" borderId="2" xfId="5" applyFont="1" applyFill="1" applyBorder="1" applyAlignment="1">
      <alignment horizontal="center" vertical="center" wrapText="1"/>
    </xf>
    <xf numFmtId="2" fontId="10" fillId="22" borderId="2" xfId="0" applyNumberFormat="1" applyFont="1" applyFill="1" applyBorder="1" applyAlignment="1">
      <alignment vertical="center" wrapText="1"/>
    </xf>
    <xf numFmtId="43" fontId="10" fillId="22" borderId="2" xfId="5" applyFont="1" applyFill="1" applyBorder="1" applyAlignment="1">
      <alignment vertical="center" wrapText="1"/>
    </xf>
    <xf numFmtId="0" fontId="5" fillId="22" borderId="2" xfId="0" applyFont="1" applyFill="1" applyBorder="1"/>
    <xf numFmtId="0" fontId="10" fillId="22" borderId="2" xfId="0" applyFont="1" applyFill="1" applyBorder="1" applyAlignment="1">
      <alignment horizontal="center" vertical="center" wrapText="1"/>
    </xf>
    <xf numFmtId="43" fontId="10" fillId="22" borderId="2" xfId="0" applyNumberFormat="1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vertical="center" wrapText="1"/>
    </xf>
    <xf numFmtId="43" fontId="10" fillId="22" borderId="2" xfId="5" applyFont="1" applyFill="1" applyBorder="1" applyAlignment="1">
      <alignment horizontal="center" vertical="center" wrapText="1"/>
    </xf>
    <xf numFmtId="2" fontId="22" fillId="22" borderId="0" xfId="0" applyNumberFormat="1" applyFont="1" applyFill="1"/>
    <xf numFmtId="0" fontId="5" fillId="22" borderId="0" xfId="0" applyFont="1" applyFill="1"/>
    <xf numFmtId="43" fontId="2" fillId="22" borderId="2" xfId="5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8" fillId="22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23" fillId="17" borderId="3" xfId="0" applyFont="1" applyFill="1" applyBorder="1" applyAlignment="1">
      <alignment horizontal="center" vertical="center"/>
    </xf>
    <xf numFmtId="0" fontId="23" fillId="17" borderId="6" xfId="0" applyFont="1" applyFill="1" applyBorder="1" applyAlignment="1">
      <alignment horizontal="center" vertical="center"/>
    </xf>
    <xf numFmtId="0" fontId="23" fillId="17" borderId="7" xfId="0" applyFont="1" applyFill="1" applyBorder="1" applyAlignment="1">
      <alignment horizontal="center" vertical="center"/>
    </xf>
    <xf numFmtId="0" fontId="16" fillId="15" borderId="3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center" vertical="center" wrapText="1"/>
    </xf>
    <xf numFmtId="0" fontId="16" fillId="15" borderId="7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left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8" fillId="15" borderId="2" xfId="1" applyFont="1" applyFill="1" applyBorder="1" applyAlignment="1">
      <alignment horizontal="center" vertical="center" wrapText="1"/>
    </xf>
    <xf numFmtId="0" fontId="17" fillId="15" borderId="16" xfId="0" applyFont="1" applyFill="1" applyBorder="1" applyAlignment="1">
      <alignment horizontal="center" vertical="center" wrapText="1"/>
    </xf>
    <xf numFmtId="0" fontId="17" fillId="15" borderId="0" xfId="0" applyFont="1" applyFill="1" applyBorder="1" applyAlignment="1">
      <alignment horizontal="center" vertical="center" wrapText="1"/>
    </xf>
    <xf numFmtId="167" fontId="17" fillId="15" borderId="5" xfId="6" applyNumberFormat="1" applyFont="1" applyFill="1" applyBorder="1" applyAlignment="1">
      <alignment horizontal="center" vertical="center" wrapText="1"/>
    </xf>
    <xf numFmtId="167" fontId="17" fillId="15" borderId="10" xfId="6" applyNumberFormat="1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167" fontId="17" fillId="15" borderId="13" xfId="6" applyNumberFormat="1" applyFont="1" applyFill="1" applyBorder="1" applyAlignment="1">
      <alignment horizontal="center" vertical="center" wrapText="1"/>
    </xf>
    <xf numFmtId="167" fontId="17" fillId="15" borderId="14" xfId="6" applyNumberFormat="1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 wrapText="1"/>
    </xf>
    <xf numFmtId="43" fontId="17" fillId="15" borderId="3" xfId="5" applyFont="1" applyFill="1" applyBorder="1" applyAlignment="1">
      <alignment horizontal="center" vertical="center" wrapText="1"/>
    </xf>
    <xf numFmtId="0" fontId="26" fillId="17" borderId="3" xfId="0" applyFont="1" applyFill="1" applyBorder="1" applyAlignment="1">
      <alignment horizontal="center" vertical="center"/>
    </xf>
    <xf numFmtId="0" fontId="26" fillId="17" borderId="6" xfId="0" applyFont="1" applyFill="1" applyBorder="1" applyAlignment="1">
      <alignment horizontal="center" vertical="center"/>
    </xf>
    <xf numFmtId="0" fontId="26" fillId="17" borderId="7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 wrapText="1"/>
    </xf>
    <xf numFmtId="0" fontId="8" fillId="17" borderId="2" xfId="1" applyFont="1" applyFill="1" applyBorder="1" applyAlignment="1">
      <alignment horizontal="center" vertical="center" wrapText="1"/>
    </xf>
    <xf numFmtId="0" fontId="8" fillId="15" borderId="4" xfId="1" applyFont="1" applyFill="1" applyBorder="1" applyAlignment="1">
      <alignment horizontal="center" vertical="center" wrapText="1"/>
    </xf>
    <xf numFmtId="0" fontId="8" fillId="15" borderId="16" xfId="1" applyFont="1" applyFill="1" applyBorder="1" applyAlignment="1">
      <alignment horizontal="center" vertical="center" wrapText="1"/>
    </xf>
    <xf numFmtId="0" fontId="8" fillId="15" borderId="5" xfId="1" applyFont="1" applyFill="1" applyBorder="1" applyAlignment="1">
      <alignment horizontal="center" vertical="center" wrapText="1"/>
    </xf>
    <xf numFmtId="0" fontId="8" fillId="15" borderId="11" xfId="1" applyFont="1" applyFill="1" applyBorder="1" applyAlignment="1">
      <alignment horizontal="center" vertical="center" wrapText="1"/>
    </xf>
    <xf numFmtId="0" fontId="8" fillId="15" borderId="1" xfId="1" applyFont="1" applyFill="1" applyBorder="1" applyAlignment="1">
      <alignment horizontal="center" vertical="center" wrapText="1"/>
    </xf>
    <xf numFmtId="0" fontId="8" fillId="15" borderId="12" xfId="1" applyFont="1" applyFill="1" applyBorder="1" applyAlignment="1">
      <alignment horizontal="center" vertical="center" wrapText="1"/>
    </xf>
    <xf numFmtId="0" fontId="8" fillId="15" borderId="3" xfId="1" applyFont="1" applyFill="1" applyBorder="1" applyAlignment="1">
      <alignment horizontal="center" vertical="center" wrapText="1"/>
    </xf>
    <xf numFmtId="0" fontId="8" fillId="15" borderId="7" xfId="1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vertical="center" wrapText="1"/>
    </xf>
    <xf numFmtId="0" fontId="3" fillId="15" borderId="2" xfId="2" applyFont="1" applyFill="1" applyBorder="1" applyAlignment="1">
      <alignment horizontal="center" vertical="center" wrapText="1"/>
    </xf>
    <xf numFmtId="2" fontId="3" fillId="15" borderId="2" xfId="2" applyNumberFormat="1" applyFont="1" applyFill="1" applyBorder="1" applyAlignment="1">
      <alignment horizontal="center" vertical="center" wrapText="1"/>
    </xf>
    <xf numFmtId="165" fontId="3" fillId="15" borderId="2" xfId="2" applyNumberFormat="1" applyFont="1" applyFill="1" applyBorder="1" applyAlignment="1">
      <alignment horizontal="center" vertical="center" wrapText="1"/>
    </xf>
    <xf numFmtId="43" fontId="3" fillId="15" borderId="2" xfId="5" applyFont="1" applyFill="1" applyBorder="1" applyAlignment="1">
      <alignment horizontal="center" vertical="center" wrapText="1"/>
    </xf>
    <xf numFmtId="2" fontId="17" fillId="15" borderId="2" xfId="0" applyNumberFormat="1" applyFont="1" applyFill="1" applyBorder="1" applyAlignment="1">
      <alignment horizontal="center" vertical="center" wrapText="1"/>
    </xf>
    <xf numFmtId="0" fontId="17" fillId="15" borderId="17" xfId="0" applyFont="1" applyFill="1" applyBorder="1" applyAlignment="1">
      <alignment horizontal="center" vertical="center" wrapText="1"/>
    </xf>
    <xf numFmtId="0" fontId="3" fillId="15" borderId="13" xfId="2" applyFont="1" applyFill="1" applyBorder="1" applyAlignment="1">
      <alignment horizontal="center" vertical="center" wrapText="1"/>
    </xf>
    <xf numFmtId="0" fontId="3" fillId="15" borderId="17" xfId="2" applyFont="1" applyFill="1" applyBorder="1" applyAlignment="1">
      <alignment horizontal="center" vertical="center" wrapText="1"/>
    </xf>
    <xf numFmtId="0" fontId="3" fillId="15" borderId="14" xfId="2" applyFont="1" applyFill="1" applyBorder="1" applyAlignment="1">
      <alignment horizontal="center" vertical="center" wrapText="1"/>
    </xf>
    <xf numFmtId="165" fontId="3" fillId="15" borderId="13" xfId="2" applyNumberFormat="1" applyFont="1" applyFill="1" applyBorder="1" applyAlignment="1">
      <alignment horizontal="center" vertical="center" wrapText="1"/>
    </xf>
    <xf numFmtId="165" fontId="3" fillId="15" borderId="17" xfId="2" applyNumberFormat="1" applyFont="1" applyFill="1" applyBorder="1" applyAlignment="1">
      <alignment horizontal="center" vertical="center" wrapText="1"/>
    </xf>
    <xf numFmtId="165" fontId="3" fillId="15" borderId="14" xfId="2" applyNumberFormat="1" applyFont="1" applyFill="1" applyBorder="1" applyAlignment="1">
      <alignment horizontal="center" vertical="center" wrapText="1"/>
    </xf>
    <xf numFmtId="2" fontId="3" fillId="15" borderId="13" xfId="2" applyNumberFormat="1" applyFont="1" applyFill="1" applyBorder="1" applyAlignment="1">
      <alignment horizontal="center" vertical="center" wrapText="1"/>
    </xf>
    <xf numFmtId="2" fontId="3" fillId="15" borderId="17" xfId="2" applyNumberFormat="1" applyFont="1" applyFill="1" applyBorder="1" applyAlignment="1">
      <alignment horizontal="center" vertical="center" wrapText="1"/>
    </xf>
    <xf numFmtId="2" fontId="3" fillId="15" borderId="14" xfId="2" applyNumberFormat="1" applyFont="1" applyFill="1" applyBorder="1" applyAlignment="1">
      <alignment horizontal="center" vertical="center" wrapText="1"/>
    </xf>
    <xf numFmtId="2" fontId="3" fillId="15" borderId="4" xfId="2" applyNumberFormat="1" applyFont="1" applyFill="1" applyBorder="1" applyAlignment="1">
      <alignment horizontal="center" vertical="center" wrapText="1"/>
    </xf>
    <xf numFmtId="2" fontId="3" fillId="15" borderId="9" xfId="2" applyNumberFormat="1" applyFont="1" applyFill="1" applyBorder="1" applyAlignment="1">
      <alignment horizontal="center" vertical="center" wrapText="1"/>
    </xf>
    <xf numFmtId="2" fontId="3" fillId="15" borderId="11" xfId="2" applyNumberFormat="1" applyFont="1" applyFill="1" applyBorder="1" applyAlignment="1">
      <alignment horizontal="center" vertical="center" wrapText="1"/>
    </xf>
    <xf numFmtId="43" fontId="3" fillId="15" borderId="13" xfId="5" applyFont="1" applyFill="1" applyBorder="1" applyAlignment="1">
      <alignment horizontal="center" vertical="center" wrapText="1"/>
    </xf>
    <xf numFmtId="43" fontId="3" fillId="15" borderId="17" xfId="5" applyFont="1" applyFill="1" applyBorder="1" applyAlignment="1">
      <alignment horizontal="center" vertical="center" wrapText="1"/>
    </xf>
    <xf numFmtId="43" fontId="3" fillId="15" borderId="14" xfId="5" applyFont="1" applyFill="1" applyBorder="1" applyAlignment="1">
      <alignment horizontal="center" vertical="center" wrapText="1"/>
    </xf>
    <xf numFmtId="2" fontId="17" fillId="15" borderId="13" xfId="0" applyNumberFormat="1" applyFont="1" applyFill="1" applyBorder="1" applyAlignment="1">
      <alignment horizontal="center" vertical="center" wrapText="1"/>
    </xf>
    <xf numFmtId="2" fontId="17" fillId="15" borderId="17" xfId="0" applyNumberFormat="1" applyFont="1" applyFill="1" applyBorder="1" applyAlignment="1">
      <alignment horizontal="center" vertical="center" wrapText="1"/>
    </xf>
    <xf numFmtId="2" fontId="17" fillId="15" borderId="14" xfId="0" applyNumberFormat="1" applyFont="1" applyFill="1" applyBorder="1" applyAlignment="1">
      <alignment horizontal="center" vertical="center" wrapText="1"/>
    </xf>
    <xf numFmtId="2" fontId="17" fillId="15" borderId="9" xfId="0" applyNumberFormat="1" applyFont="1" applyFill="1" applyBorder="1" applyAlignment="1">
      <alignment horizontal="center" vertical="center" wrapText="1"/>
    </xf>
    <xf numFmtId="2" fontId="17" fillId="15" borderId="11" xfId="0" applyNumberFormat="1" applyFont="1" applyFill="1" applyBorder="1" applyAlignment="1">
      <alignment horizontal="center" vertical="center" wrapText="1"/>
    </xf>
    <xf numFmtId="2" fontId="17" fillId="15" borderId="0" xfId="0" applyNumberFormat="1" applyFont="1" applyFill="1" applyBorder="1" applyAlignment="1">
      <alignment horizontal="center" vertical="center" wrapText="1"/>
    </xf>
    <xf numFmtId="2" fontId="17" fillId="15" borderId="1" xfId="0" applyNumberFormat="1" applyFont="1" applyFill="1" applyBorder="1" applyAlignment="1">
      <alignment horizontal="center" vertical="center" wrapText="1"/>
    </xf>
    <xf numFmtId="2" fontId="17" fillId="15" borderId="10" xfId="5" applyNumberFormat="1" applyFont="1" applyFill="1" applyBorder="1" applyAlignment="1">
      <alignment horizontal="center" vertical="center" wrapText="1"/>
    </xf>
    <xf numFmtId="43" fontId="3" fillId="15" borderId="4" xfId="5" applyFont="1" applyFill="1" applyBorder="1" applyAlignment="1">
      <alignment horizontal="center" vertical="center" wrapText="1"/>
    </xf>
    <xf numFmtId="43" fontId="3" fillId="15" borderId="9" xfId="5" applyFont="1" applyFill="1" applyBorder="1" applyAlignment="1">
      <alignment horizontal="center" vertical="center" wrapText="1"/>
    </xf>
    <xf numFmtId="43" fontId="3" fillId="15" borderId="11" xfId="5" applyFont="1" applyFill="1" applyBorder="1" applyAlignment="1">
      <alignment horizontal="center" vertical="center" wrapText="1"/>
    </xf>
    <xf numFmtId="2" fontId="17" fillId="15" borderId="4" xfId="0" applyNumberFormat="1" applyFont="1" applyFill="1" applyBorder="1" applyAlignment="1">
      <alignment horizontal="center" vertical="center" wrapText="1"/>
    </xf>
    <xf numFmtId="2" fontId="17" fillId="15" borderId="16" xfId="0" applyNumberFormat="1" applyFont="1" applyFill="1" applyBorder="1" applyAlignment="1">
      <alignment horizontal="center" vertical="center" wrapText="1"/>
    </xf>
    <xf numFmtId="2" fontId="17" fillId="15" borderId="5" xfId="0" applyNumberFormat="1" applyFont="1" applyFill="1" applyBorder="1" applyAlignment="1">
      <alignment horizontal="center" vertical="center" wrapText="1"/>
    </xf>
    <xf numFmtId="2" fontId="17" fillId="15" borderId="10" xfId="0" applyNumberFormat="1" applyFont="1" applyFill="1" applyBorder="1" applyAlignment="1">
      <alignment horizontal="center" vertical="center" wrapText="1"/>
    </xf>
    <xf numFmtId="2" fontId="17" fillId="15" borderId="12" xfId="0" applyNumberFormat="1" applyFont="1" applyFill="1" applyBorder="1" applyAlignment="1">
      <alignment horizontal="center" vertical="center" wrapText="1"/>
    </xf>
    <xf numFmtId="0" fontId="17" fillId="15" borderId="4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 wrapText="1"/>
    </xf>
    <xf numFmtId="2" fontId="3" fillId="15" borderId="5" xfId="2" applyNumberFormat="1" applyFont="1" applyFill="1" applyBorder="1" applyAlignment="1">
      <alignment horizontal="center" vertical="center" wrapText="1"/>
    </xf>
    <xf numFmtId="2" fontId="3" fillId="15" borderId="10" xfId="2" applyNumberFormat="1" applyFont="1" applyFill="1" applyBorder="1" applyAlignment="1">
      <alignment horizontal="center" vertical="center" wrapText="1"/>
    </xf>
    <xf numFmtId="2" fontId="3" fillId="15" borderId="12" xfId="2" applyNumberFormat="1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14" fontId="17" fillId="15" borderId="16" xfId="0" applyNumberFormat="1" applyFont="1" applyFill="1" applyBorder="1" applyAlignment="1">
      <alignment horizontal="center" vertical="center" wrapText="1"/>
    </xf>
    <xf numFmtId="14" fontId="17" fillId="15" borderId="0" xfId="0" applyNumberFormat="1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/>
    </xf>
    <xf numFmtId="43" fontId="3" fillId="15" borderId="13" xfId="5" applyNumberFormat="1" applyFont="1" applyFill="1" applyBorder="1" applyAlignment="1">
      <alignment horizontal="center" vertical="center" wrapText="1"/>
    </xf>
    <xf numFmtId="43" fontId="3" fillId="15" borderId="17" xfId="5" applyNumberFormat="1" applyFont="1" applyFill="1" applyBorder="1" applyAlignment="1">
      <alignment horizontal="center" vertical="center" wrapText="1"/>
    </xf>
    <xf numFmtId="43" fontId="3" fillId="15" borderId="14" xfId="5" applyNumberFormat="1" applyFont="1" applyFill="1" applyBorder="1" applyAlignment="1">
      <alignment horizontal="center" vertical="center" wrapText="1"/>
    </xf>
    <xf numFmtId="43" fontId="3" fillId="15" borderId="13" xfId="2" applyNumberFormat="1" applyFont="1" applyFill="1" applyBorder="1" applyAlignment="1">
      <alignment horizontal="center" vertical="center" wrapText="1"/>
    </xf>
    <xf numFmtId="43" fontId="3" fillId="15" borderId="17" xfId="2" applyNumberFormat="1" applyFont="1" applyFill="1" applyBorder="1" applyAlignment="1">
      <alignment horizontal="center" vertical="center" wrapText="1"/>
    </xf>
    <xf numFmtId="43" fontId="3" fillId="15" borderId="14" xfId="2" applyNumberFormat="1" applyFont="1" applyFill="1" applyBorder="1" applyAlignment="1">
      <alignment horizontal="center" vertical="center" wrapText="1"/>
    </xf>
    <xf numFmtId="2" fontId="3" fillId="15" borderId="13" xfId="0" applyNumberFormat="1" applyFont="1" applyFill="1" applyBorder="1" applyAlignment="1">
      <alignment horizontal="center" vertical="center" wrapText="1"/>
    </xf>
    <xf numFmtId="2" fontId="3" fillId="15" borderId="17" xfId="0" applyNumberFormat="1" applyFont="1" applyFill="1" applyBorder="1" applyAlignment="1">
      <alignment horizontal="center" vertical="center" wrapText="1"/>
    </xf>
    <xf numFmtId="2" fontId="3" fillId="15" borderId="14" xfId="0" applyNumberFormat="1" applyFont="1" applyFill="1" applyBorder="1" applyAlignment="1">
      <alignment horizontal="center" vertical="center" wrapText="1"/>
    </xf>
    <xf numFmtId="43" fontId="17" fillId="15" borderId="5" xfId="5" applyFont="1" applyFill="1" applyBorder="1" applyAlignment="1">
      <alignment horizontal="center" vertical="center" wrapText="1"/>
    </xf>
    <xf numFmtId="43" fontId="17" fillId="15" borderId="10" xfId="5" applyFont="1" applyFill="1" applyBorder="1" applyAlignment="1">
      <alignment horizontal="center" vertical="center" wrapText="1"/>
    </xf>
    <xf numFmtId="0" fontId="17" fillId="15" borderId="5" xfId="0" applyFont="1" applyFill="1" applyBorder="1" applyAlignment="1">
      <alignment horizontal="center" vertical="center" wrapText="1"/>
    </xf>
    <xf numFmtId="0" fontId="17" fillId="15" borderId="10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167" fontId="17" fillId="15" borderId="16" xfId="6" applyNumberFormat="1" applyFont="1" applyFill="1" applyBorder="1" applyAlignment="1">
      <alignment horizontal="center" vertical="center" wrapText="1"/>
    </xf>
    <xf numFmtId="167" fontId="17" fillId="15" borderId="0" xfId="6" applyNumberFormat="1" applyFont="1" applyFill="1" applyBorder="1" applyAlignment="1">
      <alignment horizontal="center" vertical="center" wrapText="1"/>
    </xf>
    <xf numFmtId="167" fontId="17" fillId="15" borderId="1" xfId="6" applyNumberFormat="1" applyFont="1" applyFill="1" applyBorder="1" applyAlignment="1">
      <alignment horizontal="center" vertical="center" wrapText="1"/>
    </xf>
    <xf numFmtId="2" fontId="3" fillId="15" borderId="5" xfId="0" applyNumberFormat="1" applyFont="1" applyFill="1" applyBorder="1" applyAlignment="1">
      <alignment horizontal="center" vertical="center"/>
    </xf>
    <xf numFmtId="2" fontId="3" fillId="15" borderId="10" xfId="0" applyNumberFormat="1" applyFont="1" applyFill="1" applyBorder="1" applyAlignment="1">
      <alignment horizontal="center" vertical="center"/>
    </xf>
    <xf numFmtId="43" fontId="17" fillId="15" borderId="16" xfId="5" applyFont="1" applyFill="1" applyBorder="1" applyAlignment="1">
      <alignment horizontal="center" vertical="center" wrapText="1"/>
    </xf>
    <xf numFmtId="43" fontId="17" fillId="15" borderId="0" xfId="5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165" fontId="3" fillId="15" borderId="5" xfId="2" applyNumberFormat="1" applyFont="1" applyFill="1" applyBorder="1" applyAlignment="1">
      <alignment horizontal="center" vertical="center" wrapText="1"/>
    </xf>
    <xf numFmtId="165" fontId="3" fillId="15" borderId="10" xfId="2" applyNumberFormat="1" applyFont="1" applyFill="1" applyBorder="1" applyAlignment="1">
      <alignment horizontal="center" vertical="center" wrapText="1"/>
    </xf>
    <xf numFmtId="165" fontId="3" fillId="15" borderId="12" xfId="2" applyNumberFormat="1" applyFont="1" applyFill="1" applyBorder="1" applyAlignment="1">
      <alignment horizontal="center" vertical="center" wrapText="1"/>
    </xf>
    <xf numFmtId="2" fontId="3" fillId="15" borderId="13" xfId="0" applyNumberFormat="1" applyFont="1" applyFill="1" applyBorder="1" applyAlignment="1">
      <alignment horizontal="center" vertical="center"/>
    </xf>
    <xf numFmtId="2" fontId="3" fillId="15" borderId="14" xfId="0" applyNumberFormat="1" applyFont="1" applyFill="1" applyBorder="1" applyAlignment="1">
      <alignment horizontal="center" vertical="center"/>
    </xf>
    <xf numFmtId="2" fontId="3" fillId="15" borderId="16" xfId="0" applyNumberFormat="1" applyFont="1" applyFill="1" applyBorder="1" applyAlignment="1">
      <alignment horizontal="center" vertical="center"/>
    </xf>
    <xf numFmtId="2" fontId="3" fillId="15" borderId="0" xfId="0" applyNumberFormat="1" applyFont="1" applyFill="1" applyBorder="1" applyAlignment="1">
      <alignment horizontal="center" vertical="center"/>
    </xf>
    <xf numFmtId="0" fontId="17" fillId="15" borderId="16" xfId="0" applyNumberFormat="1" applyFont="1" applyFill="1" applyBorder="1" applyAlignment="1">
      <alignment horizontal="center" vertical="center" wrapText="1"/>
    </xf>
    <xf numFmtId="0" fontId="17" fillId="15" borderId="0" xfId="0" applyNumberFormat="1" applyFont="1" applyFill="1" applyBorder="1" applyAlignment="1">
      <alignment horizontal="center" vertical="center" wrapText="1"/>
    </xf>
    <xf numFmtId="43" fontId="3" fillId="15" borderId="3" xfId="5" applyFont="1" applyFill="1" applyBorder="1" applyAlignment="1">
      <alignment horizontal="center" vertical="center" wrapText="1"/>
    </xf>
    <xf numFmtId="2" fontId="17" fillId="15" borderId="7" xfId="0" applyNumberFormat="1" applyFont="1" applyFill="1" applyBorder="1" applyAlignment="1">
      <alignment horizontal="center" vertical="center" wrapText="1"/>
    </xf>
    <xf numFmtId="2" fontId="17" fillId="15" borderId="13" xfId="5" applyNumberFormat="1" applyFont="1" applyFill="1" applyBorder="1" applyAlignment="1">
      <alignment horizontal="center" vertical="center" wrapText="1"/>
    </xf>
    <xf numFmtId="2" fontId="17" fillId="15" borderId="14" xfId="5" applyNumberFormat="1" applyFont="1" applyFill="1" applyBorder="1" applyAlignment="1">
      <alignment horizontal="center" vertical="center" wrapText="1"/>
    </xf>
    <xf numFmtId="43" fontId="16" fillId="4" borderId="13" xfId="5" applyFont="1" applyFill="1" applyBorder="1" applyAlignment="1">
      <alignment horizontal="center" vertical="center" wrapText="1"/>
    </xf>
    <xf numFmtId="43" fontId="16" fillId="4" borderId="14" xfId="5" applyFont="1" applyFill="1" applyBorder="1" applyAlignment="1">
      <alignment horizontal="center" vertical="center" wrapText="1"/>
    </xf>
    <xf numFmtId="0" fontId="21" fillId="15" borderId="4" xfId="0" applyNumberFormat="1" applyFont="1" applyFill="1" applyBorder="1" applyAlignment="1">
      <alignment horizontal="center" vertical="center" wrapText="1"/>
    </xf>
    <xf numFmtId="0" fontId="21" fillId="15" borderId="16" xfId="0" applyNumberFormat="1" applyFont="1" applyFill="1" applyBorder="1" applyAlignment="1">
      <alignment horizontal="center" vertical="center" wrapText="1"/>
    </xf>
    <xf numFmtId="0" fontId="21" fillId="15" borderId="5" xfId="0" applyNumberFormat="1" applyFont="1" applyFill="1" applyBorder="1" applyAlignment="1">
      <alignment horizontal="center" vertical="center" wrapText="1"/>
    </xf>
    <xf numFmtId="0" fontId="21" fillId="15" borderId="4" xfId="0" applyFont="1" applyFill="1" applyBorder="1" applyAlignment="1">
      <alignment horizontal="center" vertical="center" wrapText="1"/>
    </xf>
    <xf numFmtId="0" fontId="21" fillId="15" borderId="16" xfId="0" applyFont="1" applyFill="1" applyBorder="1" applyAlignment="1">
      <alignment horizontal="center" vertical="center" wrapText="1"/>
    </xf>
    <xf numFmtId="0" fontId="21" fillId="15" borderId="3" xfId="0" applyFont="1" applyFill="1" applyBorder="1" applyAlignment="1">
      <alignment horizontal="center" vertical="center" wrapText="1"/>
    </xf>
    <xf numFmtId="0" fontId="21" fillId="15" borderId="6" xfId="0" applyFont="1" applyFill="1" applyBorder="1" applyAlignment="1">
      <alignment horizontal="center" vertical="center" wrapText="1"/>
    </xf>
    <xf numFmtId="0" fontId="18" fillId="15" borderId="3" xfId="0" applyFont="1" applyFill="1" applyBorder="1" applyAlignment="1">
      <alignment horizontal="center" vertical="center" wrapText="1"/>
    </xf>
    <xf numFmtId="0" fontId="18" fillId="15" borderId="6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vertical="center"/>
    </xf>
    <xf numFmtId="0" fontId="23" fillId="3" borderId="16" xfId="0" applyFont="1" applyFill="1" applyBorder="1" applyAlignment="1">
      <alignment vertical="center"/>
    </xf>
    <xf numFmtId="0" fontId="23" fillId="3" borderId="5" xfId="0" applyFont="1" applyFill="1" applyBorder="1" applyAlignment="1">
      <alignment vertical="center"/>
    </xf>
    <xf numFmtId="0" fontId="23" fillId="3" borderId="9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3" borderId="11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3" fillId="3" borderId="12" xfId="0" applyFont="1" applyFill="1" applyBorder="1" applyAlignment="1">
      <alignment vertical="center"/>
    </xf>
    <xf numFmtId="167" fontId="16" fillId="4" borderId="13" xfId="0" applyNumberFormat="1" applyFont="1" applyFill="1" applyBorder="1" applyAlignment="1">
      <alignment horizontal="center" vertical="center" wrapText="1"/>
    </xf>
    <xf numFmtId="0" fontId="16" fillId="4" borderId="13" xfId="5" applyNumberFormat="1" applyFont="1" applyFill="1" applyBorder="1" applyAlignment="1">
      <alignment horizontal="center" vertical="center" wrapText="1"/>
    </xf>
    <xf numFmtId="0" fontId="16" fillId="4" borderId="14" xfId="5" applyNumberFormat="1" applyFont="1" applyFill="1" applyBorder="1" applyAlignment="1">
      <alignment horizontal="center" vertical="center" wrapText="1"/>
    </xf>
    <xf numFmtId="2" fontId="16" fillId="4" borderId="13" xfId="0" applyNumberFormat="1" applyFont="1" applyFill="1" applyBorder="1" applyAlignment="1">
      <alignment horizontal="center" vertical="center" wrapText="1"/>
    </xf>
    <xf numFmtId="2" fontId="16" fillId="4" borderId="14" xfId="0" applyNumberFormat="1" applyFont="1" applyFill="1" applyBorder="1" applyAlignment="1">
      <alignment horizontal="center" vertical="center" wrapText="1"/>
    </xf>
    <xf numFmtId="2" fontId="16" fillId="4" borderId="13" xfId="5" applyNumberFormat="1" applyFont="1" applyFill="1" applyBorder="1" applyAlignment="1">
      <alignment horizontal="center" vertical="center" wrapText="1"/>
    </xf>
    <xf numFmtId="0" fontId="16" fillId="20" borderId="13" xfId="0" applyFont="1" applyFill="1" applyBorder="1" applyAlignment="1">
      <alignment horizontal="center" vertical="center" wrapText="1"/>
    </xf>
    <xf numFmtId="0" fontId="16" fillId="20" borderId="14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0" fontId="17" fillId="15" borderId="7" xfId="0" applyFont="1" applyFill="1" applyBorder="1" applyAlignment="1">
      <alignment horizontal="center" vertical="center" wrapText="1"/>
    </xf>
    <xf numFmtId="0" fontId="23" fillId="19" borderId="4" xfId="0" applyFont="1" applyFill="1" applyBorder="1" applyAlignment="1">
      <alignment horizontal="center" vertical="center"/>
    </xf>
    <xf numFmtId="0" fontId="23" fillId="19" borderId="16" xfId="0" applyFont="1" applyFill="1" applyBorder="1" applyAlignment="1">
      <alignment horizontal="center" vertical="center"/>
    </xf>
    <xf numFmtId="0" fontId="23" fillId="19" borderId="5" xfId="0" applyFont="1" applyFill="1" applyBorder="1" applyAlignment="1">
      <alignment horizontal="center" vertical="center"/>
    </xf>
    <xf numFmtId="0" fontId="23" fillId="19" borderId="9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23" fillId="19" borderId="1" xfId="0" applyFont="1" applyFill="1" applyBorder="1" applyAlignment="1">
      <alignment horizontal="center" vertical="center"/>
    </xf>
    <xf numFmtId="0" fontId="23" fillId="19" borderId="12" xfId="0" applyFont="1" applyFill="1" applyBorder="1" applyAlignment="1">
      <alignment horizontal="center" vertical="center"/>
    </xf>
    <xf numFmtId="0" fontId="16" fillId="20" borderId="13" xfId="0" applyFont="1" applyFill="1" applyBorder="1" applyAlignment="1">
      <alignment horizontal="left" vertical="center" wrapText="1"/>
    </xf>
    <xf numFmtId="0" fontId="16" fillId="20" borderId="14" xfId="0" applyFont="1" applyFill="1" applyBorder="1" applyAlignment="1">
      <alignment horizontal="left" vertical="center" wrapText="1"/>
    </xf>
    <xf numFmtId="0" fontId="8" fillId="21" borderId="4" xfId="0" applyFont="1" applyFill="1" applyBorder="1" applyAlignment="1">
      <alignment horizontal="center" vertical="center"/>
    </xf>
    <xf numFmtId="0" fontId="8" fillId="21" borderId="16" xfId="0" applyFont="1" applyFill="1" applyBorder="1" applyAlignment="1">
      <alignment horizontal="center" vertical="center"/>
    </xf>
    <xf numFmtId="0" fontId="8" fillId="21" borderId="5" xfId="0" applyFont="1" applyFill="1" applyBorder="1" applyAlignment="1">
      <alignment horizontal="center" vertical="center"/>
    </xf>
    <xf numFmtId="0" fontId="8" fillId="21" borderId="9" xfId="0" applyFont="1" applyFill="1" applyBorder="1" applyAlignment="1">
      <alignment horizontal="center" vertical="center"/>
    </xf>
    <xf numFmtId="0" fontId="8" fillId="21" borderId="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11" xfId="0" applyFont="1" applyFill="1" applyBorder="1" applyAlignment="1">
      <alignment horizontal="center" vertical="center"/>
    </xf>
    <xf numFmtId="0" fontId="8" fillId="21" borderId="1" xfId="0" applyFont="1" applyFill="1" applyBorder="1" applyAlignment="1">
      <alignment horizontal="center" vertical="center"/>
    </xf>
    <xf numFmtId="0" fontId="8" fillId="21" borderId="12" xfId="0" applyFont="1" applyFill="1" applyBorder="1" applyAlignment="1">
      <alignment horizontal="center" vertical="center"/>
    </xf>
    <xf numFmtId="0" fontId="17" fillId="18" borderId="13" xfId="0" applyFont="1" applyFill="1" applyBorder="1" applyAlignment="1">
      <alignment horizontal="left" vertical="center" wrapText="1"/>
    </xf>
    <xf numFmtId="0" fontId="17" fillId="18" borderId="14" xfId="0" applyFont="1" applyFill="1" applyBorder="1" applyAlignment="1">
      <alignment horizontal="left" vertical="center" wrapText="1"/>
    </xf>
    <xf numFmtId="0" fontId="17" fillId="18" borderId="13" xfId="0" applyFont="1" applyFill="1" applyBorder="1" applyAlignment="1">
      <alignment horizontal="center" vertical="center" wrapText="1"/>
    </xf>
    <xf numFmtId="0" fontId="17" fillId="18" borderId="14" xfId="0" applyFont="1" applyFill="1" applyBorder="1" applyAlignment="1">
      <alignment horizontal="center" vertical="center" wrapText="1"/>
    </xf>
    <xf numFmtId="43" fontId="17" fillId="18" borderId="13" xfId="5" applyFont="1" applyFill="1" applyBorder="1" applyAlignment="1">
      <alignment horizontal="center" vertical="center" wrapText="1"/>
    </xf>
    <xf numFmtId="43" fontId="17" fillId="18" borderId="14" xfId="5" applyFont="1" applyFill="1" applyBorder="1" applyAlignment="1">
      <alignment horizontal="center" vertical="center" wrapText="1"/>
    </xf>
    <xf numFmtId="2" fontId="23" fillId="15" borderId="3" xfId="0" applyNumberFormat="1" applyFont="1" applyFill="1" applyBorder="1" applyAlignment="1">
      <alignment horizontal="center" vertical="center" wrapText="1"/>
    </xf>
    <xf numFmtId="2" fontId="23" fillId="15" borderId="6" xfId="0" applyNumberFormat="1" applyFont="1" applyFill="1" applyBorder="1" applyAlignment="1">
      <alignment horizontal="center" vertical="center" wrapText="1"/>
    </xf>
    <xf numFmtId="2" fontId="23" fillId="15" borderId="7" xfId="0" applyNumberFormat="1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left" vertical="center" wrapText="1"/>
    </xf>
    <xf numFmtId="0" fontId="17" fillId="7" borderId="14" xfId="0" applyFont="1" applyFill="1" applyBorder="1" applyAlignment="1">
      <alignment horizontal="left" vertical="center" wrapText="1"/>
    </xf>
    <xf numFmtId="167" fontId="17" fillId="7" borderId="13" xfId="0" applyNumberFormat="1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43" fontId="17" fillId="7" borderId="13" xfId="5" applyFont="1" applyFill="1" applyBorder="1" applyAlignment="1">
      <alignment horizontal="center" vertical="center" wrapText="1"/>
    </xf>
    <xf numFmtId="43" fontId="17" fillId="7" borderId="14" xfId="5" applyFont="1" applyFill="1" applyBorder="1" applyAlignment="1">
      <alignment horizontal="center" vertical="center" wrapText="1"/>
    </xf>
    <xf numFmtId="2" fontId="17" fillId="7" borderId="13" xfId="0" applyNumberFormat="1" applyFont="1" applyFill="1" applyBorder="1" applyAlignment="1">
      <alignment horizontal="center" vertical="center" wrapText="1"/>
    </xf>
    <xf numFmtId="0" fontId="22" fillId="15" borderId="2" xfId="0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0" fillId="0" borderId="3" xfId="0" applyFont="1" applyBorder="1" applyAlignment="1">
      <alignment horizontal="justify" vertical="center"/>
    </xf>
    <xf numFmtId="0" fontId="20" fillId="0" borderId="6" xfId="0" applyFont="1" applyBorder="1" applyAlignment="1">
      <alignment horizontal="justify" vertical="center"/>
    </xf>
    <xf numFmtId="0" fontId="20" fillId="0" borderId="7" xfId="0" applyFont="1" applyBorder="1" applyAlignment="1">
      <alignment horizontal="justify" vertical="center"/>
    </xf>
    <xf numFmtId="0" fontId="20" fillId="0" borderId="1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" fillId="1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6" fillId="9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16" fillId="9" borderId="42" xfId="0" applyFont="1" applyFill="1" applyBorder="1" applyAlignment="1">
      <alignment horizontal="center" vertical="center"/>
    </xf>
    <xf numFmtId="0" fontId="16" fillId="9" borderId="43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9" borderId="3" xfId="0" applyFont="1" applyFill="1" applyBorder="1" applyAlignment="1">
      <alignment horizontal="left" vertical="center" wrapText="1"/>
    </xf>
    <xf numFmtId="0" fontId="16" fillId="9" borderId="6" xfId="0" applyFont="1" applyFill="1" applyBorder="1" applyAlignment="1">
      <alignment horizontal="left" vertical="center" wrapText="1"/>
    </xf>
    <xf numFmtId="0" fontId="16" fillId="9" borderId="7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3" fillId="0" borderId="24" xfId="1" applyNumberFormat="1" applyFont="1" applyFill="1" applyBorder="1" applyAlignment="1">
      <alignment horizontal="center" vertical="center" wrapText="1"/>
    </xf>
    <xf numFmtId="165" fontId="23" fillId="0" borderId="17" xfId="1" applyNumberFormat="1" applyFont="1" applyFill="1" applyBorder="1" applyAlignment="1">
      <alignment horizontal="center" vertical="center" wrapText="1"/>
    </xf>
    <xf numFmtId="165" fontId="23" fillId="0" borderId="33" xfId="1" applyNumberFormat="1" applyFont="1" applyFill="1" applyBorder="1" applyAlignment="1">
      <alignment horizontal="center" vertical="center" wrapText="1"/>
    </xf>
    <xf numFmtId="165" fontId="23" fillId="0" borderId="29" xfId="1" applyNumberFormat="1" applyFont="1" applyFill="1" applyBorder="1" applyAlignment="1">
      <alignment horizontal="center" vertical="center" wrapText="1"/>
    </xf>
    <xf numFmtId="165" fontId="23" fillId="0" borderId="34" xfId="1" applyNumberFormat="1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wrapText="1"/>
    </xf>
    <xf numFmtId="0" fontId="23" fillId="2" borderId="49" xfId="0" applyFont="1" applyFill="1" applyBorder="1" applyAlignment="1">
      <alignment horizontal="center" vertical="center" wrapText="1"/>
    </xf>
    <xf numFmtId="0" fontId="23" fillId="2" borderId="50" xfId="0" applyFont="1" applyFill="1" applyBorder="1" applyAlignment="1">
      <alignment horizontal="center" vertical="center" wrapText="1"/>
    </xf>
    <xf numFmtId="0" fontId="23" fillId="2" borderId="51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3" fillId="2" borderId="25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15" xfId="1" applyFont="1" applyFill="1" applyBorder="1" applyAlignment="1">
      <alignment horizontal="center" vertical="center" wrapText="1"/>
    </xf>
    <xf numFmtId="0" fontId="23" fillId="2" borderId="24" xfId="1" applyFont="1" applyFill="1" applyBorder="1" applyAlignment="1">
      <alignment horizontal="center" vertical="center" wrapText="1"/>
    </xf>
    <xf numFmtId="0" fontId="23" fillId="2" borderId="17" xfId="1" applyFont="1" applyFill="1" applyBorder="1" applyAlignment="1">
      <alignment horizontal="center" vertical="center" wrapText="1"/>
    </xf>
    <xf numFmtId="0" fontId="23" fillId="2" borderId="33" xfId="1" applyFont="1" applyFill="1" applyBorder="1" applyAlignment="1">
      <alignment horizontal="center" vertical="center" wrapText="1"/>
    </xf>
    <xf numFmtId="165" fontId="23" fillId="0" borderId="2" xfId="1" applyNumberFormat="1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0" borderId="24" xfId="1" applyFont="1" applyFill="1" applyBorder="1" applyAlignment="1">
      <alignment horizontal="center" vertical="center" wrapText="1"/>
    </xf>
    <xf numFmtId="0" fontId="23" fillId="0" borderId="17" xfId="1" applyFont="1" applyFill="1" applyBorder="1" applyAlignment="1">
      <alignment horizontal="center" vertical="center" wrapText="1"/>
    </xf>
    <xf numFmtId="0" fontId="23" fillId="0" borderId="33" xfId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3" fillId="0" borderId="2" xfId="1" applyFont="1" applyFill="1" applyBorder="1" applyAlignment="1">
      <alignment horizontal="center" vertical="center" wrapText="1"/>
    </xf>
    <xf numFmtId="0" fontId="23" fillId="0" borderId="29" xfId="1" applyFont="1" applyFill="1" applyBorder="1" applyAlignment="1">
      <alignment horizontal="center" vertical="center" wrapText="1"/>
    </xf>
    <xf numFmtId="0" fontId="23" fillId="0" borderId="34" xfId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7">
    <cellStyle name="Денежный" xfId="6" builtinId="4"/>
    <cellStyle name="Обычный" xfId="0" builtinId="0"/>
    <cellStyle name="Обычный 2" xfId="3"/>
    <cellStyle name="Обычный 3" xfId="1"/>
    <cellStyle name="Обычный 4" xfId="4"/>
    <cellStyle name="Обычный_Прил 1" xfId="2"/>
    <cellStyle name="Финансовый" xfId="5" builtinId="3"/>
  </cellStyles>
  <dxfs count="0"/>
  <tableStyles count="0" defaultTableStyle="TableStyleMedium2" defaultPivotStyle="PivotStyleLight16"/>
  <colors>
    <mruColors>
      <color rgb="FF81FF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G124"/>
  <sheetViews>
    <sheetView tabSelected="1" view="pageBreakPreview" zoomScale="70" zoomScaleNormal="55" zoomScaleSheetLayoutView="70" zoomScalePageLayoutView="55" workbookViewId="0">
      <pane xSplit="6" ySplit="5" topLeftCell="G27" activePane="bottomRight" state="frozen"/>
      <selection sqref="A1:IV65536"/>
      <selection pane="topRight" sqref="A1:IV65536"/>
      <selection pane="bottomLeft" sqref="A1:IV65536"/>
      <selection pane="bottomRight" activeCell="J42" sqref="J42"/>
    </sheetView>
  </sheetViews>
  <sheetFormatPr defaultColWidth="11.42578125" defaultRowHeight="15" x14ac:dyDescent="0.25"/>
  <cols>
    <col min="1" max="1" width="4.28515625" style="1" customWidth="1"/>
    <col min="2" max="2" width="8" style="1" customWidth="1"/>
    <col min="3" max="3" width="36.42578125" style="1" customWidth="1"/>
    <col min="4" max="4" width="16.7109375" style="1" customWidth="1"/>
    <col min="5" max="5" width="13.42578125" style="10" customWidth="1"/>
    <col min="6" max="6" width="12" style="10" customWidth="1"/>
    <col min="7" max="8" width="9.42578125" style="59" customWidth="1"/>
    <col min="9" max="9" width="23.28515625" style="59" customWidth="1"/>
    <col min="10" max="10" width="13.42578125" style="59" customWidth="1"/>
    <col min="11" max="11" width="10.42578125" style="59" customWidth="1"/>
    <col min="12" max="12" width="15.5703125" style="59" customWidth="1"/>
    <col min="13" max="13" width="11.7109375" style="659" customWidth="1"/>
    <col min="14" max="14" width="12.28515625" style="659" customWidth="1"/>
    <col min="15" max="15" width="23.42578125" style="659" customWidth="1"/>
    <col min="16" max="16" width="13.42578125" style="659" customWidth="1"/>
    <col min="17" max="17" width="11.7109375" style="659" customWidth="1"/>
    <col min="18" max="18" width="14.42578125" style="659" customWidth="1"/>
    <col min="19" max="19" width="16" style="60" customWidth="1"/>
    <col min="20" max="20" width="12.28515625" style="60" customWidth="1"/>
    <col min="21" max="21" width="23.28515625" style="60" customWidth="1"/>
    <col min="22" max="23" width="11.42578125" style="60" customWidth="1"/>
    <col min="24" max="24" width="16" style="60" customWidth="1"/>
    <col min="25" max="26" width="11.42578125" style="61" customWidth="1"/>
    <col min="27" max="27" width="24.7109375" style="61" customWidth="1"/>
    <col min="28" max="28" width="10.42578125" style="61" customWidth="1"/>
    <col min="29" max="29" width="11.42578125" style="61" customWidth="1"/>
    <col min="30" max="30" width="14.42578125" style="61" customWidth="1"/>
    <col min="31" max="32" width="11.42578125" style="62" customWidth="1"/>
    <col min="33" max="33" width="24" style="62" customWidth="1"/>
    <col min="34" max="34" width="11.42578125" style="62" customWidth="1"/>
    <col min="35" max="35" width="10.7109375" style="62" customWidth="1"/>
    <col min="36" max="36" width="15.42578125" style="62" customWidth="1"/>
    <col min="37" max="38" width="11.42578125" style="32" customWidth="1"/>
    <col min="39" max="39" width="22.28515625" style="32" customWidth="1"/>
    <col min="40" max="41" width="11.42578125" style="32" customWidth="1"/>
    <col min="42" max="42" width="15" style="32" customWidth="1"/>
    <col min="43" max="43" width="16.42578125" style="1" customWidth="1"/>
    <col min="44" max="16384" width="11.42578125" style="1"/>
  </cols>
  <sheetData>
    <row r="1" spans="1:46" ht="25.5" customHeight="1" x14ac:dyDescent="0.25">
      <c r="A1" s="670" t="s">
        <v>1206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670"/>
      <c r="AJ1" s="670"/>
      <c r="AK1" s="670"/>
      <c r="AL1" s="670"/>
      <c r="AM1" s="670"/>
      <c r="AN1" s="670"/>
      <c r="AO1" s="670"/>
      <c r="AP1" s="670"/>
      <c r="AQ1" s="15"/>
      <c r="AR1" s="15"/>
      <c r="AS1" s="15"/>
      <c r="AT1" s="15"/>
    </row>
    <row r="2" spans="1:46" s="10" customFormat="1" x14ac:dyDescent="0.25">
      <c r="A2" s="672" t="s">
        <v>0</v>
      </c>
      <c r="B2" s="675" t="s">
        <v>25</v>
      </c>
      <c r="C2" s="666" t="s">
        <v>72</v>
      </c>
      <c r="D2" s="666" t="s">
        <v>26</v>
      </c>
      <c r="E2" s="666" t="s">
        <v>74</v>
      </c>
      <c r="F2" s="666"/>
      <c r="G2" s="666" t="s">
        <v>27</v>
      </c>
      <c r="H2" s="666"/>
      <c r="I2" s="666"/>
      <c r="J2" s="666"/>
      <c r="K2" s="666"/>
      <c r="L2" s="666"/>
      <c r="M2" s="671" t="s">
        <v>36</v>
      </c>
      <c r="N2" s="671"/>
      <c r="O2" s="671"/>
      <c r="P2" s="671"/>
      <c r="Q2" s="671"/>
      <c r="R2" s="671"/>
      <c r="S2" s="666" t="s">
        <v>37</v>
      </c>
      <c r="T2" s="666"/>
      <c r="U2" s="666"/>
      <c r="V2" s="666"/>
      <c r="W2" s="666"/>
      <c r="X2" s="666"/>
      <c r="Y2" s="666" t="s">
        <v>38</v>
      </c>
      <c r="Z2" s="666"/>
      <c r="AA2" s="666"/>
      <c r="AB2" s="666"/>
      <c r="AC2" s="666"/>
      <c r="AD2" s="666"/>
      <c r="AE2" s="666" t="s">
        <v>39</v>
      </c>
      <c r="AF2" s="666"/>
      <c r="AG2" s="666"/>
      <c r="AH2" s="666"/>
      <c r="AI2" s="666"/>
      <c r="AJ2" s="666"/>
      <c r="AK2" s="666" t="s">
        <v>40</v>
      </c>
      <c r="AL2" s="666"/>
      <c r="AM2" s="666"/>
      <c r="AN2" s="666"/>
      <c r="AO2" s="666"/>
      <c r="AP2" s="666"/>
      <c r="AQ2" s="673" t="s">
        <v>50</v>
      </c>
    </row>
    <row r="3" spans="1:46" s="10" customFormat="1" x14ac:dyDescent="0.25">
      <c r="A3" s="672"/>
      <c r="B3" s="675"/>
      <c r="C3" s="666"/>
      <c r="D3" s="666"/>
      <c r="E3" s="666"/>
      <c r="F3" s="666"/>
      <c r="G3" s="666" t="s">
        <v>28</v>
      </c>
      <c r="H3" s="666"/>
      <c r="I3" s="666" t="s">
        <v>29</v>
      </c>
      <c r="J3" s="666" t="s">
        <v>30</v>
      </c>
      <c r="K3" s="666"/>
      <c r="L3" s="442" t="s">
        <v>4</v>
      </c>
      <c r="M3" s="671" t="s">
        <v>28</v>
      </c>
      <c r="N3" s="671"/>
      <c r="O3" s="671" t="s">
        <v>29</v>
      </c>
      <c r="P3" s="671" t="s">
        <v>30</v>
      </c>
      <c r="Q3" s="671"/>
      <c r="R3" s="638" t="s">
        <v>4</v>
      </c>
      <c r="S3" s="666" t="s">
        <v>28</v>
      </c>
      <c r="T3" s="666"/>
      <c r="U3" s="666" t="s">
        <v>29</v>
      </c>
      <c r="V3" s="666" t="s">
        <v>30</v>
      </c>
      <c r="W3" s="666"/>
      <c r="X3" s="442" t="s">
        <v>4</v>
      </c>
      <c r="Y3" s="666" t="s">
        <v>28</v>
      </c>
      <c r="Z3" s="666"/>
      <c r="AA3" s="666" t="s">
        <v>29</v>
      </c>
      <c r="AB3" s="666" t="s">
        <v>30</v>
      </c>
      <c r="AC3" s="666"/>
      <c r="AD3" s="442" t="s">
        <v>4</v>
      </c>
      <c r="AE3" s="666" t="s">
        <v>28</v>
      </c>
      <c r="AF3" s="666"/>
      <c r="AG3" s="666" t="s">
        <v>29</v>
      </c>
      <c r="AH3" s="666" t="s">
        <v>30</v>
      </c>
      <c r="AI3" s="666"/>
      <c r="AJ3" s="442" t="s">
        <v>4</v>
      </c>
      <c r="AK3" s="666" t="s">
        <v>28</v>
      </c>
      <c r="AL3" s="666"/>
      <c r="AM3" s="666" t="s">
        <v>29</v>
      </c>
      <c r="AN3" s="666" t="s">
        <v>30</v>
      </c>
      <c r="AO3" s="666"/>
      <c r="AP3" s="442" t="s">
        <v>4</v>
      </c>
      <c r="AQ3" s="673"/>
    </row>
    <row r="4" spans="1:46" s="10" customFormat="1" ht="30" x14ac:dyDescent="0.25">
      <c r="A4" s="672"/>
      <c r="B4" s="675"/>
      <c r="C4" s="666"/>
      <c r="D4" s="666"/>
      <c r="E4" s="442" t="s">
        <v>5</v>
      </c>
      <c r="F4" s="442" t="s">
        <v>6</v>
      </c>
      <c r="G4" s="442" t="s">
        <v>33</v>
      </c>
      <c r="H4" s="442" t="s">
        <v>34</v>
      </c>
      <c r="I4" s="666"/>
      <c r="J4" s="442" t="s">
        <v>31</v>
      </c>
      <c r="K4" s="442" t="s">
        <v>32</v>
      </c>
      <c r="L4" s="442" t="s">
        <v>35</v>
      </c>
      <c r="M4" s="638" t="s">
        <v>33</v>
      </c>
      <c r="N4" s="638" t="s">
        <v>34</v>
      </c>
      <c r="O4" s="671"/>
      <c r="P4" s="638" t="s">
        <v>31</v>
      </c>
      <c r="Q4" s="638" t="s">
        <v>32</v>
      </c>
      <c r="R4" s="638" t="s">
        <v>35</v>
      </c>
      <c r="S4" s="442" t="s">
        <v>33</v>
      </c>
      <c r="T4" s="442" t="s">
        <v>34</v>
      </c>
      <c r="U4" s="666"/>
      <c r="V4" s="442" t="s">
        <v>31</v>
      </c>
      <c r="W4" s="442" t="s">
        <v>32</v>
      </c>
      <c r="X4" s="442" t="s">
        <v>35</v>
      </c>
      <c r="Y4" s="442" t="s">
        <v>33</v>
      </c>
      <c r="Z4" s="442" t="s">
        <v>34</v>
      </c>
      <c r="AA4" s="666"/>
      <c r="AB4" s="442" t="s">
        <v>31</v>
      </c>
      <c r="AC4" s="442" t="s">
        <v>32</v>
      </c>
      <c r="AD4" s="442" t="s">
        <v>35</v>
      </c>
      <c r="AE4" s="442" t="s">
        <v>33</v>
      </c>
      <c r="AF4" s="442" t="s">
        <v>34</v>
      </c>
      <c r="AG4" s="666"/>
      <c r="AH4" s="442" t="s">
        <v>31</v>
      </c>
      <c r="AI4" s="442" t="s">
        <v>32</v>
      </c>
      <c r="AJ4" s="442" t="s">
        <v>35</v>
      </c>
      <c r="AK4" s="442" t="s">
        <v>33</v>
      </c>
      <c r="AL4" s="442" t="s">
        <v>34</v>
      </c>
      <c r="AM4" s="666"/>
      <c r="AN4" s="442" t="s">
        <v>31</v>
      </c>
      <c r="AO4" s="442" t="s">
        <v>32</v>
      </c>
      <c r="AP4" s="442" t="s">
        <v>35</v>
      </c>
      <c r="AQ4" s="673"/>
    </row>
    <row r="5" spans="1:46" s="10" customFormat="1" x14ac:dyDescent="0.25">
      <c r="A5" s="29">
        <v>1</v>
      </c>
      <c r="B5" s="29">
        <v>2</v>
      </c>
      <c r="C5" s="30">
        <v>3</v>
      </c>
      <c r="D5" s="29">
        <v>4</v>
      </c>
      <c r="E5" s="29">
        <v>5</v>
      </c>
      <c r="F5" s="30">
        <v>6</v>
      </c>
      <c r="G5" s="29">
        <v>7</v>
      </c>
      <c r="H5" s="29">
        <v>8</v>
      </c>
      <c r="I5" s="30">
        <v>9</v>
      </c>
      <c r="J5" s="29">
        <v>10</v>
      </c>
      <c r="K5" s="29">
        <v>11</v>
      </c>
      <c r="L5" s="30">
        <v>12</v>
      </c>
      <c r="M5" s="639">
        <v>13</v>
      </c>
      <c r="N5" s="639">
        <v>14</v>
      </c>
      <c r="O5" s="640">
        <v>15</v>
      </c>
      <c r="P5" s="639">
        <v>16</v>
      </c>
      <c r="Q5" s="639">
        <v>17</v>
      </c>
      <c r="R5" s="640">
        <v>18</v>
      </c>
      <c r="S5" s="29">
        <v>19</v>
      </c>
      <c r="T5" s="29">
        <v>20</v>
      </c>
      <c r="U5" s="30">
        <v>21</v>
      </c>
      <c r="V5" s="29">
        <v>22</v>
      </c>
      <c r="W5" s="29">
        <v>23</v>
      </c>
      <c r="X5" s="30">
        <v>24</v>
      </c>
      <c r="Y5" s="29">
        <v>25</v>
      </c>
      <c r="Z5" s="29">
        <v>26</v>
      </c>
      <c r="AA5" s="30">
        <v>27</v>
      </c>
      <c r="AB5" s="29">
        <v>28</v>
      </c>
      <c r="AC5" s="29">
        <v>29</v>
      </c>
      <c r="AD5" s="30">
        <v>30</v>
      </c>
      <c r="AE5" s="29">
        <v>31</v>
      </c>
      <c r="AF5" s="29">
        <v>32</v>
      </c>
      <c r="AG5" s="30">
        <v>33</v>
      </c>
      <c r="AH5" s="29">
        <v>34</v>
      </c>
      <c r="AI5" s="29">
        <v>35</v>
      </c>
      <c r="AJ5" s="30">
        <v>36</v>
      </c>
      <c r="AK5" s="29">
        <v>37</v>
      </c>
      <c r="AL5" s="29">
        <v>38</v>
      </c>
      <c r="AM5" s="30">
        <v>39</v>
      </c>
      <c r="AN5" s="29">
        <v>40</v>
      </c>
      <c r="AO5" s="29">
        <v>41</v>
      </c>
      <c r="AP5" s="30">
        <v>42</v>
      </c>
      <c r="AQ5" s="29">
        <v>43</v>
      </c>
    </row>
    <row r="6" spans="1:46" s="10" customFormat="1" x14ac:dyDescent="0.25">
      <c r="A6" s="470" t="s">
        <v>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641"/>
      <c r="N6" s="641"/>
      <c r="O6" s="641"/>
      <c r="P6" s="641"/>
      <c r="Q6" s="641"/>
      <c r="R6" s="641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</row>
    <row r="7" spans="1:46" s="10" customFormat="1" ht="30" x14ac:dyDescent="0.25">
      <c r="A7" s="46">
        <v>1</v>
      </c>
      <c r="B7" s="47" t="s">
        <v>100</v>
      </c>
      <c r="C7" s="48" t="s">
        <v>101</v>
      </c>
      <c r="D7" s="48" t="s">
        <v>102</v>
      </c>
      <c r="E7" s="49">
        <v>12</v>
      </c>
      <c r="F7" s="50">
        <f>E7*1000*7</f>
        <v>84000</v>
      </c>
      <c r="G7" s="418" t="s">
        <v>103</v>
      </c>
      <c r="H7" s="418" t="s">
        <v>104</v>
      </c>
      <c r="I7" s="46" t="s">
        <v>105</v>
      </c>
      <c r="J7" s="418">
        <v>8.15</v>
      </c>
      <c r="K7" s="418" t="s">
        <v>5</v>
      </c>
      <c r="L7" s="449">
        <f>J7*15.689784*1000</f>
        <v>127871.7396</v>
      </c>
      <c r="M7" s="642"/>
      <c r="N7" s="642"/>
      <c r="O7" s="642"/>
      <c r="P7" s="642"/>
      <c r="Q7" s="642"/>
      <c r="R7" s="64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51"/>
    </row>
    <row r="8" spans="1:46" s="10" customFormat="1" ht="30" x14ac:dyDescent="0.25">
      <c r="A8" s="46">
        <v>2</v>
      </c>
      <c r="B8" s="47" t="s">
        <v>106</v>
      </c>
      <c r="C8" s="48" t="s">
        <v>107</v>
      </c>
      <c r="D8" s="53" t="s">
        <v>108</v>
      </c>
      <c r="E8" s="49">
        <v>55</v>
      </c>
      <c r="F8" s="50">
        <f>E8*1000*7</f>
        <v>385000</v>
      </c>
      <c r="G8" s="53" t="s">
        <v>109</v>
      </c>
      <c r="H8" s="53" t="s">
        <v>110</v>
      </c>
      <c r="I8" s="46" t="s">
        <v>111</v>
      </c>
      <c r="J8" s="46">
        <v>10</v>
      </c>
      <c r="K8" s="46" t="s">
        <v>5</v>
      </c>
      <c r="L8" s="450">
        <v>387139.46100000001</v>
      </c>
      <c r="M8" s="643" t="s">
        <v>110</v>
      </c>
      <c r="N8" s="643" t="s">
        <v>112</v>
      </c>
      <c r="O8" s="643" t="s">
        <v>105</v>
      </c>
      <c r="P8" s="643">
        <v>10</v>
      </c>
      <c r="Q8" s="643" t="s">
        <v>5</v>
      </c>
      <c r="R8" s="644">
        <f>P8*13.142*1000</f>
        <v>131420</v>
      </c>
      <c r="S8" s="46" t="s">
        <v>112</v>
      </c>
      <c r="T8" s="46" t="s">
        <v>1154</v>
      </c>
      <c r="U8" s="46" t="s">
        <v>105</v>
      </c>
      <c r="V8" s="46">
        <v>17</v>
      </c>
      <c r="W8" s="46" t="s">
        <v>5</v>
      </c>
      <c r="X8" s="449">
        <f>V8*13.182*1000</f>
        <v>224094</v>
      </c>
      <c r="Y8" s="46" t="s">
        <v>1154</v>
      </c>
      <c r="Z8" s="46" t="s">
        <v>1157</v>
      </c>
      <c r="AA8" s="46" t="s">
        <v>105</v>
      </c>
      <c r="AB8" s="46">
        <v>11</v>
      </c>
      <c r="AC8" s="46" t="s">
        <v>5</v>
      </c>
      <c r="AD8" s="449">
        <f>AB8*14.111*1000</f>
        <v>155221</v>
      </c>
      <c r="AE8" s="46" t="s">
        <v>1157</v>
      </c>
      <c r="AF8" s="46" t="s">
        <v>115</v>
      </c>
      <c r="AG8" s="46" t="s">
        <v>105</v>
      </c>
      <c r="AH8" s="46">
        <v>7</v>
      </c>
      <c r="AI8" s="46" t="s">
        <v>5</v>
      </c>
      <c r="AJ8" s="449">
        <f>AH8*14.922*1000</f>
        <v>104454.00000000001</v>
      </c>
      <c r="AK8" s="452"/>
      <c r="AL8" s="452"/>
      <c r="AM8" s="452"/>
      <c r="AN8" s="452"/>
      <c r="AO8" s="452"/>
      <c r="AP8" s="452"/>
      <c r="AQ8" s="51"/>
    </row>
    <row r="9" spans="1:46" s="10" customFormat="1" ht="45" x14ac:dyDescent="0.25">
      <c r="A9" s="46">
        <v>3</v>
      </c>
      <c r="B9" s="47" t="s">
        <v>116</v>
      </c>
      <c r="C9" s="48" t="s">
        <v>117</v>
      </c>
      <c r="D9" s="48" t="s">
        <v>118</v>
      </c>
      <c r="E9" s="49">
        <v>571.9</v>
      </c>
      <c r="F9" s="50">
        <f>E9*1000*7</f>
        <v>4003300</v>
      </c>
      <c r="G9" s="451" t="s">
        <v>119</v>
      </c>
      <c r="H9" s="451" t="s">
        <v>120</v>
      </c>
      <c r="I9" s="46" t="s">
        <v>105</v>
      </c>
      <c r="J9" s="48">
        <v>10</v>
      </c>
      <c r="K9" s="46" t="s">
        <v>5</v>
      </c>
      <c r="L9" s="449">
        <f>236387.04*1.049*1.05</f>
        <v>260368.50520799999</v>
      </c>
      <c r="M9" s="643" t="s">
        <v>121</v>
      </c>
      <c r="N9" s="643" t="s">
        <v>122</v>
      </c>
      <c r="O9" s="643" t="s">
        <v>105</v>
      </c>
      <c r="P9" s="645">
        <v>21</v>
      </c>
      <c r="Q9" s="643" t="s">
        <v>5</v>
      </c>
      <c r="R9" s="644">
        <f>P9*13.34*1000</f>
        <v>280140</v>
      </c>
      <c r="S9" s="46" t="s">
        <v>123</v>
      </c>
      <c r="T9" s="46" t="s">
        <v>119</v>
      </c>
      <c r="U9" s="46" t="s">
        <v>105</v>
      </c>
      <c r="V9" s="46">
        <v>14</v>
      </c>
      <c r="W9" s="46" t="s">
        <v>5</v>
      </c>
      <c r="X9" s="449">
        <f>V9*13.237*1000</f>
        <v>185318</v>
      </c>
      <c r="Y9" s="46" t="s">
        <v>120</v>
      </c>
      <c r="Z9" s="46" t="s">
        <v>215</v>
      </c>
      <c r="AA9" s="46" t="s">
        <v>105</v>
      </c>
      <c r="AB9" s="46">
        <v>16</v>
      </c>
      <c r="AC9" s="46" t="s">
        <v>5</v>
      </c>
      <c r="AD9" s="449">
        <f>AB9*14.111*1000</f>
        <v>225776</v>
      </c>
      <c r="AE9" s="46" t="s">
        <v>1174</v>
      </c>
      <c r="AF9" s="46" t="s">
        <v>1158</v>
      </c>
      <c r="AG9" s="46" t="s">
        <v>41</v>
      </c>
      <c r="AH9" s="46">
        <v>10</v>
      </c>
      <c r="AI9" s="46" t="s">
        <v>5</v>
      </c>
      <c r="AJ9" s="449">
        <f>AH9*17.914*1000</f>
        <v>179140.00000000003</v>
      </c>
      <c r="AK9" s="46" t="s">
        <v>1158</v>
      </c>
      <c r="AL9" s="46" t="s">
        <v>1161</v>
      </c>
      <c r="AM9" s="46" t="s">
        <v>41</v>
      </c>
      <c r="AN9" s="46">
        <v>21.55</v>
      </c>
      <c r="AO9" s="46" t="s">
        <v>5</v>
      </c>
      <c r="AP9" s="449">
        <f>AN9*17.155*1000</f>
        <v>369690.25000000006</v>
      </c>
      <c r="AQ9" s="51"/>
    </row>
    <row r="10" spans="1:46" s="10" customFormat="1" x14ac:dyDescent="0.25">
      <c r="A10" s="46"/>
      <c r="B10" s="46"/>
      <c r="C10" s="48"/>
      <c r="D10" s="48"/>
      <c r="E10" s="49"/>
      <c r="F10" s="50"/>
      <c r="G10" s="451" t="s">
        <v>124</v>
      </c>
      <c r="H10" s="451" t="s">
        <v>125</v>
      </c>
      <c r="I10" s="46" t="s">
        <v>111</v>
      </c>
      <c r="J10" s="48">
        <v>1.1000000000000001</v>
      </c>
      <c r="K10" s="46" t="s">
        <v>5</v>
      </c>
      <c r="L10" s="449">
        <v>64947.53</v>
      </c>
      <c r="M10" s="643" t="s">
        <v>126</v>
      </c>
      <c r="N10" s="643" t="s">
        <v>124</v>
      </c>
      <c r="O10" s="643" t="s">
        <v>41</v>
      </c>
      <c r="P10" s="645">
        <v>17.399999999999999</v>
      </c>
      <c r="Q10" s="643" t="s">
        <v>5</v>
      </c>
      <c r="R10" s="644">
        <f>P10*16.961*1000</f>
        <v>295121.39999999997</v>
      </c>
      <c r="S10" s="46" t="s">
        <v>125</v>
      </c>
      <c r="T10" s="46" t="s">
        <v>127</v>
      </c>
      <c r="U10" s="46" t="s">
        <v>41</v>
      </c>
      <c r="V10" s="46">
        <v>20</v>
      </c>
      <c r="W10" s="46" t="s">
        <v>5</v>
      </c>
      <c r="X10" s="449">
        <f>V10*16.916*1000</f>
        <v>338320</v>
      </c>
      <c r="Y10" s="46" t="s">
        <v>127</v>
      </c>
      <c r="Z10" s="46" t="s">
        <v>1174</v>
      </c>
      <c r="AA10" s="46" t="s">
        <v>41</v>
      </c>
      <c r="AB10" s="46">
        <v>20</v>
      </c>
      <c r="AC10" s="46" t="s">
        <v>5</v>
      </c>
      <c r="AD10" s="450">
        <f>AB10*17.862*1000</f>
        <v>357239.99999999994</v>
      </c>
      <c r="AE10" s="46" t="s">
        <v>1161</v>
      </c>
      <c r="AF10" s="46" t="s">
        <v>128</v>
      </c>
      <c r="AG10" s="46" t="s">
        <v>105</v>
      </c>
      <c r="AH10" s="46">
        <v>8.4499999999999993</v>
      </c>
      <c r="AI10" s="46" t="s">
        <v>5</v>
      </c>
      <c r="AJ10" s="449">
        <f>AH10*15.869*1000</f>
        <v>134093.04999999999</v>
      </c>
      <c r="AK10" s="452"/>
      <c r="AL10" s="452"/>
      <c r="AM10" s="452"/>
      <c r="AN10" s="452"/>
      <c r="AO10" s="452"/>
      <c r="AP10" s="452"/>
      <c r="AQ10" s="51"/>
    </row>
    <row r="11" spans="1:46" s="10" customFormat="1" x14ac:dyDescent="0.25">
      <c r="A11" s="46"/>
      <c r="B11" s="46"/>
      <c r="C11" s="48"/>
      <c r="D11" s="48"/>
      <c r="E11" s="49"/>
      <c r="F11" s="50"/>
      <c r="G11" s="451" t="s">
        <v>122</v>
      </c>
      <c r="H11" s="451" t="s">
        <v>123</v>
      </c>
      <c r="I11" s="46" t="s">
        <v>105</v>
      </c>
      <c r="J11" s="48">
        <v>10</v>
      </c>
      <c r="K11" s="46" t="s">
        <v>5</v>
      </c>
      <c r="L11" s="449">
        <f>J11*17.6672*1000</f>
        <v>176672.00000000003</v>
      </c>
      <c r="M11" s="642"/>
      <c r="N11" s="642"/>
      <c r="O11" s="642"/>
      <c r="P11" s="642"/>
      <c r="Q11" s="642"/>
      <c r="R11" s="64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6"/>
      <c r="AF11" s="46"/>
      <c r="AG11" s="46"/>
      <c r="AH11" s="46"/>
      <c r="AI11" s="46"/>
      <c r="AJ11" s="449"/>
      <c r="AK11" s="452"/>
      <c r="AL11" s="452"/>
      <c r="AM11" s="452"/>
      <c r="AN11" s="452"/>
      <c r="AO11" s="452"/>
      <c r="AP11" s="452"/>
      <c r="AQ11" s="51"/>
    </row>
    <row r="12" spans="1:46" s="10" customFormat="1" ht="30" x14ac:dyDescent="0.25">
      <c r="A12" s="46">
        <v>4</v>
      </c>
      <c r="B12" s="47" t="s">
        <v>129</v>
      </c>
      <c r="C12" s="48" t="s">
        <v>130</v>
      </c>
      <c r="D12" s="48" t="s">
        <v>131</v>
      </c>
      <c r="E12" s="49">
        <v>290.55</v>
      </c>
      <c r="F12" s="50">
        <f>E12*1000*7</f>
        <v>2033850</v>
      </c>
      <c r="G12" s="53" t="s">
        <v>193</v>
      </c>
      <c r="H12" s="53" t="s">
        <v>194</v>
      </c>
      <c r="I12" s="46" t="s">
        <v>105</v>
      </c>
      <c r="J12" s="46">
        <v>10</v>
      </c>
      <c r="K12" s="46" t="s">
        <v>5</v>
      </c>
      <c r="L12" s="449">
        <f>231583.28*1.112*1.063*1.037*1.049*1.05</f>
        <v>312671.85927044787</v>
      </c>
      <c r="M12" s="646" t="s">
        <v>194</v>
      </c>
      <c r="N12" s="646" t="s">
        <v>195</v>
      </c>
      <c r="O12" s="643" t="s">
        <v>105</v>
      </c>
      <c r="P12" s="643">
        <v>10</v>
      </c>
      <c r="Q12" s="643" t="s">
        <v>5</v>
      </c>
      <c r="R12" s="644">
        <f>P12*14.661*1000</f>
        <v>146609.99999999997</v>
      </c>
      <c r="S12" s="46" t="s">
        <v>195</v>
      </c>
      <c r="T12" s="46" t="s">
        <v>213</v>
      </c>
      <c r="U12" s="46" t="s">
        <v>105</v>
      </c>
      <c r="V12" s="46">
        <v>15</v>
      </c>
      <c r="W12" s="46" t="s">
        <v>5</v>
      </c>
      <c r="X12" s="449">
        <f>V12*13.481*1000</f>
        <v>202215</v>
      </c>
      <c r="Y12" s="46" t="s">
        <v>233</v>
      </c>
      <c r="Z12" s="46" t="s">
        <v>234</v>
      </c>
      <c r="AA12" s="46" t="s">
        <v>105</v>
      </c>
      <c r="AB12" s="46">
        <v>15</v>
      </c>
      <c r="AC12" s="46" t="s">
        <v>5</v>
      </c>
      <c r="AD12" s="449">
        <f>AB12*14.156*1000</f>
        <v>212340</v>
      </c>
      <c r="AE12" s="46" t="s">
        <v>1159</v>
      </c>
      <c r="AF12" s="46" t="s">
        <v>1003</v>
      </c>
      <c r="AG12" s="46" t="s">
        <v>105</v>
      </c>
      <c r="AH12" s="46">
        <v>20.55</v>
      </c>
      <c r="AI12" s="46" t="s">
        <v>5</v>
      </c>
      <c r="AJ12" s="449">
        <f>AH12*15.499*1000</f>
        <v>318504.45</v>
      </c>
      <c r="AK12" s="46" t="s">
        <v>1176</v>
      </c>
      <c r="AL12" s="46" t="s">
        <v>235</v>
      </c>
      <c r="AM12" s="46" t="s">
        <v>105</v>
      </c>
      <c r="AN12" s="46">
        <v>17.170000000000002</v>
      </c>
      <c r="AO12" s="46" t="s">
        <v>5</v>
      </c>
      <c r="AP12" s="449">
        <f>AN12*14.155*1000</f>
        <v>243041.35000000003</v>
      </c>
      <c r="AQ12" s="51"/>
    </row>
    <row r="13" spans="1:46" s="10" customFormat="1" x14ac:dyDescent="0.25">
      <c r="A13" s="46"/>
      <c r="B13" s="46"/>
      <c r="C13" s="48"/>
      <c r="D13" s="48"/>
      <c r="E13" s="49"/>
      <c r="F13" s="50"/>
      <c r="G13" s="471"/>
      <c r="H13" s="471"/>
      <c r="I13" s="471"/>
      <c r="J13" s="471"/>
      <c r="K13" s="471"/>
      <c r="L13" s="471"/>
      <c r="M13" s="643" t="s">
        <v>132</v>
      </c>
      <c r="N13" s="643" t="s">
        <v>193</v>
      </c>
      <c r="O13" s="643" t="s">
        <v>105</v>
      </c>
      <c r="P13" s="643">
        <v>10</v>
      </c>
      <c r="Q13" s="643" t="s">
        <v>5</v>
      </c>
      <c r="R13" s="644">
        <f>P13*14.381*1000</f>
        <v>143810</v>
      </c>
      <c r="S13" s="46" t="s">
        <v>214</v>
      </c>
      <c r="T13" s="46" t="s">
        <v>132</v>
      </c>
      <c r="U13" s="46" t="s">
        <v>105</v>
      </c>
      <c r="V13" s="46">
        <v>17</v>
      </c>
      <c r="W13" s="46" t="s">
        <v>5</v>
      </c>
      <c r="X13" s="449">
        <f>V13*13.482*1000</f>
        <v>229194</v>
      </c>
      <c r="Y13" s="46" t="s">
        <v>235</v>
      </c>
      <c r="Z13" s="46" t="s">
        <v>214</v>
      </c>
      <c r="AA13" s="46" t="s">
        <v>105</v>
      </c>
      <c r="AB13" s="46">
        <v>17</v>
      </c>
      <c r="AC13" s="46" t="s">
        <v>5</v>
      </c>
      <c r="AD13" s="449">
        <f>AB13*14.575*1000</f>
        <v>247774.99999999997</v>
      </c>
      <c r="AE13" s="46" t="s">
        <v>119</v>
      </c>
      <c r="AF13" s="46" t="s">
        <v>1176</v>
      </c>
      <c r="AG13" s="46" t="s">
        <v>105</v>
      </c>
      <c r="AH13" s="46">
        <v>22.83</v>
      </c>
      <c r="AI13" s="46" t="s">
        <v>5</v>
      </c>
      <c r="AJ13" s="449">
        <f>AH13*15.878*1000</f>
        <v>362494.74</v>
      </c>
      <c r="AK13" s="46" t="s">
        <v>122</v>
      </c>
      <c r="AL13" s="46" t="s">
        <v>119</v>
      </c>
      <c r="AM13" s="46" t="s">
        <v>105</v>
      </c>
      <c r="AN13" s="46">
        <v>24</v>
      </c>
      <c r="AO13" s="46" t="s">
        <v>5</v>
      </c>
      <c r="AP13" s="449">
        <f>AN13*14.128*1000</f>
        <v>339072</v>
      </c>
      <c r="AQ13" s="51"/>
    </row>
    <row r="14" spans="1:46" s="10" customFormat="1" ht="30" x14ac:dyDescent="0.25">
      <c r="A14" s="46">
        <v>5</v>
      </c>
      <c r="B14" s="47" t="s">
        <v>133</v>
      </c>
      <c r="C14" s="48" t="s">
        <v>226</v>
      </c>
      <c r="D14" s="48" t="s">
        <v>134</v>
      </c>
      <c r="E14" s="49">
        <v>297.51499999999999</v>
      </c>
      <c r="F14" s="50">
        <f>E14*1000*7</f>
        <v>2082605</v>
      </c>
      <c r="G14" s="418" t="s">
        <v>110</v>
      </c>
      <c r="H14" s="418" t="s">
        <v>135</v>
      </c>
      <c r="I14" s="418" t="s">
        <v>42</v>
      </c>
      <c r="J14" s="418">
        <v>1.36</v>
      </c>
      <c r="K14" s="418" t="s">
        <v>5</v>
      </c>
      <c r="L14" s="449">
        <f>75799.91*1.05</f>
        <v>79589.905500000008</v>
      </c>
      <c r="M14" s="646" t="s">
        <v>115</v>
      </c>
      <c r="N14" s="646" t="s">
        <v>227</v>
      </c>
      <c r="O14" s="643" t="s">
        <v>105</v>
      </c>
      <c r="P14" s="643">
        <v>7.3630000000000004</v>
      </c>
      <c r="Q14" s="643" t="s">
        <v>5</v>
      </c>
      <c r="R14" s="644">
        <f>P14*13.381*1000</f>
        <v>98524.303</v>
      </c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51"/>
    </row>
    <row r="15" spans="1:46" s="10" customFormat="1" ht="30" x14ac:dyDescent="0.25">
      <c r="A15" s="46">
        <v>6</v>
      </c>
      <c r="B15" s="47" t="s">
        <v>137</v>
      </c>
      <c r="C15" s="48" t="s">
        <v>138</v>
      </c>
      <c r="D15" s="48" t="s">
        <v>139</v>
      </c>
      <c r="E15" s="49">
        <v>48.25</v>
      </c>
      <c r="F15" s="50">
        <f t="shared" ref="F15:F23" si="0">E15*1000*7</f>
        <v>337750</v>
      </c>
      <c r="G15" s="451" t="s">
        <v>140</v>
      </c>
      <c r="H15" s="451" t="s">
        <v>141</v>
      </c>
      <c r="I15" s="46" t="s">
        <v>105</v>
      </c>
      <c r="J15" s="46">
        <v>10.005000000000001</v>
      </c>
      <c r="K15" s="46" t="s">
        <v>5</v>
      </c>
      <c r="L15" s="449">
        <f>170000*1.05</f>
        <v>178500</v>
      </c>
      <c r="M15" s="643" t="s">
        <v>1171</v>
      </c>
      <c r="N15" s="643" t="s">
        <v>140</v>
      </c>
      <c r="O15" s="643" t="s">
        <v>41</v>
      </c>
      <c r="P15" s="643">
        <v>14.25</v>
      </c>
      <c r="Q15" s="643" t="s">
        <v>5</v>
      </c>
      <c r="R15" s="644">
        <f>P15*16.923*1000</f>
        <v>241152.74999999997</v>
      </c>
      <c r="S15" s="46" t="s">
        <v>1171</v>
      </c>
      <c r="T15" s="46" t="s">
        <v>109</v>
      </c>
      <c r="U15" s="46" t="s">
        <v>41</v>
      </c>
      <c r="V15" s="46">
        <v>24</v>
      </c>
      <c r="W15" s="46" t="s">
        <v>5</v>
      </c>
      <c r="X15" s="449">
        <f>V15*16.999*1000</f>
        <v>407976</v>
      </c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51"/>
    </row>
    <row r="16" spans="1:46" s="10" customFormat="1" ht="28.5" customHeight="1" x14ac:dyDescent="0.25">
      <c r="A16" s="46">
        <v>7</v>
      </c>
      <c r="B16" s="47" t="s">
        <v>142</v>
      </c>
      <c r="C16" s="48" t="s">
        <v>143</v>
      </c>
      <c r="D16" s="53" t="s">
        <v>144</v>
      </c>
      <c r="E16" s="49">
        <v>8</v>
      </c>
      <c r="F16" s="50">
        <f t="shared" si="0"/>
        <v>56000</v>
      </c>
      <c r="G16" s="452"/>
      <c r="H16" s="452"/>
      <c r="I16" s="452"/>
      <c r="J16" s="452"/>
      <c r="K16" s="452"/>
      <c r="L16" s="452"/>
      <c r="M16" s="643" t="s">
        <v>109</v>
      </c>
      <c r="N16" s="643" t="s">
        <v>212</v>
      </c>
      <c r="O16" s="643" t="s">
        <v>41</v>
      </c>
      <c r="P16" s="643">
        <v>8</v>
      </c>
      <c r="Q16" s="643" t="s">
        <v>5</v>
      </c>
      <c r="R16" s="644">
        <f>P16*16.961*1000</f>
        <v>135688</v>
      </c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54"/>
    </row>
    <row r="17" spans="1:43" s="10" customFormat="1" ht="31.5" customHeight="1" x14ac:dyDescent="0.25">
      <c r="A17" s="46">
        <v>8</v>
      </c>
      <c r="B17" s="47" t="s">
        <v>145</v>
      </c>
      <c r="C17" s="48" t="s">
        <v>146</v>
      </c>
      <c r="D17" s="53" t="s">
        <v>147</v>
      </c>
      <c r="E17" s="49">
        <v>16</v>
      </c>
      <c r="F17" s="50">
        <f t="shared" si="0"/>
        <v>112000</v>
      </c>
      <c r="G17" s="451" t="s">
        <v>109</v>
      </c>
      <c r="H17" s="451" t="s">
        <v>148</v>
      </c>
      <c r="I17" s="46" t="s">
        <v>105</v>
      </c>
      <c r="J17" s="46">
        <v>16</v>
      </c>
      <c r="K17" s="46" t="s">
        <v>5</v>
      </c>
      <c r="L17" s="449">
        <f>J17*18.78*1000</f>
        <v>300480</v>
      </c>
      <c r="M17" s="642"/>
      <c r="N17" s="642"/>
      <c r="O17" s="642"/>
      <c r="P17" s="642"/>
      <c r="Q17" s="642"/>
      <c r="R17" s="64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54"/>
    </row>
    <row r="18" spans="1:43" s="10" customFormat="1" ht="28.5" customHeight="1" x14ac:dyDescent="0.25">
      <c r="A18" s="46">
        <v>9</v>
      </c>
      <c r="B18" s="47" t="s">
        <v>149</v>
      </c>
      <c r="C18" s="48" t="s">
        <v>150</v>
      </c>
      <c r="D18" s="48" t="s">
        <v>151</v>
      </c>
      <c r="E18" s="49">
        <v>146.6</v>
      </c>
      <c r="F18" s="50">
        <f t="shared" si="0"/>
        <v>1026200</v>
      </c>
      <c r="G18" s="471"/>
      <c r="H18" s="471"/>
      <c r="I18" s="471"/>
      <c r="J18" s="471"/>
      <c r="K18" s="471"/>
      <c r="L18" s="471"/>
      <c r="M18" s="643" t="s">
        <v>152</v>
      </c>
      <c r="N18" s="643" t="s">
        <v>196</v>
      </c>
      <c r="O18" s="643" t="s">
        <v>41</v>
      </c>
      <c r="P18" s="643">
        <v>10</v>
      </c>
      <c r="Q18" s="643" t="s">
        <v>5</v>
      </c>
      <c r="R18" s="644">
        <f>P18*16.956*1000</f>
        <v>169560</v>
      </c>
      <c r="S18" s="46" t="s">
        <v>153</v>
      </c>
      <c r="T18" s="46" t="s">
        <v>152</v>
      </c>
      <c r="U18" s="46" t="s">
        <v>41</v>
      </c>
      <c r="V18" s="46">
        <v>16</v>
      </c>
      <c r="W18" s="46" t="s">
        <v>5</v>
      </c>
      <c r="X18" s="449">
        <f>V18*16.919*1000</f>
        <v>270704</v>
      </c>
      <c r="Y18" s="46" t="s">
        <v>154</v>
      </c>
      <c r="Z18" s="46" t="s">
        <v>153</v>
      </c>
      <c r="AA18" s="46" t="s">
        <v>41</v>
      </c>
      <c r="AB18" s="46">
        <v>15</v>
      </c>
      <c r="AC18" s="46" t="s">
        <v>5</v>
      </c>
      <c r="AD18" s="449">
        <f>AB18*17.938*1000</f>
        <v>269070</v>
      </c>
      <c r="AE18" s="46" t="s">
        <v>155</v>
      </c>
      <c r="AF18" s="46" t="s">
        <v>154</v>
      </c>
      <c r="AG18" s="46" t="s">
        <v>41</v>
      </c>
      <c r="AH18" s="46">
        <v>10</v>
      </c>
      <c r="AI18" s="46" t="s">
        <v>5</v>
      </c>
      <c r="AJ18" s="449">
        <f>AH18*17.966*1000</f>
        <v>179660.00000000003</v>
      </c>
      <c r="AK18" s="46" t="s">
        <v>156</v>
      </c>
      <c r="AL18" s="46" t="s">
        <v>155</v>
      </c>
      <c r="AM18" s="46" t="s">
        <v>41</v>
      </c>
      <c r="AN18" s="46">
        <v>10</v>
      </c>
      <c r="AO18" s="46" t="s">
        <v>5</v>
      </c>
      <c r="AP18" s="449">
        <f>AN18*17.156006*1000</f>
        <v>171560.06000000003</v>
      </c>
      <c r="AQ18" s="51"/>
    </row>
    <row r="19" spans="1:43" s="10" customFormat="1" ht="31.5" customHeight="1" x14ac:dyDescent="0.25">
      <c r="A19" s="46">
        <v>10</v>
      </c>
      <c r="B19" s="47" t="s">
        <v>157</v>
      </c>
      <c r="C19" s="48" t="s">
        <v>158</v>
      </c>
      <c r="D19" s="48" t="s">
        <v>159</v>
      </c>
      <c r="E19" s="49">
        <v>184</v>
      </c>
      <c r="F19" s="50">
        <f t="shared" si="0"/>
        <v>1288000</v>
      </c>
      <c r="G19" s="471"/>
      <c r="H19" s="471"/>
      <c r="I19" s="471"/>
      <c r="J19" s="471"/>
      <c r="K19" s="471"/>
      <c r="L19" s="471"/>
      <c r="M19" s="647"/>
      <c r="N19" s="647"/>
      <c r="O19" s="647"/>
      <c r="P19" s="647"/>
      <c r="Q19" s="647"/>
      <c r="R19" s="647"/>
      <c r="S19" s="46" t="s">
        <v>109</v>
      </c>
      <c r="T19" s="46" t="s">
        <v>110</v>
      </c>
      <c r="U19" s="46" t="s">
        <v>105</v>
      </c>
      <c r="V19" s="46">
        <v>10</v>
      </c>
      <c r="W19" s="46" t="s">
        <v>5</v>
      </c>
      <c r="X19" s="449">
        <f>V19*13.515*1000</f>
        <v>135150</v>
      </c>
      <c r="Y19" s="46" t="s">
        <v>110</v>
      </c>
      <c r="Z19" s="46" t="s">
        <v>197</v>
      </c>
      <c r="AA19" s="46" t="s">
        <v>105</v>
      </c>
      <c r="AB19" s="46">
        <v>15</v>
      </c>
      <c r="AC19" s="46" t="s">
        <v>5</v>
      </c>
      <c r="AD19" s="449">
        <f>AB19*14.263*1000</f>
        <v>213945</v>
      </c>
      <c r="AE19" s="46" t="s">
        <v>197</v>
      </c>
      <c r="AF19" s="46" t="s">
        <v>160</v>
      </c>
      <c r="AG19" s="46" t="s">
        <v>105</v>
      </c>
      <c r="AH19" s="46">
        <v>21.3</v>
      </c>
      <c r="AI19" s="46" t="s">
        <v>5</v>
      </c>
      <c r="AJ19" s="449">
        <f>AH19*14.214*1000</f>
        <v>302758.20000000007</v>
      </c>
      <c r="AK19" s="452"/>
      <c r="AL19" s="452"/>
      <c r="AM19" s="452"/>
      <c r="AN19" s="452"/>
      <c r="AO19" s="452"/>
      <c r="AP19" s="452"/>
      <c r="AQ19" s="51"/>
    </row>
    <row r="20" spans="1:43" s="10" customFormat="1" ht="32.25" customHeight="1" x14ac:dyDescent="0.25">
      <c r="A20" s="46">
        <v>11</v>
      </c>
      <c r="B20" s="47" t="s">
        <v>161</v>
      </c>
      <c r="C20" s="48" t="s">
        <v>162</v>
      </c>
      <c r="D20" s="48" t="s">
        <v>163</v>
      </c>
      <c r="E20" s="49">
        <v>78.832999999999998</v>
      </c>
      <c r="F20" s="50">
        <f t="shared" si="0"/>
        <v>551831</v>
      </c>
      <c r="G20" s="471"/>
      <c r="H20" s="471"/>
      <c r="I20" s="471"/>
      <c r="J20" s="471"/>
      <c r="K20" s="471"/>
      <c r="L20" s="471"/>
      <c r="M20" s="647"/>
      <c r="N20" s="647"/>
      <c r="O20" s="647"/>
      <c r="P20" s="647"/>
      <c r="Q20" s="647"/>
      <c r="R20" s="647"/>
      <c r="S20" s="46" t="s">
        <v>109</v>
      </c>
      <c r="T20" s="46" t="s">
        <v>112</v>
      </c>
      <c r="U20" s="46" t="s">
        <v>41</v>
      </c>
      <c r="V20" s="46">
        <v>20</v>
      </c>
      <c r="W20" s="46" t="s">
        <v>5</v>
      </c>
      <c r="X20" s="449">
        <f>V20*16.982*1000</f>
        <v>339640</v>
      </c>
      <c r="Y20" s="46" t="s">
        <v>112</v>
      </c>
      <c r="Z20" s="46" t="s">
        <v>231</v>
      </c>
      <c r="AA20" s="46" t="s">
        <v>105</v>
      </c>
      <c r="AB20" s="46">
        <v>11.13</v>
      </c>
      <c r="AC20" s="46" t="s">
        <v>5</v>
      </c>
      <c r="AD20" s="449">
        <f>AB20*14.582*1000</f>
        <v>162297.66</v>
      </c>
      <c r="AE20" s="46" t="s">
        <v>1175</v>
      </c>
      <c r="AF20" s="46" t="s">
        <v>1160</v>
      </c>
      <c r="AG20" s="46" t="s">
        <v>41</v>
      </c>
      <c r="AH20" s="46">
        <v>16.32</v>
      </c>
      <c r="AI20" s="46" t="s">
        <v>5</v>
      </c>
      <c r="AJ20" s="449">
        <f>AH20*17.94*1000</f>
        <v>292780.79999999999</v>
      </c>
      <c r="AK20" s="46" t="s">
        <v>1160</v>
      </c>
      <c r="AL20" s="46" t="s">
        <v>165</v>
      </c>
      <c r="AM20" s="46" t="s">
        <v>105</v>
      </c>
      <c r="AN20" s="46">
        <v>23.082999999999998</v>
      </c>
      <c r="AO20" s="46" t="s">
        <v>5</v>
      </c>
      <c r="AP20" s="449">
        <f>AN20*13.29*1000</f>
        <v>306773.06999999995</v>
      </c>
      <c r="AQ20" s="51"/>
    </row>
    <row r="21" spans="1:43" s="10" customFormat="1" ht="32.25" customHeight="1" x14ac:dyDescent="0.25">
      <c r="A21" s="46"/>
      <c r="B21" s="47"/>
      <c r="C21" s="48"/>
      <c r="D21" s="48"/>
      <c r="E21" s="49"/>
      <c r="F21" s="50"/>
      <c r="G21" s="451"/>
      <c r="H21" s="451"/>
      <c r="I21" s="451"/>
      <c r="J21" s="451"/>
      <c r="K21" s="451"/>
      <c r="L21" s="451"/>
      <c r="M21" s="646"/>
      <c r="N21" s="646"/>
      <c r="O21" s="646"/>
      <c r="P21" s="646"/>
      <c r="Q21" s="646"/>
      <c r="R21" s="647"/>
      <c r="S21" s="471"/>
      <c r="T21" s="471"/>
      <c r="U21" s="471"/>
      <c r="V21" s="471"/>
      <c r="W21" s="471"/>
      <c r="X21" s="471"/>
      <c r="Y21" s="46" t="s">
        <v>231</v>
      </c>
      <c r="Z21" s="46" t="s">
        <v>1175</v>
      </c>
      <c r="AA21" s="46" t="s">
        <v>41</v>
      </c>
      <c r="AB21" s="46">
        <v>8.3000000000000007</v>
      </c>
      <c r="AC21" s="46" t="s">
        <v>5</v>
      </c>
      <c r="AD21" s="449">
        <f>AB21*17.922*1000</f>
        <v>148752.60000000003</v>
      </c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51"/>
    </row>
    <row r="22" spans="1:43" s="10" customFormat="1" ht="30" x14ac:dyDescent="0.25">
      <c r="A22" s="46">
        <v>12</v>
      </c>
      <c r="B22" s="47" t="s">
        <v>166</v>
      </c>
      <c r="C22" s="48" t="s">
        <v>167</v>
      </c>
      <c r="D22" s="48" t="s">
        <v>168</v>
      </c>
      <c r="E22" s="49">
        <v>78.207999999999998</v>
      </c>
      <c r="F22" s="50">
        <f t="shared" si="0"/>
        <v>547456</v>
      </c>
      <c r="G22" s="418" t="s">
        <v>169</v>
      </c>
      <c r="H22" s="418" t="s">
        <v>170</v>
      </c>
      <c r="I22" s="46" t="s">
        <v>105</v>
      </c>
      <c r="J22" s="46">
        <v>10</v>
      </c>
      <c r="K22" s="46" t="s">
        <v>5</v>
      </c>
      <c r="L22" s="449">
        <f>J22*11.526*1000</f>
        <v>115259.99999999999</v>
      </c>
      <c r="M22" s="642"/>
      <c r="N22" s="642"/>
      <c r="O22" s="642"/>
      <c r="P22" s="642"/>
      <c r="Q22" s="642"/>
      <c r="R22" s="64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51"/>
    </row>
    <row r="23" spans="1:43" s="10" customFormat="1" ht="30" x14ac:dyDescent="0.25">
      <c r="A23" s="46">
        <v>13</v>
      </c>
      <c r="B23" s="47" t="s">
        <v>171</v>
      </c>
      <c r="C23" s="48" t="s">
        <v>172</v>
      </c>
      <c r="D23" s="48" t="s">
        <v>173</v>
      </c>
      <c r="E23" s="49">
        <v>210.78800000000001</v>
      </c>
      <c r="F23" s="50">
        <f t="shared" si="0"/>
        <v>1475516</v>
      </c>
      <c r="G23" s="471"/>
      <c r="H23" s="471"/>
      <c r="I23" s="471"/>
      <c r="J23" s="471"/>
      <c r="K23" s="471"/>
      <c r="L23" s="471"/>
      <c r="M23" s="643" t="s">
        <v>109</v>
      </c>
      <c r="N23" s="643" t="s">
        <v>219</v>
      </c>
      <c r="O23" s="643" t="s">
        <v>105</v>
      </c>
      <c r="P23" s="643">
        <v>2.4500000000000002</v>
      </c>
      <c r="Q23" s="643" t="s">
        <v>220</v>
      </c>
      <c r="R23" s="644">
        <f>P23*13.876*1000</f>
        <v>33996.200000000004</v>
      </c>
      <c r="S23" s="46" t="s">
        <v>230</v>
      </c>
      <c r="T23" s="46" t="s">
        <v>232</v>
      </c>
      <c r="U23" s="46" t="s">
        <v>41</v>
      </c>
      <c r="V23" s="46">
        <v>10</v>
      </c>
      <c r="W23" s="46" t="s">
        <v>5</v>
      </c>
      <c r="X23" s="449">
        <f>V23*16.993*1000</f>
        <v>169929.99999999997</v>
      </c>
      <c r="Y23" s="46" t="s">
        <v>232</v>
      </c>
      <c r="Z23" s="46" t="s">
        <v>114</v>
      </c>
      <c r="AA23" s="46" t="s">
        <v>41</v>
      </c>
      <c r="AB23" s="46">
        <v>15.632999999999999</v>
      </c>
      <c r="AC23" s="46" t="s">
        <v>5</v>
      </c>
      <c r="AD23" s="449">
        <f>AB23*17.945*1000</f>
        <v>280534.185</v>
      </c>
      <c r="AE23" s="46" t="s">
        <v>114</v>
      </c>
      <c r="AF23" s="46" t="s">
        <v>1173</v>
      </c>
      <c r="AG23" s="46" t="s">
        <v>41</v>
      </c>
      <c r="AH23" s="46">
        <v>30</v>
      </c>
      <c r="AI23" s="46" t="s">
        <v>5</v>
      </c>
      <c r="AJ23" s="449">
        <f>AH23*17.85*1000</f>
        <v>535500</v>
      </c>
      <c r="AK23" s="46" t="s">
        <v>1173</v>
      </c>
      <c r="AL23" s="46" t="s">
        <v>174</v>
      </c>
      <c r="AM23" s="46" t="s">
        <v>41</v>
      </c>
      <c r="AN23" s="46">
        <v>14</v>
      </c>
      <c r="AO23" s="46" t="s">
        <v>5</v>
      </c>
      <c r="AP23" s="449">
        <f>AN23*17.141*1000</f>
        <v>239974</v>
      </c>
      <c r="AQ23" s="51"/>
    </row>
    <row r="24" spans="1:43" s="10" customFormat="1" x14ac:dyDescent="0.25">
      <c r="A24" s="46"/>
      <c r="B24" s="47"/>
      <c r="C24" s="48"/>
      <c r="D24" s="48"/>
      <c r="E24" s="49"/>
      <c r="F24" s="50"/>
      <c r="G24" s="471"/>
      <c r="H24" s="471"/>
      <c r="I24" s="471"/>
      <c r="J24" s="471"/>
      <c r="K24" s="471"/>
      <c r="L24" s="471"/>
      <c r="M24" s="643" t="s">
        <v>219</v>
      </c>
      <c r="N24" s="643" t="s">
        <v>230</v>
      </c>
      <c r="O24" s="643" t="s">
        <v>41</v>
      </c>
      <c r="P24" s="643">
        <v>11.917</v>
      </c>
      <c r="Q24" s="643" t="s">
        <v>220</v>
      </c>
      <c r="R24" s="644">
        <f>P24*16.936*1000</f>
        <v>201826.31200000001</v>
      </c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51"/>
    </row>
    <row r="25" spans="1:43" s="10" customFormat="1" ht="21.75" customHeight="1" x14ac:dyDescent="0.25">
      <c r="A25" s="46">
        <v>14</v>
      </c>
      <c r="B25" s="47" t="s">
        <v>175</v>
      </c>
      <c r="C25" s="48" t="s">
        <v>176</v>
      </c>
      <c r="D25" s="53" t="s">
        <v>177</v>
      </c>
      <c r="E25" s="49">
        <v>237.19499999999999</v>
      </c>
      <c r="F25" s="50">
        <f>E25*1000*7</f>
        <v>1660365</v>
      </c>
      <c r="G25" s="471"/>
      <c r="H25" s="471"/>
      <c r="I25" s="471"/>
      <c r="J25" s="471"/>
      <c r="K25" s="471"/>
      <c r="L25" s="471"/>
      <c r="M25" s="647"/>
      <c r="N25" s="647"/>
      <c r="O25" s="647"/>
      <c r="P25" s="647"/>
      <c r="Q25" s="647"/>
      <c r="R25" s="647"/>
      <c r="S25" s="46" t="s">
        <v>109</v>
      </c>
      <c r="T25" s="46" t="s">
        <v>1172</v>
      </c>
      <c r="U25" s="46" t="s">
        <v>41</v>
      </c>
      <c r="V25" s="46">
        <v>11.145</v>
      </c>
      <c r="W25" s="46" t="s">
        <v>5</v>
      </c>
      <c r="X25" s="449">
        <f>V25*16.94*1000</f>
        <v>188796.3</v>
      </c>
      <c r="Y25" s="46" t="s">
        <v>1172</v>
      </c>
      <c r="Z25" s="46" t="s">
        <v>1168</v>
      </c>
      <c r="AA25" s="46" t="s">
        <v>41</v>
      </c>
      <c r="AB25" s="46">
        <v>22.32</v>
      </c>
      <c r="AC25" s="46" t="s">
        <v>5</v>
      </c>
      <c r="AD25" s="449">
        <f>AB25*17.934*1000</f>
        <v>400286.88000000006</v>
      </c>
      <c r="AE25" s="46" t="s">
        <v>1168</v>
      </c>
      <c r="AF25" s="46" t="s">
        <v>1165</v>
      </c>
      <c r="AG25" s="46" t="s">
        <v>41</v>
      </c>
      <c r="AH25" s="46">
        <v>15.935</v>
      </c>
      <c r="AI25" s="46" t="s">
        <v>5</v>
      </c>
      <c r="AJ25" s="449">
        <f>AH25*17.82*1000</f>
        <v>283961.7</v>
      </c>
      <c r="AK25" s="46" t="s">
        <v>1165</v>
      </c>
      <c r="AL25" s="46" t="s">
        <v>178</v>
      </c>
      <c r="AM25" s="46" t="s">
        <v>41</v>
      </c>
      <c r="AN25" s="46">
        <v>20.100000000000001</v>
      </c>
      <c r="AO25" s="46" t="s">
        <v>5</v>
      </c>
      <c r="AP25" s="449">
        <f>AN25*17.003*1000</f>
        <v>341760.30000000005</v>
      </c>
      <c r="AQ25" s="51"/>
    </row>
    <row r="26" spans="1:43" s="10" customFormat="1" ht="28.5" customHeight="1" x14ac:dyDescent="0.25">
      <c r="A26" s="46">
        <v>15</v>
      </c>
      <c r="B26" s="47" t="s">
        <v>179</v>
      </c>
      <c r="C26" s="46" t="s">
        <v>180</v>
      </c>
      <c r="D26" s="53" t="s">
        <v>181</v>
      </c>
      <c r="E26" s="49">
        <v>76</v>
      </c>
      <c r="F26" s="50">
        <f>E26*1000*7</f>
        <v>532000</v>
      </c>
      <c r="G26" s="471"/>
      <c r="H26" s="471"/>
      <c r="I26" s="471"/>
      <c r="J26" s="471"/>
      <c r="K26" s="471"/>
      <c r="L26" s="471"/>
      <c r="M26" s="643" t="s">
        <v>182</v>
      </c>
      <c r="N26" s="643" t="s">
        <v>164</v>
      </c>
      <c r="O26" s="643" t="s">
        <v>41</v>
      </c>
      <c r="P26" s="643">
        <v>10</v>
      </c>
      <c r="Q26" s="643" t="s">
        <v>5</v>
      </c>
      <c r="R26" s="644">
        <f>P26*16.996*1000</f>
        <v>169959.99999999997</v>
      </c>
      <c r="S26" s="46" t="s">
        <v>164</v>
      </c>
      <c r="T26" s="46" t="s">
        <v>183</v>
      </c>
      <c r="U26" s="46" t="s">
        <v>105</v>
      </c>
      <c r="V26" s="46">
        <v>16</v>
      </c>
      <c r="W26" s="46" t="s">
        <v>5</v>
      </c>
      <c r="X26" s="449">
        <f>V26*13.482*1000</f>
        <v>215712</v>
      </c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54"/>
    </row>
    <row r="27" spans="1:43" s="10" customFormat="1" ht="21" customHeight="1" x14ac:dyDescent="0.25">
      <c r="A27" s="46">
        <v>16</v>
      </c>
      <c r="B27" s="47" t="s">
        <v>184</v>
      </c>
      <c r="C27" s="46" t="s">
        <v>1166</v>
      </c>
      <c r="D27" s="53" t="s">
        <v>185</v>
      </c>
      <c r="E27" s="49">
        <v>51</v>
      </c>
      <c r="F27" s="50">
        <f>E27*1000*7</f>
        <v>357000</v>
      </c>
      <c r="G27" s="471"/>
      <c r="H27" s="471"/>
      <c r="I27" s="471"/>
      <c r="J27" s="471"/>
      <c r="K27" s="471"/>
      <c r="L27" s="471"/>
      <c r="M27" s="646" t="s">
        <v>109</v>
      </c>
      <c r="N27" s="646" t="s">
        <v>110</v>
      </c>
      <c r="O27" s="643" t="s">
        <v>41</v>
      </c>
      <c r="P27" s="643">
        <v>10</v>
      </c>
      <c r="Q27" s="643" t="s">
        <v>5</v>
      </c>
      <c r="R27" s="644">
        <f>P27*16.923*1000</f>
        <v>169230</v>
      </c>
      <c r="S27" s="46" t="s">
        <v>110</v>
      </c>
      <c r="T27" s="46" t="s">
        <v>1167</v>
      </c>
      <c r="U27" s="46" t="s">
        <v>41</v>
      </c>
      <c r="V27" s="46">
        <v>18.399999999999999</v>
      </c>
      <c r="W27" s="46" t="s">
        <v>5</v>
      </c>
      <c r="X27" s="449">
        <f>V27*16.915*1000</f>
        <v>311235.99999999994</v>
      </c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54"/>
    </row>
    <row r="28" spans="1:43" s="10" customFormat="1" ht="30" x14ac:dyDescent="0.25">
      <c r="A28" s="46">
        <v>17</v>
      </c>
      <c r="B28" s="47" t="s">
        <v>186</v>
      </c>
      <c r="C28" s="46" t="s">
        <v>187</v>
      </c>
      <c r="D28" s="53" t="s">
        <v>188</v>
      </c>
      <c r="E28" s="49">
        <v>10</v>
      </c>
      <c r="F28" s="50">
        <f>E28*1000*7</f>
        <v>70000</v>
      </c>
      <c r="G28" s="473"/>
      <c r="H28" s="473"/>
      <c r="I28" s="473"/>
      <c r="J28" s="473"/>
      <c r="K28" s="473"/>
      <c r="L28" s="473"/>
      <c r="M28" s="648"/>
      <c r="N28" s="648"/>
      <c r="O28" s="648"/>
      <c r="P28" s="648"/>
      <c r="Q28" s="648"/>
      <c r="R28" s="648"/>
      <c r="S28" s="473"/>
      <c r="T28" s="473"/>
      <c r="U28" s="473"/>
      <c r="V28" s="473"/>
      <c r="W28" s="473"/>
      <c r="X28" s="473"/>
      <c r="Y28" s="451" t="s">
        <v>109</v>
      </c>
      <c r="Z28" s="451" t="s">
        <v>110</v>
      </c>
      <c r="AA28" s="46" t="s">
        <v>41</v>
      </c>
      <c r="AB28" s="46">
        <v>10</v>
      </c>
      <c r="AC28" s="46" t="s">
        <v>5</v>
      </c>
      <c r="AD28" s="449">
        <f>AB28*17.956*1000</f>
        <v>179560</v>
      </c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54"/>
    </row>
    <row r="29" spans="1:43" s="10" customFormat="1" ht="32.25" customHeight="1" x14ac:dyDescent="0.25">
      <c r="A29" s="46">
        <v>18</v>
      </c>
      <c r="B29" s="47" t="s">
        <v>189</v>
      </c>
      <c r="C29" s="48" t="s">
        <v>190</v>
      </c>
      <c r="D29" s="48" t="s">
        <v>191</v>
      </c>
      <c r="E29" s="49">
        <v>234</v>
      </c>
      <c r="F29" s="50">
        <f>E29*1000*7</f>
        <v>1638000</v>
      </c>
      <c r="G29" s="471"/>
      <c r="H29" s="471"/>
      <c r="I29" s="471"/>
      <c r="J29" s="471"/>
      <c r="K29" s="471"/>
      <c r="L29" s="471"/>
      <c r="M29" s="643" t="s">
        <v>228</v>
      </c>
      <c r="N29" s="643" t="s">
        <v>192</v>
      </c>
      <c r="O29" s="643" t="s">
        <v>105</v>
      </c>
      <c r="P29" s="643">
        <v>5.52</v>
      </c>
      <c r="Q29" s="643" t="s">
        <v>5</v>
      </c>
      <c r="R29" s="644">
        <f>P29*11.918667*1000</f>
        <v>65791.041839999991</v>
      </c>
      <c r="S29" s="46" t="s">
        <v>229</v>
      </c>
      <c r="T29" s="46" t="s">
        <v>228</v>
      </c>
      <c r="U29" s="46" t="s">
        <v>41</v>
      </c>
      <c r="V29" s="46">
        <v>19.965</v>
      </c>
      <c r="W29" s="46" t="s">
        <v>5</v>
      </c>
      <c r="X29" s="449">
        <f>V29*16.9*1000</f>
        <v>337408.49999999994</v>
      </c>
      <c r="Y29" s="46" t="s">
        <v>1155</v>
      </c>
      <c r="Z29" s="46" t="s">
        <v>229</v>
      </c>
      <c r="AA29" s="46" t="s">
        <v>105</v>
      </c>
      <c r="AB29" s="46">
        <v>11.845000000000001</v>
      </c>
      <c r="AC29" s="46" t="s">
        <v>5</v>
      </c>
      <c r="AD29" s="449">
        <f>AB29*14.86*1000</f>
        <v>176016.7</v>
      </c>
      <c r="AE29" s="46" t="s">
        <v>1162</v>
      </c>
      <c r="AF29" s="46" t="s">
        <v>1163</v>
      </c>
      <c r="AG29" s="46" t="s">
        <v>105</v>
      </c>
      <c r="AH29" s="46">
        <v>10</v>
      </c>
      <c r="AI29" s="46" t="s">
        <v>5</v>
      </c>
      <c r="AJ29" s="449">
        <f>AH29*14.13*1000</f>
        <v>141300</v>
      </c>
      <c r="AK29" s="53" t="s">
        <v>1163</v>
      </c>
      <c r="AL29" s="53" t="s">
        <v>1156</v>
      </c>
      <c r="AM29" s="46" t="s">
        <v>105</v>
      </c>
      <c r="AN29" s="46">
        <v>12.5</v>
      </c>
      <c r="AO29" s="418" t="s">
        <v>5</v>
      </c>
      <c r="AP29" s="449">
        <f>AN29*13.278*1000</f>
        <v>165975</v>
      </c>
      <c r="AQ29" s="55"/>
    </row>
    <row r="30" spans="1:43" s="10" customFormat="1" ht="32.25" customHeight="1" x14ac:dyDescent="0.25">
      <c r="A30" s="46"/>
      <c r="B30" s="47"/>
      <c r="C30" s="48"/>
      <c r="D30" s="48"/>
      <c r="E30" s="49"/>
      <c r="F30" s="50"/>
      <c r="G30" s="451"/>
      <c r="H30" s="451"/>
      <c r="I30" s="451"/>
      <c r="J30" s="451"/>
      <c r="K30" s="451"/>
      <c r="L30" s="471"/>
      <c r="M30" s="647"/>
      <c r="N30" s="647"/>
      <c r="O30" s="647"/>
      <c r="P30" s="647"/>
      <c r="Q30" s="647"/>
      <c r="R30" s="647"/>
      <c r="S30" s="471"/>
      <c r="T30" s="471"/>
      <c r="U30" s="471"/>
      <c r="V30" s="471"/>
      <c r="W30" s="471"/>
      <c r="X30" s="471"/>
      <c r="Y30" s="46" t="s">
        <v>1156</v>
      </c>
      <c r="Z30" s="46" t="s">
        <v>1155</v>
      </c>
      <c r="AA30" s="46" t="s">
        <v>41</v>
      </c>
      <c r="AB30" s="46">
        <v>7.59</v>
      </c>
      <c r="AC30" s="46" t="s">
        <v>5</v>
      </c>
      <c r="AD30" s="449">
        <f>AB30*17.956*1000</f>
        <v>136286.03999999998</v>
      </c>
      <c r="AE30" s="46" t="s">
        <v>109</v>
      </c>
      <c r="AF30" s="46" t="s">
        <v>1164</v>
      </c>
      <c r="AG30" s="46" t="s">
        <v>105</v>
      </c>
      <c r="AH30" s="46">
        <v>19.5</v>
      </c>
      <c r="AI30" s="46" t="s">
        <v>5</v>
      </c>
      <c r="AJ30" s="449">
        <f>AH30*14.3069638*1000</f>
        <v>278985.7941</v>
      </c>
      <c r="AK30" s="53" t="s">
        <v>1164</v>
      </c>
      <c r="AL30" s="53" t="s">
        <v>1162</v>
      </c>
      <c r="AM30" s="46" t="s">
        <v>105</v>
      </c>
      <c r="AN30" s="46">
        <v>32.409999999999997</v>
      </c>
      <c r="AO30" s="418" t="s">
        <v>5</v>
      </c>
      <c r="AP30" s="449">
        <f>AN30*13.85612*1000</f>
        <v>449076.8492</v>
      </c>
      <c r="AQ30" s="55"/>
    </row>
    <row r="31" spans="1:43" s="10" customFormat="1" ht="32.25" customHeight="1" x14ac:dyDescent="0.25">
      <c r="A31" s="46">
        <v>19</v>
      </c>
      <c r="B31" s="47" t="s">
        <v>199</v>
      </c>
      <c r="C31" s="48" t="s">
        <v>224</v>
      </c>
      <c r="D31" s="48" t="s">
        <v>200</v>
      </c>
      <c r="E31" s="49">
        <v>68</v>
      </c>
      <c r="F31" s="50">
        <f t="shared" ref="F31:F34" si="1">E31*1000*7</f>
        <v>476000</v>
      </c>
      <c r="G31" s="471"/>
      <c r="H31" s="471"/>
      <c r="I31" s="471"/>
      <c r="J31" s="471"/>
      <c r="K31" s="471"/>
      <c r="L31" s="471"/>
      <c r="M31" s="647"/>
      <c r="N31" s="647"/>
      <c r="O31" s="647"/>
      <c r="P31" s="647"/>
      <c r="Q31" s="647"/>
      <c r="R31" s="647"/>
      <c r="S31" s="46" t="s">
        <v>198</v>
      </c>
      <c r="T31" s="46" t="s">
        <v>225</v>
      </c>
      <c r="U31" s="46" t="s">
        <v>41</v>
      </c>
      <c r="V31" s="46">
        <v>7</v>
      </c>
      <c r="W31" s="46" t="s">
        <v>5</v>
      </c>
      <c r="X31" s="449">
        <f>V31*17.56*1000</f>
        <v>122919.99999999999</v>
      </c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55"/>
    </row>
    <row r="32" spans="1:43" s="10" customFormat="1" ht="32.25" customHeight="1" x14ac:dyDescent="0.25">
      <c r="A32" s="46">
        <v>20</v>
      </c>
      <c r="B32" s="47" t="s">
        <v>201</v>
      </c>
      <c r="C32" s="46" t="s">
        <v>209</v>
      </c>
      <c r="D32" s="53" t="s">
        <v>204</v>
      </c>
      <c r="E32" s="49">
        <v>2.8540000000000001</v>
      </c>
      <c r="F32" s="50">
        <f>E32*1000*7.5</f>
        <v>21405</v>
      </c>
      <c r="G32" s="471"/>
      <c r="H32" s="471"/>
      <c r="I32" s="471"/>
      <c r="J32" s="471"/>
      <c r="K32" s="471"/>
      <c r="L32" s="471"/>
      <c r="M32" s="647"/>
      <c r="N32" s="647"/>
      <c r="O32" s="647"/>
      <c r="P32" s="647"/>
      <c r="Q32" s="647"/>
      <c r="R32" s="647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6">
        <v>0</v>
      </c>
      <c r="AF32" s="46" t="s">
        <v>245</v>
      </c>
      <c r="AG32" s="46" t="s">
        <v>105</v>
      </c>
      <c r="AH32" s="452">
        <v>2.8540000000000001</v>
      </c>
      <c r="AI32" s="46" t="s">
        <v>5</v>
      </c>
      <c r="AJ32" s="449">
        <f>AH32*14.102*1000</f>
        <v>40247.108000000007</v>
      </c>
      <c r="AK32" s="452"/>
      <c r="AL32" s="452"/>
      <c r="AM32" s="452"/>
      <c r="AN32" s="452"/>
      <c r="AO32" s="452"/>
      <c r="AP32" s="452"/>
      <c r="AQ32" s="55"/>
    </row>
    <row r="33" spans="1:59" s="10" customFormat="1" ht="32.25" customHeight="1" x14ac:dyDescent="0.25">
      <c r="A33" s="46">
        <v>21</v>
      </c>
      <c r="B33" s="47" t="s">
        <v>202</v>
      </c>
      <c r="C33" s="46" t="s">
        <v>210</v>
      </c>
      <c r="D33" s="53" t="s">
        <v>205</v>
      </c>
      <c r="E33" s="49">
        <v>14</v>
      </c>
      <c r="F33" s="50">
        <f>E33*1000*7.5</f>
        <v>105000</v>
      </c>
      <c r="G33" s="471"/>
      <c r="H33" s="471"/>
      <c r="I33" s="471"/>
      <c r="J33" s="471"/>
      <c r="K33" s="471"/>
      <c r="L33" s="471"/>
      <c r="M33" s="643" t="s">
        <v>109</v>
      </c>
      <c r="N33" s="643" t="s">
        <v>216</v>
      </c>
      <c r="O33" s="643" t="s">
        <v>105</v>
      </c>
      <c r="P33" s="643">
        <v>7</v>
      </c>
      <c r="Q33" s="643" t="s">
        <v>5</v>
      </c>
      <c r="R33" s="660">
        <v>89419.67</v>
      </c>
      <c r="S33" s="46" t="s">
        <v>216</v>
      </c>
      <c r="T33" s="46" t="s">
        <v>136</v>
      </c>
      <c r="U33" s="46" t="s">
        <v>105</v>
      </c>
      <c r="V33" s="46">
        <v>7</v>
      </c>
      <c r="W33" s="46" t="s">
        <v>5</v>
      </c>
      <c r="X33" s="449">
        <f>V33*12.359762*1000</f>
        <v>86518.334000000003</v>
      </c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55"/>
    </row>
    <row r="34" spans="1:59" s="10" customFormat="1" ht="32.25" customHeight="1" x14ac:dyDescent="0.25">
      <c r="A34" s="46">
        <v>22</v>
      </c>
      <c r="B34" s="47" t="s">
        <v>203</v>
      </c>
      <c r="C34" s="46" t="s">
        <v>211</v>
      </c>
      <c r="D34" s="53" t="s">
        <v>206</v>
      </c>
      <c r="E34" s="49">
        <v>9.125</v>
      </c>
      <c r="F34" s="50">
        <f t="shared" si="1"/>
        <v>63875</v>
      </c>
      <c r="G34" s="471"/>
      <c r="H34" s="471"/>
      <c r="I34" s="471"/>
      <c r="J34" s="471"/>
      <c r="K34" s="471"/>
      <c r="L34" s="471"/>
      <c r="M34" s="647"/>
      <c r="N34" s="647"/>
      <c r="O34" s="647"/>
      <c r="P34" s="647"/>
      <c r="Q34" s="647"/>
      <c r="R34" s="647"/>
      <c r="S34" s="471"/>
      <c r="T34" s="471"/>
      <c r="U34" s="471"/>
      <c r="V34" s="471"/>
      <c r="W34" s="471"/>
      <c r="X34" s="471"/>
      <c r="Y34" s="46" t="s">
        <v>217</v>
      </c>
      <c r="Z34" s="46" t="s">
        <v>218</v>
      </c>
      <c r="AA34" s="46" t="s">
        <v>105</v>
      </c>
      <c r="AB34" s="46">
        <v>9.125</v>
      </c>
      <c r="AC34" s="46" t="s">
        <v>5</v>
      </c>
      <c r="AD34" s="449">
        <f>AB34*14.283963*1000</f>
        <v>130341.16237500001</v>
      </c>
      <c r="AE34" s="452"/>
      <c r="AF34" s="452"/>
      <c r="AG34" s="452"/>
      <c r="AH34" s="452"/>
      <c r="AI34" s="452"/>
      <c r="AJ34" s="452"/>
      <c r="AK34" s="452"/>
      <c r="AL34" s="452"/>
      <c r="AM34" s="452"/>
      <c r="AN34" s="452"/>
      <c r="AO34" s="452"/>
      <c r="AP34" s="452"/>
      <c r="AQ34" s="55"/>
    </row>
    <row r="35" spans="1:59" s="10" customFormat="1" ht="32.25" customHeight="1" x14ac:dyDescent="0.25">
      <c r="A35" s="46">
        <v>23</v>
      </c>
      <c r="B35" s="47" t="s">
        <v>207</v>
      </c>
      <c r="C35" s="46" t="s">
        <v>1170</v>
      </c>
      <c r="D35" s="463" t="s">
        <v>208</v>
      </c>
      <c r="E35" s="46">
        <v>22.3</v>
      </c>
      <c r="F35" s="464">
        <f>22300*7</f>
        <v>156100</v>
      </c>
      <c r="G35" s="451"/>
      <c r="H35" s="451"/>
      <c r="I35" s="46"/>
      <c r="J35" s="46"/>
      <c r="K35" s="46"/>
      <c r="L35" s="465"/>
      <c r="M35" s="643"/>
      <c r="N35" s="643"/>
      <c r="O35" s="643"/>
      <c r="P35" s="643"/>
      <c r="Q35" s="643"/>
      <c r="R35" s="649"/>
      <c r="S35" s="46" t="s">
        <v>241</v>
      </c>
      <c r="T35" s="46" t="s">
        <v>242</v>
      </c>
      <c r="U35" s="46" t="s">
        <v>105</v>
      </c>
      <c r="V35" s="46">
        <v>6.3</v>
      </c>
      <c r="W35" s="46" t="s">
        <v>5</v>
      </c>
      <c r="X35" s="133">
        <v>0</v>
      </c>
      <c r="Y35" s="46" t="s">
        <v>242</v>
      </c>
      <c r="Z35" s="46" t="s">
        <v>225</v>
      </c>
      <c r="AA35" s="46" t="s">
        <v>105</v>
      </c>
      <c r="AB35" s="46">
        <v>6</v>
      </c>
      <c r="AC35" s="46" t="s">
        <v>5</v>
      </c>
      <c r="AD35" s="133">
        <v>0</v>
      </c>
      <c r="AE35" s="46"/>
      <c r="AF35" s="46"/>
      <c r="AG35" s="46"/>
      <c r="AH35" s="46"/>
      <c r="AI35" s="46"/>
      <c r="AJ35" s="449"/>
      <c r="AK35" s="53"/>
      <c r="AL35" s="53"/>
      <c r="AM35" s="46"/>
      <c r="AN35" s="46"/>
      <c r="AO35" s="418"/>
      <c r="AP35" s="449"/>
      <c r="AQ35" s="55"/>
    </row>
    <row r="36" spans="1:59" s="10" customFormat="1" ht="32.25" customHeight="1" x14ac:dyDescent="0.25">
      <c r="A36" s="46">
        <v>24</v>
      </c>
      <c r="B36" s="47" t="s">
        <v>221</v>
      </c>
      <c r="C36" s="46" t="s">
        <v>1169</v>
      </c>
      <c r="D36" s="463" t="s">
        <v>223</v>
      </c>
      <c r="E36" s="46">
        <v>7.62</v>
      </c>
      <c r="F36" s="464">
        <f>7620*7</f>
        <v>53340</v>
      </c>
      <c r="G36" s="451"/>
      <c r="H36" s="451"/>
      <c r="I36" s="46"/>
      <c r="J36" s="46"/>
      <c r="K36" s="46"/>
      <c r="L36" s="465"/>
      <c r="M36" s="643" t="s">
        <v>109</v>
      </c>
      <c r="N36" s="643" t="s">
        <v>239</v>
      </c>
      <c r="O36" s="643" t="s">
        <v>105</v>
      </c>
      <c r="P36" s="643">
        <v>4</v>
      </c>
      <c r="Q36" s="643" t="s">
        <v>5</v>
      </c>
      <c r="R36" s="650"/>
      <c r="S36" s="46" t="s">
        <v>239</v>
      </c>
      <c r="T36" s="46" t="s">
        <v>1128</v>
      </c>
      <c r="U36" s="46" t="s">
        <v>105</v>
      </c>
      <c r="V36" s="46">
        <v>3.62</v>
      </c>
      <c r="W36" s="46" t="s">
        <v>5</v>
      </c>
      <c r="X36" s="133">
        <v>0</v>
      </c>
      <c r="Y36" s="46"/>
      <c r="Z36" s="46"/>
      <c r="AA36" s="46"/>
      <c r="AB36" s="46"/>
      <c r="AC36" s="46"/>
      <c r="AD36" s="449"/>
      <c r="AE36" s="46"/>
      <c r="AF36" s="46"/>
      <c r="AG36" s="46"/>
      <c r="AH36" s="46"/>
      <c r="AI36" s="46"/>
      <c r="AJ36" s="449"/>
      <c r="AK36" s="53"/>
      <c r="AL36" s="53"/>
      <c r="AM36" s="46"/>
      <c r="AN36" s="46"/>
      <c r="AO36" s="418"/>
      <c r="AP36" s="449"/>
      <c r="AQ36" s="55"/>
    </row>
    <row r="37" spans="1:59" s="457" customFormat="1" ht="38.25" customHeight="1" x14ac:dyDescent="0.2">
      <c r="A37" s="664" t="s">
        <v>10</v>
      </c>
      <c r="B37" s="664"/>
      <c r="C37" s="664"/>
      <c r="D37" s="664"/>
      <c r="E37" s="453"/>
      <c r="F37" s="453"/>
      <c r="G37" s="453"/>
      <c r="H37" s="453"/>
      <c r="I37" s="453"/>
      <c r="J37" s="454">
        <f>J7+J8+J9+J10+J11+J12+J13+J14+J15+J16+J17+J18+J19+J20+J21+J22+J23+J24+J25+J26+J27+J28+J29+J30+J31+J32+J33+J34+J35+J36</f>
        <v>86.615000000000009</v>
      </c>
      <c r="K37" s="454"/>
      <c r="L37" s="455">
        <f t="shared" ref="L37:AP37" si="2">L7+L8+L9+L10+L11+L12+L13+L14+L15+L16+L17+L18+L19+L20+L21+L22+L23+L24+L25+L26+L27+L28+L29+L30+L31+L32+L33+L34+L35+L36</f>
        <v>2003501.0005784479</v>
      </c>
      <c r="M37" s="651"/>
      <c r="N37" s="651"/>
      <c r="O37" s="651"/>
      <c r="P37" s="651">
        <f>P7+P8+P9+P10+P11+P12+P13+P14+P15+P16+P17+P18+P19+P20+P21+P22+P23+P24+P25+P26+P27+P28+P29+P30+P31+P32+P33+P34+P35+P36</f>
        <v>158.9</v>
      </c>
      <c r="Q37" s="651"/>
      <c r="R37" s="652">
        <f>R7+R8+R9+R10+R11+R12+R13+R14+R15+R16+R17+R18+R19+R20+R21+R22+R23+R24+R25+R26+R27+R28+R29+R30+R31+R32+R33+R34+R35+R36</f>
        <v>2372249.6768399999</v>
      </c>
      <c r="S37" s="455"/>
      <c r="T37" s="454"/>
      <c r="U37" s="454"/>
      <c r="V37" s="454">
        <f t="shared" si="2"/>
        <v>252.43000000000004</v>
      </c>
      <c r="W37" s="454"/>
      <c r="X37" s="455">
        <f t="shared" si="2"/>
        <v>3765132.1339999996</v>
      </c>
      <c r="Y37" s="454"/>
      <c r="Z37" s="454"/>
      <c r="AA37" s="454"/>
      <c r="AB37" s="454">
        <f t="shared" si="2"/>
        <v>210.94300000000001</v>
      </c>
      <c r="AC37" s="454"/>
      <c r="AD37" s="455">
        <f t="shared" si="2"/>
        <v>3295442.2273749998</v>
      </c>
      <c r="AE37" s="454"/>
      <c r="AF37" s="454"/>
      <c r="AG37" s="454"/>
      <c r="AH37" s="454">
        <f t="shared" si="2"/>
        <v>194.739</v>
      </c>
      <c r="AI37" s="454"/>
      <c r="AJ37" s="455">
        <f t="shared" si="2"/>
        <v>3153879.8421000005</v>
      </c>
      <c r="AK37" s="454"/>
      <c r="AL37" s="454"/>
      <c r="AM37" s="454"/>
      <c r="AN37" s="454">
        <f t="shared" si="2"/>
        <v>174.81299999999999</v>
      </c>
      <c r="AO37" s="454"/>
      <c r="AP37" s="455">
        <f t="shared" si="2"/>
        <v>2626922.8792000003</v>
      </c>
      <c r="AQ37" s="454"/>
      <c r="AR37" s="456"/>
      <c r="AS37" s="456"/>
      <c r="AT37" s="456"/>
      <c r="AU37" s="456"/>
      <c r="AV37" s="456"/>
      <c r="AW37" s="456"/>
      <c r="AX37" s="456"/>
      <c r="AY37" s="456"/>
      <c r="AZ37" s="456"/>
      <c r="BA37" s="456"/>
      <c r="BB37" s="456"/>
      <c r="BC37" s="456"/>
      <c r="BD37" s="456"/>
      <c r="BE37" s="456"/>
      <c r="BF37" s="456"/>
      <c r="BG37" s="456"/>
    </row>
    <row r="38" spans="1:59" s="59" customFormat="1" x14ac:dyDescent="0.25">
      <c r="A38" s="676" t="s">
        <v>10</v>
      </c>
      <c r="B38" s="676"/>
      <c r="C38" s="676"/>
      <c r="D38" s="676"/>
      <c r="E38" s="676"/>
      <c r="F38" s="676"/>
      <c r="G38" s="676"/>
      <c r="H38" s="676"/>
      <c r="I38" s="661" t="s">
        <v>11</v>
      </c>
      <c r="J38" s="5">
        <f>J22+J17+J15+J12+J11+J9+J7</f>
        <v>74.155000000000001</v>
      </c>
      <c r="K38" s="5" t="s">
        <v>5</v>
      </c>
      <c r="L38" s="458">
        <f>L22+L17+L15+L12+L11+L9+L7</f>
        <v>1471824.1040784479</v>
      </c>
      <c r="M38" s="653"/>
      <c r="N38" s="654"/>
      <c r="O38" s="667" t="s">
        <v>11</v>
      </c>
      <c r="P38" s="654">
        <f>P33+P29+P23+P14+P13+P12+P9+P8</f>
        <v>73.332999999999998</v>
      </c>
      <c r="Q38" s="654" t="s">
        <v>5</v>
      </c>
      <c r="R38" s="655">
        <f>R33+R29+R23+R14+R13+R12+R9+R8</f>
        <v>989711.21484000003</v>
      </c>
      <c r="S38" s="5"/>
      <c r="T38" s="5"/>
      <c r="U38" s="661" t="s">
        <v>11</v>
      </c>
      <c r="V38" s="5">
        <f>V33+V26+V19+V13+V12+V9+V8</f>
        <v>96</v>
      </c>
      <c r="W38" s="5" t="s">
        <v>5</v>
      </c>
      <c r="X38" s="458">
        <f>X33+X26+X19+X13+X12+X9+X8</f>
        <v>1278201.334</v>
      </c>
      <c r="Y38" s="5"/>
      <c r="Z38" s="5"/>
      <c r="AA38" s="661" t="s">
        <v>11</v>
      </c>
      <c r="AB38" s="5">
        <f>AB34+AB29+AB20+AB19+AB13+AB12+AB9+AB8</f>
        <v>106.1</v>
      </c>
      <c r="AC38" s="5" t="s">
        <v>5</v>
      </c>
      <c r="AD38" s="458">
        <f>AD34+AD29+AD20+AD19+AD13+AD12+AD9+AD8</f>
        <v>1523712.5223750002</v>
      </c>
      <c r="AE38" s="5"/>
      <c r="AF38" s="5"/>
      <c r="AG38" s="661" t="s">
        <v>11</v>
      </c>
      <c r="AH38" s="5">
        <f>AH32+AH30+AH29+AH19+AH13+AH12+AH10+AH8</f>
        <v>112.48399999999999</v>
      </c>
      <c r="AI38" s="5" t="s">
        <v>5</v>
      </c>
      <c r="AJ38" s="458">
        <f>AJ32+AJ30+AJ29+AJ19+AJ13+AJ12+AJ10+AJ8</f>
        <v>1682837.3421</v>
      </c>
      <c r="AK38" s="5"/>
      <c r="AL38" s="5"/>
      <c r="AM38" s="661" t="s">
        <v>11</v>
      </c>
      <c r="AN38" s="5">
        <f>AN30+AN29+AN20+AN13+AN12</f>
        <v>109.163</v>
      </c>
      <c r="AO38" s="5" t="s">
        <v>5</v>
      </c>
      <c r="AP38" s="458">
        <f>AP30+AP29+AP20+AP13+AP12</f>
        <v>1503938.2692</v>
      </c>
      <c r="AQ38" s="5"/>
    </row>
    <row r="39" spans="1:59" s="59" customFormat="1" x14ac:dyDescent="0.25">
      <c r="A39" s="676"/>
      <c r="B39" s="676"/>
      <c r="C39" s="676"/>
      <c r="D39" s="676"/>
      <c r="E39" s="676"/>
      <c r="F39" s="676"/>
      <c r="G39" s="676"/>
      <c r="H39" s="676"/>
      <c r="I39" s="661"/>
      <c r="J39" s="5">
        <f>J38*7*1000</f>
        <v>519085.00000000006</v>
      </c>
      <c r="K39" s="5" t="s">
        <v>8</v>
      </c>
      <c r="L39" s="5"/>
      <c r="M39" s="653"/>
      <c r="N39" s="654"/>
      <c r="O39" s="667"/>
      <c r="P39" s="654">
        <f>P38*7*1000</f>
        <v>513331</v>
      </c>
      <c r="Q39" s="654" t="s">
        <v>8</v>
      </c>
      <c r="R39" s="654"/>
      <c r="S39" s="5"/>
      <c r="T39" s="5"/>
      <c r="U39" s="661"/>
      <c r="V39" s="5">
        <f>V38*7*1000</f>
        <v>672000</v>
      </c>
      <c r="W39" s="5" t="s">
        <v>8</v>
      </c>
      <c r="X39" s="5"/>
      <c r="Y39" s="5"/>
      <c r="Z39" s="5"/>
      <c r="AA39" s="661"/>
      <c r="AB39" s="5">
        <f>AB38*7*1000</f>
        <v>742699.99999999988</v>
      </c>
      <c r="AC39" s="5" t="s">
        <v>8</v>
      </c>
      <c r="AD39" s="5"/>
      <c r="AE39" s="5"/>
      <c r="AF39" s="5"/>
      <c r="AG39" s="661"/>
      <c r="AH39" s="5">
        <f>AH38*7*1000</f>
        <v>787387.99999999988</v>
      </c>
      <c r="AI39" s="5" t="s">
        <v>8</v>
      </c>
      <c r="AJ39" s="5"/>
      <c r="AK39" s="5"/>
      <c r="AL39" s="5"/>
      <c r="AM39" s="661"/>
      <c r="AN39" s="5">
        <f>AN38*7*1000</f>
        <v>764141</v>
      </c>
      <c r="AO39" s="5" t="s">
        <v>8</v>
      </c>
      <c r="AP39" s="5"/>
      <c r="AQ39" s="5"/>
    </row>
    <row r="40" spans="1:59" s="59" customFormat="1" x14ac:dyDescent="0.25">
      <c r="A40" s="676"/>
      <c r="B40" s="676"/>
      <c r="C40" s="676"/>
      <c r="D40" s="676"/>
      <c r="E40" s="676"/>
      <c r="F40" s="676"/>
      <c r="G40" s="676"/>
      <c r="H40" s="676"/>
      <c r="I40" s="661" t="s">
        <v>41</v>
      </c>
      <c r="J40" s="5"/>
      <c r="K40" s="5" t="s">
        <v>5</v>
      </c>
      <c r="L40" s="5"/>
      <c r="M40" s="653"/>
      <c r="N40" s="654"/>
      <c r="O40" s="667" t="s">
        <v>41</v>
      </c>
      <c r="P40" s="654">
        <f>P27+P26+P24+P18+P16+P15+P10</f>
        <v>81.567000000000007</v>
      </c>
      <c r="Q40" s="654" t="s">
        <v>5</v>
      </c>
      <c r="R40" s="655">
        <f>R27+R26+R24+R18+R16+R15+R10</f>
        <v>1382538.4619999998</v>
      </c>
      <c r="S40" s="5"/>
      <c r="T40" s="5"/>
      <c r="U40" s="661" t="s">
        <v>41</v>
      </c>
      <c r="V40" s="5">
        <f>V31+V29+V27+V25+V23+V20+V18+V15+V10</f>
        <v>146.51</v>
      </c>
      <c r="W40" s="5" t="s">
        <v>5</v>
      </c>
      <c r="X40" s="458">
        <f>X31+X29+X27+X25+X23+X20+X18+X15+X10</f>
        <v>2486930.7999999998</v>
      </c>
      <c r="Y40" s="5"/>
      <c r="Z40" s="5"/>
      <c r="AA40" s="661" t="s">
        <v>41</v>
      </c>
      <c r="AB40" s="5">
        <f>AB30+AB28+AB25+AB23+AB21+AB18+AB10</f>
        <v>98.842999999999989</v>
      </c>
      <c r="AC40" s="5" t="s">
        <v>5</v>
      </c>
      <c r="AD40" s="458">
        <f>AD30+AD28+AD25+AD23+AD21+AD18+AD10</f>
        <v>1771729.7050000001</v>
      </c>
      <c r="AE40" s="5"/>
      <c r="AF40" s="5"/>
      <c r="AG40" s="661" t="s">
        <v>41</v>
      </c>
      <c r="AH40" s="5">
        <f>AH25+AH23+AH20+AH18+AH9</f>
        <v>82.254999999999995</v>
      </c>
      <c r="AI40" s="5" t="s">
        <v>5</v>
      </c>
      <c r="AJ40" s="5"/>
      <c r="AK40" s="5"/>
      <c r="AL40" s="5"/>
      <c r="AM40" s="661" t="s">
        <v>41</v>
      </c>
      <c r="AN40" s="5">
        <f>AN25+AN23+AN18+AN9</f>
        <v>65.650000000000006</v>
      </c>
      <c r="AO40" s="5" t="s">
        <v>5</v>
      </c>
      <c r="AP40" s="458">
        <f>AP25+AP23+AP18+AP9</f>
        <v>1122984.6100000001</v>
      </c>
      <c r="AQ40" s="5"/>
    </row>
    <row r="41" spans="1:59" s="59" customFormat="1" x14ac:dyDescent="0.25">
      <c r="A41" s="676"/>
      <c r="B41" s="676"/>
      <c r="C41" s="676"/>
      <c r="D41" s="676"/>
      <c r="E41" s="676"/>
      <c r="F41" s="676"/>
      <c r="G41" s="676"/>
      <c r="H41" s="676"/>
      <c r="I41" s="661"/>
      <c r="J41" s="5"/>
      <c r="K41" s="5" t="s">
        <v>8</v>
      </c>
      <c r="L41" s="5"/>
      <c r="M41" s="653"/>
      <c r="N41" s="654"/>
      <c r="O41" s="667"/>
      <c r="P41" s="654">
        <f>P40*7*1000</f>
        <v>570969</v>
      </c>
      <c r="Q41" s="654" t="s">
        <v>8</v>
      </c>
      <c r="R41" s="654"/>
      <c r="S41" s="5"/>
      <c r="T41" s="5"/>
      <c r="U41" s="661"/>
      <c r="V41" s="5">
        <f>V40*7*1000</f>
        <v>1025569.9999999999</v>
      </c>
      <c r="W41" s="5" t="s">
        <v>8</v>
      </c>
      <c r="X41" s="5"/>
      <c r="Y41" s="5"/>
      <c r="Z41" s="5"/>
      <c r="AA41" s="661"/>
      <c r="AB41" s="5">
        <f>AB40*7*1000</f>
        <v>691901</v>
      </c>
      <c r="AC41" s="5" t="s">
        <v>8</v>
      </c>
      <c r="AD41" s="5"/>
      <c r="AE41" s="5"/>
      <c r="AF41" s="5"/>
      <c r="AG41" s="661"/>
      <c r="AH41" s="5">
        <f>AH40*7*1000</f>
        <v>575785</v>
      </c>
      <c r="AI41" s="5" t="s">
        <v>8</v>
      </c>
      <c r="AJ41" s="458">
        <f>AJ25+AJ23+AJ20+AJ18+AJ9</f>
        <v>1471042.5</v>
      </c>
      <c r="AK41" s="5"/>
      <c r="AL41" s="5"/>
      <c r="AM41" s="661"/>
      <c r="AN41" s="5">
        <f>AN40*7*1000</f>
        <v>459550.00000000006</v>
      </c>
      <c r="AO41" s="5" t="s">
        <v>8</v>
      </c>
      <c r="AP41" s="5"/>
      <c r="AQ41" s="5"/>
    </row>
    <row r="42" spans="1:59" s="59" customFormat="1" x14ac:dyDescent="0.25">
      <c r="A42" s="676"/>
      <c r="B42" s="676"/>
      <c r="C42" s="676"/>
      <c r="D42" s="676"/>
      <c r="E42" s="676"/>
      <c r="F42" s="676"/>
      <c r="G42" s="676"/>
      <c r="H42" s="676"/>
      <c r="I42" s="661" t="s">
        <v>42</v>
      </c>
      <c r="J42" s="5">
        <f>J14+J10+J8</f>
        <v>12.46</v>
      </c>
      <c r="K42" s="5" t="s">
        <v>5</v>
      </c>
      <c r="L42" s="458">
        <f>L14+L10+L8</f>
        <v>531676.89650000003</v>
      </c>
      <c r="M42" s="653"/>
      <c r="N42" s="654"/>
      <c r="O42" s="667" t="s">
        <v>42</v>
      </c>
      <c r="P42" s="654"/>
      <c r="Q42" s="654" t="s">
        <v>5</v>
      </c>
      <c r="R42" s="654"/>
      <c r="S42" s="5"/>
      <c r="T42" s="5"/>
      <c r="U42" s="661" t="s">
        <v>42</v>
      </c>
      <c r="V42" s="5"/>
      <c r="W42" s="5" t="s">
        <v>5</v>
      </c>
      <c r="X42" s="5"/>
      <c r="Y42" s="5"/>
      <c r="Z42" s="5"/>
      <c r="AA42" s="661" t="s">
        <v>42</v>
      </c>
      <c r="AB42" s="5"/>
      <c r="AC42" s="5" t="s">
        <v>5</v>
      </c>
      <c r="AD42" s="5"/>
      <c r="AE42" s="5"/>
      <c r="AF42" s="5"/>
      <c r="AG42" s="661" t="s">
        <v>42</v>
      </c>
      <c r="AH42" s="5"/>
      <c r="AI42" s="5" t="s">
        <v>5</v>
      </c>
      <c r="AJ42" s="5"/>
      <c r="AK42" s="5"/>
      <c r="AL42" s="5"/>
      <c r="AM42" s="661" t="s">
        <v>42</v>
      </c>
      <c r="AN42" s="5"/>
      <c r="AO42" s="5" t="s">
        <v>5</v>
      </c>
      <c r="AP42" s="5"/>
      <c r="AQ42" s="5"/>
    </row>
    <row r="43" spans="1:59" s="59" customFormat="1" x14ac:dyDescent="0.25">
      <c r="A43" s="676"/>
      <c r="B43" s="676"/>
      <c r="C43" s="676"/>
      <c r="D43" s="676"/>
      <c r="E43" s="676"/>
      <c r="F43" s="676"/>
      <c r="G43" s="676"/>
      <c r="H43" s="676"/>
      <c r="I43" s="661"/>
      <c r="J43" s="5">
        <f>J42*7*1000</f>
        <v>87220</v>
      </c>
      <c r="K43" s="5" t="s">
        <v>8</v>
      </c>
      <c r="L43" s="5"/>
      <c r="M43" s="653"/>
      <c r="N43" s="654"/>
      <c r="O43" s="667"/>
      <c r="P43" s="654"/>
      <c r="Q43" s="654" t="s">
        <v>8</v>
      </c>
      <c r="R43" s="654"/>
      <c r="S43" s="5"/>
      <c r="T43" s="5"/>
      <c r="U43" s="661"/>
      <c r="V43" s="5"/>
      <c r="W43" s="5" t="s">
        <v>8</v>
      </c>
      <c r="X43" s="5"/>
      <c r="Y43" s="5"/>
      <c r="Z43" s="5"/>
      <c r="AA43" s="661"/>
      <c r="AB43" s="5"/>
      <c r="AC43" s="5" t="s">
        <v>8</v>
      </c>
      <c r="AD43" s="5"/>
      <c r="AE43" s="5"/>
      <c r="AF43" s="5"/>
      <c r="AG43" s="661"/>
      <c r="AH43" s="5"/>
      <c r="AI43" s="5" t="s">
        <v>8</v>
      </c>
      <c r="AJ43" s="5"/>
      <c r="AK43" s="5"/>
      <c r="AL43" s="5"/>
      <c r="AM43" s="661"/>
      <c r="AN43" s="5"/>
      <c r="AO43" s="5" t="s">
        <v>8</v>
      </c>
      <c r="AP43" s="5"/>
      <c r="AQ43" s="5"/>
    </row>
    <row r="44" spans="1:59" s="59" customFormat="1" x14ac:dyDescent="0.25">
      <c r="A44" s="676"/>
      <c r="B44" s="676"/>
      <c r="C44" s="676"/>
      <c r="D44" s="676"/>
      <c r="E44" s="676"/>
      <c r="F44" s="676"/>
      <c r="G44" s="676"/>
      <c r="H44" s="676"/>
      <c r="I44" s="661" t="s">
        <v>43</v>
      </c>
      <c r="J44" s="5"/>
      <c r="K44" s="5" t="s">
        <v>5</v>
      </c>
      <c r="L44" s="5"/>
      <c r="M44" s="653"/>
      <c r="N44" s="654"/>
      <c r="O44" s="667" t="s">
        <v>43</v>
      </c>
      <c r="P44" s="654"/>
      <c r="Q44" s="654" t="s">
        <v>5</v>
      </c>
      <c r="R44" s="654"/>
      <c r="S44" s="5"/>
      <c r="T44" s="5"/>
      <c r="U44" s="661" t="s">
        <v>43</v>
      </c>
      <c r="V44" s="5"/>
      <c r="W44" s="5" t="s">
        <v>5</v>
      </c>
      <c r="X44" s="5"/>
      <c r="Y44" s="5"/>
      <c r="Z44" s="5"/>
      <c r="AA44" s="661" t="s">
        <v>43</v>
      </c>
      <c r="AB44" s="5"/>
      <c r="AC44" s="5" t="s">
        <v>5</v>
      </c>
      <c r="AD44" s="5"/>
      <c r="AE44" s="5"/>
      <c r="AF44" s="5"/>
      <c r="AG44" s="661" t="s">
        <v>43</v>
      </c>
      <c r="AH44" s="5"/>
      <c r="AI44" s="5" t="s">
        <v>5</v>
      </c>
      <c r="AJ44" s="5"/>
      <c r="AK44" s="5"/>
      <c r="AL44" s="5"/>
      <c r="AM44" s="661" t="s">
        <v>43</v>
      </c>
      <c r="AN44" s="5"/>
      <c r="AO44" s="5" t="s">
        <v>5</v>
      </c>
      <c r="AP44" s="5"/>
      <c r="AQ44" s="5"/>
    </row>
    <row r="45" spans="1:59" s="59" customFormat="1" x14ac:dyDescent="0.25">
      <c r="A45" s="676"/>
      <c r="B45" s="676"/>
      <c r="C45" s="676"/>
      <c r="D45" s="676"/>
      <c r="E45" s="676"/>
      <c r="F45" s="676"/>
      <c r="G45" s="676"/>
      <c r="H45" s="676"/>
      <c r="I45" s="661"/>
      <c r="J45" s="5"/>
      <c r="K45" s="5" t="s">
        <v>8</v>
      </c>
      <c r="L45" s="5"/>
      <c r="M45" s="653"/>
      <c r="N45" s="654"/>
      <c r="O45" s="667"/>
      <c r="P45" s="654"/>
      <c r="Q45" s="654" t="s">
        <v>8</v>
      </c>
      <c r="R45" s="654"/>
      <c r="S45" s="5"/>
      <c r="T45" s="5"/>
      <c r="U45" s="661"/>
      <c r="V45" s="5"/>
      <c r="W45" s="5" t="s">
        <v>8</v>
      </c>
      <c r="X45" s="5"/>
      <c r="Y45" s="5"/>
      <c r="Z45" s="5"/>
      <c r="AA45" s="661"/>
      <c r="AB45" s="5"/>
      <c r="AC45" s="5" t="s">
        <v>8</v>
      </c>
      <c r="AD45" s="5"/>
      <c r="AE45" s="5"/>
      <c r="AF45" s="5"/>
      <c r="AG45" s="661"/>
      <c r="AH45" s="5"/>
      <c r="AI45" s="5" t="s">
        <v>8</v>
      </c>
      <c r="AJ45" s="5"/>
      <c r="AK45" s="5"/>
      <c r="AL45" s="5"/>
      <c r="AM45" s="661"/>
      <c r="AN45" s="5"/>
      <c r="AO45" s="5" t="s">
        <v>8</v>
      </c>
      <c r="AP45" s="5"/>
      <c r="AQ45" s="5"/>
    </row>
    <row r="46" spans="1:59" s="59" customFormat="1" x14ac:dyDescent="0.25">
      <c r="A46" s="676"/>
      <c r="B46" s="676"/>
      <c r="C46" s="676"/>
      <c r="D46" s="676"/>
      <c r="E46" s="676"/>
      <c r="F46" s="676"/>
      <c r="G46" s="676"/>
      <c r="H46" s="676"/>
      <c r="I46" s="661" t="s">
        <v>12</v>
      </c>
      <c r="J46" s="5"/>
      <c r="K46" s="5" t="s">
        <v>8</v>
      </c>
      <c r="L46" s="662"/>
      <c r="M46" s="653"/>
      <c r="N46" s="654"/>
      <c r="O46" s="667" t="s">
        <v>12</v>
      </c>
      <c r="P46" s="654"/>
      <c r="Q46" s="654" t="s">
        <v>8</v>
      </c>
      <c r="R46" s="669"/>
      <c r="S46" s="5"/>
      <c r="T46" s="5"/>
      <c r="U46" s="662" t="s">
        <v>12</v>
      </c>
      <c r="V46" s="5"/>
      <c r="W46" s="5" t="s">
        <v>8</v>
      </c>
      <c r="X46" s="662"/>
      <c r="Y46" s="5"/>
      <c r="Z46" s="5"/>
      <c r="AA46" s="662" t="s">
        <v>12</v>
      </c>
      <c r="AB46" s="5"/>
      <c r="AC46" s="5" t="s">
        <v>8</v>
      </c>
      <c r="AD46" s="662"/>
      <c r="AE46" s="5"/>
      <c r="AF46" s="5"/>
      <c r="AG46" s="662" t="s">
        <v>12</v>
      </c>
      <c r="AH46" s="5"/>
      <c r="AI46" s="5" t="s">
        <v>8</v>
      </c>
      <c r="AJ46" s="662"/>
      <c r="AK46" s="5"/>
      <c r="AL46" s="5"/>
      <c r="AM46" s="662" t="s">
        <v>12</v>
      </c>
      <c r="AN46" s="5"/>
      <c r="AO46" s="5" t="s">
        <v>8</v>
      </c>
      <c r="AP46" s="662"/>
      <c r="AQ46" s="5"/>
    </row>
    <row r="47" spans="1:59" s="59" customFormat="1" x14ac:dyDescent="0.25">
      <c r="A47" s="676"/>
      <c r="B47" s="676"/>
      <c r="C47" s="676"/>
      <c r="D47" s="676"/>
      <c r="E47" s="676"/>
      <c r="F47" s="676"/>
      <c r="G47" s="676"/>
      <c r="H47" s="676"/>
      <c r="I47" s="661"/>
      <c r="J47" s="5"/>
      <c r="K47" s="5" t="s">
        <v>5</v>
      </c>
      <c r="L47" s="662"/>
      <c r="M47" s="653"/>
      <c r="N47" s="654"/>
      <c r="O47" s="667"/>
      <c r="P47" s="654"/>
      <c r="Q47" s="654" t="s">
        <v>5</v>
      </c>
      <c r="R47" s="669"/>
      <c r="S47" s="5"/>
      <c r="T47" s="5"/>
      <c r="U47" s="662"/>
      <c r="V47" s="5"/>
      <c r="W47" s="5" t="s">
        <v>5</v>
      </c>
      <c r="X47" s="662"/>
      <c r="Y47" s="5"/>
      <c r="Z47" s="5"/>
      <c r="AA47" s="662"/>
      <c r="AB47" s="5"/>
      <c r="AC47" s="5" t="s">
        <v>5</v>
      </c>
      <c r="AD47" s="662"/>
      <c r="AE47" s="5"/>
      <c r="AF47" s="5"/>
      <c r="AG47" s="662"/>
      <c r="AH47" s="5"/>
      <c r="AI47" s="5" t="s">
        <v>5</v>
      </c>
      <c r="AJ47" s="662"/>
      <c r="AK47" s="5"/>
      <c r="AL47" s="5"/>
      <c r="AM47" s="662"/>
      <c r="AN47" s="5"/>
      <c r="AO47" s="5" t="s">
        <v>5</v>
      </c>
      <c r="AP47" s="662"/>
      <c r="AQ47" s="5"/>
    </row>
    <row r="48" spans="1:59" s="59" customFormat="1" ht="42.75" x14ac:dyDescent="0.25">
      <c r="A48" s="676"/>
      <c r="B48" s="676"/>
      <c r="C48" s="676"/>
      <c r="D48" s="676"/>
      <c r="E48" s="676"/>
      <c r="F48" s="676"/>
      <c r="G48" s="676"/>
      <c r="H48" s="676"/>
      <c r="I48" s="4" t="s">
        <v>13</v>
      </c>
      <c r="J48" s="5"/>
      <c r="K48" s="5" t="s">
        <v>14</v>
      </c>
      <c r="L48" s="5"/>
      <c r="M48" s="653"/>
      <c r="N48" s="654"/>
      <c r="O48" s="656" t="s">
        <v>13</v>
      </c>
      <c r="P48" s="654"/>
      <c r="Q48" s="654" t="s">
        <v>14</v>
      </c>
      <c r="R48" s="654"/>
      <c r="S48" s="5"/>
      <c r="T48" s="5"/>
      <c r="U48" s="4" t="s">
        <v>13</v>
      </c>
      <c r="V48" s="5"/>
      <c r="W48" s="5" t="s">
        <v>14</v>
      </c>
      <c r="X48" s="5"/>
      <c r="Y48" s="5"/>
      <c r="Z48" s="5"/>
      <c r="AA48" s="4" t="s">
        <v>13</v>
      </c>
      <c r="AB48" s="5"/>
      <c r="AC48" s="5" t="s">
        <v>14</v>
      </c>
      <c r="AD48" s="5"/>
      <c r="AE48" s="5"/>
      <c r="AF48" s="5"/>
      <c r="AG48" s="4" t="s">
        <v>13</v>
      </c>
      <c r="AH48" s="5"/>
      <c r="AI48" s="5" t="s">
        <v>14</v>
      </c>
      <c r="AJ48" s="5"/>
      <c r="AK48" s="5"/>
      <c r="AL48" s="5"/>
      <c r="AM48" s="4" t="s">
        <v>13</v>
      </c>
      <c r="AN48" s="5"/>
      <c r="AO48" s="5" t="s">
        <v>14</v>
      </c>
      <c r="AP48" s="5"/>
      <c r="AQ48" s="5"/>
    </row>
    <row r="49" spans="1:43" s="59" customFormat="1" ht="28.5" x14ac:dyDescent="0.25">
      <c r="A49" s="676"/>
      <c r="B49" s="676"/>
      <c r="C49" s="676"/>
      <c r="D49" s="676"/>
      <c r="E49" s="676"/>
      <c r="F49" s="676"/>
      <c r="G49" s="676"/>
      <c r="H49" s="676"/>
      <c r="I49" s="4" t="s">
        <v>44</v>
      </c>
      <c r="J49" s="5"/>
      <c r="K49" s="5" t="s">
        <v>14</v>
      </c>
      <c r="L49" s="5"/>
      <c r="M49" s="653"/>
      <c r="N49" s="654"/>
      <c r="O49" s="656" t="s">
        <v>44</v>
      </c>
      <c r="P49" s="654"/>
      <c r="Q49" s="654" t="s">
        <v>14</v>
      </c>
      <c r="R49" s="654"/>
      <c r="S49" s="5"/>
      <c r="T49" s="5"/>
      <c r="U49" s="4" t="s">
        <v>44</v>
      </c>
      <c r="V49" s="5"/>
      <c r="W49" s="5" t="s">
        <v>14</v>
      </c>
      <c r="X49" s="5"/>
      <c r="Y49" s="5"/>
      <c r="Z49" s="5"/>
      <c r="AA49" s="4" t="s">
        <v>44</v>
      </c>
      <c r="AB49" s="5"/>
      <c r="AC49" s="5" t="s">
        <v>14</v>
      </c>
      <c r="AD49" s="5"/>
      <c r="AE49" s="5"/>
      <c r="AF49" s="5"/>
      <c r="AG49" s="4" t="s">
        <v>44</v>
      </c>
      <c r="AH49" s="5"/>
      <c r="AI49" s="5" t="s">
        <v>14</v>
      </c>
      <c r="AJ49" s="5"/>
      <c r="AK49" s="5"/>
      <c r="AL49" s="5"/>
      <c r="AM49" s="4" t="s">
        <v>44</v>
      </c>
      <c r="AN49" s="5"/>
      <c r="AO49" s="5" t="s">
        <v>14</v>
      </c>
      <c r="AP49" s="5"/>
      <c r="AQ49" s="5"/>
    </row>
    <row r="50" spans="1:43" s="59" customFormat="1" ht="42.75" x14ac:dyDescent="0.25">
      <c r="A50" s="676"/>
      <c r="B50" s="676"/>
      <c r="C50" s="676"/>
      <c r="D50" s="676"/>
      <c r="E50" s="676"/>
      <c r="F50" s="676"/>
      <c r="G50" s="676"/>
      <c r="H50" s="676"/>
      <c r="I50" s="4" t="s">
        <v>15</v>
      </c>
      <c r="J50" s="5"/>
      <c r="K50" s="5" t="s">
        <v>16</v>
      </c>
      <c r="L50" s="5"/>
      <c r="M50" s="653"/>
      <c r="N50" s="654"/>
      <c r="O50" s="656" t="s">
        <v>15</v>
      </c>
      <c r="P50" s="654"/>
      <c r="Q50" s="654" t="s">
        <v>16</v>
      </c>
      <c r="R50" s="654"/>
      <c r="S50" s="5"/>
      <c r="T50" s="5"/>
      <c r="U50" s="4" t="s">
        <v>15</v>
      </c>
      <c r="V50" s="5"/>
      <c r="W50" s="5" t="s">
        <v>16</v>
      </c>
      <c r="X50" s="5"/>
      <c r="Y50" s="5"/>
      <c r="Z50" s="5"/>
      <c r="AA50" s="4" t="s">
        <v>15</v>
      </c>
      <c r="AB50" s="5"/>
      <c r="AC50" s="5" t="s">
        <v>16</v>
      </c>
      <c r="AD50" s="5"/>
      <c r="AE50" s="5"/>
      <c r="AF50" s="5"/>
      <c r="AG50" s="4" t="s">
        <v>15</v>
      </c>
      <c r="AH50" s="5"/>
      <c r="AI50" s="5" t="s">
        <v>16</v>
      </c>
      <c r="AJ50" s="5"/>
      <c r="AK50" s="5"/>
      <c r="AL50" s="5"/>
      <c r="AM50" s="4" t="s">
        <v>15</v>
      </c>
      <c r="AN50" s="5"/>
      <c r="AO50" s="5" t="s">
        <v>16</v>
      </c>
      <c r="AP50" s="5"/>
      <c r="AQ50" s="5"/>
    </row>
    <row r="51" spans="1:43" s="59" customFormat="1" x14ac:dyDescent="0.25">
      <c r="A51" s="676"/>
      <c r="B51" s="676"/>
      <c r="C51" s="676"/>
      <c r="D51" s="676"/>
      <c r="E51" s="676"/>
      <c r="F51" s="676"/>
      <c r="G51" s="676"/>
      <c r="H51" s="676"/>
      <c r="I51" s="4" t="s">
        <v>17</v>
      </c>
      <c r="J51" s="5"/>
      <c r="K51" s="5" t="s">
        <v>8</v>
      </c>
      <c r="L51" s="5"/>
      <c r="M51" s="653"/>
      <c r="N51" s="654"/>
      <c r="O51" s="656" t="s">
        <v>17</v>
      </c>
      <c r="P51" s="654"/>
      <c r="Q51" s="654" t="s">
        <v>8</v>
      </c>
      <c r="R51" s="654"/>
      <c r="S51" s="5"/>
      <c r="T51" s="5"/>
      <c r="U51" s="4" t="s">
        <v>17</v>
      </c>
      <c r="V51" s="5"/>
      <c r="W51" s="5" t="s">
        <v>8</v>
      </c>
      <c r="X51" s="5"/>
      <c r="Y51" s="5"/>
      <c r="Z51" s="5"/>
      <c r="AA51" s="4" t="s">
        <v>17</v>
      </c>
      <c r="AB51" s="5"/>
      <c r="AC51" s="5" t="s">
        <v>8</v>
      </c>
      <c r="AD51" s="5"/>
      <c r="AE51" s="5"/>
      <c r="AF51" s="5"/>
      <c r="AG51" s="4" t="s">
        <v>17</v>
      </c>
      <c r="AH51" s="5"/>
      <c r="AI51" s="5" t="s">
        <v>8</v>
      </c>
      <c r="AJ51" s="5"/>
      <c r="AK51" s="5"/>
      <c r="AL51" s="5"/>
      <c r="AM51" s="4" t="s">
        <v>17</v>
      </c>
      <c r="AN51" s="5"/>
      <c r="AO51" s="5" t="s">
        <v>8</v>
      </c>
      <c r="AP51" s="5"/>
      <c r="AQ51" s="5"/>
    </row>
    <row r="52" spans="1:43" s="59" customFormat="1" ht="28.5" x14ac:dyDescent="0.25">
      <c r="A52" s="676"/>
      <c r="B52" s="676"/>
      <c r="C52" s="676"/>
      <c r="D52" s="676"/>
      <c r="E52" s="676"/>
      <c r="F52" s="676"/>
      <c r="G52" s="676"/>
      <c r="H52" s="676"/>
      <c r="I52" s="4" t="s">
        <v>18</v>
      </c>
      <c r="J52" s="5"/>
      <c r="K52" s="5" t="s">
        <v>16</v>
      </c>
      <c r="L52" s="5"/>
      <c r="M52" s="653"/>
      <c r="N52" s="654"/>
      <c r="O52" s="656" t="s">
        <v>18</v>
      </c>
      <c r="P52" s="654"/>
      <c r="Q52" s="654" t="s">
        <v>16</v>
      </c>
      <c r="R52" s="654"/>
      <c r="S52" s="5"/>
      <c r="T52" s="5"/>
      <c r="U52" s="4" t="s">
        <v>18</v>
      </c>
      <c r="V52" s="5"/>
      <c r="W52" s="5" t="s">
        <v>16</v>
      </c>
      <c r="X52" s="5"/>
      <c r="Y52" s="5"/>
      <c r="Z52" s="5"/>
      <c r="AA52" s="4" t="s">
        <v>18</v>
      </c>
      <c r="AB52" s="5"/>
      <c r="AC52" s="5" t="s">
        <v>16</v>
      </c>
      <c r="AD52" s="5"/>
      <c r="AE52" s="5"/>
      <c r="AF52" s="5"/>
      <c r="AG52" s="4" t="s">
        <v>18</v>
      </c>
      <c r="AH52" s="5"/>
      <c r="AI52" s="5" t="s">
        <v>16</v>
      </c>
      <c r="AJ52" s="5"/>
      <c r="AK52" s="5"/>
      <c r="AL52" s="5"/>
      <c r="AM52" s="4" t="s">
        <v>18</v>
      </c>
      <c r="AN52" s="5"/>
      <c r="AO52" s="5" t="s">
        <v>16</v>
      </c>
      <c r="AP52" s="5"/>
      <c r="AQ52" s="5"/>
    </row>
    <row r="53" spans="1:43" s="59" customFormat="1" ht="50.25" customHeight="1" x14ac:dyDescent="0.25">
      <c r="A53" s="676"/>
      <c r="B53" s="676"/>
      <c r="C53" s="676"/>
      <c r="D53" s="676"/>
      <c r="E53" s="676"/>
      <c r="F53" s="676"/>
      <c r="G53" s="676"/>
      <c r="H53" s="676"/>
      <c r="I53" s="4" t="s">
        <v>46</v>
      </c>
      <c r="J53" s="5"/>
      <c r="K53" s="5" t="s">
        <v>16</v>
      </c>
      <c r="L53" s="5"/>
      <c r="M53" s="653"/>
      <c r="N53" s="654"/>
      <c r="O53" s="656" t="s">
        <v>46</v>
      </c>
      <c r="P53" s="654"/>
      <c r="Q53" s="654" t="s">
        <v>16</v>
      </c>
      <c r="R53" s="654"/>
      <c r="S53" s="5"/>
      <c r="T53" s="5"/>
      <c r="U53" s="4" t="s">
        <v>46</v>
      </c>
      <c r="V53" s="5"/>
      <c r="W53" s="5" t="s">
        <v>16</v>
      </c>
      <c r="X53" s="5"/>
      <c r="Y53" s="5"/>
      <c r="Z53" s="5"/>
      <c r="AA53" s="4" t="s">
        <v>46</v>
      </c>
      <c r="AB53" s="5"/>
      <c r="AC53" s="5" t="s">
        <v>16</v>
      </c>
      <c r="AD53" s="5"/>
      <c r="AE53" s="5"/>
      <c r="AF53" s="5"/>
      <c r="AG53" s="4" t="s">
        <v>46</v>
      </c>
      <c r="AH53" s="5"/>
      <c r="AI53" s="5" t="s">
        <v>16</v>
      </c>
      <c r="AJ53" s="5"/>
      <c r="AK53" s="5"/>
      <c r="AL53" s="5"/>
      <c r="AM53" s="4" t="s">
        <v>46</v>
      </c>
      <c r="AN53" s="5"/>
      <c r="AO53" s="5" t="s">
        <v>16</v>
      </c>
      <c r="AP53" s="5"/>
      <c r="AQ53" s="5"/>
    </row>
    <row r="54" spans="1:43" s="59" customFormat="1" ht="50.25" customHeight="1" x14ac:dyDescent="0.25">
      <c r="A54" s="676"/>
      <c r="B54" s="676"/>
      <c r="C54" s="676"/>
      <c r="D54" s="676"/>
      <c r="E54" s="676"/>
      <c r="F54" s="676"/>
      <c r="G54" s="676"/>
      <c r="H54" s="676"/>
      <c r="I54" s="4" t="s">
        <v>93</v>
      </c>
      <c r="J54" s="5"/>
      <c r="K54" s="5" t="s">
        <v>8</v>
      </c>
      <c r="L54" s="5"/>
      <c r="M54" s="653"/>
      <c r="N54" s="654"/>
      <c r="O54" s="656" t="s">
        <v>93</v>
      </c>
      <c r="P54" s="654"/>
      <c r="Q54" s="654" t="s">
        <v>8</v>
      </c>
      <c r="R54" s="654"/>
      <c r="S54" s="5"/>
      <c r="T54" s="5"/>
      <c r="U54" s="4" t="s">
        <v>93</v>
      </c>
      <c r="V54" s="5"/>
      <c r="W54" s="5" t="s">
        <v>8</v>
      </c>
      <c r="X54" s="5"/>
      <c r="Y54" s="5"/>
      <c r="Z54" s="5"/>
      <c r="AA54" s="4" t="s">
        <v>93</v>
      </c>
      <c r="AB54" s="5"/>
      <c r="AC54" s="5" t="s">
        <v>8</v>
      </c>
      <c r="AD54" s="5"/>
      <c r="AE54" s="5"/>
      <c r="AF54" s="5"/>
      <c r="AG54" s="4" t="s">
        <v>93</v>
      </c>
      <c r="AH54" s="5"/>
      <c r="AI54" s="5" t="s">
        <v>8</v>
      </c>
      <c r="AJ54" s="5"/>
      <c r="AK54" s="5"/>
      <c r="AL54" s="5"/>
      <c r="AM54" s="4" t="s">
        <v>93</v>
      </c>
      <c r="AN54" s="5"/>
      <c r="AO54" s="5" t="s">
        <v>8</v>
      </c>
      <c r="AP54" s="5"/>
      <c r="AQ54" s="5"/>
    </row>
    <row r="55" spans="1:43" s="59" customFormat="1" ht="50.25" customHeight="1" x14ac:dyDescent="0.25">
      <c r="A55" s="676"/>
      <c r="B55" s="676"/>
      <c r="C55" s="676"/>
      <c r="D55" s="676"/>
      <c r="E55" s="676"/>
      <c r="F55" s="676"/>
      <c r="G55" s="676"/>
      <c r="H55" s="676"/>
      <c r="I55" s="4" t="s">
        <v>94</v>
      </c>
      <c r="J55" s="5"/>
      <c r="K55" s="5" t="s">
        <v>8</v>
      </c>
      <c r="L55" s="5"/>
      <c r="M55" s="653"/>
      <c r="N55" s="654"/>
      <c r="O55" s="656" t="s">
        <v>94</v>
      </c>
      <c r="P55" s="654"/>
      <c r="Q55" s="654" t="s">
        <v>8</v>
      </c>
      <c r="R55" s="654"/>
      <c r="S55" s="5"/>
      <c r="T55" s="5"/>
      <c r="U55" s="4" t="s">
        <v>94</v>
      </c>
      <c r="V55" s="5"/>
      <c r="W55" s="5" t="s">
        <v>8</v>
      </c>
      <c r="X55" s="5"/>
      <c r="Y55" s="5"/>
      <c r="Z55" s="5"/>
      <c r="AA55" s="4" t="s">
        <v>94</v>
      </c>
      <c r="AB55" s="5"/>
      <c r="AC55" s="5" t="s">
        <v>8</v>
      </c>
      <c r="AD55" s="5"/>
      <c r="AE55" s="5"/>
      <c r="AF55" s="5"/>
      <c r="AG55" s="4" t="s">
        <v>94</v>
      </c>
      <c r="AH55" s="5"/>
      <c r="AI55" s="5" t="s">
        <v>8</v>
      </c>
      <c r="AJ55" s="5"/>
      <c r="AK55" s="5"/>
      <c r="AL55" s="5"/>
      <c r="AM55" s="4" t="s">
        <v>94</v>
      </c>
      <c r="AN55" s="5"/>
      <c r="AO55" s="5" t="s">
        <v>8</v>
      </c>
      <c r="AP55" s="5"/>
      <c r="AQ55" s="5"/>
    </row>
    <row r="56" spans="1:43" s="59" customFormat="1" ht="50.25" customHeight="1" x14ac:dyDescent="0.25">
      <c r="A56" s="676"/>
      <c r="B56" s="676"/>
      <c r="C56" s="676"/>
      <c r="D56" s="676"/>
      <c r="E56" s="676"/>
      <c r="F56" s="676"/>
      <c r="G56" s="676"/>
      <c r="H56" s="676"/>
      <c r="I56" s="4" t="s">
        <v>95</v>
      </c>
      <c r="J56" s="5"/>
      <c r="K56" s="5" t="s">
        <v>8</v>
      </c>
      <c r="L56" s="5"/>
      <c r="M56" s="653"/>
      <c r="N56" s="654"/>
      <c r="O56" s="656" t="s">
        <v>95</v>
      </c>
      <c r="P56" s="654"/>
      <c r="Q56" s="654" t="s">
        <v>8</v>
      </c>
      <c r="R56" s="654"/>
      <c r="S56" s="5"/>
      <c r="T56" s="5"/>
      <c r="U56" s="4" t="s">
        <v>95</v>
      </c>
      <c r="V56" s="5"/>
      <c r="W56" s="5" t="s">
        <v>8</v>
      </c>
      <c r="X56" s="5"/>
      <c r="Y56" s="5"/>
      <c r="Z56" s="5"/>
      <c r="AA56" s="4" t="s">
        <v>95</v>
      </c>
      <c r="AB56" s="5"/>
      <c r="AC56" s="5" t="s">
        <v>8</v>
      </c>
      <c r="AD56" s="5"/>
      <c r="AE56" s="5"/>
      <c r="AF56" s="5"/>
      <c r="AG56" s="4" t="s">
        <v>95</v>
      </c>
      <c r="AH56" s="5"/>
      <c r="AI56" s="5" t="s">
        <v>8</v>
      </c>
      <c r="AJ56" s="5"/>
      <c r="AK56" s="5"/>
      <c r="AL56" s="5"/>
      <c r="AM56" s="4" t="s">
        <v>95</v>
      </c>
      <c r="AN56" s="5"/>
      <c r="AO56" s="5" t="s">
        <v>8</v>
      </c>
      <c r="AP56" s="5"/>
      <c r="AQ56" s="5"/>
    </row>
    <row r="57" spans="1:43" s="59" customFormat="1" ht="50.25" customHeight="1" x14ac:dyDescent="0.25">
      <c r="A57" s="676"/>
      <c r="B57" s="676"/>
      <c r="C57" s="676"/>
      <c r="D57" s="676"/>
      <c r="E57" s="676"/>
      <c r="F57" s="676"/>
      <c r="G57" s="676"/>
      <c r="H57" s="676"/>
      <c r="I57" s="4" t="s">
        <v>96</v>
      </c>
      <c r="J57" s="5"/>
      <c r="K57" s="5" t="s">
        <v>14</v>
      </c>
      <c r="L57" s="5"/>
      <c r="M57" s="653"/>
      <c r="N57" s="654"/>
      <c r="O57" s="656" t="s">
        <v>96</v>
      </c>
      <c r="P57" s="654"/>
      <c r="Q57" s="654" t="s">
        <v>14</v>
      </c>
      <c r="R57" s="654"/>
      <c r="S57" s="5"/>
      <c r="T57" s="5"/>
      <c r="U57" s="4" t="s">
        <v>96</v>
      </c>
      <c r="V57" s="5"/>
      <c r="W57" s="5" t="s">
        <v>14</v>
      </c>
      <c r="X57" s="5"/>
      <c r="Y57" s="5"/>
      <c r="Z57" s="5"/>
      <c r="AA57" s="4" t="s">
        <v>96</v>
      </c>
      <c r="AB57" s="5"/>
      <c r="AC57" s="5" t="s">
        <v>14</v>
      </c>
      <c r="AD57" s="5"/>
      <c r="AE57" s="5"/>
      <c r="AF57" s="5"/>
      <c r="AG57" s="4" t="s">
        <v>96</v>
      </c>
      <c r="AH57" s="5"/>
      <c r="AI57" s="5" t="s">
        <v>14</v>
      </c>
      <c r="AJ57" s="5"/>
      <c r="AK57" s="5"/>
      <c r="AL57" s="5"/>
      <c r="AM57" s="4" t="s">
        <v>96</v>
      </c>
      <c r="AN57" s="5"/>
      <c r="AO57" s="5" t="s">
        <v>14</v>
      </c>
      <c r="AP57" s="5"/>
      <c r="AQ57" s="5"/>
    </row>
    <row r="58" spans="1:43" s="59" customFormat="1" ht="50.25" customHeight="1" x14ac:dyDescent="0.25">
      <c r="A58" s="676"/>
      <c r="B58" s="676"/>
      <c r="C58" s="676"/>
      <c r="D58" s="676"/>
      <c r="E58" s="676"/>
      <c r="F58" s="676"/>
      <c r="G58" s="676"/>
      <c r="H58" s="676"/>
      <c r="I58" s="4" t="s">
        <v>97</v>
      </c>
      <c r="J58" s="5"/>
      <c r="K58" s="5" t="s">
        <v>16</v>
      </c>
      <c r="L58" s="5"/>
      <c r="M58" s="653"/>
      <c r="N58" s="654"/>
      <c r="O58" s="656" t="s">
        <v>97</v>
      </c>
      <c r="P58" s="654"/>
      <c r="Q58" s="654" t="s">
        <v>16</v>
      </c>
      <c r="R58" s="654"/>
      <c r="S58" s="5"/>
      <c r="T58" s="5"/>
      <c r="U58" s="4" t="s">
        <v>97</v>
      </c>
      <c r="V58" s="5"/>
      <c r="W58" s="5" t="s">
        <v>16</v>
      </c>
      <c r="X58" s="5"/>
      <c r="Y58" s="5"/>
      <c r="Z58" s="5"/>
      <c r="AA58" s="4" t="s">
        <v>97</v>
      </c>
      <c r="AB58" s="5"/>
      <c r="AC58" s="5" t="s">
        <v>16</v>
      </c>
      <c r="AD58" s="5"/>
      <c r="AE58" s="5"/>
      <c r="AF58" s="5"/>
      <c r="AG58" s="4" t="s">
        <v>97</v>
      </c>
      <c r="AH58" s="5"/>
      <c r="AI58" s="5" t="s">
        <v>16</v>
      </c>
      <c r="AJ58" s="5"/>
      <c r="AK58" s="5"/>
      <c r="AL58" s="5"/>
      <c r="AM58" s="4" t="s">
        <v>97</v>
      </c>
      <c r="AN58" s="5"/>
      <c r="AO58" s="5" t="s">
        <v>16</v>
      </c>
      <c r="AP58" s="5"/>
      <c r="AQ58" s="5"/>
    </row>
    <row r="59" spans="1:43" s="59" customFormat="1" ht="66" customHeight="1" x14ac:dyDescent="0.25">
      <c r="A59" s="676"/>
      <c r="B59" s="676"/>
      <c r="C59" s="676"/>
      <c r="D59" s="676"/>
      <c r="E59" s="676"/>
      <c r="F59" s="676"/>
      <c r="G59" s="676"/>
      <c r="H59" s="676"/>
      <c r="I59" s="4" t="s">
        <v>98</v>
      </c>
      <c r="J59" s="5"/>
      <c r="K59" s="5" t="s">
        <v>14</v>
      </c>
      <c r="L59" s="5"/>
      <c r="M59" s="653"/>
      <c r="N59" s="654"/>
      <c r="O59" s="656" t="s">
        <v>98</v>
      </c>
      <c r="P59" s="654"/>
      <c r="Q59" s="654" t="s">
        <v>14</v>
      </c>
      <c r="R59" s="654"/>
      <c r="S59" s="5"/>
      <c r="T59" s="5"/>
      <c r="U59" s="4" t="s">
        <v>98</v>
      </c>
      <c r="V59" s="5"/>
      <c r="W59" s="5" t="s">
        <v>14</v>
      </c>
      <c r="X59" s="5"/>
      <c r="Y59" s="5"/>
      <c r="Z59" s="5"/>
      <c r="AA59" s="4" t="s">
        <v>98</v>
      </c>
      <c r="AB59" s="5"/>
      <c r="AC59" s="5" t="s">
        <v>14</v>
      </c>
      <c r="AD59" s="5"/>
      <c r="AE59" s="5"/>
      <c r="AF59" s="5"/>
      <c r="AG59" s="4" t="s">
        <v>98</v>
      </c>
      <c r="AH59" s="5"/>
      <c r="AI59" s="5" t="s">
        <v>14</v>
      </c>
      <c r="AJ59" s="5"/>
      <c r="AK59" s="5"/>
      <c r="AL59" s="5"/>
      <c r="AM59" s="4" t="s">
        <v>98</v>
      </c>
      <c r="AN59" s="5"/>
      <c r="AO59" s="5" t="s">
        <v>14</v>
      </c>
      <c r="AP59" s="5"/>
      <c r="AQ59" s="5"/>
    </row>
    <row r="60" spans="1:43" s="59" customFormat="1" x14ac:dyDescent="0.25">
      <c r="A60" s="676"/>
      <c r="B60" s="676"/>
      <c r="C60" s="676"/>
      <c r="D60" s="676"/>
      <c r="E60" s="676"/>
      <c r="F60" s="676"/>
      <c r="G60" s="676"/>
      <c r="H60" s="676"/>
      <c r="I60" s="4" t="s">
        <v>45</v>
      </c>
      <c r="J60" s="5"/>
      <c r="K60" s="5"/>
      <c r="L60" s="5"/>
      <c r="M60" s="653"/>
      <c r="N60" s="654"/>
      <c r="O60" s="656" t="s">
        <v>45</v>
      </c>
      <c r="P60" s="654"/>
      <c r="Q60" s="654"/>
      <c r="R60" s="654"/>
      <c r="S60" s="5"/>
      <c r="T60" s="5"/>
      <c r="U60" s="4" t="s">
        <v>45</v>
      </c>
      <c r="V60" s="5"/>
      <c r="W60" s="5"/>
      <c r="X60" s="5"/>
      <c r="Y60" s="5"/>
      <c r="Z60" s="5"/>
      <c r="AA60" s="4" t="s">
        <v>45</v>
      </c>
      <c r="AB60" s="5"/>
      <c r="AC60" s="5"/>
      <c r="AD60" s="5"/>
      <c r="AE60" s="5"/>
      <c r="AF60" s="5"/>
      <c r="AG60" s="4" t="s">
        <v>45</v>
      </c>
      <c r="AH60" s="5"/>
      <c r="AI60" s="5"/>
      <c r="AJ60" s="5"/>
      <c r="AK60" s="5"/>
      <c r="AL60" s="5"/>
      <c r="AM60" s="4" t="s">
        <v>45</v>
      </c>
      <c r="AN60" s="5"/>
      <c r="AO60" s="5"/>
      <c r="AP60" s="5"/>
      <c r="AQ60" s="5"/>
    </row>
    <row r="61" spans="1:43" ht="15.75" x14ac:dyDescent="0.25">
      <c r="A61" s="674" t="s">
        <v>19</v>
      </c>
      <c r="B61" s="674"/>
      <c r="C61" s="674"/>
      <c r="D61" s="674"/>
      <c r="E61" s="674"/>
      <c r="F61" s="674"/>
      <c r="G61" s="674"/>
      <c r="H61" s="674"/>
      <c r="I61" s="674"/>
      <c r="J61" s="674"/>
      <c r="K61" s="674"/>
      <c r="L61" s="674"/>
      <c r="M61" s="674"/>
      <c r="N61" s="674"/>
      <c r="O61" s="674"/>
      <c r="P61" s="674"/>
      <c r="Q61" s="674"/>
      <c r="R61" s="674"/>
      <c r="S61" s="674"/>
      <c r="T61" s="674"/>
      <c r="U61" s="674"/>
      <c r="V61" s="674"/>
      <c r="W61" s="674"/>
      <c r="X61" s="674"/>
      <c r="Y61" s="674"/>
      <c r="Z61" s="674"/>
      <c r="AA61" s="674"/>
      <c r="AB61" s="674"/>
      <c r="AC61" s="674"/>
      <c r="AD61" s="674"/>
      <c r="AE61" s="674"/>
      <c r="AF61" s="674"/>
      <c r="AG61" s="674"/>
      <c r="AH61" s="674"/>
      <c r="AI61" s="674"/>
      <c r="AJ61" s="674"/>
      <c r="AK61" s="674"/>
      <c r="AL61" s="674"/>
      <c r="AM61" s="674"/>
      <c r="AN61" s="674"/>
      <c r="AO61" s="674"/>
      <c r="AP61" s="674"/>
      <c r="AQ61" s="674"/>
    </row>
    <row r="62" spans="1:43" ht="15" customHeight="1" x14ac:dyDescent="0.25">
      <c r="A62" s="677" t="s">
        <v>1246</v>
      </c>
      <c r="B62" s="677"/>
      <c r="C62" s="677"/>
      <c r="D62" s="677"/>
      <c r="E62" s="677"/>
      <c r="F62" s="677"/>
      <c r="G62" s="677"/>
      <c r="H62" s="677"/>
      <c r="I62" s="677"/>
      <c r="J62" s="677"/>
      <c r="K62" s="677"/>
      <c r="L62" s="677"/>
      <c r="M62" s="677"/>
      <c r="N62" s="677"/>
      <c r="O62" s="677"/>
      <c r="P62" s="677"/>
      <c r="Q62" s="677"/>
      <c r="R62" s="677"/>
      <c r="S62" s="677"/>
      <c r="T62" s="677"/>
      <c r="U62" s="677"/>
      <c r="V62" s="677"/>
      <c r="W62" s="677"/>
      <c r="X62" s="677"/>
      <c r="Y62" s="677"/>
      <c r="Z62" s="677"/>
      <c r="AA62" s="677"/>
      <c r="AB62" s="677"/>
      <c r="AC62" s="677"/>
      <c r="AD62" s="677"/>
      <c r="AE62" s="677"/>
      <c r="AF62" s="677"/>
      <c r="AG62" s="677"/>
      <c r="AH62" s="677"/>
      <c r="AI62" s="677"/>
      <c r="AJ62" s="677"/>
      <c r="AK62" s="677"/>
      <c r="AL62" s="677"/>
      <c r="AM62" s="677"/>
      <c r="AN62" s="677"/>
      <c r="AO62" s="677"/>
      <c r="AP62" s="677"/>
      <c r="AQ62" s="6"/>
    </row>
    <row r="63" spans="1:43" s="10" customFormat="1" ht="32.25" customHeight="1" x14ac:dyDescent="0.25">
      <c r="A63" s="46">
        <v>1</v>
      </c>
      <c r="B63" s="47"/>
      <c r="C63" s="46" t="s">
        <v>1216</v>
      </c>
      <c r="D63" s="463"/>
      <c r="E63" s="46"/>
      <c r="F63" s="464"/>
      <c r="G63" s="451"/>
      <c r="H63" s="451"/>
      <c r="I63" s="46"/>
      <c r="J63" s="46"/>
      <c r="K63" s="46"/>
      <c r="L63" s="474">
        <v>940000</v>
      </c>
      <c r="M63" s="643"/>
      <c r="N63" s="643"/>
      <c r="O63" s="643"/>
      <c r="P63" s="643"/>
      <c r="Q63" s="643"/>
      <c r="R63" s="650">
        <v>940000</v>
      </c>
      <c r="S63" s="46"/>
      <c r="T63" s="46"/>
      <c r="U63" s="46"/>
      <c r="V63" s="46"/>
      <c r="W63" s="46"/>
      <c r="X63" s="133">
        <v>940000</v>
      </c>
      <c r="Y63" s="46"/>
      <c r="Z63" s="46"/>
      <c r="AA63" s="46"/>
      <c r="AB63" s="46"/>
      <c r="AC63" s="46"/>
      <c r="AD63" s="133">
        <v>940000</v>
      </c>
      <c r="AE63" s="46"/>
      <c r="AF63" s="46"/>
      <c r="AG63" s="46"/>
      <c r="AH63" s="46"/>
      <c r="AI63" s="46"/>
      <c r="AJ63" s="474">
        <v>940000</v>
      </c>
      <c r="AK63" s="53"/>
      <c r="AL63" s="53"/>
      <c r="AM63" s="46"/>
      <c r="AN63" s="46"/>
      <c r="AO63" s="418"/>
      <c r="AP63" s="474">
        <v>940000</v>
      </c>
      <c r="AQ63" s="55"/>
    </row>
    <row r="64" spans="1:43" s="10" customFormat="1" ht="32.25" customHeight="1" x14ac:dyDescent="0.25">
      <c r="A64" s="46">
        <v>2</v>
      </c>
      <c r="B64" s="47"/>
      <c r="C64" s="46" t="s">
        <v>1217</v>
      </c>
      <c r="D64" s="463"/>
      <c r="E64" s="46"/>
      <c r="F64" s="464"/>
      <c r="G64" s="451"/>
      <c r="H64" s="451"/>
      <c r="I64" s="46"/>
      <c r="J64" s="46"/>
      <c r="K64" s="46"/>
      <c r="L64" s="474">
        <v>123424.1</v>
      </c>
      <c r="M64" s="643"/>
      <c r="N64" s="643"/>
      <c r="O64" s="643"/>
      <c r="P64" s="643"/>
      <c r="Q64" s="643"/>
      <c r="R64" s="650">
        <v>100806.3</v>
      </c>
      <c r="S64" s="46"/>
      <c r="T64" s="46"/>
      <c r="U64" s="46"/>
      <c r="V64" s="46"/>
      <c r="W64" s="46"/>
      <c r="X64" s="133">
        <v>100912.6</v>
      </c>
      <c r="Y64" s="46"/>
      <c r="Z64" s="46"/>
      <c r="AA64" s="46"/>
      <c r="AB64" s="46"/>
      <c r="AC64" s="46"/>
      <c r="AD64" s="474">
        <v>130000</v>
      </c>
      <c r="AE64" s="46"/>
      <c r="AF64" s="46"/>
      <c r="AG64" s="46"/>
      <c r="AH64" s="46"/>
      <c r="AI64" s="46"/>
      <c r="AJ64" s="474">
        <v>130000</v>
      </c>
      <c r="AK64" s="53"/>
      <c r="AL64" s="53"/>
      <c r="AM64" s="46"/>
      <c r="AN64" s="46"/>
      <c r="AO64" s="418"/>
      <c r="AP64" s="474">
        <v>130000</v>
      </c>
      <c r="AQ64" s="55"/>
    </row>
    <row r="65" spans="1:43" s="10" customFormat="1" ht="48.75" customHeight="1" x14ac:dyDescent="0.25">
      <c r="A65" s="664" t="s">
        <v>1215</v>
      </c>
      <c r="B65" s="664"/>
      <c r="C65" s="664"/>
      <c r="D65" s="664"/>
      <c r="E65" s="453"/>
      <c r="F65" s="453"/>
      <c r="G65" s="453"/>
      <c r="H65" s="453"/>
      <c r="I65" s="453"/>
      <c r="J65" s="453"/>
      <c r="K65" s="453"/>
      <c r="L65" s="453"/>
      <c r="M65" s="656"/>
      <c r="N65" s="656"/>
      <c r="O65" s="656"/>
      <c r="P65" s="656"/>
      <c r="Q65" s="656"/>
      <c r="R65" s="656"/>
      <c r="S65" s="453"/>
      <c r="T65" s="453"/>
      <c r="U65" s="453"/>
      <c r="V65" s="453"/>
      <c r="W65" s="453"/>
      <c r="X65" s="453"/>
      <c r="Y65" s="453"/>
      <c r="Z65" s="453"/>
      <c r="AA65" s="453"/>
      <c r="AB65" s="453"/>
      <c r="AC65" s="453"/>
      <c r="AD65" s="453"/>
      <c r="AE65" s="453"/>
      <c r="AF65" s="453"/>
      <c r="AG65" s="453"/>
      <c r="AH65" s="453"/>
      <c r="AI65" s="453"/>
      <c r="AJ65" s="453"/>
      <c r="AK65" s="453"/>
      <c r="AL65" s="453"/>
      <c r="AM65" s="453"/>
      <c r="AN65" s="453"/>
      <c r="AO65" s="453"/>
      <c r="AP65" s="453"/>
      <c r="AQ65" s="453"/>
    </row>
    <row r="66" spans="1:43" s="10" customFormat="1" x14ac:dyDescent="0.25">
      <c r="A66" s="663" t="s">
        <v>20</v>
      </c>
      <c r="B66" s="663"/>
      <c r="C66" s="663"/>
      <c r="D66" s="663"/>
      <c r="E66" s="663"/>
      <c r="F66" s="663"/>
      <c r="G66" s="663"/>
      <c r="H66" s="663"/>
      <c r="I66" s="668" t="s">
        <v>11</v>
      </c>
      <c r="J66" s="459">
        <v>11.9</v>
      </c>
      <c r="K66" s="459" t="s">
        <v>5</v>
      </c>
      <c r="L66" s="637">
        <f>L64</f>
        <v>123424.1</v>
      </c>
      <c r="M66" s="653"/>
      <c r="N66" s="654"/>
      <c r="O66" s="667" t="s">
        <v>11</v>
      </c>
      <c r="P66" s="654">
        <v>10.5</v>
      </c>
      <c r="Q66" s="654" t="s">
        <v>5</v>
      </c>
      <c r="R66" s="655">
        <f>R64</f>
        <v>100806.3</v>
      </c>
      <c r="S66" s="475"/>
      <c r="T66" s="459"/>
      <c r="U66" s="668" t="s">
        <v>11</v>
      </c>
      <c r="V66" s="459">
        <v>10.7</v>
      </c>
      <c r="W66" s="459" t="s">
        <v>5</v>
      </c>
      <c r="X66" s="467">
        <f>X64</f>
        <v>100912.6</v>
      </c>
      <c r="Y66" s="475"/>
      <c r="Z66" s="459"/>
      <c r="AA66" s="668" t="s">
        <v>11</v>
      </c>
      <c r="AB66" s="459">
        <v>13</v>
      </c>
      <c r="AC66" s="459" t="s">
        <v>5</v>
      </c>
      <c r="AD66" s="467">
        <f>AD64</f>
        <v>130000</v>
      </c>
      <c r="AE66" s="475"/>
      <c r="AF66" s="459"/>
      <c r="AG66" s="668" t="s">
        <v>11</v>
      </c>
      <c r="AH66" s="459">
        <v>13</v>
      </c>
      <c r="AI66" s="459" t="s">
        <v>5</v>
      </c>
      <c r="AJ66" s="467">
        <f>AJ64</f>
        <v>130000</v>
      </c>
      <c r="AK66" s="475"/>
      <c r="AL66" s="459"/>
      <c r="AM66" s="668" t="s">
        <v>11</v>
      </c>
      <c r="AN66" s="459">
        <v>13</v>
      </c>
      <c r="AO66" s="459" t="s">
        <v>5</v>
      </c>
      <c r="AP66" s="467">
        <f>AP64</f>
        <v>130000</v>
      </c>
      <c r="AQ66" s="459"/>
    </row>
    <row r="67" spans="1:43" s="10" customFormat="1" x14ac:dyDescent="0.25">
      <c r="A67" s="663"/>
      <c r="B67" s="663"/>
      <c r="C67" s="663"/>
      <c r="D67" s="663"/>
      <c r="E67" s="663"/>
      <c r="F67" s="663"/>
      <c r="G67" s="663"/>
      <c r="H67" s="663"/>
      <c r="I67" s="668"/>
      <c r="J67" s="615">
        <f>J66*7*1000</f>
        <v>83300</v>
      </c>
      <c r="K67" s="459" t="s">
        <v>8</v>
      </c>
      <c r="L67" s="459"/>
      <c r="M67" s="653"/>
      <c r="N67" s="654"/>
      <c r="O67" s="667"/>
      <c r="P67" s="654">
        <f>P66*7*1000</f>
        <v>73500</v>
      </c>
      <c r="Q67" s="654" t="s">
        <v>8</v>
      </c>
      <c r="R67" s="654"/>
      <c r="S67" s="475"/>
      <c r="T67" s="459"/>
      <c r="U67" s="668"/>
      <c r="V67" s="459">
        <f>V66*7*1000</f>
        <v>74899.999999999985</v>
      </c>
      <c r="W67" s="459" t="s">
        <v>8</v>
      </c>
      <c r="X67" s="459"/>
      <c r="Y67" s="475"/>
      <c r="Z67" s="459"/>
      <c r="AA67" s="668"/>
      <c r="AB67" s="615">
        <f>AB66*7*1000</f>
        <v>91000</v>
      </c>
      <c r="AC67" s="459" t="s">
        <v>8</v>
      </c>
      <c r="AD67" s="459"/>
      <c r="AE67" s="475"/>
      <c r="AF67" s="459"/>
      <c r="AG67" s="668"/>
      <c r="AH67" s="615">
        <f>AH66*7*1000</f>
        <v>91000</v>
      </c>
      <c r="AI67" s="459" t="s">
        <v>8</v>
      </c>
      <c r="AJ67" s="459"/>
      <c r="AK67" s="475"/>
      <c r="AL67" s="459"/>
      <c r="AM67" s="668"/>
      <c r="AN67" s="615">
        <f>AN66*7*1000</f>
        <v>91000</v>
      </c>
      <c r="AO67" s="459" t="s">
        <v>8</v>
      </c>
      <c r="AP67" s="459"/>
      <c r="AQ67" s="459"/>
    </row>
    <row r="68" spans="1:43" s="10" customFormat="1" x14ac:dyDescent="0.25">
      <c r="A68" s="663"/>
      <c r="B68" s="663"/>
      <c r="C68" s="663"/>
      <c r="D68" s="663"/>
      <c r="E68" s="663"/>
      <c r="F68" s="663"/>
      <c r="G68" s="663"/>
      <c r="H68" s="663"/>
      <c r="I68" s="668" t="s">
        <v>41</v>
      </c>
      <c r="J68" s="459"/>
      <c r="K68" s="459" t="s">
        <v>5</v>
      </c>
      <c r="L68" s="459"/>
      <c r="M68" s="653"/>
      <c r="N68" s="654"/>
      <c r="O68" s="667" t="s">
        <v>41</v>
      </c>
      <c r="P68" s="654"/>
      <c r="Q68" s="654" t="s">
        <v>5</v>
      </c>
      <c r="R68" s="654"/>
      <c r="S68" s="475"/>
      <c r="T68" s="459"/>
      <c r="U68" s="668" t="s">
        <v>41</v>
      </c>
      <c r="V68" s="459"/>
      <c r="W68" s="459" t="s">
        <v>5</v>
      </c>
      <c r="X68" s="459"/>
      <c r="Y68" s="475"/>
      <c r="Z68" s="459"/>
      <c r="AA68" s="668" t="s">
        <v>41</v>
      </c>
      <c r="AB68" s="459"/>
      <c r="AC68" s="459" t="s">
        <v>5</v>
      </c>
      <c r="AD68" s="459"/>
      <c r="AE68" s="475"/>
      <c r="AF68" s="459"/>
      <c r="AG68" s="668" t="s">
        <v>41</v>
      </c>
      <c r="AH68" s="459"/>
      <c r="AI68" s="459" t="s">
        <v>5</v>
      </c>
      <c r="AJ68" s="459"/>
      <c r="AK68" s="475"/>
      <c r="AL68" s="459"/>
      <c r="AM68" s="668" t="s">
        <v>41</v>
      </c>
      <c r="AN68" s="459"/>
      <c r="AO68" s="459" t="s">
        <v>5</v>
      </c>
      <c r="AP68" s="459"/>
      <c r="AQ68" s="459"/>
    </row>
    <row r="69" spans="1:43" s="10" customFormat="1" x14ac:dyDescent="0.25">
      <c r="A69" s="663"/>
      <c r="B69" s="663"/>
      <c r="C69" s="663"/>
      <c r="D69" s="663"/>
      <c r="E69" s="663"/>
      <c r="F69" s="663"/>
      <c r="G69" s="663"/>
      <c r="H69" s="663"/>
      <c r="I69" s="668"/>
      <c r="J69" s="459"/>
      <c r="K69" s="459" t="s">
        <v>8</v>
      </c>
      <c r="L69" s="459"/>
      <c r="M69" s="653"/>
      <c r="N69" s="654"/>
      <c r="O69" s="667"/>
      <c r="P69" s="654"/>
      <c r="Q69" s="654" t="s">
        <v>8</v>
      </c>
      <c r="R69" s="654"/>
      <c r="S69" s="475"/>
      <c r="T69" s="459"/>
      <c r="U69" s="668"/>
      <c r="V69" s="459"/>
      <c r="W69" s="459" t="s">
        <v>8</v>
      </c>
      <c r="X69" s="459"/>
      <c r="Y69" s="475"/>
      <c r="Z69" s="459"/>
      <c r="AA69" s="668"/>
      <c r="AB69" s="459"/>
      <c r="AC69" s="459" t="s">
        <v>8</v>
      </c>
      <c r="AD69" s="459"/>
      <c r="AE69" s="475"/>
      <c r="AF69" s="459"/>
      <c r="AG69" s="668"/>
      <c r="AH69" s="459"/>
      <c r="AI69" s="459" t="s">
        <v>8</v>
      </c>
      <c r="AJ69" s="459"/>
      <c r="AK69" s="475"/>
      <c r="AL69" s="459"/>
      <c r="AM69" s="668"/>
      <c r="AN69" s="459"/>
      <c r="AO69" s="459" t="s">
        <v>8</v>
      </c>
      <c r="AP69" s="459"/>
      <c r="AQ69" s="459"/>
    </row>
    <row r="70" spans="1:43" s="10" customFormat="1" x14ac:dyDescent="0.25">
      <c r="A70" s="663"/>
      <c r="B70" s="663"/>
      <c r="C70" s="663"/>
      <c r="D70" s="663"/>
      <c r="E70" s="663"/>
      <c r="F70" s="663"/>
      <c r="G70" s="663"/>
      <c r="H70" s="663"/>
      <c r="I70" s="668" t="s">
        <v>42</v>
      </c>
      <c r="J70" s="459"/>
      <c r="K70" s="459" t="s">
        <v>5</v>
      </c>
      <c r="L70" s="459"/>
      <c r="M70" s="653"/>
      <c r="N70" s="654"/>
      <c r="O70" s="667" t="s">
        <v>42</v>
      </c>
      <c r="P70" s="654"/>
      <c r="Q70" s="654" t="s">
        <v>5</v>
      </c>
      <c r="R70" s="654"/>
      <c r="S70" s="475"/>
      <c r="T70" s="459"/>
      <c r="U70" s="668" t="s">
        <v>42</v>
      </c>
      <c r="V70" s="459"/>
      <c r="W70" s="459" t="s">
        <v>5</v>
      </c>
      <c r="X70" s="459"/>
      <c r="Y70" s="475"/>
      <c r="Z70" s="459"/>
      <c r="AA70" s="668" t="s">
        <v>42</v>
      </c>
      <c r="AB70" s="459"/>
      <c r="AC70" s="459" t="s">
        <v>5</v>
      </c>
      <c r="AD70" s="459"/>
      <c r="AE70" s="475"/>
      <c r="AF70" s="459"/>
      <c r="AG70" s="668" t="s">
        <v>42</v>
      </c>
      <c r="AH70" s="459"/>
      <c r="AI70" s="459" t="s">
        <v>5</v>
      </c>
      <c r="AJ70" s="459"/>
      <c r="AK70" s="475"/>
      <c r="AL70" s="459"/>
      <c r="AM70" s="668" t="s">
        <v>42</v>
      </c>
      <c r="AN70" s="459"/>
      <c r="AO70" s="459" t="s">
        <v>5</v>
      </c>
      <c r="AP70" s="459"/>
      <c r="AQ70" s="459"/>
    </row>
    <row r="71" spans="1:43" s="10" customFormat="1" x14ac:dyDescent="0.25">
      <c r="A71" s="663"/>
      <c r="B71" s="663"/>
      <c r="C71" s="663"/>
      <c r="D71" s="663"/>
      <c r="E71" s="663"/>
      <c r="F71" s="663"/>
      <c r="G71" s="663"/>
      <c r="H71" s="663"/>
      <c r="I71" s="668"/>
      <c r="J71" s="459"/>
      <c r="K71" s="459" t="s">
        <v>8</v>
      </c>
      <c r="L71" s="459"/>
      <c r="M71" s="653"/>
      <c r="N71" s="654"/>
      <c r="O71" s="667"/>
      <c r="P71" s="654"/>
      <c r="Q71" s="654" t="s">
        <v>8</v>
      </c>
      <c r="R71" s="654"/>
      <c r="S71" s="475"/>
      <c r="T71" s="459"/>
      <c r="U71" s="668"/>
      <c r="V71" s="459"/>
      <c r="W71" s="459" t="s">
        <v>8</v>
      </c>
      <c r="X71" s="459"/>
      <c r="Y71" s="475"/>
      <c r="Z71" s="459"/>
      <c r="AA71" s="668"/>
      <c r="AB71" s="459"/>
      <c r="AC71" s="459" t="s">
        <v>8</v>
      </c>
      <c r="AD71" s="459"/>
      <c r="AE71" s="475"/>
      <c r="AF71" s="459"/>
      <c r="AG71" s="668"/>
      <c r="AH71" s="459"/>
      <c r="AI71" s="459" t="s">
        <v>8</v>
      </c>
      <c r="AJ71" s="459"/>
      <c r="AK71" s="475"/>
      <c r="AL71" s="459"/>
      <c r="AM71" s="668"/>
      <c r="AN71" s="459"/>
      <c r="AO71" s="459" t="s">
        <v>8</v>
      </c>
      <c r="AP71" s="459"/>
      <c r="AQ71" s="459"/>
    </row>
    <row r="72" spans="1:43" s="10" customFormat="1" x14ac:dyDescent="0.25">
      <c r="A72" s="663"/>
      <c r="B72" s="663"/>
      <c r="C72" s="663"/>
      <c r="D72" s="663"/>
      <c r="E72" s="663"/>
      <c r="F72" s="663"/>
      <c r="G72" s="663"/>
      <c r="H72" s="663"/>
      <c r="I72" s="668" t="s">
        <v>43</v>
      </c>
      <c r="J72" s="459"/>
      <c r="K72" s="459" t="s">
        <v>5</v>
      </c>
      <c r="L72" s="459"/>
      <c r="M72" s="653"/>
      <c r="N72" s="654"/>
      <c r="O72" s="667" t="s">
        <v>43</v>
      </c>
      <c r="P72" s="654"/>
      <c r="Q72" s="654" t="s">
        <v>5</v>
      </c>
      <c r="R72" s="654"/>
      <c r="S72" s="475"/>
      <c r="T72" s="459"/>
      <c r="U72" s="668" t="s">
        <v>43</v>
      </c>
      <c r="V72" s="459"/>
      <c r="W72" s="459" t="s">
        <v>5</v>
      </c>
      <c r="X72" s="459"/>
      <c r="Y72" s="475"/>
      <c r="Z72" s="459"/>
      <c r="AA72" s="668" t="s">
        <v>43</v>
      </c>
      <c r="AB72" s="459"/>
      <c r="AC72" s="459" t="s">
        <v>5</v>
      </c>
      <c r="AD72" s="459"/>
      <c r="AE72" s="475"/>
      <c r="AF72" s="459"/>
      <c r="AG72" s="668" t="s">
        <v>43</v>
      </c>
      <c r="AH72" s="459"/>
      <c r="AI72" s="459" t="s">
        <v>5</v>
      </c>
      <c r="AJ72" s="459"/>
      <c r="AK72" s="475"/>
      <c r="AL72" s="459"/>
      <c r="AM72" s="668" t="s">
        <v>43</v>
      </c>
      <c r="AN72" s="459"/>
      <c r="AO72" s="459" t="s">
        <v>5</v>
      </c>
      <c r="AP72" s="459"/>
      <c r="AQ72" s="459"/>
    </row>
    <row r="73" spans="1:43" s="10" customFormat="1" x14ac:dyDescent="0.25">
      <c r="A73" s="663"/>
      <c r="B73" s="663"/>
      <c r="C73" s="663"/>
      <c r="D73" s="663"/>
      <c r="E73" s="663"/>
      <c r="F73" s="663"/>
      <c r="G73" s="663"/>
      <c r="H73" s="663"/>
      <c r="I73" s="668"/>
      <c r="J73" s="459"/>
      <c r="K73" s="459" t="s">
        <v>8</v>
      </c>
      <c r="L73" s="459"/>
      <c r="M73" s="653"/>
      <c r="N73" s="654"/>
      <c r="O73" s="667"/>
      <c r="P73" s="654"/>
      <c r="Q73" s="654" t="s">
        <v>8</v>
      </c>
      <c r="R73" s="654"/>
      <c r="S73" s="475"/>
      <c r="T73" s="459"/>
      <c r="U73" s="668"/>
      <c r="V73" s="459"/>
      <c r="W73" s="459" t="s">
        <v>8</v>
      </c>
      <c r="X73" s="459"/>
      <c r="Y73" s="475"/>
      <c r="Z73" s="459"/>
      <c r="AA73" s="668"/>
      <c r="AB73" s="459"/>
      <c r="AC73" s="459" t="s">
        <v>8</v>
      </c>
      <c r="AD73" s="459"/>
      <c r="AE73" s="475"/>
      <c r="AF73" s="459"/>
      <c r="AG73" s="668"/>
      <c r="AH73" s="459"/>
      <c r="AI73" s="459" t="s">
        <v>8</v>
      </c>
      <c r="AJ73" s="459"/>
      <c r="AK73" s="475"/>
      <c r="AL73" s="459"/>
      <c r="AM73" s="668"/>
      <c r="AN73" s="459"/>
      <c r="AO73" s="459" t="s">
        <v>8</v>
      </c>
      <c r="AP73" s="459"/>
      <c r="AQ73" s="459"/>
    </row>
    <row r="74" spans="1:43" s="10" customFormat="1" x14ac:dyDescent="0.25">
      <c r="A74" s="663"/>
      <c r="B74" s="663"/>
      <c r="C74" s="663"/>
      <c r="D74" s="663"/>
      <c r="E74" s="663"/>
      <c r="F74" s="663"/>
      <c r="G74" s="663"/>
      <c r="H74" s="663"/>
      <c r="I74" s="665" t="s">
        <v>12</v>
      </c>
      <c r="J74" s="459"/>
      <c r="K74" s="459" t="s">
        <v>8</v>
      </c>
      <c r="L74" s="665"/>
      <c r="M74" s="653"/>
      <c r="N74" s="654"/>
      <c r="O74" s="669" t="s">
        <v>12</v>
      </c>
      <c r="P74" s="654"/>
      <c r="Q74" s="654" t="s">
        <v>8</v>
      </c>
      <c r="R74" s="669"/>
      <c r="S74" s="475"/>
      <c r="T74" s="459"/>
      <c r="U74" s="665" t="s">
        <v>12</v>
      </c>
      <c r="V74" s="459"/>
      <c r="W74" s="459" t="s">
        <v>8</v>
      </c>
      <c r="X74" s="665"/>
      <c r="Y74" s="475"/>
      <c r="Z74" s="459"/>
      <c r="AA74" s="665" t="s">
        <v>12</v>
      </c>
      <c r="AB74" s="459"/>
      <c r="AC74" s="459" t="s">
        <v>8</v>
      </c>
      <c r="AD74" s="665"/>
      <c r="AE74" s="475"/>
      <c r="AF74" s="459"/>
      <c r="AG74" s="665" t="s">
        <v>12</v>
      </c>
      <c r="AH74" s="459"/>
      <c r="AI74" s="459" t="s">
        <v>8</v>
      </c>
      <c r="AJ74" s="665"/>
      <c r="AK74" s="475"/>
      <c r="AL74" s="459"/>
      <c r="AM74" s="665" t="s">
        <v>12</v>
      </c>
      <c r="AN74" s="459"/>
      <c r="AO74" s="459" t="s">
        <v>8</v>
      </c>
      <c r="AP74" s="665"/>
      <c r="AQ74" s="459"/>
    </row>
    <row r="75" spans="1:43" s="10" customFormat="1" x14ac:dyDescent="0.25">
      <c r="A75" s="663"/>
      <c r="B75" s="663"/>
      <c r="C75" s="663"/>
      <c r="D75" s="663"/>
      <c r="E75" s="663"/>
      <c r="F75" s="663"/>
      <c r="G75" s="663"/>
      <c r="H75" s="663"/>
      <c r="I75" s="665"/>
      <c r="J75" s="459"/>
      <c r="K75" s="459" t="s">
        <v>5</v>
      </c>
      <c r="L75" s="665"/>
      <c r="M75" s="653"/>
      <c r="N75" s="654"/>
      <c r="O75" s="669"/>
      <c r="P75" s="654"/>
      <c r="Q75" s="654" t="s">
        <v>5</v>
      </c>
      <c r="R75" s="669"/>
      <c r="S75" s="475"/>
      <c r="T75" s="459"/>
      <c r="U75" s="665"/>
      <c r="V75" s="459"/>
      <c r="W75" s="459" t="s">
        <v>5</v>
      </c>
      <c r="X75" s="665"/>
      <c r="Y75" s="475"/>
      <c r="Z75" s="459"/>
      <c r="AA75" s="665"/>
      <c r="AB75" s="459"/>
      <c r="AC75" s="459" t="s">
        <v>5</v>
      </c>
      <c r="AD75" s="665"/>
      <c r="AE75" s="475"/>
      <c r="AF75" s="459"/>
      <c r="AG75" s="665"/>
      <c r="AH75" s="459"/>
      <c r="AI75" s="459" t="s">
        <v>5</v>
      </c>
      <c r="AJ75" s="665"/>
      <c r="AK75" s="475"/>
      <c r="AL75" s="459"/>
      <c r="AM75" s="665"/>
      <c r="AN75" s="459"/>
      <c r="AO75" s="459" t="s">
        <v>5</v>
      </c>
      <c r="AP75" s="665"/>
      <c r="AQ75" s="459"/>
    </row>
    <row r="76" spans="1:43" s="10" customFormat="1" ht="42.75" x14ac:dyDescent="0.25">
      <c r="A76" s="663"/>
      <c r="B76" s="663"/>
      <c r="C76" s="663"/>
      <c r="D76" s="663"/>
      <c r="E76" s="663"/>
      <c r="F76" s="663"/>
      <c r="G76" s="663"/>
      <c r="H76" s="663"/>
      <c r="I76" s="460" t="s">
        <v>13</v>
      </c>
      <c r="J76" s="459"/>
      <c r="K76" s="459" t="s">
        <v>14</v>
      </c>
      <c r="L76" s="459"/>
      <c r="M76" s="653"/>
      <c r="N76" s="654"/>
      <c r="O76" s="656" t="s">
        <v>13</v>
      </c>
      <c r="P76" s="654"/>
      <c r="Q76" s="654" t="s">
        <v>14</v>
      </c>
      <c r="R76" s="654"/>
      <c r="S76" s="475"/>
      <c r="T76" s="459"/>
      <c r="U76" s="460" t="s">
        <v>13</v>
      </c>
      <c r="V76" s="459"/>
      <c r="W76" s="459" t="s">
        <v>14</v>
      </c>
      <c r="X76" s="459"/>
      <c r="Y76" s="475"/>
      <c r="Z76" s="459"/>
      <c r="AA76" s="460" t="s">
        <v>13</v>
      </c>
      <c r="AB76" s="459"/>
      <c r="AC76" s="459" t="s">
        <v>14</v>
      </c>
      <c r="AD76" s="459"/>
      <c r="AE76" s="475"/>
      <c r="AF76" s="459"/>
      <c r="AG76" s="460" t="s">
        <v>13</v>
      </c>
      <c r="AH76" s="459"/>
      <c r="AI76" s="459" t="s">
        <v>14</v>
      </c>
      <c r="AJ76" s="459"/>
      <c r="AK76" s="475"/>
      <c r="AL76" s="459"/>
      <c r="AM76" s="460" t="s">
        <v>13</v>
      </c>
      <c r="AN76" s="459"/>
      <c r="AO76" s="459" t="s">
        <v>14</v>
      </c>
      <c r="AP76" s="459"/>
      <c r="AQ76" s="459"/>
    </row>
    <row r="77" spans="1:43" s="10" customFormat="1" ht="28.5" x14ac:dyDescent="0.25">
      <c r="A77" s="663"/>
      <c r="B77" s="663"/>
      <c r="C77" s="663"/>
      <c r="D77" s="663"/>
      <c r="E77" s="663"/>
      <c r="F77" s="663"/>
      <c r="G77" s="663"/>
      <c r="H77" s="663"/>
      <c r="I77" s="460" t="s">
        <v>44</v>
      </c>
      <c r="J77" s="459"/>
      <c r="K77" s="459" t="s">
        <v>14</v>
      </c>
      <c r="L77" s="459"/>
      <c r="M77" s="653"/>
      <c r="N77" s="654"/>
      <c r="O77" s="656" t="s">
        <v>44</v>
      </c>
      <c r="P77" s="654"/>
      <c r="Q77" s="654" t="s">
        <v>14</v>
      </c>
      <c r="R77" s="654"/>
      <c r="S77" s="475"/>
      <c r="T77" s="459"/>
      <c r="U77" s="460" t="s">
        <v>44</v>
      </c>
      <c r="V77" s="459"/>
      <c r="W77" s="459" t="s">
        <v>14</v>
      </c>
      <c r="X77" s="459"/>
      <c r="Y77" s="475"/>
      <c r="Z77" s="459"/>
      <c r="AA77" s="460" t="s">
        <v>44</v>
      </c>
      <c r="AB77" s="459"/>
      <c r="AC77" s="459" t="s">
        <v>14</v>
      </c>
      <c r="AD77" s="459"/>
      <c r="AE77" s="475"/>
      <c r="AF77" s="459"/>
      <c r="AG77" s="460" t="s">
        <v>44</v>
      </c>
      <c r="AH77" s="459"/>
      <c r="AI77" s="459" t="s">
        <v>14</v>
      </c>
      <c r="AJ77" s="459"/>
      <c r="AK77" s="475"/>
      <c r="AL77" s="459"/>
      <c r="AM77" s="460" t="s">
        <v>44</v>
      </c>
      <c r="AN77" s="459"/>
      <c r="AO77" s="459" t="s">
        <v>14</v>
      </c>
      <c r="AP77" s="459"/>
      <c r="AQ77" s="459"/>
    </row>
    <row r="78" spans="1:43" s="10" customFormat="1" ht="42.75" x14ac:dyDescent="0.25">
      <c r="A78" s="663"/>
      <c r="B78" s="663"/>
      <c r="C78" s="663"/>
      <c r="D78" s="663"/>
      <c r="E78" s="663"/>
      <c r="F78" s="663"/>
      <c r="G78" s="663"/>
      <c r="H78" s="663"/>
      <c r="I78" s="460" t="s">
        <v>15</v>
      </c>
      <c r="J78" s="459"/>
      <c r="K78" s="459" t="s">
        <v>16</v>
      </c>
      <c r="L78" s="459"/>
      <c r="M78" s="653"/>
      <c r="N78" s="654"/>
      <c r="O78" s="656" t="s">
        <v>15</v>
      </c>
      <c r="P78" s="654"/>
      <c r="Q78" s="654" t="s">
        <v>16</v>
      </c>
      <c r="R78" s="654"/>
      <c r="S78" s="475"/>
      <c r="T78" s="459"/>
      <c r="U78" s="460" t="s">
        <v>15</v>
      </c>
      <c r="V78" s="459"/>
      <c r="W78" s="459" t="s">
        <v>16</v>
      </c>
      <c r="X78" s="459"/>
      <c r="Y78" s="475"/>
      <c r="Z78" s="459"/>
      <c r="AA78" s="460" t="s">
        <v>15</v>
      </c>
      <c r="AB78" s="459"/>
      <c r="AC78" s="459" t="s">
        <v>16</v>
      </c>
      <c r="AD78" s="459"/>
      <c r="AE78" s="475"/>
      <c r="AF78" s="459"/>
      <c r="AG78" s="460" t="s">
        <v>15</v>
      </c>
      <c r="AH78" s="459"/>
      <c r="AI78" s="459" t="s">
        <v>16</v>
      </c>
      <c r="AJ78" s="459"/>
      <c r="AK78" s="475"/>
      <c r="AL78" s="459"/>
      <c r="AM78" s="460" t="s">
        <v>15</v>
      </c>
      <c r="AN78" s="459"/>
      <c r="AO78" s="459" t="s">
        <v>16</v>
      </c>
      <c r="AP78" s="459"/>
      <c r="AQ78" s="459"/>
    </row>
    <row r="79" spans="1:43" s="10" customFormat="1" x14ac:dyDescent="0.25">
      <c r="A79" s="663"/>
      <c r="B79" s="663"/>
      <c r="C79" s="663"/>
      <c r="D79" s="663"/>
      <c r="E79" s="663"/>
      <c r="F79" s="663"/>
      <c r="G79" s="663"/>
      <c r="H79" s="663"/>
      <c r="I79" s="460" t="s">
        <v>17</v>
      </c>
      <c r="J79" s="459"/>
      <c r="K79" s="459" t="s">
        <v>8</v>
      </c>
      <c r="L79" s="459"/>
      <c r="M79" s="653"/>
      <c r="N79" s="654"/>
      <c r="O79" s="656" t="s">
        <v>17</v>
      </c>
      <c r="P79" s="654"/>
      <c r="Q79" s="654" t="s">
        <v>8</v>
      </c>
      <c r="R79" s="654"/>
      <c r="S79" s="475"/>
      <c r="T79" s="459"/>
      <c r="U79" s="460" t="s">
        <v>17</v>
      </c>
      <c r="V79" s="459"/>
      <c r="W79" s="459" t="s">
        <v>8</v>
      </c>
      <c r="X79" s="459"/>
      <c r="Y79" s="475"/>
      <c r="Z79" s="459"/>
      <c r="AA79" s="460" t="s">
        <v>17</v>
      </c>
      <c r="AB79" s="459"/>
      <c r="AC79" s="459" t="s">
        <v>8</v>
      </c>
      <c r="AD79" s="459"/>
      <c r="AE79" s="475"/>
      <c r="AF79" s="459"/>
      <c r="AG79" s="460" t="s">
        <v>17</v>
      </c>
      <c r="AH79" s="459"/>
      <c r="AI79" s="459" t="s">
        <v>8</v>
      </c>
      <c r="AJ79" s="459"/>
      <c r="AK79" s="475"/>
      <c r="AL79" s="459"/>
      <c r="AM79" s="460" t="s">
        <v>17</v>
      </c>
      <c r="AN79" s="459"/>
      <c r="AO79" s="459" t="s">
        <v>8</v>
      </c>
      <c r="AP79" s="459"/>
      <c r="AQ79" s="459"/>
    </row>
    <row r="80" spans="1:43" s="10" customFormat="1" ht="28.5" x14ac:dyDescent="0.25">
      <c r="A80" s="663"/>
      <c r="B80" s="663"/>
      <c r="C80" s="663"/>
      <c r="D80" s="663"/>
      <c r="E80" s="663"/>
      <c r="F80" s="663"/>
      <c r="G80" s="663"/>
      <c r="H80" s="663"/>
      <c r="I80" s="460" t="s">
        <v>18</v>
      </c>
      <c r="J80" s="459"/>
      <c r="K80" s="459" t="s">
        <v>16</v>
      </c>
      <c r="L80" s="459"/>
      <c r="M80" s="653"/>
      <c r="N80" s="654"/>
      <c r="O80" s="656" t="s">
        <v>18</v>
      </c>
      <c r="P80" s="654"/>
      <c r="Q80" s="654" t="s">
        <v>16</v>
      </c>
      <c r="R80" s="654"/>
      <c r="S80" s="475"/>
      <c r="T80" s="459"/>
      <c r="U80" s="460" t="s">
        <v>18</v>
      </c>
      <c r="V80" s="459"/>
      <c r="W80" s="459" t="s">
        <v>16</v>
      </c>
      <c r="X80" s="459"/>
      <c r="Y80" s="475"/>
      <c r="Z80" s="459"/>
      <c r="AA80" s="460" t="s">
        <v>18</v>
      </c>
      <c r="AB80" s="459"/>
      <c r="AC80" s="459" t="s">
        <v>16</v>
      </c>
      <c r="AD80" s="459"/>
      <c r="AE80" s="475"/>
      <c r="AF80" s="459"/>
      <c r="AG80" s="460" t="s">
        <v>18</v>
      </c>
      <c r="AH80" s="459"/>
      <c r="AI80" s="459" t="s">
        <v>16</v>
      </c>
      <c r="AJ80" s="459"/>
      <c r="AK80" s="475"/>
      <c r="AL80" s="459"/>
      <c r="AM80" s="460" t="s">
        <v>18</v>
      </c>
      <c r="AN80" s="459"/>
      <c r="AO80" s="459" t="s">
        <v>16</v>
      </c>
      <c r="AP80" s="459"/>
      <c r="AQ80" s="459"/>
    </row>
    <row r="81" spans="1:43" s="10" customFormat="1" ht="42.75" x14ac:dyDescent="0.25">
      <c r="A81" s="663"/>
      <c r="B81" s="663"/>
      <c r="C81" s="663"/>
      <c r="D81" s="663"/>
      <c r="E81" s="663"/>
      <c r="F81" s="663"/>
      <c r="G81" s="663"/>
      <c r="H81" s="663"/>
      <c r="I81" s="460" t="s">
        <v>46</v>
      </c>
      <c r="J81" s="459"/>
      <c r="K81" s="459" t="s">
        <v>16</v>
      </c>
      <c r="L81" s="460"/>
      <c r="M81" s="653"/>
      <c r="N81" s="654"/>
      <c r="O81" s="656" t="s">
        <v>46</v>
      </c>
      <c r="P81" s="654"/>
      <c r="Q81" s="654" t="s">
        <v>16</v>
      </c>
      <c r="R81" s="656"/>
      <c r="S81" s="475"/>
      <c r="T81" s="459"/>
      <c r="U81" s="460" t="s">
        <v>46</v>
      </c>
      <c r="V81" s="459"/>
      <c r="W81" s="459" t="s">
        <v>16</v>
      </c>
      <c r="X81" s="460"/>
      <c r="Y81" s="475"/>
      <c r="Z81" s="459"/>
      <c r="AA81" s="460" t="s">
        <v>46</v>
      </c>
      <c r="AB81" s="459"/>
      <c r="AC81" s="459" t="s">
        <v>16</v>
      </c>
      <c r="AD81" s="460"/>
      <c r="AE81" s="475"/>
      <c r="AF81" s="459"/>
      <c r="AG81" s="460" t="s">
        <v>46</v>
      </c>
      <c r="AH81" s="459"/>
      <c r="AI81" s="459" t="s">
        <v>16</v>
      </c>
      <c r="AJ81" s="460"/>
      <c r="AK81" s="475"/>
      <c r="AL81" s="459"/>
      <c r="AM81" s="460" t="s">
        <v>46</v>
      </c>
      <c r="AN81" s="459"/>
      <c r="AO81" s="459" t="s">
        <v>16</v>
      </c>
      <c r="AP81" s="460"/>
      <c r="AQ81" s="460"/>
    </row>
    <row r="82" spans="1:43" s="10" customFormat="1" ht="28.5" x14ac:dyDescent="0.25">
      <c r="A82" s="663"/>
      <c r="B82" s="663"/>
      <c r="C82" s="663"/>
      <c r="D82" s="663"/>
      <c r="E82" s="663"/>
      <c r="F82" s="663"/>
      <c r="G82" s="663"/>
      <c r="H82" s="663"/>
      <c r="I82" s="460" t="s">
        <v>93</v>
      </c>
      <c r="J82" s="459">
        <v>83300</v>
      </c>
      <c r="K82" s="459" t="s">
        <v>8</v>
      </c>
      <c r="L82" s="460"/>
      <c r="M82" s="653"/>
      <c r="N82" s="654"/>
      <c r="O82" s="656" t="s">
        <v>93</v>
      </c>
      <c r="P82" s="654">
        <v>73500</v>
      </c>
      <c r="Q82" s="654" t="s">
        <v>8</v>
      </c>
      <c r="R82" s="656"/>
      <c r="S82" s="475"/>
      <c r="T82" s="459"/>
      <c r="U82" s="460" t="s">
        <v>93</v>
      </c>
      <c r="V82" s="459"/>
      <c r="W82" s="459" t="s">
        <v>8</v>
      </c>
      <c r="X82" s="460"/>
      <c r="Y82" s="475"/>
      <c r="Z82" s="459"/>
      <c r="AA82" s="460" t="s">
        <v>93</v>
      </c>
      <c r="AB82" s="459"/>
      <c r="AC82" s="459" t="s">
        <v>8</v>
      </c>
      <c r="AD82" s="460"/>
      <c r="AE82" s="475"/>
      <c r="AF82" s="459"/>
      <c r="AG82" s="460" t="s">
        <v>93</v>
      </c>
      <c r="AH82" s="459"/>
      <c r="AI82" s="459" t="s">
        <v>8</v>
      </c>
      <c r="AJ82" s="460"/>
      <c r="AK82" s="475"/>
      <c r="AL82" s="459"/>
      <c r="AM82" s="460" t="s">
        <v>93</v>
      </c>
      <c r="AN82" s="459"/>
      <c r="AO82" s="459" t="s">
        <v>8</v>
      </c>
      <c r="AP82" s="460"/>
      <c r="AQ82" s="460"/>
    </row>
    <row r="83" spans="1:43" s="10" customFormat="1" ht="42.75" x14ac:dyDescent="0.25">
      <c r="A83" s="663"/>
      <c r="B83" s="663"/>
      <c r="C83" s="663"/>
      <c r="D83" s="663"/>
      <c r="E83" s="663"/>
      <c r="F83" s="663"/>
      <c r="G83" s="663"/>
      <c r="H83" s="663"/>
      <c r="I83" s="460" t="s">
        <v>94</v>
      </c>
      <c r="J83" s="459"/>
      <c r="K83" s="459" t="s">
        <v>8</v>
      </c>
      <c r="L83" s="460"/>
      <c r="M83" s="653"/>
      <c r="N83" s="654"/>
      <c r="O83" s="656" t="s">
        <v>94</v>
      </c>
      <c r="P83" s="654"/>
      <c r="Q83" s="654" t="s">
        <v>8</v>
      </c>
      <c r="R83" s="656"/>
      <c r="S83" s="475"/>
      <c r="T83" s="459"/>
      <c r="U83" s="460" t="s">
        <v>94</v>
      </c>
      <c r="V83" s="459"/>
      <c r="W83" s="459" t="s">
        <v>8</v>
      </c>
      <c r="X83" s="460"/>
      <c r="Y83" s="475"/>
      <c r="Z83" s="459"/>
      <c r="AA83" s="460" t="s">
        <v>94</v>
      </c>
      <c r="AB83" s="459"/>
      <c r="AC83" s="459" t="s">
        <v>8</v>
      </c>
      <c r="AD83" s="460"/>
      <c r="AE83" s="475"/>
      <c r="AF83" s="459"/>
      <c r="AG83" s="460" t="s">
        <v>94</v>
      </c>
      <c r="AH83" s="459"/>
      <c r="AI83" s="459" t="s">
        <v>8</v>
      </c>
      <c r="AJ83" s="460"/>
      <c r="AK83" s="475"/>
      <c r="AL83" s="459"/>
      <c r="AM83" s="460" t="s">
        <v>94</v>
      </c>
      <c r="AN83" s="459"/>
      <c r="AO83" s="459" t="s">
        <v>8</v>
      </c>
      <c r="AP83" s="460"/>
      <c r="AQ83" s="460"/>
    </row>
    <row r="84" spans="1:43" s="10" customFormat="1" ht="28.5" x14ac:dyDescent="0.25">
      <c r="A84" s="663"/>
      <c r="B84" s="663"/>
      <c r="C84" s="663"/>
      <c r="D84" s="663"/>
      <c r="E84" s="663"/>
      <c r="F84" s="663"/>
      <c r="G84" s="663"/>
      <c r="H84" s="663"/>
      <c r="I84" s="460" t="s">
        <v>95</v>
      </c>
      <c r="J84" s="459"/>
      <c r="K84" s="459" t="s">
        <v>8</v>
      </c>
      <c r="L84" s="460"/>
      <c r="M84" s="653"/>
      <c r="N84" s="654"/>
      <c r="O84" s="656" t="s">
        <v>95</v>
      </c>
      <c r="P84" s="654"/>
      <c r="Q84" s="654" t="s">
        <v>8</v>
      </c>
      <c r="R84" s="656"/>
      <c r="S84" s="475"/>
      <c r="T84" s="459"/>
      <c r="U84" s="460" t="s">
        <v>95</v>
      </c>
      <c r="V84" s="459"/>
      <c r="W84" s="459" t="s">
        <v>8</v>
      </c>
      <c r="X84" s="460"/>
      <c r="Y84" s="475"/>
      <c r="Z84" s="459"/>
      <c r="AA84" s="460" t="s">
        <v>95</v>
      </c>
      <c r="AB84" s="459"/>
      <c r="AC84" s="459" t="s">
        <v>8</v>
      </c>
      <c r="AD84" s="460"/>
      <c r="AE84" s="475"/>
      <c r="AF84" s="459"/>
      <c r="AG84" s="460" t="s">
        <v>95</v>
      </c>
      <c r="AH84" s="459"/>
      <c r="AI84" s="459" t="s">
        <v>8</v>
      </c>
      <c r="AJ84" s="460"/>
      <c r="AK84" s="475"/>
      <c r="AL84" s="459"/>
      <c r="AM84" s="460" t="s">
        <v>95</v>
      </c>
      <c r="AN84" s="459"/>
      <c r="AO84" s="459" t="s">
        <v>8</v>
      </c>
      <c r="AP84" s="460"/>
      <c r="AQ84" s="460"/>
    </row>
    <row r="85" spans="1:43" s="10" customFormat="1" ht="42.75" x14ac:dyDescent="0.25">
      <c r="A85" s="663"/>
      <c r="B85" s="663"/>
      <c r="C85" s="663"/>
      <c r="D85" s="663"/>
      <c r="E85" s="663"/>
      <c r="F85" s="663"/>
      <c r="G85" s="663"/>
      <c r="H85" s="663"/>
      <c r="I85" s="460" t="s">
        <v>96</v>
      </c>
      <c r="J85" s="459"/>
      <c r="K85" s="459" t="s">
        <v>14</v>
      </c>
      <c r="L85" s="460"/>
      <c r="M85" s="653"/>
      <c r="N85" s="654"/>
      <c r="O85" s="656" t="s">
        <v>96</v>
      </c>
      <c r="P85" s="654"/>
      <c r="Q85" s="654" t="s">
        <v>14</v>
      </c>
      <c r="R85" s="656"/>
      <c r="S85" s="475"/>
      <c r="T85" s="459"/>
      <c r="U85" s="460" t="s">
        <v>96</v>
      </c>
      <c r="V85" s="459"/>
      <c r="W85" s="459" t="s">
        <v>14</v>
      </c>
      <c r="X85" s="460"/>
      <c r="Y85" s="475"/>
      <c r="Z85" s="459"/>
      <c r="AA85" s="460" t="s">
        <v>96</v>
      </c>
      <c r="AB85" s="459"/>
      <c r="AC85" s="459" t="s">
        <v>14</v>
      </c>
      <c r="AD85" s="460"/>
      <c r="AE85" s="475"/>
      <c r="AF85" s="459"/>
      <c r="AG85" s="460" t="s">
        <v>96</v>
      </c>
      <c r="AH85" s="459"/>
      <c r="AI85" s="459" t="s">
        <v>14</v>
      </c>
      <c r="AJ85" s="460"/>
      <c r="AK85" s="475"/>
      <c r="AL85" s="459"/>
      <c r="AM85" s="460" t="s">
        <v>96</v>
      </c>
      <c r="AN85" s="459"/>
      <c r="AO85" s="459" t="s">
        <v>14</v>
      </c>
      <c r="AP85" s="460"/>
      <c r="AQ85" s="460"/>
    </row>
    <row r="86" spans="1:43" s="10" customFormat="1" ht="42.75" x14ac:dyDescent="0.25">
      <c r="A86" s="663"/>
      <c r="B86" s="663"/>
      <c r="C86" s="663"/>
      <c r="D86" s="663"/>
      <c r="E86" s="663"/>
      <c r="F86" s="663"/>
      <c r="G86" s="663"/>
      <c r="H86" s="663"/>
      <c r="I86" s="460" t="s">
        <v>97</v>
      </c>
      <c r="J86" s="459"/>
      <c r="K86" s="459" t="s">
        <v>16</v>
      </c>
      <c r="L86" s="460"/>
      <c r="M86" s="653"/>
      <c r="N86" s="654"/>
      <c r="O86" s="656" t="s">
        <v>97</v>
      </c>
      <c r="P86" s="654"/>
      <c r="Q86" s="654" t="s">
        <v>16</v>
      </c>
      <c r="R86" s="656"/>
      <c r="S86" s="475"/>
      <c r="T86" s="459"/>
      <c r="U86" s="460" t="s">
        <v>97</v>
      </c>
      <c r="V86" s="459"/>
      <c r="W86" s="459" t="s">
        <v>16</v>
      </c>
      <c r="X86" s="460"/>
      <c r="Y86" s="475"/>
      <c r="Z86" s="459"/>
      <c r="AA86" s="460" t="s">
        <v>97</v>
      </c>
      <c r="AB86" s="459"/>
      <c r="AC86" s="459" t="s">
        <v>16</v>
      </c>
      <c r="AD86" s="460"/>
      <c r="AE86" s="475"/>
      <c r="AF86" s="459"/>
      <c r="AG86" s="460" t="s">
        <v>97</v>
      </c>
      <c r="AH86" s="459"/>
      <c r="AI86" s="459" t="s">
        <v>16</v>
      </c>
      <c r="AJ86" s="460"/>
      <c r="AK86" s="475"/>
      <c r="AL86" s="459"/>
      <c r="AM86" s="460" t="s">
        <v>97</v>
      </c>
      <c r="AN86" s="459"/>
      <c r="AO86" s="459" t="s">
        <v>16</v>
      </c>
      <c r="AP86" s="460"/>
      <c r="AQ86" s="460"/>
    </row>
    <row r="87" spans="1:43" s="10" customFormat="1" ht="71.25" x14ac:dyDescent="0.25">
      <c r="A87" s="663"/>
      <c r="B87" s="663"/>
      <c r="C87" s="663"/>
      <c r="D87" s="663"/>
      <c r="E87" s="663"/>
      <c r="F87" s="663"/>
      <c r="G87" s="663"/>
      <c r="H87" s="663"/>
      <c r="I87" s="460" t="s">
        <v>98</v>
      </c>
      <c r="J87" s="459">
        <v>34</v>
      </c>
      <c r="K87" s="459" t="s">
        <v>14</v>
      </c>
      <c r="L87" s="460"/>
      <c r="M87" s="653"/>
      <c r="N87" s="654"/>
      <c r="O87" s="656" t="s">
        <v>98</v>
      </c>
      <c r="P87" s="654"/>
      <c r="Q87" s="654" t="s">
        <v>14</v>
      </c>
      <c r="R87" s="656"/>
      <c r="S87" s="475"/>
      <c r="T87" s="459"/>
      <c r="U87" s="460" t="s">
        <v>98</v>
      </c>
      <c r="V87" s="459"/>
      <c r="W87" s="459" t="s">
        <v>14</v>
      </c>
      <c r="X87" s="460"/>
      <c r="Y87" s="475"/>
      <c r="Z87" s="459"/>
      <c r="AA87" s="460" t="s">
        <v>98</v>
      </c>
      <c r="AB87" s="459">
        <v>25</v>
      </c>
      <c r="AC87" s="459" t="s">
        <v>14</v>
      </c>
      <c r="AD87" s="460"/>
      <c r="AE87" s="475"/>
      <c r="AF87" s="459"/>
      <c r="AG87" s="460" t="s">
        <v>98</v>
      </c>
      <c r="AH87" s="459">
        <v>20</v>
      </c>
      <c r="AI87" s="459" t="s">
        <v>14</v>
      </c>
      <c r="AJ87" s="460"/>
      <c r="AK87" s="475"/>
      <c r="AL87" s="459"/>
      <c r="AM87" s="460" t="s">
        <v>98</v>
      </c>
      <c r="AN87" s="459">
        <v>22</v>
      </c>
      <c r="AO87" s="459" t="s">
        <v>14</v>
      </c>
      <c r="AP87" s="460"/>
      <c r="AQ87" s="460"/>
    </row>
    <row r="88" spans="1:43" s="10" customFormat="1" x14ac:dyDescent="0.25">
      <c r="A88" s="663"/>
      <c r="B88" s="663"/>
      <c r="C88" s="663"/>
      <c r="D88" s="663"/>
      <c r="E88" s="663"/>
      <c r="F88" s="663"/>
      <c r="G88" s="663"/>
      <c r="H88" s="663"/>
      <c r="I88" s="460" t="s">
        <v>45</v>
      </c>
      <c r="J88" s="459"/>
      <c r="K88" s="459"/>
      <c r="L88" s="460"/>
      <c r="M88" s="653"/>
      <c r="N88" s="654"/>
      <c r="O88" s="656" t="s">
        <v>45</v>
      </c>
      <c r="P88" s="654"/>
      <c r="Q88" s="654"/>
      <c r="R88" s="656"/>
      <c r="S88" s="475"/>
      <c r="T88" s="459"/>
      <c r="U88" s="460" t="s">
        <v>45</v>
      </c>
      <c r="V88" s="459"/>
      <c r="W88" s="459"/>
      <c r="X88" s="460"/>
      <c r="Y88" s="475"/>
      <c r="Z88" s="459"/>
      <c r="AA88" s="460" t="s">
        <v>45</v>
      </c>
      <c r="AB88" s="459"/>
      <c r="AC88" s="459"/>
      <c r="AD88" s="460"/>
      <c r="AE88" s="475"/>
      <c r="AF88" s="459"/>
      <c r="AG88" s="460" t="s">
        <v>45</v>
      </c>
      <c r="AH88" s="459"/>
      <c r="AI88" s="459"/>
      <c r="AJ88" s="460"/>
      <c r="AK88" s="475"/>
      <c r="AL88" s="459"/>
      <c r="AM88" s="460" t="s">
        <v>45</v>
      </c>
      <c r="AN88" s="459"/>
      <c r="AO88" s="459"/>
      <c r="AP88" s="460"/>
      <c r="AQ88" s="460"/>
    </row>
    <row r="89" spans="1:43" ht="15.75" customHeight="1" x14ac:dyDescent="0.25">
      <c r="A89" s="678" t="s">
        <v>91</v>
      </c>
      <c r="B89" s="678"/>
      <c r="C89" s="678"/>
      <c r="D89" s="678"/>
      <c r="E89" s="678"/>
      <c r="F89" s="678"/>
      <c r="G89" s="678"/>
      <c r="H89" s="678"/>
      <c r="I89" s="678"/>
      <c r="J89" s="678"/>
      <c r="K89" s="678"/>
      <c r="L89" s="678"/>
      <c r="M89" s="678"/>
      <c r="N89" s="678"/>
      <c r="O89" s="678"/>
      <c r="P89" s="678"/>
      <c r="Q89" s="678"/>
      <c r="R89" s="678"/>
      <c r="S89" s="678"/>
      <c r="T89" s="678"/>
      <c r="U89" s="678"/>
      <c r="V89" s="678"/>
      <c r="W89" s="678"/>
      <c r="X89" s="678"/>
      <c r="Y89" s="678"/>
      <c r="Z89" s="678"/>
      <c r="AA89" s="678"/>
      <c r="AB89" s="678"/>
      <c r="AC89" s="678"/>
      <c r="AD89" s="678"/>
      <c r="AE89" s="678"/>
      <c r="AF89" s="678"/>
      <c r="AG89" s="678"/>
      <c r="AH89" s="678"/>
      <c r="AI89" s="678"/>
      <c r="AJ89" s="678"/>
      <c r="AK89" s="678"/>
      <c r="AL89" s="678"/>
      <c r="AM89" s="678"/>
      <c r="AN89" s="678"/>
      <c r="AO89" s="678"/>
      <c r="AP89" s="678"/>
      <c r="AQ89" s="678"/>
    </row>
    <row r="90" spans="1:43" s="52" customFormat="1" ht="30" x14ac:dyDescent="0.2">
      <c r="A90" s="47">
        <v>1</v>
      </c>
      <c r="B90" s="47" t="s">
        <v>116</v>
      </c>
      <c r="C90" s="48" t="s">
        <v>1177</v>
      </c>
      <c r="D90" s="48" t="s">
        <v>118</v>
      </c>
      <c r="E90" s="49">
        <v>571.9</v>
      </c>
      <c r="F90" s="50">
        <f>E90*1000*7</f>
        <v>4003300</v>
      </c>
      <c r="G90" s="47"/>
      <c r="H90" s="47"/>
      <c r="I90" s="46"/>
      <c r="J90" s="46"/>
      <c r="K90" s="46"/>
      <c r="L90" s="46"/>
      <c r="M90" s="643" t="s">
        <v>128</v>
      </c>
      <c r="N90" s="643" t="s">
        <v>1185</v>
      </c>
      <c r="O90" s="643" t="s">
        <v>41</v>
      </c>
      <c r="P90" s="643">
        <v>21</v>
      </c>
      <c r="Q90" s="643" t="s">
        <v>5</v>
      </c>
      <c r="R90" s="650">
        <f>P90*19.56*1000</f>
        <v>410760</v>
      </c>
      <c r="S90" s="46" t="s">
        <v>1185</v>
      </c>
      <c r="T90" s="46" t="s">
        <v>1186</v>
      </c>
      <c r="U90" s="46" t="s">
        <v>41</v>
      </c>
      <c r="V90" s="46">
        <v>21</v>
      </c>
      <c r="W90" s="46" t="s">
        <v>5</v>
      </c>
      <c r="X90" s="474">
        <f>V90*19.86*1000</f>
        <v>417060</v>
      </c>
      <c r="Y90" s="53" t="s">
        <v>1186</v>
      </c>
      <c r="Z90" s="53" t="s">
        <v>1187</v>
      </c>
      <c r="AA90" s="46" t="s">
        <v>41</v>
      </c>
      <c r="AB90" s="46">
        <v>21</v>
      </c>
      <c r="AC90" s="46" t="s">
        <v>5</v>
      </c>
      <c r="AD90" s="474">
        <f>AB90*19.94*1000</f>
        <v>418740</v>
      </c>
      <c r="AE90" s="53" t="s">
        <v>1187</v>
      </c>
      <c r="AF90" s="53" t="s">
        <v>1188</v>
      </c>
      <c r="AG90" s="46" t="s">
        <v>41</v>
      </c>
      <c r="AH90" s="46">
        <v>21</v>
      </c>
      <c r="AI90" s="46" t="s">
        <v>5</v>
      </c>
      <c r="AJ90" s="474">
        <f>AH90*20.02*1000</f>
        <v>420420</v>
      </c>
      <c r="AK90" s="53" t="s">
        <v>1188</v>
      </c>
      <c r="AL90" s="53" t="s">
        <v>1189</v>
      </c>
      <c r="AM90" s="46" t="s">
        <v>41</v>
      </c>
      <c r="AN90" s="46">
        <v>21.34</v>
      </c>
      <c r="AO90" s="46" t="s">
        <v>5</v>
      </c>
      <c r="AP90" s="474">
        <f>AN90*20.22*1000</f>
        <v>431494.8</v>
      </c>
      <c r="AQ90" s="53"/>
    </row>
    <row r="91" spans="1:43" s="52" customFormat="1" ht="30" x14ac:dyDescent="0.2">
      <c r="A91" s="47">
        <v>2</v>
      </c>
      <c r="B91" s="47" t="s">
        <v>129</v>
      </c>
      <c r="C91" s="48" t="s">
        <v>1178</v>
      </c>
      <c r="D91" s="48" t="s">
        <v>131</v>
      </c>
      <c r="E91" s="49">
        <v>290.55</v>
      </c>
      <c r="F91" s="50">
        <f>E91*1000*7</f>
        <v>2033850</v>
      </c>
      <c r="G91" s="47"/>
      <c r="H91" s="47"/>
      <c r="I91" s="46"/>
      <c r="J91" s="46"/>
      <c r="K91" s="46"/>
      <c r="L91" s="46"/>
      <c r="M91" s="643" t="s">
        <v>109</v>
      </c>
      <c r="N91" s="643" t="s">
        <v>1195</v>
      </c>
      <c r="O91" s="643" t="s">
        <v>105</v>
      </c>
      <c r="P91" s="643">
        <v>23</v>
      </c>
      <c r="Q91" s="643" t="s">
        <v>5</v>
      </c>
      <c r="R91" s="650">
        <f>P91*14.56*1000</f>
        <v>334880</v>
      </c>
      <c r="S91" s="46" t="s">
        <v>1195</v>
      </c>
      <c r="T91" s="46" t="s">
        <v>1196</v>
      </c>
      <c r="U91" s="46" t="s">
        <v>105</v>
      </c>
      <c r="V91" s="46">
        <v>23</v>
      </c>
      <c r="W91" s="46" t="s">
        <v>5</v>
      </c>
      <c r="X91" s="474">
        <f>V91*14.74*1000</f>
        <v>339020</v>
      </c>
      <c r="Y91" s="53" t="s">
        <v>1196</v>
      </c>
      <c r="Z91" s="53" t="s">
        <v>1197</v>
      </c>
      <c r="AA91" s="46" t="s">
        <v>105</v>
      </c>
      <c r="AB91" s="46">
        <v>23</v>
      </c>
      <c r="AC91" s="46" t="s">
        <v>5</v>
      </c>
      <c r="AD91" s="474">
        <f>AB91*14.95*1000</f>
        <v>343849.99999999994</v>
      </c>
      <c r="AE91" s="53" t="s">
        <v>1197</v>
      </c>
      <c r="AF91" s="53" t="s">
        <v>1198</v>
      </c>
      <c r="AG91" s="46" t="s">
        <v>105</v>
      </c>
      <c r="AH91" s="46">
        <v>23</v>
      </c>
      <c r="AI91" s="46" t="s">
        <v>5</v>
      </c>
      <c r="AJ91" s="474">
        <f>AH91*15.05*1000</f>
        <v>346150.00000000006</v>
      </c>
      <c r="AK91" s="53" t="s">
        <v>1198</v>
      </c>
      <c r="AL91" s="53" t="s">
        <v>122</v>
      </c>
      <c r="AM91" s="46" t="s">
        <v>105</v>
      </c>
      <c r="AN91" s="46">
        <v>20</v>
      </c>
      <c r="AO91" s="46" t="s">
        <v>5</v>
      </c>
      <c r="AP91" s="474">
        <f>AN91*15.12*1000</f>
        <v>302400</v>
      </c>
      <c r="AQ91" s="53"/>
    </row>
    <row r="92" spans="1:43" s="52" customFormat="1" ht="45" x14ac:dyDescent="0.2">
      <c r="A92" s="47">
        <v>3</v>
      </c>
      <c r="B92" s="47" t="s">
        <v>133</v>
      </c>
      <c r="C92" s="48" t="s">
        <v>1179</v>
      </c>
      <c r="D92" s="48" t="s">
        <v>134</v>
      </c>
      <c r="E92" s="49">
        <v>297.51499999999999</v>
      </c>
      <c r="F92" s="50">
        <f>E92*1000*7</f>
        <v>2082605</v>
      </c>
      <c r="G92" s="47"/>
      <c r="H92" s="47"/>
      <c r="I92" s="46"/>
      <c r="J92" s="46"/>
      <c r="K92" s="46"/>
      <c r="L92" s="46"/>
      <c r="M92" s="643" t="s">
        <v>1200</v>
      </c>
      <c r="N92" s="643" t="s">
        <v>1199</v>
      </c>
      <c r="O92" s="643" t="s">
        <v>105</v>
      </c>
      <c r="P92" s="643">
        <v>47.5</v>
      </c>
      <c r="Q92" s="643" t="s">
        <v>5</v>
      </c>
      <c r="R92" s="650">
        <f>P92*14.56*1000</f>
        <v>691600</v>
      </c>
      <c r="S92" s="46" t="s">
        <v>1201</v>
      </c>
      <c r="T92" s="46" t="s">
        <v>1200</v>
      </c>
      <c r="U92" s="46" t="s">
        <v>105</v>
      </c>
      <c r="V92" s="46">
        <v>50</v>
      </c>
      <c r="W92" s="46" t="s">
        <v>5</v>
      </c>
      <c r="X92" s="474">
        <f>V92*14.74*1000</f>
        <v>737000</v>
      </c>
      <c r="Y92" s="53" t="s">
        <v>1202</v>
      </c>
      <c r="Z92" s="53" t="s">
        <v>1201</v>
      </c>
      <c r="AA92" s="53" t="s">
        <v>105</v>
      </c>
      <c r="AB92" s="46">
        <v>50</v>
      </c>
      <c r="AC92" s="46" t="s">
        <v>5</v>
      </c>
      <c r="AD92" s="474">
        <f>AB92*14.95*1000</f>
        <v>747500</v>
      </c>
      <c r="AE92" s="53" t="s">
        <v>1203</v>
      </c>
      <c r="AF92" s="53" t="s">
        <v>1202</v>
      </c>
      <c r="AG92" s="46" t="s">
        <v>105</v>
      </c>
      <c r="AH92" s="46">
        <v>50</v>
      </c>
      <c r="AI92" s="46" t="s">
        <v>5</v>
      </c>
      <c r="AJ92" s="474">
        <f>AH92*15.05*1000</f>
        <v>752500</v>
      </c>
      <c r="AK92" s="53" t="s">
        <v>227</v>
      </c>
      <c r="AL92" s="53" t="s">
        <v>1203</v>
      </c>
      <c r="AM92" s="46" t="s">
        <v>105</v>
      </c>
      <c r="AN92" s="46">
        <v>37.637</v>
      </c>
      <c r="AO92" s="46" t="s">
        <v>5</v>
      </c>
      <c r="AP92" s="474">
        <f t="shared" ref="AP92:AP93" si="3">AN92*15.12*1000</f>
        <v>569071.43999999994</v>
      </c>
      <c r="AQ92" s="53"/>
    </row>
    <row r="93" spans="1:43" s="52" customFormat="1" x14ac:dyDescent="0.2">
      <c r="A93" s="47"/>
      <c r="B93" s="47"/>
      <c r="C93" s="48"/>
      <c r="D93" s="48"/>
      <c r="E93" s="49"/>
      <c r="F93" s="50"/>
      <c r="G93" s="47"/>
      <c r="H93" s="47"/>
      <c r="I93" s="46"/>
      <c r="J93" s="46"/>
      <c r="K93" s="46"/>
      <c r="L93" s="46"/>
      <c r="M93" s="643"/>
      <c r="N93" s="643"/>
      <c r="O93" s="643"/>
      <c r="P93" s="643"/>
      <c r="Q93" s="643"/>
      <c r="R93" s="650"/>
      <c r="S93" s="46"/>
      <c r="T93" s="46"/>
      <c r="U93" s="46"/>
      <c r="V93" s="46"/>
      <c r="W93" s="46"/>
      <c r="X93" s="474"/>
      <c r="Y93" s="53"/>
      <c r="Z93" s="53"/>
      <c r="AA93" s="53"/>
      <c r="AB93" s="46"/>
      <c r="AC93" s="46"/>
      <c r="AD93" s="474"/>
      <c r="AE93" s="53"/>
      <c r="AF93" s="53"/>
      <c r="AG93" s="46"/>
      <c r="AH93" s="46"/>
      <c r="AI93" s="46"/>
      <c r="AJ93" s="474"/>
      <c r="AK93" s="53" t="s">
        <v>109</v>
      </c>
      <c r="AL93" s="53" t="s">
        <v>110</v>
      </c>
      <c r="AM93" s="46" t="s">
        <v>105</v>
      </c>
      <c r="AN93" s="46">
        <v>10</v>
      </c>
      <c r="AO93" s="46" t="s">
        <v>5</v>
      </c>
      <c r="AP93" s="474">
        <f t="shared" si="3"/>
        <v>151200</v>
      </c>
      <c r="AQ93" s="53"/>
    </row>
    <row r="94" spans="1:43" s="52" customFormat="1" ht="30" x14ac:dyDescent="0.2">
      <c r="A94" s="47">
        <v>4</v>
      </c>
      <c r="B94" s="47" t="s">
        <v>199</v>
      </c>
      <c r="C94" s="48" t="s">
        <v>1180</v>
      </c>
      <c r="D94" s="48" t="s">
        <v>200</v>
      </c>
      <c r="E94" s="49">
        <v>68</v>
      </c>
      <c r="F94" s="50">
        <f t="shared" ref="F94" si="4">E94*1000*7</f>
        <v>476000</v>
      </c>
      <c r="G94" s="47"/>
      <c r="H94" s="47"/>
      <c r="I94" s="46"/>
      <c r="J94" s="46"/>
      <c r="K94" s="46"/>
      <c r="L94" s="46"/>
      <c r="M94" s="643"/>
      <c r="N94" s="643"/>
      <c r="O94" s="643"/>
      <c r="P94" s="643"/>
      <c r="Q94" s="643"/>
      <c r="R94" s="643"/>
      <c r="S94" s="46" t="s">
        <v>109</v>
      </c>
      <c r="T94" s="46" t="s">
        <v>198</v>
      </c>
      <c r="U94" s="46" t="s">
        <v>105</v>
      </c>
      <c r="V94" s="46">
        <v>35</v>
      </c>
      <c r="W94" s="46" t="s">
        <v>5</v>
      </c>
      <c r="X94" s="474">
        <f>V94*14.74*1000</f>
        <v>515900</v>
      </c>
      <c r="Y94" s="53" t="s">
        <v>225</v>
      </c>
      <c r="Z94" s="53" t="s">
        <v>1190</v>
      </c>
      <c r="AA94" s="53" t="s">
        <v>105</v>
      </c>
      <c r="AB94" s="46">
        <v>26</v>
      </c>
      <c r="AC94" s="46" t="s">
        <v>5</v>
      </c>
      <c r="AD94" s="474">
        <f>AB94*14.95*1000</f>
        <v>388700</v>
      </c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</row>
    <row r="95" spans="1:43" s="52" customFormat="1" ht="30" x14ac:dyDescent="0.2">
      <c r="A95" s="47">
        <v>5</v>
      </c>
      <c r="B95" s="47" t="s">
        <v>175</v>
      </c>
      <c r="C95" s="48" t="s">
        <v>1181</v>
      </c>
      <c r="D95" s="53" t="s">
        <v>177</v>
      </c>
      <c r="E95" s="49">
        <v>237.19499999999999</v>
      </c>
      <c r="F95" s="50">
        <f>E95*1000*7</f>
        <v>1660365</v>
      </c>
      <c r="G95" s="47"/>
      <c r="H95" s="47"/>
      <c r="I95" s="46"/>
      <c r="J95" s="46"/>
      <c r="K95" s="46"/>
      <c r="L95" s="46"/>
      <c r="M95" s="643" t="s">
        <v>1201</v>
      </c>
      <c r="N95" s="643" t="s">
        <v>1191</v>
      </c>
      <c r="O95" s="643" t="s">
        <v>41</v>
      </c>
      <c r="P95" s="643">
        <v>37.195</v>
      </c>
      <c r="Q95" s="643" t="s">
        <v>5</v>
      </c>
      <c r="R95" s="650">
        <f>P95*14.56*1000</f>
        <v>541559.20000000007</v>
      </c>
      <c r="S95" s="46" t="s">
        <v>1202</v>
      </c>
      <c r="T95" s="46" t="s">
        <v>1201</v>
      </c>
      <c r="U95" s="46" t="s">
        <v>41</v>
      </c>
      <c r="V95" s="46">
        <v>50</v>
      </c>
      <c r="W95" s="46" t="s">
        <v>5</v>
      </c>
      <c r="X95" s="474">
        <f>V95*14.74*1000</f>
        <v>737000</v>
      </c>
      <c r="Y95" s="53" t="s">
        <v>1203</v>
      </c>
      <c r="Z95" s="53" t="s">
        <v>1202</v>
      </c>
      <c r="AA95" s="53" t="s">
        <v>41</v>
      </c>
      <c r="AB95" s="46">
        <v>50</v>
      </c>
      <c r="AC95" s="46" t="s">
        <v>5</v>
      </c>
      <c r="AD95" s="474">
        <f>AB95*14.95*1000</f>
        <v>747500</v>
      </c>
      <c r="AE95" s="53" t="s">
        <v>178</v>
      </c>
      <c r="AF95" s="53" t="s">
        <v>1203</v>
      </c>
      <c r="AG95" s="46" t="s">
        <v>41</v>
      </c>
      <c r="AH95" s="46">
        <v>30.5</v>
      </c>
      <c r="AI95" s="46" t="s">
        <v>5</v>
      </c>
      <c r="AJ95" s="474">
        <f>AH95*15.05*1000</f>
        <v>459025.00000000006</v>
      </c>
      <c r="AK95" s="53"/>
      <c r="AL95" s="53"/>
      <c r="AM95" s="53"/>
      <c r="AN95" s="53"/>
      <c r="AO95" s="53"/>
      <c r="AP95" s="53"/>
      <c r="AQ95" s="53"/>
    </row>
    <row r="96" spans="1:43" s="52" customFormat="1" ht="30" x14ac:dyDescent="0.2">
      <c r="A96" s="47">
        <v>6</v>
      </c>
      <c r="B96" s="47" t="s">
        <v>184</v>
      </c>
      <c r="C96" s="46" t="s">
        <v>1182</v>
      </c>
      <c r="D96" s="53" t="s">
        <v>185</v>
      </c>
      <c r="E96" s="49">
        <v>51</v>
      </c>
      <c r="F96" s="50">
        <f>E96*1000*7</f>
        <v>357000</v>
      </c>
      <c r="G96" s="47"/>
      <c r="H96" s="47"/>
      <c r="I96" s="46"/>
      <c r="J96" s="46"/>
      <c r="K96" s="46"/>
      <c r="L96" s="46"/>
      <c r="M96" s="643"/>
      <c r="N96" s="643"/>
      <c r="O96" s="643"/>
      <c r="P96" s="643"/>
      <c r="Q96" s="643"/>
      <c r="R96" s="643"/>
      <c r="S96" s="46"/>
      <c r="T96" s="46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46" t="s">
        <v>1167</v>
      </c>
      <c r="AL96" s="46" t="s">
        <v>1192</v>
      </c>
      <c r="AM96" s="46" t="s">
        <v>41</v>
      </c>
      <c r="AN96" s="46">
        <v>22.6</v>
      </c>
      <c r="AO96" s="46" t="s">
        <v>5</v>
      </c>
      <c r="AP96" s="474">
        <f t="shared" ref="AP96" si="5">AN96*15.12*1000</f>
        <v>341712</v>
      </c>
      <c r="AQ96" s="53"/>
    </row>
    <row r="97" spans="1:43" s="52" customFormat="1" ht="30" x14ac:dyDescent="0.2">
      <c r="A97" s="47">
        <v>7</v>
      </c>
      <c r="B97" s="47"/>
      <c r="C97" s="46" t="s">
        <v>1183</v>
      </c>
      <c r="D97" s="53"/>
      <c r="E97" s="49">
        <v>52</v>
      </c>
      <c r="F97" s="50">
        <f>E97*1000*7</f>
        <v>364000</v>
      </c>
      <c r="G97" s="47"/>
      <c r="H97" s="47"/>
      <c r="I97" s="46"/>
      <c r="J97" s="46"/>
      <c r="K97" s="46"/>
      <c r="L97" s="46"/>
      <c r="M97" s="643" t="s">
        <v>109</v>
      </c>
      <c r="N97" s="643" t="s">
        <v>110</v>
      </c>
      <c r="O97" s="643" t="s">
        <v>41</v>
      </c>
      <c r="P97" s="643">
        <v>10</v>
      </c>
      <c r="Q97" s="643" t="s">
        <v>5</v>
      </c>
      <c r="R97" s="650">
        <f>P97*14.56*1000</f>
        <v>145600</v>
      </c>
      <c r="S97" s="46" t="s">
        <v>110</v>
      </c>
      <c r="T97" s="46" t="s">
        <v>112</v>
      </c>
      <c r="U97" s="46" t="s">
        <v>41</v>
      </c>
      <c r="V97" s="46">
        <v>10</v>
      </c>
      <c r="W97" s="46" t="s">
        <v>5</v>
      </c>
      <c r="X97" s="474">
        <f>V97*14.74*1000</f>
        <v>147400</v>
      </c>
      <c r="Y97" s="53" t="s">
        <v>112</v>
      </c>
      <c r="Z97" s="53" t="s">
        <v>113</v>
      </c>
      <c r="AA97" s="53" t="s">
        <v>41</v>
      </c>
      <c r="AB97" s="46">
        <v>10</v>
      </c>
      <c r="AC97" s="46" t="s">
        <v>5</v>
      </c>
      <c r="AD97" s="474">
        <f>AB97*14.95*1000</f>
        <v>149500</v>
      </c>
      <c r="AE97" s="53" t="s">
        <v>113</v>
      </c>
      <c r="AF97" s="53" t="s">
        <v>114</v>
      </c>
      <c r="AG97" s="46" t="s">
        <v>41</v>
      </c>
      <c r="AH97" s="46">
        <v>10</v>
      </c>
      <c r="AI97" s="46" t="s">
        <v>5</v>
      </c>
      <c r="AJ97" s="474">
        <f>AH97*15.05*1000</f>
        <v>150500</v>
      </c>
      <c r="AK97" s="53" t="s">
        <v>114</v>
      </c>
      <c r="AL97" s="53" t="s">
        <v>1193</v>
      </c>
      <c r="AM97" s="46" t="s">
        <v>41</v>
      </c>
      <c r="AN97" s="46">
        <v>12</v>
      </c>
      <c r="AO97" s="46" t="s">
        <v>5</v>
      </c>
      <c r="AP97" s="474">
        <f t="shared" ref="AP97" si="6">AN97*15.12*1000</f>
        <v>181440</v>
      </c>
      <c r="AQ97" s="53"/>
    </row>
    <row r="98" spans="1:43" s="52" customFormat="1" ht="30" x14ac:dyDescent="0.2">
      <c r="A98" s="47">
        <v>8</v>
      </c>
      <c r="B98" s="47"/>
      <c r="C98" s="46" t="s">
        <v>1184</v>
      </c>
      <c r="D98" s="53"/>
      <c r="E98" s="49"/>
      <c r="F98" s="50"/>
      <c r="G98" s="47"/>
      <c r="H98" s="47"/>
      <c r="I98" s="46"/>
      <c r="J98" s="46"/>
      <c r="K98" s="46"/>
      <c r="L98" s="46"/>
      <c r="M98" s="643"/>
      <c r="N98" s="643"/>
      <c r="O98" s="643"/>
      <c r="P98" s="643"/>
      <c r="Q98" s="643"/>
      <c r="R98" s="643"/>
      <c r="S98" s="46"/>
      <c r="T98" s="46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 t="s">
        <v>109</v>
      </c>
      <c r="AL98" s="53" t="s">
        <v>1194</v>
      </c>
      <c r="AM98" s="46" t="s">
        <v>41</v>
      </c>
      <c r="AN98" s="46">
        <v>7.5</v>
      </c>
      <c r="AO98" s="46" t="s">
        <v>5</v>
      </c>
      <c r="AP98" s="474">
        <f t="shared" ref="AP98" si="7">AN98*15.12*1000</f>
        <v>113399.99999999999</v>
      </c>
      <c r="AQ98" s="53"/>
    </row>
    <row r="99" spans="1:43" s="477" customFormat="1" x14ac:dyDescent="0.2">
      <c r="A99" s="679" t="s">
        <v>21</v>
      </c>
      <c r="B99" s="679"/>
      <c r="C99" s="679"/>
      <c r="D99" s="679"/>
      <c r="E99" s="9"/>
      <c r="F99" s="9"/>
      <c r="G99" s="9"/>
      <c r="H99" s="9"/>
      <c r="I99" s="461"/>
      <c r="J99" s="461">
        <f>J90+J91+J92+J93+J94+J95+J96+J97+J98</f>
        <v>0</v>
      </c>
      <c r="K99" s="461">
        <f t="shared" ref="K99:AP99" si="8">K90+K91+K92+K93+K94+K95+K96+K97+K98</f>
        <v>0</v>
      </c>
      <c r="L99" s="461">
        <f t="shared" si="8"/>
        <v>0</v>
      </c>
      <c r="M99" s="654"/>
      <c r="N99" s="654"/>
      <c r="O99" s="654"/>
      <c r="P99" s="654">
        <f t="shared" si="8"/>
        <v>138.69499999999999</v>
      </c>
      <c r="Q99" s="654"/>
      <c r="R99" s="657">
        <f t="shared" si="8"/>
        <v>2124399.2000000002</v>
      </c>
      <c r="S99" s="461"/>
      <c r="T99" s="461"/>
      <c r="U99" s="461"/>
      <c r="V99" s="461">
        <f t="shared" si="8"/>
        <v>189</v>
      </c>
      <c r="W99" s="461"/>
      <c r="X99" s="478">
        <f t="shared" si="8"/>
        <v>2893380</v>
      </c>
      <c r="Y99" s="461"/>
      <c r="Z99" s="461"/>
      <c r="AA99" s="461"/>
      <c r="AB99" s="461">
        <f t="shared" si="8"/>
        <v>180</v>
      </c>
      <c r="AC99" s="461"/>
      <c r="AD99" s="478">
        <f t="shared" si="8"/>
        <v>2795790</v>
      </c>
      <c r="AE99" s="461"/>
      <c r="AF99" s="461"/>
      <c r="AG99" s="461"/>
      <c r="AH99" s="461">
        <f t="shared" si="8"/>
        <v>134.5</v>
      </c>
      <c r="AI99" s="461"/>
      <c r="AJ99" s="478">
        <f t="shared" si="8"/>
        <v>2128595</v>
      </c>
      <c r="AK99" s="461"/>
      <c r="AL99" s="461"/>
      <c r="AM99" s="461"/>
      <c r="AN99" s="461">
        <f t="shared" si="8"/>
        <v>131.077</v>
      </c>
      <c r="AO99" s="461"/>
      <c r="AP99" s="478">
        <f t="shared" si="8"/>
        <v>2090718.24</v>
      </c>
      <c r="AQ99" s="418"/>
    </row>
    <row r="100" spans="1:43" s="10" customFormat="1" x14ac:dyDescent="0.25">
      <c r="A100" s="680" t="s">
        <v>22</v>
      </c>
      <c r="B100" s="680"/>
      <c r="C100" s="680"/>
      <c r="D100" s="680"/>
      <c r="E100" s="680"/>
      <c r="F100" s="680"/>
      <c r="G100" s="680"/>
      <c r="H100" s="680"/>
      <c r="I100" s="681" t="s">
        <v>11</v>
      </c>
      <c r="J100" s="468"/>
      <c r="K100" s="468" t="s">
        <v>5</v>
      </c>
      <c r="L100" s="468"/>
      <c r="M100" s="654"/>
      <c r="N100" s="654"/>
      <c r="O100" s="667" t="s">
        <v>11</v>
      </c>
      <c r="P100" s="654">
        <f>P91+P92</f>
        <v>70.5</v>
      </c>
      <c r="Q100" s="654" t="s">
        <v>5</v>
      </c>
      <c r="R100" s="655">
        <f>R91+R92</f>
        <v>1026480</v>
      </c>
      <c r="S100" s="468"/>
      <c r="T100" s="468"/>
      <c r="U100" s="681" t="s">
        <v>11</v>
      </c>
      <c r="V100" s="468">
        <f>V91+V92+V94</f>
        <v>108</v>
      </c>
      <c r="W100" s="468" t="s">
        <v>5</v>
      </c>
      <c r="X100" s="479">
        <f>X91+X92+X94</f>
        <v>1591920</v>
      </c>
      <c r="Y100" s="468"/>
      <c r="Z100" s="468"/>
      <c r="AA100" s="681" t="s">
        <v>11</v>
      </c>
      <c r="AB100" s="468">
        <f>AB91+AB92+AB94</f>
        <v>99</v>
      </c>
      <c r="AC100" s="468" t="s">
        <v>5</v>
      </c>
      <c r="AD100" s="479">
        <f>AD91+AD92+AD94</f>
        <v>1480050</v>
      </c>
      <c r="AE100" s="468"/>
      <c r="AF100" s="468"/>
      <c r="AG100" s="681" t="s">
        <v>11</v>
      </c>
      <c r="AH100" s="468">
        <f>AH91+AH92</f>
        <v>73</v>
      </c>
      <c r="AI100" s="468" t="s">
        <v>5</v>
      </c>
      <c r="AJ100" s="479">
        <f>AJ91+AJ92</f>
        <v>1098650</v>
      </c>
      <c r="AK100" s="468"/>
      <c r="AL100" s="468"/>
      <c r="AM100" s="681" t="s">
        <v>11</v>
      </c>
      <c r="AN100" s="468">
        <f>AN91+AN92+AN93</f>
        <v>67.637</v>
      </c>
      <c r="AO100" s="468" t="s">
        <v>5</v>
      </c>
      <c r="AP100" s="479">
        <f>AP91+AP92+AP93</f>
        <v>1022671.44</v>
      </c>
      <c r="AQ100" s="468"/>
    </row>
    <row r="101" spans="1:43" s="10" customFormat="1" x14ac:dyDescent="0.25">
      <c r="A101" s="680"/>
      <c r="B101" s="680"/>
      <c r="C101" s="680"/>
      <c r="D101" s="680"/>
      <c r="E101" s="680"/>
      <c r="F101" s="680"/>
      <c r="G101" s="680"/>
      <c r="H101" s="680"/>
      <c r="I101" s="681"/>
      <c r="J101" s="468"/>
      <c r="K101" s="468" t="s">
        <v>8</v>
      </c>
      <c r="L101" s="468"/>
      <c r="M101" s="654"/>
      <c r="N101" s="654"/>
      <c r="O101" s="667"/>
      <c r="P101" s="654">
        <f>P100*7*1000</f>
        <v>493500</v>
      </c>
      <c r="Q101" s="654" t="s">
        <v>8</v>
      </c>
      <c r="R101" s="654"/>
      <c r="S101" s="468"/>
      <c r="T101" s="468"/>
      <c r="U101" s="681"/>
      <c r="V101" s="468">
        <f>V100*7000</f>
        <v>756000</v>
      </c>
      <c r="W101" s="468" t="s">
        <v>8</v>
      </c>
      <c r="X101" s="468"/>
      <c r="Y101" s="468"/>
      <c r="Z101" s="468"/>
      <c r="AA101" s="681"/>
      <c r="AB101" s="468">
        <f>AB100*7000</f>
        <v>693000</v>
      </c>
      <c r="AC101" s="468" t="s">
        <v>8</v>
      </c>
      <c r="AD101" s="468"/>
      <c r="AE101" s="468"/>
      <c r="AF101" s="468"/>
      <c r="AG101" s="681"/>
      <c r="AH101" s="468">
        <f>AH100*7000</f>
        <v>511000</v>
      </c>
      <c r="AI101" s="468" t="s">
        <v>8</v>
      </c>
      <c r="AJ101" s="468"/>
      <c r="AK101" s="468"/>
      <c r="AL101" s="468"/>
      <c r="AM101" s="681"/>
      <c r="AN101" s="468">
        <f>AN100*7000</f>
        <v>473459</v>
      </c>
      <c r="AO101" s="468" t="s">
        <v>8</v>
      </c>
      <c r="AP101" s="468"/>
      <c r="AQ101" s="468"/>
    </row>
    <row r="102" spans="1:43" s="10" customFormat="1" x14ac:dyDescent="0.25">
      <c r="A102" s="680"/>
      <c r="B102" s="680"/>
      <c r="C102" s="680"/>
      <c r="D102" s="680"/>
      <c r="E102" s="680"/>
      <c r="F102" s="680"/>
      <c r="G102" s="680"/>
      <c r="H102" s="680"/>
      <c r="I102" s="681" t="s">
        <v>41</v>
      </c>
      <c r="J102" s="468"/>
      <c r="K102" s="468" t="s">
        <v>5</v>
      </c>
      <c r="L102" s="468"/>
      <c r="M102" s="654"/>
      <c r="N102" s="654"/>
      <c r="O102" s="667" t="s">
        <v>41</v>
      </c>
      <c r="P102" s="654">
        <f>P90+P95+P97</f>
        <v>68.194999999999993</v>
      </c>
      <c r="Q102" s="654" t="s">
        <v>5</v>
      </c>
      <c r="R102" s="655">
        <f>R90+R95+R97</f>
        <v>1097919.2000000002</v>
      </c>
      <c r="S102" s="468"/>
      <c r="T102" s="468"/>
      <c r="U102" s="681" t="s">
        <v>41</v>
      </c>
      <c r="V102" s="468">
        <f>V90+V95+V97</f>
        <v>81</v>
      </c>
      <c r="W102" s="468" t="s">
        <v>5</v>
      </c>
      <c r="X102" s="479">
        <f>X90+X95+X97</f>
        <v>1301460</v>
      </c>
      <c r="Y102" s="468"/>
      <c r="Z102" s="468"/>
      <c r="AA102" s="681" t="s">
        <v>41</v>
      </c>
      <c r="AB102" s="468">
        <f>AB90+AB95+AB97</f>
        <v>81</v>
      </c>
      <c r="AC102" s="468" t="s">
        <v>5</v>
      </c>
      <c r="AD102" s="479">
        <f>AD90+AD95+AD97</f>
        <v>1315740</v>
      </c>
      <c r="AE102" s="468"/>
      <c r="AF102" s="468"/>
      <c r="AG102" s="681" t="s">
        <v>41</v>
      </c>
      <c r="AH102" s="468">
        <f>AH90+AH95+AH97</f>
        <v>61.5</v>
      </c>
      <c r="AI102" s="468" t="s">
        <v>5</v>
      </c>
      <c r="AJ102" s="479">
        <f>AJ90+AJ95+AJ97</f>
        <v>1029945</v>
      </c>
      <c r="AK102" s="468"/>
      <c r="AL102" s="468"/>
      <c r="AM102" s="681" t="s">
        <v>41</v>
      </c>
      <c r="AN102" s="468">
        <f>AN90+AN96+AN97+AN98</f>
        <v>63.44</v>
      </c>
      <c r="AO102" s="468" t="s">
        <v>5</v>
      </c>
      <c r="AP102" s="479">
        <f>AP90+AP96+AP97+AP98</f>
        <v>1068046.8</v>
      </c>
      <c r="AQ102" s="468"/>
    </row>
    <row r="103" spans="1:43" s="10" customFormat="1" x14ac:dyDescent="0.25">
      <c r="A103" s="680"/>
      <c r="B103" s="680"/>
      <c r="C103" s="680"/>
      <c r="D103" s="680"/>
      <c r="E103" s="680"/>
      <c r="F103" s="680"/>
      <c r="G103" s="680"/>
      <c r="H103" s="680"/>
      <c r="I103" s="681"/>
      <c r="J103" s="468"/>
      <c r="K103" s="468" t="s">
        <v>8</v>
      </c>
      <c r="L103" s="468"/>
      <c r="M103" s="654"/>
      <c r="N103" s="654"/>
      <c r="O103" s="667"/>
      <c r="P103" s="654">
        <f>P102*7000</f>
        <v>477364.99999999994</v>
      </c>
      <c r="Q103" s="654" t="s">
        <v>8</v>
      </c>
      <c r="R103" s="654"/>
      <c r="S103" s="468"/>
      <c r="T103" s="468"/>
      <c r="U103" s="681"/>
      <c r="V103" s="468">
        <f>V102*7000</f>
        <v>567000</v>
      </c>
      <c r="W103" s="468" t="s">
        <v>8</v>
      </c>
      <c r="X103" s="468"/>
      <c r="Y103" s="468"/>
      <c r="Z103" s="468"/>
      <c r="AA103" s="681"/>
      <c r="AB103" s="468"/>
      <c r="AC103" s="468" t="s">
        <v>8</v>
      </c>
      <c r="AD103" s="468"/>
      <c r="AE103" s="468"/>
      <c r="AF103" s="468"/>
      <c r="AG103" s="681"/>
      <c r="AH103" s="468">
        <f>AH102*7000</f>
        <v>430500</v>
      </c>
      <c r="AI103" s="468" t="s">
        <v>8</v>
      </c>
      <c r="AJ103" s="468"/>
      <c r="AK103" s="468"/>
      <c r="AL103" s="468"/>
      <c r="AM103" s="681"/>
      <c r="AN103" s="468">
        <f>AN102*7000</f>
        <v>444080</v>
      </c>
      <c r="AO103" s="468" t="s">
        <v>8</v>
      </c>
      <c r="AP103" s="468"/>
      <c r="AQ103" s="468"/>
    </row>
    <row r="104" spans="1:43" s="10" customFormat="1" x14ac:dyDescent="0.25">
      <c r="A104" s="680"/>
      <c r="B104" s="680"/>
      <c r="C104" s="680"/>
      <c r="D104" s="680"/>
      <c r="E104" s="680"/>
      <c r="F104" s="680"/>
      <c r="G104" s="680"/>
      <c r="H104" s="680"/>
      <c r="I104" s="681" t="s">
        <v>42</v>
      </c>
      <c r="J104" s="468"/>
      <c r="K104" s="468" t="s">
        <v>5</v>
      </c>
      <c r="L104" s="468"/>
      <c r="M104" s="654"/>
      <c r="N104" s="654"/>
      <c r="O104" s="667" t="s">
        <v>42</v>
      </c>
      <c r="P104" s="654"/>
      <c r="Q104" s="654" t="s">
        <v>5</v>
      </c>
      <c r="R104" s="654"/>
      <c r="S104" s="468"/>
      <c r="T104" s="468"/>
      <c r="U104" s="681" t="s">
        <v>42</v>
      </c>
      <c r="V104" s="468"/>
      <c r="W104" s="468" t="s">
        <v>5</v>
      </c>
      <c r="X104" s="468"/>
      <c r="Y104" s="468"/>
      <c r="Z104" s="468"/>
      <c r="AA104" s="681" t="s">
        <v>42</v>
      </c>
      <c r="AB104" s="468"/>
      <c r="AC104" s="468" t="s">
        <v>5</v>
      </c>
      <c r="AD104" s="468"/>
      <c r="AE104" s="468"/>
      <c r="AF104" s="468"/>
      <c r="AG104" s="681" t="s">
        <v>42</v>
      </c>
      <c r="AH104" s="468"/>
      <c r="AI104" s="468" t="s">
        <v>5</v>
      </c>
      <c r="AJ104" s="468"/>
      <c r="AK104" s="468"/>
      <c r="AL104" s="468"/>
      <c r="AM104" s="681" t="s">
        <v>42</v>
      </c>
      <c r="AN104" s="468"/>
      <c r="AO104" s="468" t="s">
        <v>5</v>
      </c>
      <c r="AP104" s="468"/>
      <c r="AQ104" s="468"/>
    </row>
    <row r="105" spans="1:43" s="10" customFormat="1" x14ac:dyDescent="0.25">
      <c r="A105" s="680"/>
      <c r="B105" s="680"/>
      <c r="C105" s="680"/>
      <c r="D105" s="680"/>
      <c r="E105" s="680"/>
      <c r="F105" s="680"/>
      <c r="G105" s="680"/>
      <c r="H105" s="680"/>
      <c r="I105" s="681"/>
      <c r="J105" s="468"/>
      <c r="K105" s="468" t="s">
        <v>8</v>
      </c>
      <c r="L105" s="468"/>
      <c r="M105" s="654"/>
      <c r="N105" s="654"/>
      <c r="O105" s="667"/>
      <c r="P105" s="654"/>
      <c r="Q105" s="654" t="s">
        <v>8</v>
      </c>
      <c r="R105" s="654"/>
      <c r="S105" s="468"/>
      <c r="T105" s="468"/>
      <c r="U105" s="681"/>
      <c r="V105" s="468"/>
      <c r="W105" s="468" t="s">
        <v>8</v>
      </c>
      <c r="X105" s="468"/>
      <c r="Y105" s="468"/>
      <c r="Z105" s="468"/>
      <c r="AA105" s="681"/>
      <c r="AB105" s="468"/>
      <c r="AC105" s="468" t="s">
        <v>8</v>
      </c>
      <c r="AD105" s="468"/>
      <c r="AE105" s="468"/>
      <c r="AF105" s="468"/>
      <c r="AG105" s="681"/>
      <c r="AH105" s="468"/>
      <c r="AI105" s="468" t="s">
        <v>8</v>
      </c>
      <c r="AJ105" s="468"/>
      <c r="AK105" s="468"/>
      <c r="AL105" s="468"/>
      <c r="AM105" s="681"/>
      <c r="AN105" s="468"/>
      <c r="AO105" s="468" t="s">
        <v>8</v>
      </c>
      <c r="AP105" s="468"/>
      <c r="AQ105" s="468"/>
    </row>
    <row r="106" spans="1:43" s="10" customFormat="1" x14ac:dyDescent="0.25">
      <c r="A106" s="680"/>
      <c r="B106" s="680"/>
      <c r="C106" s="680"/>
      <c r="D106" s="680"/>
      <c r="E106" s="680"/>
      <c r="F106" s="680"/>
      <c r="G106" s="680"/>
      <c r="H106" s="680"/>
      <c r="I106" s="681" t="s">
        <v>43</v>
      </c>
      <c r="J106" s="468"/>
      <c r="K106" s="468" t="s">
        <v>5</v>
      </c>
      <c r="L106" s="468"/>
      <c r="M106" s="654"/>
      <c r="N106" s="654"/>
      <c r="O106" s="667" t="s">
        <v>43</v>
      </c>
      <c r="P106" s="654"/>
      <c r="Q106" s="654" t="s">
        <v>5</v>
      </c>
      <c r="R106" s="654"/>
      <c r="S106" s="468"/>
      <c r="T106" s="468"/>
      <c r="U106" s="681" t="s">
        <v>43</v>
      </c>
      <c r="V106" s="468"/>
      <c r="W106" s="468" t="s">
        <v>5</v>
      </c>
      <c r="X106" s="468"/>
      <c r="Y106" s="468"/>
      <c r="Z106" s="468"/>
      <c r="AA106" s="681" t="s">
        <v>43</v>
      </c>
      <c r="AB106" s="468"/>
      <c r="AC106" s="468" t="s">
        <v>5</v>
      </c>
      <c r="AD106" s="468"/>
      <c r="AE106" s="468"/>
      <c r="AF106" s="468"/>
      <c r="AG106" s="681" t="s">
        <v>43</v>
      </c>
      <c r="AH106" s="468"/>
      <c r="AI106" s="468" t="s">
        <v>5</v>
      </c>
      <c r="AJ106" s="468"/>
      <c r="AK106" s="468"/>
      <c r="AL106" s="468"/>
      <c r="AM106" s="681" t="s">
        <v>43</v>
      </c>
      <c r="AN106" s="468"/>
      <c r="AO106" s="468" t="s">
        <v>5</v>
      </c>
      <c r="AP106" s="468"/>
      <c r="AQ106" s="468"/>
    </row>
    <row r="107" spans="1:43" s="10" customFormat="1" x14ac:dyDescent="0.25">
      <c r="A107" s="680"/>
      <c r="B107" s="680"/>
      <c r="C107" s="680"/>
      <c r="D107" s="680"/>
      <c r="E107" s="680"/>
      <c r="F107" s="680"/>
      <c r="G107" s="680"/>
      <c r="H107" s="680"/>
      <c r="I107" s="681"/>
      <c r="J107" s="468"/>
      <c r="K107" s="468" t="s">
        <v>8</v>
      </c>
      <c r="L107" s="468"/>
      <c r="M107" s="654"/>
      <c r="N107" s="654"/>
      <c r="O107" s="667"/>
      <c r="P107" s="654"/>
      <c r="Q107" s="654" t="s">
        <v>8</v>
      </c>
      <c r="R107" s="654"/>
      <c r="S107" s="468"/>
      <c r="T107" s="468"/>
      <c r="U107" s="681"/>
      <c r="V107" s="468"/>
      <c r="W107" s="468" t="s">
        <v>8</v>
      </c>
      <c r="X107" s="468"/>
      <c r="Y107" s="468"/>
      <c r="Z107" s="468"/>
      <c r="AA107" s="681"/>
      <c r="AB107" s="468"/>
      <c r="AC107" s="468" t="s">
        <v>8</v>
      </c>
      <c r="AD107" s="468"/>
      <c r="AE107" s="468"/>
      <c r="AF107" s="468"/>
      <c r="AG107" s="681"/>
      <c r="AH107" s="468"/>
      <c r="AI107" s="468" t="s">
        <v>8</v>
      </c>
      <c r="AJ107" s="468"/>
      <c r="AK107" s="468"/>
      <c r="AL107" s="468"/>
      <c r="AM107" s="681"/>
      <c r="AN107" s="468"/>
      <c r="AO107" s="468" t="s">
        <v>8</v>
      </c>
      <c r="AP107" s="468"/>
      <c r="AQ107" s="468"/>
    </row>
    <row r="108" spans="1:43" s="10" customFormat="1" x14ac:dyDescent="0.25">
      <c r="A108" s="680"/>
      <c r="B108" s="680"/>
      <c r="C108" s="680"/>
      <c r="D108" s="680"/>
      <c r="E108" s="680"/>
      <c r="F108" s="680"/>
      <c r="G108" s="680"/>
      <c r="H108" s="680"/>
      <c r="I108" s="682" t="s">
        <v>12</v>
      </c>
      <c r="J108" s="468"/>
      <c r="K108" s="468" t="s">
        <v>8</v>
      </c>
      <c r="L108" s="682"/>
      <c r="M108" s="654"/>
      <c r="N108" s="654"/>
      <c r="O108" s="669" t="s">
        <v>12</v>
      </c>
      <c r="P108" s="654"/>
      <c r="Q108" s="654" t="s">
        <v>8</v>
      </c>
      <c r="R108" s="669"/>
      <c r="S108" s="468"/>
      <c r="T108" s="468"/>
      <c r="U108" s="682" t="s">
        <v>12</v>
      </c>
      <c r="V108" s="468"/>
      <c r="W108" s="468" t="s">
        <v>8</v>
      </c>
      <c r="X108" s="682"/>
      <c r="Y108" s="468"/>
      <c r="Z108" s="468"/>
      <c r="AA108" s="682" t="s">
        <v>12</v>
      </c>
      <c r="AB108" s="468"/>
      <c r="AC108" s="468" t="s">
        <v>8</v>
      </c>
      <c r="AD108" s="682"/>
      <c r="AE108" s="468"/>
      <c r="AF108" s="468"/>
      <c r="AG108" s="682" t="s">
        <v>12</v>
      </c>
      <c r="AH108" s="468"/>
      <c r="AI108" s="468" t="s">
        <v>8</v>
      </c>
      <c r="AJ108" s="682"/>
      <c r="AK108" s="468"/>
      <c r="AL108" s="468"/>
      <c r="AM108" s="682" t="s">
        <v>12</v>
      </c>
      <c r="AN108" s="468"/>
      <c r="AO108" s="468" t="s">
        <v>8</v>
      </c>
      <c r="AP108" s="682"/>
      <c r="AQ108" s="468"/>
    </row>
    <row r="109" spans="1:43" s="10" customFormat="1" x14ac:dyDescent="0.25">
      <c r="A109" s="680"/>
      <c r="B109" s="680"/>
      <c r="C109" s="680"/>
      <c r="D109" s="680"/>
      <c r="E109" s="680"/>
      <c r="F109" s="680"/>
      <c r="G109" s="680"/>
      <c r="H109" s="680"/>
      <c r="I109" s="682"/>
      <c r="J109" s="468"/>
      <c r="K109" s="468" t="s">
        <v>5</v>
      </c>
      <c r="L109" s="682"/>
      <c r="M109" s="654"/>
      <c r="N109" s="654"/>
      <c r="O109" s="669"/>
      <c r="P109" s="654"/>
      <c r="Q109" s="654" t="s">
        <v>5</v>
      </c>
      <c r="R109" s="669"/>
      <c r="S109" s="468"/>
      <c r="T109" s="468"/>
      <c r="U109" s="682"/>
      <c r="V109" s="468"/>
      <c r="W109" s="468" t="s">
        <v>5</v>
      </c>
      <c r="X109" s="682"/>
      <c r="Y109" s="468"/>
      <c r="Z109" s="468"/>
      <c r="AA109" s="682"/>
      <c r="AB109" s="468"/>
      <c r="AC109" s="468" t="s">
        <v>5</v>
      </c>
      <c r="AD109" s="682"/>
      <c r="AE109" s="468"/>
      <c r="AF109" s="468"/>
      <c r="AG109" s="682"/>
      <c r="AH109" s="468"/>
      <c r="AI109" s="468" t="s">
        <v>5</v>
      </c>
      <c r="AJ109" s="682"/>
      <c r="AK109" s="468"/>
      <c r="AL109" s="468"/>
      <c r="AM109" s="682"/>
      <c r="AN109" s="468"/>
      <c r="AO109" s="468" t="s">
        <v>5</v>
      </c>
      <c r="AP109" s="682"/>
      <c r="AQ109" s="468"/>
    </row>
    <row r="110" spans="1:43" s="10" customFormat="1" ht="42.75" x14ac:dyDescent="0.25">
      <c r="A110" s="680"/>
      <c r="B110" s="680"/>
      <c r="C110" s="680"/>
      <c r="D110" s="680"/>
      <c r="E110" s="680"/>
      <c r="F110" s="680"/>
      <c r="G110" s="680"/>
      <c r="H110" s="680"/>
      <c r="I110" s="469" t="s">
        <v>13</v>
      </c>
      <c r="J110" s="468"/>
      <c r="K110" s="468" t="s">
        <v>14</v>
      </c>
      <c r="L110" s="468"/>
      <c r="M110" s="654"/>
      <c r="N110" s="654"/>
      <c r="O110" s="656" t="s">
        <v>13</v>
      </c>
      <c r="P110" s="654"/>
      <c r="Q110" s="654" t="s">
        <v>14</v>
      </c>
      <c r="R110" s="654"/>
      <c r="S110" s="468"/>
      <c r="T110" s="468"/>
      <c r="U110" s="469" t="s">
        <v>13</v>
      </c>
      <c r="V110" s="468"/>
      <c r="W110" s="468" t="s">
        <v>14</v>
      </c>
      <c r="X110" s="468"/>
      <c r="Y110" s="468"/>
      <c r="Z110" s="468"/>
      <c r="AA110" s="469" t="s">
        <v>13</v>
      </c>
      <c r="AB110" s="468"/>
      <c r="AC110" s="468" t="s">
        <v>14</v>
      </c>
      <c r="AD110" s="468"/>
      <c r="AE110" s="468"/>
      <c r="AF110" s="468"/>
      <c r="AG110" s="469" t="s">
        <v>13</v>
      </c>
      <c r="AH110" s="468"/>
      <c r="AI110" s="468" t="s">
        <v>14</v>
      </c>
      <c r="AJ110" s="468"/>
      <c r="AK110" s="468"/>
      <c r="AL110" s="468"/>
      <c r="AM110" s="469" t="s">
        <v>13</v>
      </c>
      <c r="AN110" s="468"/>
      <c r="AO110" s="468" t="s">
        <v>14</v>
      </c>
      <c r="AP110" s="468"/>
      <c r="AQ110" s="468"/>
    </row>
    <row r="111" spans="1:43" s="10" customFormat="1" ht="28.5" x14ac:dyDescent="0.25">
      <c r="A111" s="680"/>
      <c r="B111" s="680"/>
      <c r="C111" s="680"/>
      <c r="D111" s="680"/>
      <c r="E111" s="680"/>
      <c r="F111" s="680"/>
      <c r="G111" s="680"/>
      <c r="H111" s="680"/>
      <c r="I111" s="469" t="s">
        <v>44</v>
      </c>
      <c r="J111" s="468"/>
      <c r="K111" s="468" t="s">
        <v>14</v>
      </c>
      <c r="L111" s="468"/>
      <c r="M111" s="654"/>
      <c r="N111" s="654"/>
      <c r="O111" s="656" t="s">
        <v>44</v>
      </c>
      <c r="P111" s="654"/>
      <c r="Q111" s="654" t="s">
        <v>14</v>
      </c>
      <c r="R111" s="654"/>
      <c r="S111" s="468"/>
      <c r="T111" s="468"/>
      <c r="U111" s="469" t="s">
        <v>44</v>
      </c>
      <c r="V111" s="468"/>
      <c r="W111" s="468" t="s">
        <v>14</v>
      </c>
      <c r="X111" s="468"/>
      <c r="Y111" s="468"/>
      <c r="Z111" s="468"/>
      <c r="AA111" s="469" t="s">
        <v>44</v>
      </c>
      <c r="AB111" s="468"/>
      <c r="AC111" s="468" t="s">
        <v>14</v>
      </c>
      <c r="AD111" s="468"/>
      <c r="AE111" s="468"/>
      <c r="AF111" s="468"/>
      <c r="AG111" s="469" t="s">
        <v>44</v>
      </c>
      <c r="AH111" s="468"/>
      <c r="AI111" s="468" t="s">
        <v>14</v>
      </c>
      <c r="AJ111" s="468"/>
      <c r="AK111" s="468"/>
      <c r="AL111" s="468"/>
      <c r="AM111" s="469" t="s">
        <v>44</v>
      </c>
      <c r="AN111" s="468"/>
      <c r="AO111" s="468" t="s">
        <v>14</v>
      </c>
      <c r="AP111" s="468"/>
      <c r="AQ111" s="468"/>
    </row>
    <row r="112" spans="1:43" s="10" customFormat="1" ht="42.75" x14ac:dyDescent="0.25">
      <c r="A112" s="680"/>
      <c r="B112" s="680"/>
      <c r="C112" s="680"/>
      <c r="D112" s="680"/>
      <c r="E112" s="680"/>
      <c r="F112" s="680"/>
      <c r="G112" s="680"/>
      <c r="H112" s="680"/>
      <c r="I112" s="469" t="s">
        <v>15</v>
      </c>
      <c r="J112" s="468"/>
      <c r="K112" s="468" t="s">
        <v>16</v>
      </c>
      <c r="L112" s="468"/>
      <c r="M112" s="654"/>
      <c r="N112" s="654"/>
      <c r="O112" s="656" t="s">
        <v>15</v>
      </c>
      <c r="P112" s="654"/>
      <c r="Q112" s="654" t="s">
        <v>16</v>
      </c>
      <c r="R112" s="654"/>
      <c r="S112" s="468"/>
      <c r="T112" s="468"/>
      <c r="U112" s="469" t="s">
        <v>15</v>
      </c>
      <c r="V112" s="468"/>
      <c r="W112" s="468" t="s">
        <v>16</v>
      </c>
      <c r="X112" s="468"/>
      <c r="Y112" s="468"/>
      <c r="Z112" s="468"/>
      <c r="AA112" s="469" t="s">
        <v>15</v>
      </c>
      <c r="AB112" s="468"/>
      <c r="AC112" s="468" t="s">
        <v>16</v>
      </c>
      <c r="AD112" s="468"/>
      <c r="AE112" s="468"/>
      <c r="AF112" s="468"/>
      <c r="AG112" s="469" t="s">
        <v>15</v>
      </c>
      <c r="AH112" s="468"/>
      <c r="AI112" s="468" t="s">
        <v>16</v>
      </c>
      <c r="AJ112" s="468"/>
      <c r="AK112" s="468"/>
      <c r="AL112" s="468"/>
      <c r="AM112" s="469" t="s">
        <v>15</v>
      </c>
      <c r="AN112" s="468"/>
      <c r="AO112" s="468" t="s">
        <v>16</v>
      </c>
      <c r="AP112" s="468"/>
      <c r="AQ112" s="468"/>
    </row>
    <row r="113" spans="1:43" s="10" customFormat="1" x14ac:dyDescent="0.25">
      <c r="A113" s="680"/>
      <c r="B113" s="680"/>
      <c r="C113" s="680"/>
      <c r="D113" s="680"/>
      <c r="E113" s="680"/>
      <c r="F113" s="680"/>
      <c r="G113" s="680"/>
      <c r="H113" s="680"/>
      <c r="I113" s="469" t="s">
        <v>17</v>
      </c>
      <c r="J113" s="468"/>
      <c r="K113" s="468" t="s">
        <v>8</v>
      </c>
      <c r="L113" s="468"/>
      <c r="M113" s="654"/>
      <c r="N113" s="654"/>
      <c r="O113" s="656" t="s">
        <v>17</v>
      </c>
      <c r="P113" s="654"/>
      <c r="Q113" s="654" t="s">
        <v>8</v>
      </c>
      <c r="R113" s="654"/>
      <c r="S113" s="468"/>
      <c r="T113" s="468"/>
      <c r="U113" s="469" t="s">
        <v>17</v>
      </c>
      <c r="V113" s="468"/>
      <c r="W113" s="468" t="s">
        <v>8</v>
      </c>
      <c r="X113" s="468"/>
      <c r="Y113" s="468"/>
      <c r="Z113" s="468"/>
      <c r="AA113" s="469" t="s">
        <v>17</v>
      </c>
      <c r="AB113" s="468"/>
      <c r="AC113" s="468" t="s">
        <v>8</v>
      </c>
      <c r="AD113" s="468"/>
      <c r="AE113" s="468"/>
      <c r="AF113" s="468"/>
      <c r="AG113" s="469" t="s">
        <v>17</v>
      </c>
      <c r="AH113" s="468"/>
      <c r="AI113" s="468" t="s">
        <v>8</v>
      </c>
      <c r="AJ113" s="468"/>
      <c r="AK113" s="468"/>
      <c r="AL113" s="468"/>
      <c r="AM113" s="469" t="s">
        <v>17</v>
      </c>
      <c r="AN113" s="468"/>
      <c r="AO113" s="468" t="s">
        <v>8</v>
      </c>
      <c r="AP113" s="468"/>
      <c r="AQ113" s="468"/>
    </row>
    <row r="114" spans="1:43" s="10" customFormat="1" ht="28.5" x14ac:dyDescent="0.25">
      <c r="A114" s="680"/>
      <c r="B114" s="680"/>
      <c r="C114" s="680"/>
      <c r="D114" s="680"/>
      <c r="E114" s="680"/>
      <c r="F114" s="680"/>
      <c r="G114" s="680"/>
      <c r="H114" s="680"/>
      <c r="I114" s="469" t="s">
        <v>18</v>
      </c>
      <c r="J114" s="468"/>
      <c r="K114" s="468" t="s">
        <v>16</v>
      </c>
      <c r="L114" s="468"/>
      <c r="M114" s="654"/>
      <c r="N114" s="654"/>
      <c r="O114" s="656" t="s">
        <v>18</v>
      </c>
      <c r="P114" s="654"/>
      <c r="Q114" s="654" t="s">
        <v>16</v>
      </c>
      <c r="R114" s="654"/>
      <c r="S114" s="468"/>
      <c r="T114" s="468"/>
      <c r="U114" s="469" t="s">
        <v>18</v>
      </c>
      <c r="V114" s="468"/>
      <c r="W114" s="468" t="s">
        <v>16</v>
      </c>
      <c r="X114" s="468"/>
      <c r="Y114" s="468"/>
      <c r="Z114" s="468"/>
      <c r="AA114" s="469" t="s">
        <v>18</v>
      </c>
      <c r="AB114" s="468"/>
      <c r="AC114" s="468" t="s">
        <v>16</v>
      </c>
      <c r="AD114" s="468"/>
      <c r="AE114" s="468"/>
      <c r="AF114" s="468"/>
      <c r="AG114" s="469" t="s">
        <v>18</v>
      </c>
      <c r="AH114" s="468"/>
      <c r="AI114" s="468" t="s">
        <v>16</v>
      </c>
      <c r="AJ114" s="468"/>
      <c r="AK114" s="468"/>
      <c r="AL114" s="468"/>
      <c r="AM114" s="469" t="s">
        <v>18</v>
      </c>
      <c r="AN114" s="468"/>
      <c r="AO114" s="468" t="s">
        <v>16</v>
      </c>
      <c r="AP114" s="468"/>
      <c r="AQ114" s="468"/>
    </row>
    <row r="115" spans="1:43" s="10" customFormat="1" ht="42.75" x14ac:dyDescent="0.25">
      <c r="A115" s="680"/>
      <c r="B115" s="680"/>
      <c r="C115" s="680"/>
      <c r="D115" s="680"/>
      <c r="E115" s="680"/>
      <c r="F115" s="680"/>
      <c r="G115" s="680"/>
      <c r="H115" s="680"/>
      <c r="I115" s="469" t="s">
        <v>46</v>
      </c>
      <c r="J115" s="468"/>
      <c r="K115" s="468" t="s">
        <v>16</v>
      </c>
      <c r="L115" s="469"/>
      <c r="M115" s="656"/>
      <c r="N115" s="656"/>
      <c r="O115" s="656" t="s">
        <v>46</v>
      </c>
      <c r="P115" s="654"/>
      <c r="Q115" s="654" t="s">
        <v>16</v>
      </c>
      <c r="R115" s="656"/>
      <c r="S115" s="469"/>
      <c r="T115" s="469"/>
      <c r="U115" s="469" t="s">
        <v>46</v>
      </c>
      <c r="V115" s="468"/>
      <c r="W115" s="468" t="s">
        <v>16</v>
      </c>
      <c r="X115" s="469"/>
      <c r="Y115" s="469"/>
      <c r="Z115" s="469"/>
      <c r="AA115" s="469" t="s">
        <v>46</v>
      </c>
      <c r="AB115" s="468"/>
      <c r="AC115" s="468" t="s">
        <v>16</v>
      </c>
      <c r="AD115" s="469"/>
      <c r="AE115" s="469"/>
      <c r="AF115" s="469"/>
      <c r="AG115" s="469" t="s">
        <v>46</v>
      </c>
      <c r="AH115" s="468"/>
      <c r="AI115" s="468" t="s">
        <v>16</v>
      </c>
      <c r="AJ115" s="469"/>
      <c r="AK115" s="469"/>
      <c r="AL115" s="469"/>
      <c r="AM115" s="469" t="s">
        <v>46</v>
      </c>
      <c r="AN115" s="468"/>
      <c r="AO115" s="468" t="s">
        <v>16</v>
      </c>
      <c r="AP115" s="469"/>
      <c r="AQ115" s="468"/>
    </row>
    <row r="116" spans="1:43" s="10" customFormat="1" ht="28.5" x14ac:dyDescent="0.25">
      <c r="A116" s="680"/>
      <c r="B116" s="680"/>
      <c r="C116" s="680"/>
      <c r="D116" s="680"/>
      <c r="E116" s="680"/>
      <c r="F116" s="680"/>
      <c r="G116" s="680"/>
      <c r="H116" s="680"/>
      <c r="I116" s="469" t="s">
        <v>93</v>
      </c>
      <c r="J116" s="468"/>
      <c r="K116" s="468" t="s">
        <v>8</v>
      </c>
      <c r="L116" s="469"/>
      <c r="M116" s="656"/>
      <c r="N116" s="656"/>
      <c r="O116" s="656" t="s">
        <v>93</v>
      </c>
      <c r="P116" s="654"/>
      <c r="Q116" s="654" t="s">
        <v>8</v>
      </c>
      <c r="R116" s="656"/>
      <c r="S116" s="469"/>
      <c r="T116" s="469"/>
      <c r="U116" s="469" t="s">
        <v>93</v>
      </c>
      <c r="V116" s="468"/>
      <c r="W116" s="468" t="s">
        <v>8</v>
      </c>
      <c r="X116" s="469"/>
      <c r="Y116" s="469"/>
      <c r="Z116" s="469"/>
      <c r="AA116" s="469" t="s">
        <v>93</v>
      </c>
      <c r="AB116" s="468"/>
      <c r="AC116" s="468" t="s">
        <v>8</v>
      </c>
      <c r="AD116" s="469"/>
      <c r="AE116" s="469"/>
      <c r="AF116" s="469"/>
      <c r="AG116" s="469" t="s">
        <v>93</v>
      </c>
      <c r="AH116" s="468"/>
      <c r="AI116" s="468" t="s">
        <v>8</v>
      </c>
      <c r="AJ116" s="469"/>
      <c r="AK116" s="469"/>
      <c r="AL116" s="469"/>
      <c r="AM116" s="469" t="s">
        <v>93</v>
      </c>
      <c r="AN116" s="468"/>
      <c r="AO116" s="468" t="s">
        <v>8</v>
      </c>
      <c r="AP116" s="469"/>
      <c r="AQ116" s="468"/>
    </row>
    <row r="117" spans="1:43" s="10" customFormat="1" ht="42.75" x14ac:dyDescent="0.25">
      <c r="A117" s="680"/>
      <c r="B117" s="680"/>
      <c r="C117" s="680"/>
      <c r="D117" s="680"/>
      <c r="E117" s="680"/>
      <c r="F117" s="680"/>
      <c r="G117" s="680"/>
      <c r="H117" s="680"/>
      <c r="I117" s="469" t="s">
        <v>94</v>
      </c>
      <c r="J117" s="468"/>
      <c r="K117" s="468" t="s">
        <v>8</v>
      </c>
      <c r="L117" s="469"/>
      <c r="M117" s="656"/>
      <c r="N117" s="656"/>
      <c r="O117" s="656" t="s">
        <v>94</v>
      </c>
      <c r="P117" s="654"/>
      <c r="Q117" s="654" t="s">
        <v>8</v>
      </c>
      <c r="R117" s="656"/>
      <c r="S117" s="469"/>
      <c r="T117" s="469"/>
      <c r="U117" s="469" t="s">
        <v>94</v>
      </c>
      <c r="V117" s="468"/>
      <c r="W117" s="468" t="s">
        <v>8</v>
      </c>
      <c r="X117" s="469"/>
      <c r="Y117" s="469"/>
      <c r="Z117" s="469"/>
      <c r="AA117" s="469" t="s">
        <v>94</v>
      </c>
      <c r="AB117" s="468"/>
      <c r="AC117" s="468" t="s">
        <v>8</v>
      </c>
      <c r="AD117" s="469"/>
      <c r="AE117" s="469"/>
      <c r="AF117" s="469"/>
      <c r="AG117" s="469" t="s">
        <v>94</v>
      </c>
      <c r="AH117" s="468"/>
      <c r="AI117" s="468" t="s">
        <v>8</v>
      </c>
      <c r="AJ117" s="469"/>
      <c r="AK117" s="469"/>
      <c r="AL117" s="469"/>
      <c r="AM117" s="469" t="s">
        <v>94</v>
      </c>
      <c r="AN117" s="468"/>
      <c r="AO117" s="468" t="s">
        <v>8</v>
      </c>
      <c r="AP117" s="469"/>
      <c r="AQ117" s="468"/>
    </row>
    <row r="118" spans="1:43" s="10" customFormat="1" ht="28.5" x14ac:dyDescent="0.25">
      <c r="A118" s="680"/>
      <c r="B118" s="680"/>
      <c r="C118" s="680"/>
      <c r="D118" s="680"/>
      <c r="E118" s="680"/>
      <c r="F118" s="680"/>
      <c r="G118" s="680"/>
      <c r="H118" s="680"/>
      <c r="I118" s="469" t="s">
        <v>95</v>
      </c>
      <c r="J118" s="468"/>
      <c r="K118" s="468" t="s">
        <v>8</v>
      </c>
      <c r="L118" s="469"/>
      <c r="M118" s="656"/>
      <c r="N118" s="656"/>
      <c r="O118" s="656" t="s">
        <v>95</v>
      </c>
      <c r="P118" s="654"/>
      <c r="Q118" s="654" t="s">
        <v>8</v>
      </c>
      <c r="R118" s="656"/>
      <c r="S118" s="469"/>
      <c r="T118" s="469"/>
      <c r="U118" s="469" t="s">
        <v>95</v>
      </c>
      <c r="V118" s="468"/>
      <c r="W118" s="468" t="s">
        <v>8</v>
      </c>
      <c r="X118" s="469"/>
      <c r="Y118" s="469"/>
      <c r="Z118" s="469"/>
      <c r="AA118" s="469" t="s">
        <v>95</v>
      </c>
      <c r="AB118" s="468"/>
      <c r="AC118" s="468" t="s">
        <v>8</v>
      </c>
      <c r="AD118" s="469"/>
      <c r="AE118" s="469"/>
      <c r="AF118" s="469"/>
      <c r="AG118" s="469" t="s">
        <v>95</v>
      </c>
      <c r="AH118" s="468"/>
      <c r="AI118" s="468" t="s">
        <v>8</v>
      </c>
      <c r="AJ118" s="469"/>
      <c r="AK118" s="469"/>
      <c r="AL118" s="469"/>
      <c r="AM118" s="469" t="s">
        <v>95</v>
      </c>
      <c r="AN118" s="468"/>
      <c r="AO118" s="468" t="s">
        <v>8</v>
      </c>
      <c r="AP118" s="469"/>
      <c r="AQ118" s="468"/>
    </row>
    <row r="119" spans="1:43" s="10" customFormat="1" ht="42.75" x14ac:dyDescent="0.25">
      <c r="A119" s="680"/>
      <c r="B119" s="680"/>
      <c r="C119" s="680"/>
      <c r="D119" s="680"/>
      <c r="E119" s="680"/>
      <c r="F119" s="680"/>
      <c r="G119" s="680"/>
      <c r="H119" s="680"/>
      <c r="I119" s="469" t="s">
        <v>96</v>
      </c>
      <c r="J119" s="468"/>
      <c r="K119" s="468" t="s">
        <v>14</v>
      </c>
      <c r="L119" s="469"/>
      <c r="M119" s="656"/>
      <c r="N119" s="656"/>
      <c r="O119" s="656" t="s">
        <v>96</v>
      </c>
      <c r="P119" s="654"/>
      <c r="Q119" s="654" t="s">
        <v>14</v>
      </c>
      <c r="R119" s="656"/>
      <c r="S119" s="469"/>
      <c r="T119" s="469"/>
      <c r="U119" s="469" t="s">
        <v>96</v>
      </c>
      <c r="V119" s="468"/>
      <c r="W119" s="468" t="s">
        <v>14</v>
      </c>
      <c r="X119" s="469"/>
      <c r="Y119" s="469"/>
      <c r="Z119" s="469"/>
      <c r="AA119" s="469" t="s">
        <v>96</v>
      </c>
      <c r="AB119" s="468"/>
      <c r="AC119" s="468" t="s">
        <v>14</v>
      </c>
      <c r="AD119" s="469"/>
      <c r="AE119" s="469"/>
      <c r="AF119" s="469"/>
      <c r="AG119" s="469" t="s">
        <v>96</v>
      </c>
      <c r="AH119" s="468"/>
      <c r="AI119" s="468" t="s">
        <v>14</v>
      </c>
      <c r="AJ119" s="469"/>
      <c r="AK119" s="469"/>
      <c r="AL119" s="469"/>
      <c r="AM119" s="469" t="s">
        <v>96</v>
      </c>
      <c r="AN119" s="468"/>
      <c r="AO119" s="468" t="s">
        <v>14</v>
      </c>
      <c r="AP119" s="469"/>
      <c r="AQ119" s="468"/>
    </row>
    <row r="120" spans="1:43" s="10" customFormat="1" ht="42.75" x14ac:dyDescent="0.25">
      <c r="A120" s="680"/>
      <c r="B120" s="680"/>
      <c r="C120" s="680"/>
      <c r="D120" s="680"/>
      <c r="E120" s="680"/>
      <c r="F120" s="680"/>
      <c r="G120" s="680"/>
      <c r="H120" s="680"/>
      <c r="I120" s="469" t="s">
        <v>97</v>
      </c>
      <c r="J120" s="468"/>
      <c r="K120" s="468" t="s">
        <v>16</v>
      </c>
      <c r="L120" s="469"/>
      <c r="M120" s="656"/>
      <c r="N120" s="656"/>
      <c r="O120" s="656" t="s">
        <v>97</v>
      </c>
      <c r="P120" s="654"/>
      <c r="Q120" s="654" t="s">
        <v>16</v>
      </c>
      <c r="R120" s="656"/>
      <c r="S120" s="469"/>
      <c r="T120" s="469"/>
      <c r="U120" s="469" t="s">
        <v>97</v>
      </c>
      <c r="V120" s="468"/>
      <c r="W120" s="468" t="s">
        <v>16</v>
      </c>
      <c r="X120" s="469"/>
      <c r="Y120" s="469"/>
      <c r="Z120" s="469"/>
      <c r="AA120" s="469" t="s">
        <v>97</v>
      </c>
      <c r="AB120" s="468"/>
      <c r="AC120" s="468" t="s">
        <v>16</v>
      </c>
      <c r="AD120" s="469"/>
      <c r="AE120" s="469"/>
      <c r="AF120" s="469"/>
      <c r="AG120" s="469" t="s">
        <v>97</v>
      </c>
      <c r="AH120" s="468"/>
      <c r="AI120" s="468" t="s">
        <v>16</v>
      </c>
      <c r="AJ120" s="469"/>
      <c r="AK120" s="469"/>
      <c r="AL120" s="469"/>
      <c r="AM120" s="469" t="s">
        <v>97</v>
      </c>
      <c r="AN120" s="468"/>
      <c r="AO120" s="468" t="s">
        <v>16</v>
      </c>
      <c r="AP120" s="469"/>
      <c r="AQ120" s="468"/>
    </row>
    <row r="121" spans="1:43" s="10" customFormat="1" ht="71.25" x14ac:dyDescent="0.25">
      <c r="A121" s="680"/>
      <c r="B121" s="680"/>
      <c r="C121" s="680"/>
      <c r="D121" s="680"/>
      <c r="E121" s="680"/>
      <c r="F121" s="680"/>
      <c r="G121" s="680"/>
      <c r="H121" s="680"/>
      <c r="I121" s="469" t="s">
        <v>98</v>
      </c>
      <c r="J121" s="468"/>
      <c r="K121" s="468" t="s">
        <v>14</v>
      </c>
      <c r="L121" s="469"/>
      <c r="M121" s="656"/>
      <c r="N121" s="656"/>
      <c r="O121" s="656" t="s">
        <v>98</v>
      </c>
      <c r="P121" s="654"/>
      <c r="Q121" s="654" t="s">
        <v>14</v>
      </c>
      <c r="R121" s="656"/>
      <c r="S121" s="469"/>
      <c r="T121" s="469"/>
      <c r="U121" s="469" t="s">
        <v>98</v>
      </c>
      <c r="V121" s="468"/>
      <c r="W121" s="468" t="s">
        <v>14</v>
      </c>
      <c r="X121" s="469"/>
      <c r="Y121" s="469"/>
      <c r="Z121" s="469"/>
      <c r="AA121" s="469" t="s">
        <v>98</v>
      </c>
      <c r="AB121" s="468"/>
      <c r="AC121" s="468" t="s">
        <v>14</v>
      </c>
      <c r="AD121" s="469"/>
      <c r="AE121" s="469"/>
      <c r="AF121" s="469"/>
      <c r="AG121" s="469" t="s">
        <v>98</v>
      </c>
      <c r="AH121" s="468"/>
      <c r="AI121" s="468" t="s">
        <v>14</v>
      </c>
      <c r="AJ121" s="469"/>
      <c r="AK121" s="469"/>
      <c r="AL121" s="469"/>
      <c r="AM121" s="469" t="s">
        <v>98</v>
      </c>
      <c r="AN121" s="468"/>
      <c r="AO121" s="468" t="s">
        <v>14</v>
      </c>
      <c r="AP121" s="469"/>
      <c r="AQ121" s="468"/>
    </row>
    <row r="122" spans="1:43" s="10" customFormat="1" x14ac:dyDescent="0.25">
      <c r="A122" s="680"/>
      <c r="B122" s="680"/>
      <c r="C122" s="680"/>
      <c r="D122" s="680"/>
      <c r="E122" s="680"/>
      <c r="F122" s="680"/>
      <c r="G122" s="680"/>
      <c r="H122" s="680"/>
      <c r="I122" s="469" t="s">
        <v>45</v>
      </c>
      <c r="J122" s="468"/>
      <c r="K122" s="468"/>
      <c r="L122" s="476"/>
      <c r="M122" s="653"/>
      <c r="N122" s="653"/>
      <c r="O122" s="656" t="s">
        <v>45</v>
      </c>
      <c r="P122" s="654"/>
      <c r="Q122" s="654"/>
      <c r="R122" s="653"/>
      <c r="S122" s="476"/>
      <c r="T122" s="476"/>
      <c r="U122" s="469" t="s">
        <v>45</v>
      </c>
      <c r="V122" s="468"/>
      <c r="W122" s="468"/>
      <c r="X122" s="476"/>
      <c r="Y122" s="476"/>
      <c r="Z122" s="476"/>
      <c r="AA122" s="469" t="s">
        <v>45</v>
      </c>
      <c r="AB122" s="468"/>
      <c r="AC122" s="468"/>
      <c r="AD122" s="476"/>
      <c r="AE122" s="476"/>
      <c r="AF122" s="476"/>
      <c r="AG122" s="469" t="s">
        <v>45</v>
      </c>
      <c r="AH122" s="468"/>
      <c r="AI122" s="468"/>
      <c r="AJ122" s="476"/>
      <c r="AK122" s="476"/>
      <c r="AL122" s="476"/>
      <c r="AM122" s="469" t="s">
        <v>45</v>
      </c>
      <c r="AN122" s="468"/>
      <c r="AO122" s="468"/>
      <c r="AP122" s="476"/>
      <c r="AQ122" s="468"/>
    </row>
    <row r="123" spans="1:43" s="612" customFormat="1" ht="28.5" customHeight="1" x14ac:dyDescent="0.25">
      <c r="J123" s="613">
        <f>J37</f>
        <v>86.615000000000009</v>
      </c>
      <c r="K123" s="613"/>
      <c r="L123" s="613">
        <f t="shared" ref="L123:AP123" si="9">L37</f>
        <v>2003501.0005784479</v>
      </c>
      <c r="M123" s="658"/>
      <c r="N123" s="658"/>
      <c r="O123" s="658"/>
      <c r="P123" s="658">
        <f t="shared" si="9"/>
        <v>158.9</v>
      </c>
      <c r="Q123" s="658"/>
      <c r="R123" s="658">
        <f t="shared" si="9"/>
        <v>2372249.6768399999</v>
      </c>
      <c r="S123" s="613"/>
      <c r="T123" s="613"/>
      <c r="U123" s="613"/>
      <c r="V123" s="613">
        <f t="shared" si="9"/>
        <v>252.43000000000004</v>
      </c>
      <c r="W123" s="613"/>
      <c r="X123" s="613">
        <f t="shared" si="9"/>
        <v>3765132.1339999996</v>
      </c>
      <c r="Y123" s="613"/>
      <c r="Z123" s="613"/>
      <c r="AA123" s="613"/>
      <c r="AB123" s="613">
        <f t="shared" si="9"/>
        <v>210.94300000000001</v>
      </c>
      <c r="AC123" s="613"/>
      <c r="AD123" s="613">
        <f t="shared" si="9"/>
        <v>3295442.2273749998</v>
      </c>
      <c r="AE123" s="613"/>
      <c r="AF123" s="613"/>
      <c r="AG123" s="613"/>
      <c r="AH123" s="613">
        <f t="shared" si="9"/>
        <v>194.739</v>
      </c>
      <c r="AI123" s="613"/>
      <c r="AJ123" s="613">
        <f t="shared" si="9"/>
        <v>3153879.8421000005</v>
      </c>
      <c r="AK123" s="613"/>
      <c r="AL123" s="613"/>
      <c r="AM123" s="613"/>
      <c r="AN123" s="613">
        <f t="shared" si="9"/>
        <v>174.81299999999999</v>
      </c>
      <c r="AO123" s="613"/>
      <c r="AP123" s="613">
        <f t="shared" si="9"/>
        <v>2626922.8792000003</v>
      </c>
      <c r="AQ123" s="613">
        <f>AN123+AH123+AB123+V123+P123+J123</f>
        <v>1078.44</v>
      </c>
    </row>
    <row r="124" spans="1:43" x14ac:dyDescent="0.25">
      <c r="AQ124" s="614">
        <f>AP123+AJ123+AD123+X123+R123+L123</f>
        <v>17217127.760093447</v>
      </c>
    </row>
  </sheetData>
  <sheetProtection selectLockedCells="1" selectUnlockedCells="1"/>
  <mergeCells count="148">
    <mergeCell ref="I106:I107"/>
    <mergeCell ref="O106:O107"/>
    <mergeCell ref="AP108:AP109"/>
    <mergeCell ref="U106:U107"/>
    <mergeCell ref="AA106:AA107"/>
    <mergeCell ref="AG106:AG107"/>
    <mergeCell ref="AM106:AM107"/>
    <mergeCell ref="I108:I109"/>
    <mergeCell ref="L108:L109"/>
    <mergeCell ref="O108:O109"/>
    <mergeCell ref="R108:R109"/>
    <mergeCell ref="U108:U109"/>
    <mergeCell ref="X108:X109"/>
    <mergeCell ref="AA108:AA109"/>
    <mergeCell ref="AD108:AD109"/>
    <mergeCell ref="AG108:AG109"/>
    <mergeCell ref="AJ108:AJ109"/>
    <mergeCell ref="AM108:AM109"/>
    <mergeCell ref="O72:O73"/>
    <mergeCell ref="I66:I67"/>
    <mergeCell ref="I68:I69"/>
    <mergeCell ref="A89:AQ89"/>
    <mergeCell ref="A99:D99"/>
    <mergeCell ref="A100:H122"/>
    <mergeCell ref="I100:I101"/>
    <mergeCell ref="O100:O101"/>
    <mergeCell ref="U100:U101"/>
    <mergeCell ref="AA100:AA101"/>
    <mergeCell ref="AG100:AG101"/>
    <mergeCell ref="AM100:AM101"/>
    <mergeCell ref="I102:I103"/>
    <mergeCell ref="O102:O103"/>
    <mergeCell ref="U102:U103"/>
    <mergeCell ref="AA102:AA103"/>
    <mergeCell ref="AG102:AG103"/>
    <mergeCell ref="AM102:AM103"/>
    <mergeCell ref="I104:I105"/>
    <mergeCell ref="O104:O105"/>
    <mergeCell ref="U104:U105"/>
    <mergeCell ref="AA104:AA105"/>
    <mergeCell ref="AG104:AG105"/>
    <mergeCell ref="AM104:AM105"/>
    <mergeCell ref="S3:T3"/>
    <mergeCell ref="A38:H60"/>
    <mergeCell ref="AM3:AM4"/>
    <mergeCell ref="AP74:AP75"/>
    <mergeCell ref="U70:U71"/>
    <mergeCell ref="U72:U73"/>
    <mergeCell ref="AM70:AM71"/>
    <mergeCell ref="AM72:AM73"/>
    <mergeCell ref="AA66:AA67"/>
    <mergeCell ref="AA68:AA69"/>
    <mergeCell ref="X46:X47"/>
    <mergeCell ref="AA46:AA47"/>
    <mergeCell ref="A62:AP62"/>
    <mergeCell ref="O46:O47"/>
    <mergeCell ref="R46:R47"/>
    <mergeCell ref="U46:U47"/>
    <mergeCell ref="AP46:AP47"/>
    <mergeCell ref="AJ46:AJ47"/>
    <mergeCell ref="AM46:AM47"/>
    <mergeCell ref="I70:I71"/>
    <mergeCell ref="I72:I73"/>
    <mergeCell ref="O66:O67"/>
    <mergeCell ref="O68:O69"/>
    <mergeCell ref="O70:O71"/>
    <mergeCell ref="AJ74:AJ75"/>
    <mergeCell ref="AM74:AM75"/>
    <mergeCell ref="U68:U69"/>
    <mergeCell ref="AQ2:AQ4"/>
    <mergeCell ref="A61:AQ61"/>
    <mergeCell ref="A37:D37"/>
    <mergeCell ref="I38:I39"/>
    <mergeCell ref="I40:I41"/>
    <mergeCell ref="I42:I43"/>
    <mergeCell ref="I44:I45"/>
    <mergeCell ref="O38:O39"/>
    <mergeCell ref="O40:O41"/>
    <mergeCell ref="AM38:AM39"/>
    <mergeCell ref="AM40:AM41"/>
    <mergeCell ref="AM42:AM43"/>
    <mergeCell ref="AM44:AM45"/>
    <mergeCell ref="AA38:AA39"/>
    <mergeCell ref="AA40:AA41"/>
    <mergeCell ref="AA42:AA43"/>
    <mergeCell ref="AA44:AA45"/>
    <mergeCell ref="AG38:AG39"/>
    <mergeCell ref="B2:B4"/>
    <mergeCell ref="D2:D4"/>
    <mergeCell ref="AK3:AL3"/>
    <mergeCell ref="AG66:AG67"/>
    <mergeCell ref="AG68:AG69"/>
    <mergeCell ref="AG70:AG71"/>
    <mergeCell ref="AG72:AG73"/>
    <mergeCell ref="AA72:AA73"/>
    <mergeCell ref="U74:U75"/>
    <mergeCell ref="X74:X75"/>
    <mergeCell ref="AA74:AA75"/>
    <mergeCell ref="AD74:AD75"/>
    <mergeCell ref="AG74:AG75"/>
    <mergeCell ref="A1:AP1"/>
    <mergeCell ref="AK2:AP2"/>
    <mergeCell ref="G3:H3"/>
    <mergeCell ref="I3:I4"/>
    <mergeCell ref="J3:K3"/>
    <mergeCell ref="AE3:AF3"/>
    <mergeCell ref="AG3:AG4"/>
    <mergeCell ref="AH3:AI3"/>
    <mergeCell ref="U3:U4"/>
    <mergeCell ref="V3:W3"/>
    <mergeCell ref="Y3:Z3"/>
    <mergeCell ref="AA3:AA4"/>
    <mergeCell ref="AB3:AC3"/>
    <mergeCell ref="M3:N3"/>
    <mergeCell ref="O3:O4"/>
    <mergeCell ref="P3:Q3"/>
    <mergeCell ref="A2:A4"/>
    <mergeCell ref="C2:C4"/>
    <mergeCell ref="E2:F3"/>
    <mergeCell ref="G2:L2"/>
    <mergeCell ref="M2:R2"/>
    <mergeCell ref="S2:X2"/>
    <mergeCell ref="Y2:AD2"/>
    <mergeCell ref="AE2:AJ2"/>
    <mergeCell ref="I46:I47"/>
    <mergeCell ref="L46:L47"/>
    <mergeCell ref="AD46:AD47"/>
    <mergeCell ref="AG46:AG47"/>
    <mergeCell ref="AG40:AG41"/>
    <mergeCell ref="A66:H88"/>
    <mergeCell ref="A65:D65"/>
    <mergeCell ref="I74:I75"/>
    <mergeCell ref="AN3:AO3"/>
    <mergeCell ref="U40:U41"/>
    <mergeCell ref="U42:U43"/>
    <mergeCell ref="U44:U45"/>
    <mergeCell ref="AG42:AG43"/>
    <mergeCell ref="AG44:AG45"/>
    <mergeCell ref="O42:O43"/>
    <mergeCell ref="O44:O45"/>
    <mergeCell ref="U38:U39"/>
    <mergeCell ref="U66:U67"/>
    <mergeCell ref="L74:L75"/>
    <mergeCell ref="O74:O75"/>
    <mergeCell ref="R74:R75"/>
    <mergeCell ref="AM66:AM67"/>
    <mergeCell ref="AM68:AM69"/>
    <mergeCell ref="AA70:AA71"/>
  </mergeCells>
  <printOptions horizontalCentered="1" verticalCentered="1"/>
  <pageMargins left="0.23622047244094491" right="0.23622047244094491" top="0.23622047244094491" bottom="0.23622047244094491" header="3.937007874015748E-2" footer="3.937007874015748E-2"/>
  <pageSetup paperSize="8" scale="2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CH453"/>
  <sheetViews>
    <sheetView view="pageBreakPreview" zoomScale="85" zoomScaleNormal="80" zoomScaleSheetLayoutView="85" zoomScalePageLayoutView="80" workbookViewId="0">
      <pane xSplit="3" ySplit="7" topLeftCell="D83" activePane="bottomRight" state="frozen"/>
      <selection sqref="A1:IV65536"/>
      <selection pane="topRight" sqref="A1:IV65536"/>
      <selection pane="bottomLeft" sqref="A1:IV65536"/>
      <selection pane="bottomRight" activeCell="M84" sqref="M84"/>
    </sheetView>
  </sheetViews>
  <sheetFormatPr defaultColWidth="11.42578125" defaultRowHeight="15" x14ac:dyDescent="0.25"/>
  <cols>
    <col min="1" max="1" width="4.28515625" style="1" customWidth="1"/>
    <col min="2" max="2" width="11.7109375" style="1" customWidth="1"/>
    <col min="3" max="3" width="43.42578125" style="10" customWidth="1"/>
    <col min="4" max="6" width="12" style="10" customWidth="1"/>
    <col min="7" max="7" width="15.5703125" style="10" customWidth="1"/>
    <col min="8" max="9" width="11.42578125" style="10" customWidth="1"/>
    <col min="10" max="10" width="22.85546875" style="10" customWidth="1"/>
    <col min="11" max="11" width="12.7109375" style="10" customWidth="1"/>
    <col min="12" max="12" width="11.140625" style="10" customWidth="1"/>
    <col min="13" max="13" width="16.7109375" style="10" customWidth="1"/>
    <col min="14" max="15" width="10.7109375" style="10" customWidth="1"/>
    <col min="16" max="16" width="22.85546875" style="10" customWidth="1"/>
    <col min="17" max="17" width="12.5703125" style="10" customWidth="1"/>
    <col min="18" max="18" width="12.7109375" style="10" customWidth="1"/>
    <col min="19" max="19" width="25.140625" style="10" customWidth="1"/>
    <col min="20" max="20" width="12.42578125" style="10" customWidth="1"/>
    <col min="21" max="21" width="13.85546875" style="10" customWidth="1"/>
    <col min="22" max="22" width="22.85546875" style="10" customWidth="1"/>
    <col min="23" max="23" width="12.7109375" style="10" customWidth="1"/>
    <col min="24" max="24" width="11.7109375" style="10" customWidth="1"/>
    <col min="25" max="25" width="17.42578125" style="10" customWidth="1"/>
    <col min="26" max="26" width="14.85546875" style="10" customWidth="1"/>
    <col min="27" max="27" width="11.28515625" style="10" customWidth="1"/>
    <col min="28" max="28" width="22.85546875" style="10" customWidth="1"/>
    <col min="29" max="29" width="14.7109375" style="10" customWidth="1"/>
    <col min="30" max="30" width="11.7109375" style="10" customWidth="1"/>
    <col min="31" max="31" width="18.28515625" style="10" customWidth="1"/>
    <col min="32" max="32" width="12.28515625" style="10" customWidth="1"/>
    <col min="33" max="33" width="10" style="1" customWidth="1"/>
    <col min="34" max="34" width="22.85546875" style="1" customWidth="1"/>
    <col min="35" max="35" width="16.140625" style="1" customWidth="1"/>
    <col min="36" max="36" width="11.42578125" style="1" customWidth="1"/>
    <col min="37" max="37" width="17.28515625" style="1" customWidth="1"/>
    <col min="38" max="38" width="11.42578125" style="1" customWidth="1"/>
    <col min="39" max="39" width="11.85546875" style="1" customWidth="1"/>
    <col min="40" max="40" width="21.85546875" style="1" customWidth="1"/>
    <col min="41" max="41" width="14.28515625" style="1" customWidth="1"/>
    <col min="42" max="42" width="14.42578125" style="1" customWidth="1"/>
    <col min="43" max="43" width="18.140625" style="1" customWidth="1"/>
    <col min="44" max="44" width="18.28515625" style="2" customWidth="1"/>
    <col min="45" max="86" width="11.42578125" style="2"/>
    <col min="87" max="16384" width="11.42578125" style="1"/>
  </cols>
  <sheetData>
    <row r="1" spans="1:86" ht="20.25" x14ac:dyDescent="0.25">
      <c r="A1" s="712" t="s">
        <v>1207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713"/>
      <c r="AC1" s="713"/>
      <c r="AD1" s="713"/>
      <c r="AE1" s="713"/>
      <c r="AF1" s="713"/>
      <c r="AG1" s="713"/>
      <c r="AH1" s="713"/>
      <c r="AI1" s="713"/>
      <c r="AJ1" s="713"/>
      <c r="AK1" s="713"/>
      <c r="AL1" s="713"/>
      <c r="AM1" s="713"/>
      <c r="AN1" s="713"/>
      <c r="AO1" s="713"/>
      <c r="AP1" s="713"/>
      <c r="AQ1" s="714"/>
      <c r="AR1" s="78"/>
    </row>
    <row r="2" spans="1:86" ht="36" customHeight="1" x14ac:dyDescent="0.25">
      <c r="A2" s="715" t="s">
        <v>236</v>
      </c>
      <c r="B2" s="716" t="s">
        <v>25</v>
      </c>
      <c r="C2" s="717" t="s">
        <v>73</v>
      </c>
      <c r="D2" s="718" t="s">
        <v>68</v>
      </c>
      <c r="E2" s="719"/>
      <c r="F2" s="719"/>
      <c r="G2" s="720"/>
      <c r="H2" s="701" t="s">
        <v>27</v>
      </c>
      <c r="I2" s="701"/>
      <c r="J2" s="701"/>
      <c r="K2" s="701"/>
      <c r="L2" s="701"/>
      <c r="M2" s="701"/>
      <c r="N2" s="701" t="s">
        <v>36</v>
      </c>
      <c r="O2" s="701"/>
      <c r="P2" s="701"/>
      <c r="Q2" s="701"/>
      <c r="R2" s="701"/>
      <c r="S2" s="701"/>
      <c r="T2" s="701" t="s">
        <v>37</v>
      </c>
      <c r="U2" s="701"/>
      <c r="V2" s="701"/>
      <c r="W2" s="701"/>
      <c r="X2" s="701"/>
      <c r="Y2" s="701"/>
      <c r="Z2" s="701" t="s">
        <v>38</v>
      </c>
      <c r="AA2" s="701"/>
      <c r="AB2" s="701"/>
      <c r="AC2" s="701"/>
      <c r="AD2" s="701"/>
      <c r="AE2" s="701"/>
      <c r="AF2" s="701" t="s">
        <v>39</v>
      </c>
      <c r="AG2" s="701"/>
      <c r="AH2" s="701"/>
      <c r="AI2" s="701"/>
      <c r="AJ2" s="701"/>
      <c r="AK2" s="701"/>
      <c r="AL2" s="701" t="s">
        <v>40</v>
      </c>
      <c r="AM2" s="701"/>
      <c r="AN2" s="701"/>
      <c r="AO2" s="701"/>
      <c r="AP2" s="701"/>
      <c r="AQ2" s="701"/>
      <c r="AR2" s="700" t="s">
        <v>50</v>
      </c>
    </row>
    <row r="3" spans="1:86" s="13" customFormat="1" ht="21" customHeight="1" x14ac:dyDescent="0.2">
      <c r="A3" s="715"/>
      <c r="B3" s="716"/>
      <c r="C3" s="717"/>
      <c r="D3" s="721"/>
      <c r="E3" s="722"/>
      <c r="F3" s="722"/>
      <c r="G3" s="723"/>
      <c r="H3" s="701" t="s">
        <v>28</v>
      </c>
      <c r="I3" s="701"/>
      <c r="J3" s="701" t="s">
        <v>29</v>
      </c>
      <c r="K3" s="701" t="s">
        <v>30</v>
      </c>
      <c r="L3" s="701"/>
      <c r="M3" s="701" t="s">
        <v>4</v>
      </c>
      <c r="N3" s="701" t="s">
        <v>28</v>
      </c>
      <c r="O3" s="701"/>
      <c r="P3" s="701" t="s">
        <v>29</v>
      </c>
      <c r="Q3" s="701" t="s">
        <v>30</v>
      </c>
      <c r="R3" s="701"/>
      <c r="S3" s="701" t="s">
        <v>4</v>
      </c>
      <c r="T3" s="701" t="s">
        <v>28</v>
      </c>
      <c r="U3" s="701"/>
      <c r="V3" s="701" t="s">
        <v>29</v>
      </c>
      <c r="W3" s="701" t="s">
        <v>30</v>
      </c>
      <c r="X3" s="701"/>
      <c r="Y3" s="701" t="s">
        <v>4</v>
      </c>
      <c r="Z3" s="701" t="s">
        <v>28</v>
      </c>
      <c r="AA3" s="701"/>
      <c r="AB3" s="701" t="s">
        <v>29</v>
      </c>
      <c r="AC3" s="701" t="s">
        <v>30</v>
      </c>
      <c r="AD3" s="701"/>
      <c r="AE3" s="701" t="s">
        <v>4</v>
      </c>
      <c r="AF3" s="701" t="s">
        <v>28</v>
      </c>
      <c r="AG3" s="701"/>
      <c r="AH3" s="701" t="s">
        <v>29</v>
      </c>
      <c r="AI3" s="701" t="s">
        <v>30</v>
      </c>
      <c r="AJ3" s="701"/>
      <c r="AK3" s="701" t="s">
        <v>4</v>
      </c>
      <c r="AL3" s="701" t="s">
        <v>28</v>
      </c>
      <c r="AM3" s="701"/>
      <c r="AN3" s="701" t="s">
        <v>29</v>
      </c>
      <c r="AO3" s="701" t="s">
        <v>30</v>
      </c>
      <c r="AP3" s="701"/>
      <c r="AQ3" s="701" t="s">
        <v>4</v>
      </c>
      <c r="AR3" s="700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ht="21" customHeight="1" x14ac:dyDescent="0.2">
      <c r="A4" s="715"/>
      <c r="B4" s="716"/>
      <c r="C4" s="717"/>
      <c r="D4" s="724" t="s">
        <v>71</v>
      </c>
      <c r="E4" s="725"/>
      <c r="F4" s="724" t="s">
        <v>47</v>
      </c>
      <c r="G4" s="725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  <c r="W4" s="701"/>
      <c r="X4" s="701"/>
      <c r="Y4" s="701"/>
      <c r="Z4" s="701"/>
      <c r="AA4" s="701"/>
      <c r="AB4" s="701"/>
      <c r="AC4" s="701"/>
      <c r="AD4" s="701"/>
      <c r="AE4" s="701"/>
      <c r="AF4" s="701"/>
      <c r="AG4" s="701"/>
      <c r="AH4" s="701"/>
      <c r="AI4" s="701"/>
      <c r="AJ4" s="701"/>
      <c r="AK4" s="701"/>
      <c r="AL4" s="701"/>
      <c r="AM4" s="701"/>
      <c r="AN4" s="701"/>
      <c r="AO4" s="701"/>
      <c r="AP4" s="701"/>
      <c r="AQ4" s="701"/>
      <c r="AR4" s="700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ht="32.25" customHeight="1" x14ac:dyDescent="0.2">
      <c r="A5" s="715"/>
      <c r="B5" s="716"/>
      <c r="C5" s="717"/>
      <c r="D5" s="79" t="s">
        <v>5</v>
      </c>
      <c r="E5" s="79" t="s">
        <v>6</v>
      </c>
      <c r="F5" s="79" t="s">
        <v>5</v>
      </c>
      <c r="G5" s="79" t="s">
        <v>6</v>
      </c>
      <c r="H5" s="79" t="s">
        <v>33</v>
      </c>
      <c r="I5" s="79" t="s">
        <v>34</v>
      </c>
      <c r="J5" s="701"/>
      <c r="K5" s="79" t="s">
        <v>31</v>
      </c>
      <c r="L5" s="79" t="s">
        <v>32</v>
      </c>
      <c r="M5" s="79" t="s">
        <v>35</v>
      </c>
      <c r="N5" s="79" t="s">
        <v>33</v>
      </c>
      <c r="O5" s="79" t="s">
        <v>34</v>
      </c>
      <c r="P5" s="701"/>
      <c r="Q5" s="79" t="s">
        <v>31</v>
      </c>
      <c r="R5" s="79" t="s">
        <v>32</v>
      </c>
      <c r="S5" s="79" t="s">
        <v>35</v>
      </c>
      <c r="T5" s="79" t="s">
        <v>33</v>
      </c>
      <c r="U5" s="79" t="s">
        <v>34</v>
      </c>
      <c r="V5" s="701"/>
      <c r="W5" s="79" t="s">
        <v>31</v>
      </c>
      <c r="X5" s="79" t="s">
        <v>32</v>
      </c>
      <c r="Y5" s="79" t="s">
        <v>35</v>
      </c>
      <c r="Z5" s="79" t="s">
        <v>33</v>
      </c>
      <c r="AA5" s="79" t="s">
        <v>34</v>
      </c>
      <c r="AB5" s="701"/>
      <c r="AC5" s="79" t="s">
        <v>31</v>
      </c>
      <c r="AD5" s="79" t="s">
        <v>32</v>
      </c>
      <c r="AE5" s="79" t="s">
        <v>35</v>
      </c>
      <c r="AF5" s="79" t="s">
        <v>33</v>
      </c>
      <c r="AG5" s="79" t="s">
        <v>34</v>
      </c>
      <c r="AH5" s="701"/>
      <c r="AI5" s="79" t="s">
        <v>31</v>
      </c>
      <c r="AJ5" s="79" t="s">
        <v>32</v>
      </c>
      <c r="AK5" s="79" t="s">
        <v>35</v>
      </c>
      <c r="AL5" s="79" t="s">
        <v>33</v>
      </c>
      <c r="AM5" s="79" t="s">
        <v>34</v>
      </c>
      <c r="AN5" s="701"/>
      <c r="AO5" s="79" t="s">
        <v>31</v>
      </c>
      <c r="AP5" s="79" t="s">
        <v>32</v>
      </c>
      <c r="AQ5" s="79" t="s">
        <v>35</v>
      </c>
      <c r="AR5" s="63">
        <v>43</v>
      </c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ht="24.75" customHeight="1" x14ac:dyDescent="0.2">
      <c r="A6" s="80">
        <v>1</v>
      </c>
      <c r="B6" s="80">
        <v>2</v>
      </c>
      <c r="C6" s="81">
        <v>3</v>
      </c>
      <c r="D6" s="82">
        <v>4</v>
      </c>
      <c r="E6" s="82">
        <v>5</v>
      </c>
      <c r="F6" s="83">
        <v>6</v>
      </c>
      <c r="G6" s="83">
        <v>7</v>
      </c>
      <c r="H6" s="84">
        <v>8</v>
      </c>
      <c r="I6" s="82">
        <v>9</v>
      </c>
      <c r="J6" s="83">
        <v>10</v>
      </c>
      <c r="K6" s="84">
        <v>11</v>
      </c>
      <c r="L6" s="84">
        <v>12</v>
      </c>
      <c r="M6" s="82">
        <v>13</v>
      </c>
      <c r="N6" s="83">
        <v>14</v>
      </c>
      <c r="O6" s="84">
        <v>15</v>
      </c>
      <c r="P6" s="83">
        <v>16</v>
      </c>
      <c r="Q6" s="82">
        <v>17</v>
      </c>
      <c r="R6" s="83">
        <v>18</v>
      </c>
      <c r="S6" s="84">
        <v>19</v>
      </c>
      <c r="T6" s="83">
        <v>20</v>
      </c>
      <c r="U6" s="84">
        <v>21</v>
      </c>
      <c r="V6" s="82">
        <v>22</v>
      </c>
      <c r="W6" s="83">
        <v>23</v>
      </c>
      <c r="X6" s="83">
        <v>24</v>
      </c>
      <c r="Y6" s="84">
        <v>25</v>
      </c>
      <c r="Z6" s="82">
        <v>26</v>
      </c>
      <c r="AA6" s="83">
        <v>27</v>
      </c>
      <c r="AB6" s="84">
        <v>28</v>
      </c>
      <c r="AC6" s="83">
        <v>29</v>
      </c>
      <c r="AD6" s="82">
        <v>30</v>
      </c>
      <c r="AE6" s="83">
        <v>31</v>
      </c>
      <c r="AF6" s="84">
        <v>32</v>
      </c>
      <c r="AG6" s="83">
        <v>33</v>
      </c>
      <c r="AH6" s="84">
        <v>34</v>
      </c>
      <c r="AI6" s="82">
        <v>35</v>
      </c>
      <c r="AJ6" s="84">
        <v>36</v>
      </c>
      <c r="AK6" s="83">
        <v>37</v>
      </c>
      <c r="AL6" s="84">
        <v>38</v>
      </c>
      <c r="AM6" s="82">
        <v>39</v>
      </c>
      <c r="AN6" s="83">
        <v>40</v>
      </c>
      <c r="AO6" s="84">
        <v>41</v>
      </c>
      <c r="AP6" s="84">
        <v>42</v>
      </c>
      <c r="AQ6" s="84">
        <v>43</v>
      </c>
      <c r="AR6" s="85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486" customFormat="1" ht="21" customHeight="1" x14ac:dyDescent="0.2">
      <c r="A7" s="480" t="s">
        <v>9</v>
      </c>
      <c r="B7" s="481"/>
      <c r="C7" s="481"/>
      <c r="D7" s="481"/>
      <c r="E7" s="481"/>
      <c r="F7" s="481"/>
      <c r="G7" s="481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3"/>
      <c r="AR7" s="484"/>
      <c r="AS7" s="485"/>
      <c r="AT7" s="485"/>
      <c r="AU7" s="485"/>
      <c r="AV7" s="485"/>
      <c r="AW7" s="485"/>
      <c r="AX7" s="485"/>
      <c r="AY7" s="485"/>
      <c r="AZ7" s="485"/>
      <c r="BA7" s="485"/>
      <c r="BB7" s="485"/>
      <c r="BC7" s="485"/>
      <c r="BD7" s="485"/>
      <c r="BE7" s="485"/>
      <c r="BF7" s="485"/>
      <c r="BG7" s="485"/>
      <c r="BH7" s="485"/>
      <c r="BI7" s="485"/>
      <c r="BJ7" s="485"/>
      <c r="BK7" s="485"/>
      <c r="BL7" s="485"/>
      <c r="BM7" s="485"/>
      <c r="BN7" s="485"/>
      <c r="BO7" s="485"/>
      <c r="BP7" s="485"/>
      <c r="BQ7" s="485"/>
      <c r="BR7" s="485"/>
      <c r="BS7" s="485"/>
      <c r="BT7" s="485"/>
      <c r="BU7" s="485"/>
      <c r="BV7" s="485"/>
      <c r="BW7" s="485"/>
      <c r="BX7" s="485"/>
      <c r="BY7" s="485"/>
      <c r="BZ7" s="485"/>
      <c r="CA7" s="485"/>
      <c r="CB7" s="485"/>
      <c r="CC7" s="485"/>
      <c r="CD7" s="485"/>
      <c r="CE7" s="485"/>
      <c r="CF7" s="485"/>
      <c r="CG7" s="485"/>
      <c r="CH7" s="485"/>
    </row>
    <row r="8" spans="1:86" ht="21.75" customHeight="1" x14ac:dyDescent="0.25">
      <c r="A8" s="67">
        <v>1</v>
      </c>
      <c r="B8" s="63" t="s">
        <v>237</v>
      </c>
      <c r="C8" s="67" t="s">
        <v>238</v>
      </c>
      <c r="D8" s="67">
        <v>48.48</v>
      </c>
      <c r="E8" s="88">
        <f>48480*7</f>
        <v>339360</v>
      </c>
      <c r="F8" s="67">
        <v>9.2840000000000007</v>
      </c>
      <c r="G8" s="89">
        <f>9284*7</f>
        <v>64988</v>
      </c>
      <c r="H8" s="90"/>
      <c r="I8" s="91"/>
      <c r="J8" s="92"/>
      <c r="K8" s="91"/>
      <c r="L8" s="91"/>
      <c r="M8" s="91"/>
      <c r="N8" s="91"/>
      <c r="O8" s="91"/>
      <c r="P8" s="91"/>
      <c r="Q8" s="91"/>
      <c r="R8" s="91"/>
      <c r="S8" s="93"/>
      <c r="T8" s="93"/>
      <c r="U8" s="93"/>
      <c r="V8" s="93"/>
      <c r="W8" s="93"/>
      <c r="X8" s="93"/>
      <c r="Y8" s="93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5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ht="15" customHeight="1" x14ac:dyDescent="0.25">
      <c r="A9" s="67">
        <v>2</v>
      </c>
      <c r="B9" s="63" t="s">
        <v>221</v>
      </c>
      <c r="C9" s="67" t="s">
        <v>222</v>
      </c>
      <c r="D9" s="67">
        <v>7.62</v>
      </c>
      <c r="E9" s="88">
        <f>7620*7</f>
        <v>53340</v>
      </c>
      <c r="F9" s="67">
        <v>7.62</v>
      </c>
      <c r="G9" s="89">
        <f>7620*7</f>
        <v>53340</v>
      </c>
      <c r="H9" s="96"/>
      <c r="I9" s="97"/>
      <c r="J9" s="98"/>
      <c r="K9" s="97"/>
      <c r="L9" s="97"/>
      <c r="M9" s="99"/>
      <c r="N9" s="610" t="s">
        <v>109</v>
      </c>
      <c r="O9" s="101" t="s">
        <v>239</v>
      </c>
      <c r="P9" s="101" t="s">
        <v>105</v>
      </c>
      <c r="Q9" s="101">
        <v>4</v>
      </c>
      <c r="R9" s="101" t="s">
        <v>5</v>
      </c>
      <c r="S9" s="466">
        <f>Q9*18.56*1000</f>
        <v>74240</v>
      </c>
      <c r="T9" s="443" t="s">
        <v>239</v>
      </c>
      <c r="U9" s="443" t="s">
        <v>1128</v>
      </c>
      <c r="V9" s="443" t="s">
        <v>105</v>
      </c>
      <c r="W9" s="443">
        <v>3.62</v>
      </c>
      <c r="X9" s="443" t="s">
        <v>5</v>
      </c>
      <c r="Y9" s="133">
        <f>W9*18.6*1000</f>
        <v>67332.000000000015</v>
      </c>
      <c r="Z9" s="90"/>
      <c r="AA9" s="91"/>
      <c r="AB9" s="91"/>
      <c r="AC9" s="91"/>
      <c r="AD9" s="91"/>
      <c r="AE9" s="93"/>
      <c r="AF9" s="93"/>
      <c r="AG9" s="93"/>
      <c r="AH9" s="93"/>
      <c r="AI9" s="93"/>
      <c r="AJ9" s="93"/>
      <c r="AK9" s="93"/>
      <c r="AL9" s="94"/>
      <c r="AM9" s="94"/>
      <c r="AN9" s="94"/>
      <c r="AO9" s="94"/>
      <c r="AP9" s="94"/>
      <c r="AQ9" s="94"/>
      <c r="AR9" s="95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5" customHeight="1" x14ac:dyDescent="0.25">
      <c r="A10" s="67">
        <v>3</v>
      </c>
      <c r="B10" s="63" t="s">
        <v>207</v>
      </c>
      <c r="C10" s="67" t="s">
        <v>240</v>
      </c>
      <c r="D10" s="67">
        <v>22.3</v>
      </c>
      <c r="E10" s="88">
        <f>22300*7</f>
        <v>156100</v>
      </c>
      <c r="F10" s="67">
        <v>22.3</v>
      </c>
      <c r="G10" s="89">
        <f>22300*7</f>
        <v>156100</v>
      </c>
      <c r="H10" s="96"/>
      <c r="I10" s="97"/>
      <c r="J10" s="98"/>
      <c r="K10" s="97"/>
      <c r="L10" s="97"/>
      <c r="M10" s="97"/>
      <c r="N10" s="97"/>
      <c r="O10" s="97"/>
      <c r="P10" s="97"/>
      <c r="Q10" s="97"/>
      <c r="R10" s="97"/>
      <c r="S10" s="94"/>
      <c r="T10" s="443" t="s">
        <v>241</v>
      </c>
      <c r="U10" s="443" t="s">
        <v>242</v>
      </c>
      <c r="V10" s="443" t="s">
        <v>105</v>
      </c>
      <c r="W10" s="443">
        <v>6.3</v>
      </c>
      <c r="X10" s="443" t="s">
        <v>5</v>
      </c>
      <c r="Y10" s="133">
        <f>W10*17.121*1000+3224.57</f>
        <v>111086.87</v>
      </c>
      <c r="Z10" s="444" t="s">
        <v>242</v>
      </c>
      <c r="AA10" s="444" t="s">
        <v>225</v>
      </c>
      <c r="AB10" s="444" t="s">
        <v>105</v>
      </c>
      <c r="AC10" s="106">
        <v>6</v>
      </c>
      <c r="AD10" s="106" t="s">
        <v>5</v>
      </c>
      <c r="AE10" s="448">
        <v>130833.45</v>
      </c>
      <c r="AF10" s="102"/>
      <c r="AG10" s="102"/>
      <c r="AH10" s="102"/>
      <c r="AI10" s="102"/>
      <c r="AJ10" s="102"/>
      <c r="AK10" s="103"/>
      <c r="AL10" s="107"/>
      <c r="AM10" s="94"/>
      <c r="AN10" s="94"/>
      <c r="AO10" s="94"/>
      <c r="AP10" s="94"/>
      <c r="AQ10" s="94"/>
      <c r="AR10" s="95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27" customHeight="1" x14ac:dyDescent="0.25">
      <c r="A11" s="603">
        <v>4</v>
      </c>
      <c r="B11" s="63" t="s">
        <v>201</v>
      </c>
      <c r="C11" s="603" t="s">
        <v>244</v>
      </c>
      <c r="D11" s="608">
        <v>2.8540000000000001</v>
      </c>
      <c r="E11" s="607">
        <f t="shared" ref="E11" si="0">D11*7000</f>
        <v>19978</v>
      </c>
      <c r="F11" s="609">
        <f>D11</f>
        <v>2.8540000000000001</v>
      </c>
      <c r="G11" s="90">
        <f t="shared" ref="G11" si="1">F11*7000</f>
        <v>19978</v>
      </c>
      <c r="H11" s="609"/>
      <c r="I11" s="609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6"/>
      <c r="U11" s="603"/>
      <c r="V11" s="603"/>
      <c r="W11" s="603"/>
      <c r="X11" s="603"/>
      <c r="Y11" s="604"/>
      <c r="Z11" s="603"/>
      <c r="AA11" s="603"/>
      <c r="AB11" s="603"/>
      <c r="AC11" s="603"/>
      <c r="AD11" s="603"/>
      <c r="AE11" s="603"/>
      <c r="AF11" s="603" t="s">
        <v>109</v>
      </c>
      <c r="AG11" s="603" t="s">
        <v>245</v>
      </c>
      <c r="AH11" s="603" t="s">
        <v>105</v>
      </c>
      <c r="AI11" s="603">
        <v>2.8540000000000001</v>
      </c>
      <c r="AJ11" s="603" t="s">
        <v>5</v>
      </c>
      <c r="AK11" s="604">
        <v>0</v>
      </c>
      <c r="AL11" s="603"/>
      <c r="AM11" s="603"/>
      <c r="AN11" s="603"/>
      <c r="AO11" s="603"/>
      <c r="AP11" s="603"/>
      <c r="AQ11" s="604"/>
      <c r="AR11" s="115"/>
    </row>
    <row r="12" spans="1:86" ht="27" customHeight="1" x14ac:dyDescent="0.25">
      <c r="A12" s="603">
        <v>5</v>
      </c>
      <c r="B12" s="63" t="s">
        <v>202</v>
      </c>
      <c r="C12" s="603" t="s">
        <v>243</v>
      </c>
      <c r="D12" s="608">
        <v>14</v>
      </c>
      <c r="E12" s="607">
        <f>D12*7000</f>
        <v>98000</v>
      </c>
      <c r="F12" s="609">
        <f>D12</f>
        <v>14</v>
      </c>
      <c r="G12" s="90">
        <f>F12*7000</f>
        <v>98000</v>
      </c>
      <c r="H12" s="609"/>
      <c r="I12" s="609"/>
      <c r="J12" s="603"/>
      <c r="K12" s="603"/>
      <c r="L12" s="603"/>
      <c r="M12" s="603"/>
      <c r="N12" s="603" t="s">
        <v>109</v>
      </c>
      <c r="O12" s="603" t="s">
        <v>216</v>
      </c>
      <c r="P12" s="603" t="s">
        <v>105</v>
      </c>
      <c r="Q12" s="603">
        <v>7</v>
      </c>
      <c r="R12" s="603" t="s">
        <v>5</v>
      </c>
      <c r="S12" s="603">
        <v>0</v>
      </c>
      <c r="T12" s="606" t="s">
        <v>216</v>
      </c>
      <c r="U12" s="603" t="s">
        <v>136</v>
      </c>
      <c r="V12" s="603" t="s">
        <v>105</v>
      </c>
      <c r="W12" s="603">
        <v>7</v>
      </c>
      <c r="X12" s="603" t="s">
        <v>5</v>
      </c>
      <c r="Y12" s="604">
        <v>0</v>
      </c>
      <c r="Z12" s="603"/>
      <c r="AA12" s="603"/>
      <c r="AB12" s="603"/>
      <c r="AC12" s="603"/>
      <c r="AD12" s="603"/>
      <c r="AE12" s="603"/>
      <c r="AF12" s="603"/>
      <c r="AG12" s="603"/>
      <c r="AH12" s="603"/>
      <c r="AI12" s="603"/>
      <c r="AJ12" s="603"/>
      <c r="AK12" s="603"/>
      <c r="AL12" s="603"/>
      <c r="AM12" s="603"/>
      <c r="AN12" s="603"/>
      <c r="AO12" s="603"/>
      <c r="AP12" s="603"/>
      <c r="AQ12" s="604"/>
      <c r="AR12" s="115"/>
    </row>
    <row r="13" spans="1:86" ht="27" customHeight="1" x14ac:dyDescent="0.25">
      <c r="A13" s="603">
        <v>6</v>
      </c>
      <c r="B13" s="63" t="s">
        <v>203</v>
      </c>
      <c r="C13" s="603" t="s">
        <v>848</v>
      </c>
      <c r="D13" s="608">
        <v>9.125</v>
      </c>
      <c r="E13" s="607">
        <f t="shared" ref="E13" si="2">D13*7000</f>
        <v>63875</v>
      </c>
      <c r="F13" s="609">
        <f>D13</f>
        <v>9.125</v>
      </c>
      <c r="G13" s="90">
        <f t="shared" ref="G13" si="3">F13*7000</f>
        <v>63875</v>
      </c>
      <c r="H13" s="609"/>
      <c r="I13" s="609"/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6"/>
      <c r="U13" s="603"/>
      <c r="V13" s="603"/>
      <c r="W13" s="603"/>
      <c r="X13" s="603"/>
      <c r="Y13" s="604"/>
      <c r="Z13" s="603" t="s">
        <v>109</v>
      </c>
      <c r="AA13" s="603" t="s">
        <v>218</v>
      </c>
      <c r="AB13" s="603" t="s">
        <v>105</v>
      </c>
      <c r="AC13" s="603">
        <v>9.125</v>
      </c>
      <c r="AD13" s="603" t="s">
        <v>5</v>
      </c>
      <c r="AE13" s="604">
        <v>0</v>
      </c>
      <c r="AF13" s="603"/>
      <c r="AG13" s="603"/>
      <c r="AH13" s="603"/>
      <c r="AI13" s="603"/>
      <c r="AJ13" s="603"/>
      <c r="AK13" s="603"/>
      <c r="AL13" s="603"/>
      <c r="AM13" s="603"/>
      <c r="AN13" s="603"/>
      <c r="AO13" s="603"/>
      <c r="AP13" s="603"/>
      <c r="AQ13" s="604"/>
      <c r="AR13" s="115"/>
    </row>
    <row r="14" spans="1:86" s="494" customFormat="1" ht="41.25" customHeight="1" x14ac:dyDescent="0.2">
      <c r="A14" s="686" t="s">
        <v>10</v>
      </c>
      <c r="B14" s="687"/>
      <c r="C14" s="688"/>
      <c r="D14" s="402"/>
      <c r="E14" s="402"/>
      <c r="F14" s="402"/>
      <c r="G14" s="402"/>
      <c r="H14" s="487"/>
      <c r="I14" s="487"/>
      <c r="J14" s="487"/>
      <c r="K14" s="487">
        <v>0</v>
      </c>
      <c r="L14" s="487" t="s">
        <v>5</v>
      </c>
      <c r="M14" s="487">
        <v>0</v>
      </c>
      <c r="N14" s="487"/>
      <c r="O14" s="487"/>
      <c r="P14" s="487"/>
      <c r="Q14" s="488">
        <f>Q9+Q12</f>
        <v>11</v>
      </c>
      <c r="R14" s="488" t="s">
        <v>5</v>
      </c>
      <c r="S14" s="489">
        <f>SUM(S8:S10)</f>
        <v>74240</v>
      </c>
      <c r="T14" s="488"/>
      <c r="U14" s="488"/>
      <c r="V14" s="488"/>
      <c r="W14" s="488">
        <f>W15</f>
        <v>16.920000000000002</v>
      </c>
      <c r="X14" s="488" t="s">
        <v>5</v>
      </c>
      <c r="Y14" s="489">
        <f>Y15</f>
        <v>178418.87</v>
      </c>
      <c r="Z14" s="488"/>
      <c r="AA14" s="488"/>
      <c r="AB14" s="488"/>
      <c r="AC14" s="488">
        <f>AC10+AC13</f>
        <v>15.125</v>
      </c>
      <c r="AD14" s="488" t="s">
        <v>5</v>
      </c>
      <c r="AE14" s="489">
        <f>AE10+AE13</f>
        <v>130833.45</v>
      </c>
      <c r="AF14" s="488"/>
      <c r="AG14" s="488"/>
      <c r="AH14" s="488"/>
      <c r="AI14" s="488">
        <f>AI11</f>
        <v>2.8540000000000001</v>
      </c>
      <c r="AJ14" s="488" t="s">
        <v>5</v>
      </c>
      <c r="AK14" s="488">
        <f>SUM(AK8:AK10)</f>
        <v>0</v>
      </c>
      <c r="AL14" s="490"/>
      <c r="AM14" s="490"/>
      <c r="AN14" s="490"/>
      <c r="AO14" s="491">
        <f>SUM(AO11:AO13)</f>
        <v>0</v>
      </c>
      <c r="AP14" s="490" t="s">
        <v>5</v>
      </c>
      <c r="AQ14" s="490">
        <f>SUM(AQ11:AQ13)</f>
        <v>0</v>
      </c>
      <c r="AR14" s="492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3"/>
      <c r="CE14" s="493"/>
      <c r="CF14" s="493"/>
      <c r="CG14" s="493"/>
      <c r="CH14" s="493"/>
    </row>
    <row r="15" spans="1:86" s="494" customFormat="1" ht="21.75" customHeight="1" x14ac:dyDescent="0.2">
      <c r="A15" s="689" t="s">
        <v>10</v>
      </c>
      <c r="B15" s="690"/>
      <c r="C15" s="690"/>
      <c r="D15" s="690"/>
      <c r="E15" s="690"/>
      <c r="F15" s="690"/>
      <c r="G15" s="690"/>
      <c r="H15" s="690"/>
      <c r="I15" s="691"/>
      <c r="J15" s="698" t="s">
        <v>11</v>
      </c>
      <c r="K15" s="408"/>
      <c r="L15" s="408" t="s">
        <v>5</v>
      </c>
      <c r="M15" s="408"/>
      <c r="N15" s="495"/>
      <c r="O15" s="496"/>
      <c r="P15" s="698" t="s">
        <v>11</v>
      </c>
      <c r="Q15" s="497">
        <f>Q14</f>
        <v>11</v>
      </c>
      <c r="R15" s="408" t="s">
        <v>5</v>
      </c>
      <c r="S15" s="58">
        <f>S14</f>
        <v>74240</v>
      </c>
      <c r="T15" s="495"/>
      <c r="U15" s="496"/>
      <c r="V15" s="698" t="s">
        <v>11</v>
      </c>
      <c r="W15" s="497">
        <f>W9+W10+W12</f>
        <v>16.920000000000002</v>
      </c>
      <c r="X15" s="408" t="s">
        <v>5</v>
      </c>
      <c r="Y15" s="58">
        <f>Y10+Y9</f>
        <v>178418.87</v>
      </c>
      <c r="Z15" s="495"/>
      <c r="AA15" s="496"/>
      <c r="AB15" s="698" t="s">
        <v>11</v>
      </c>
      <c r="AC15" s="497">
        <f>AC14</f>
        <v>15.125</v>
      </c>
      <c r="AD15" s="408" t="s">
        <v>5</v>
      </c>
      <c r="AE15" s="58">
        <f>AE14</f>
        <v>130833.45</v>
      </c>
      <c r="AF15" s="495"/>
      <c r="AG15" s="496"/>
      <c r="AH15" s="698" t="s">
        <v>11</v>
      </c>
      <c r="AI15" s="497">
        <f>AI14</f>
        <v>2.8540000000000001</v>
      </c>
      <c r="AJ15" s="408" t="s">
        <v>5</v>
      </c>
      <c r="AK15" s="497">
        <f>AK14</f>
        <v>0</v>
      </c>
      <c r="AL15" s="495"/>
      <c r="AM15" s="496"/>
      <c r="AN15" s="698" t="s">
        <v>11</v>
      </c>
      <c r="AO15" s="498">
        <f>AO14</f>
        <v>0</v>
      </c>
      <c r="AP15" s="408" t="s">
        <v>5</v>
      </c>
      <c r="AQ15" s="497">
        <f>AQ14</f>
        <v>0</v>
      </c>
      <c r="AR15" s="408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493"/>
      <c r="BM15" s="493"/>
      <c r="BN15" s="493"/>
      <c r="BO15" s="493"/>
      <c r="BP15" s="493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3"/>
      <c r="CE15" s="493"/>
      <c r="CF15" s="493"/>
      <c r="CG15" s="493"/>
      <c r="CH15" s="493"/>
    </row>
    <row r="16" spans="1:86" s="494" customFormat="1" ht="21.75" customHeight="1" x14ac:dyDescent="0.2">
      <c r="A16" s="692"/>
      <c r="B16" s="693"/>
      <c r="C16" s="693"/>
      <c r="D16" s="693"/>
      <c r="E16" s="693"/>
      <c r="F16" s="693"/>
      <c r="G16" s="693"/>
      <c r="H16" s="693"/>
      <c r="I16" s="694"/>
      <c r="J16" s="699"/>
      <c r="K16" s="408"/>
      <c r="L16" s="408" t="s">
        <v>8</v>
      </c>
      <c r="M16" s="408"/>
      <c r="N16" s="499"/>
      <c r="O16" s="500"/>
      <c r="P16" s="699"/>
      <c r="Q16" s="408">
        <f>Q15*7000</f>
        <v>77000</v>
      </c>
      <c r="R16" s="408" t="s">
        <v>8</v>
      </c>
      <c r="S16" s="408"/>
      <c r="T16" s="499"/>
      <c r="U16" s="500"/>
      <c r="V16" s="699"/>
      <c r="W16" s="408">
        <f>W15*7000</f>
        <v>118440.00000000001</v>
      </c>
      <c r="X16" s="408" t="s">
        <v>8</v>
      </c>
      <c r="Y16" s="408"/>
      <c r="Z16" s="499"/>
      <c r="AA16" s="500"/>
      <c r="AB16" s="699"/>
      <c r="AC16" s="408">
        <f>AC15*7000</f>
        <v>105875</v>
      </c>
      <c r="AD16" s="408" t="s">
        <v>8</v>
      </c>
      <c r="AE16" s="408"/>
      <c r="AF16" s="499"/>
      <c r="AG16" s="500"/>
      <c r="AH16" s="699"/>
      <c r="AI16" s="408"/>
      <c r="AJ16" s="408" t="s">
        <v>8</v>
      </c>
      <c r="AK16" s="408"/>
      <c r="AL16" s="499"/>
      <c r="AM16" s="500"/>
      <c r="AN16" s="699"/>
      <c r="AO16" s="408"/>
      <c r="AP16" s="408" t="s">
        <v>8</v>
      </c>
      <c r="AQ16" s="408"/>
      <c r="AR16" s="408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</row>
    <row r="17" spans="1:86" s="494" customFormat="1" ht="21.75" customHeight="1" x14ac:dyDescent="0.2">
      <c r="A17" s="692"/>
      <c r="B17" s="693"/>
      <c r="C17" s="693"/>
      <c r="D17" s="693"/>
      <c r="E17" s="693"/>
      <c r="F17" s="693"/>
      <c r="G17" s="693"/>
      <c r="H17" s="693"/>
      <c r="I17" s="694"/>
      <c r="J17" s="698" t="s">
        <v>41</v>
      </c>
      <c r="K17" s="408"/>
      <c r="L17" s="408" t="s">
        <v>5</v>
      </c>
      <c r="M17" s="408"/>
      <c r="N17" s="499"/>
      <c r="O17" s="500"/>
      <c r="P17" s="698" t="s">
        <v>41</v>
      </c>
      <c r="Q17" s="408"/>
      <c r="R17" s="408" t="s">
        <v>5</v>
      </c>
      <c r="S17" s="408"/>
      <c r="T17" s="499"/>
      <c r="U17" s="500"/>
      <c r="V17" s="698" t="s">
        <v>41</v>
      </c>
      <c r="W17" s="408"/>
      <c r="X17" s="408" t="s">
        <v>5</v>
      </c>
      <c r="Y17" s="408"/>
      <c r="Z17" s="499"/>
      <c r="AA17" s="500"/>
      <c r="AB17" s="698" t="s">
        <v>41</v>
      </c>
      <c r="AC17" s="408"/>
      <c r="AD17" s="408" t="s">
        <v>5</v>
      </c>
      <c r="AE17" s="408"/>
      <c r="AF17" s="499"/>
      <c r="AG17" s="500"/>
      <c r="AH17" s="698" t="s">
        <v>41</v>
      </c>
      <c r="AI17" s="408"/>
      <c r="AJ17" s="408" t="s">
        <v>5</v>
      </c>
      <c r="AK17" s="408"/>
      <c r="AL17" s="499"/>
      <c r="AM17" s="500"/>
      <c r="AN17" s="698" t="s">
        <v>41</v>
      </c>
      <c r="AO17" s="408"/>
      <c r="AP17" s="408" t="s">
        <v>5</v>
      </c>
      <c r="AQ17" s="408"/>
      <c r="AR17" s="408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3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3"/>
      <c r="CE17" s="493"/>
      <c r="CF17" s="493"/>
      <c r="CG17" s="493"/>
      <c r="CH17" s="493"/>
    </row>
    <row r="18" spans="1:86" s="494" customFormat="1" ht="21.75" customHeight="1" x14ac:dyDescent="0.2">
      <c r="A18" s="692"/>
      <c r="B18" s="693"/>
      <c r="C18" s="693"/>
      <c r="D18" s="693"/>
      <c r="E18" s="693"/>
      <c r="F18" s="693"/>
      <c r="G18" s="693"/>
      <c r="H18" s="693"/>
      <c r="I18" s="694"/>
      <c r="J18" s="699"/>
      <c r="K18" s="408"/>
      <c r="L18" s="408" t="s">
        <v>8</v>
      </c>
      <c r="M18" s="408"/>
      <c r="N18" s="499"/>
      <c r="O18" s="500"/>
      <c r="P18" s="699"/>
      <c r="Q18" s="408"/>
      <c r="R18" s="408" t="s">
        <v>8</v>
      </c>
      <c r="S18" s="408"/>
      <c r="T18" s="499"/>
      <c r="U18" s="500"/>
      <c r="V18" s="699"/>
      <c r="W18" s="408"/>
      <c r="X18" s="408" t="s">
        <v>8</v>
      </c>
      <c r="Y18" s="408"/>
      <c r="Z18" s="499"/>
      <c r="AA18" s="500"/>
      <c r="AB18" s="699"/>
      <c r="AC18" s="408"/>
      <c r="AD18" s="408" t="s">
        <v>8</v>
      </c>
      <c r="AE18" s="408"/>
      <c r="AF18" s="499"/>
      <c r="AG18" s="500"/>
      <c r="AH18" s="699"/>
      <c r="AI18" s="408"/>
      <c r="AJ18" s="408" t="s">
        <v>8</v>
      </c>
      <c r="AK18" s="408"/>
      <c r="AL18" s="499"/>
      <c r="AM18" s="500"/>
      <c r="AN18" s="699"/>
      <c r="AO18" s="408"/>
      <c r="AP18" s="408" t="s">
        <v>8</v>
      </c>
      <c r="AQ18" s="408"/>
      <c r="AR18" s="408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3"/>
      <c r="CE18" s="493"/>
      <c r="CF18" s="493"/>
      <c r="CG18" s="493"/>
      <c r="CH18" s="493"/>
    </row>
    <row r="19" spans="1:86" s="494" customFormat="1" ht="21.75" customHeight="1" x14ac:dyDescent="0.2">
      <c r="A19" s="692"/>
      <c r="B19" s="693"/>
      <c r="C19" s="693"/>
      <c r="D19" s="693"/>
      <c r="E19" s="693"/>
      <c r="F19" s="693"/>
      <c r="G19" s="693"/>
      <c r="H19" s="693"/>
      <c r="I19" s="694"/>
      <c r="J19" s="698" t="s">
        <v>42</v>
      </c>
      <c r="K19" s="408"/>
      <c r="L19" s="408" t="s">
        <v>5</v>
      </c>
      <c r="M19" s="408"/>
      <c r="N19" s="499"/>
      <c r="O19" s="500"/>
      <c r="P19" s="698" t="s">
        <v>42</v>
      </c>
      <c r="Q19" s="408"/>
      <c r="R19" s="408" t="s">
        <v>5</v>
      </c>
      <c r="S19" s="408"/>
      <c r="T19" s="499"/>
      <c r="U19" s="500"/>
      <c r="V19" s="698" t="s">
        <v>42</v>
      </c>
      <c r="W19" s="408"/>
      <c r="X19" s="408" t="s">
        <v>5</v>
      </c>
      <c r="Y19" s="408"/>
      <c r="Z19" s="499"/>
      <c r="AA19" s="500"/>
      <c r="AB19" s="698" t="s">
        <v>42</v>
      </c>
      <c r="AC19" s="408"/>
      <c r="AD19" s="408" t="s">
        <v>5</v>
      </c>
      <c r="AE19" s="408"/>
      <c r="AF19" s="499"/>
      <c r="AG19" s="500"/>
      <c r="AH19" s="698" t="s">
        <v>42</v>
      </c>
      <c r="AI19" s="408"/>
      <c r="AJ19" s="408" t="s">
        <v>5</v>
      </c>
      <c r="AK19" s="408"/>
      <c r="AL19" s="499"/>
      <c r="AM19" s="500"/>
      <c r="AN19" s="698" t="s">
        <v>42</v>
      </c>
      <c r="AO19" s="408"/>
      <c r="AP19" s="408" t="s">
        <v>5</v>
      </c>
      <c r="AQ19" s="408"/>
      <c r="AR19" s="408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3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3"/>
      <c r="CE19" s="493"/>
      <c r="CF19" s="493"/>
      <c r="CG19" s="493"/>
      <c r="CH19" s="493"/>
    </row>
    <row r="20" spans="1:86" s="494" customFormat="1" ht="21.75" customHeight="1" x14ac:dyDescent="0.2">
      <c r="A20" s="692"/>
      <c r="B20" s="693"/>
      <c r="C20" s="693"/>
      <c r="D20" s="693"/>
      <c r="E20" s="693"/>
      <c r="F20" s="693"/>
      <c r="G20" s="693"/>
      <c r="H20" s="693"/>
      <c r="I20" s="694"/>
      <c r="J20" s="699"/>
      <c r="K20" s="408"/>
      <c r="L20" s="408" t="s">
        <v>8</v>
      </c>
      <c r="M20" s="408"/>
      <c r="N20" s="499"/>
      <c r="O20" s="500"/>
      <c r="P20" s="699"/>
      <c r="Q20" s="408"/>
      <c r="R20" s="408" t="s">
        <v>8</v>
      </c>
      <c r="S20" s="408"/>
      <c r="T20" s="499"/>
      <c r="U20" s="500"/>
      <c r="V20" s="699"/>
      <c r="W20" s="408"/>
      <c r="X20" s="408" t="s">
        <v>8</v>
      </c>
      <c r="Y20" s="408"/>
      <c r="Z20" s="499"/>
      <c r="AA20" s="500"/>
      <c r="AB20" s="699"/>
      <c r="AC20" s="408"/>
      <c r="AD20" s="408" t="s">
        <v>8</v>
      </c>
      <c r="AE20" s="408"/>
      <c r="AF20" s="499"/>
      <c r="AG20" s="500"/>
      <c r="AH20" s="699"/>
      <c r="AI20" s="408"/>
      <c r="AJ20" s="408" t="s">
        <v>8</v>
      </c>
      <c r="AK20" s="408"/>
      <c r="AL20" s="499"/>
      <c r="AM20" s="500"/>
      <c r="AN20" s="699"/>
      <c r="AO20" s="408"/>
      <c r="AP20" s="408" t="s">
        <v>8</v>
      </c>
      <c r="AQ20" s="408"/>
      <c r="AR20" s="408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3"/>
      <c r="CE20" s="493"/>
      <c r="CF20" s="493"/>
      <c r="CG20" s="493"/>
      <c r="CH20" s="493"/>
    </row>
    <row r="21" spans="1:86" s="494" customFormat="1" ht="21.75" customHeight="1" x14ac:dyDescent="0.2">
      <c r="A21" s="692"/>
      <c r="B21" s="693"/>
      <c r="C21" s="693"/>
      <c r="D21" s="693"/>
      <c r="E21" s="693"/>
      <c r="F21" s="693"/>
      <c r="G21" s="693"/>
      <c r="H21" s="693"/>
      <c r="I21" s="694"/>
      <c r="J21" s="698" t="s">
        <v>43</v>
      </c>
      <c r="K21" s="408"/>
      <c r="L21" s="408" t="s">
        <v>5</v>
      </c>
      <c r="M21" s="408"/>
      <c r="N21" s="499"/>
      <c r="O21" s="500"/>
      <c r="P21" s="698" t="s">
        <v>43</v>
      </c>
      <c r="Q21" s="408"/>
      <c r="R21" s="408" t="s">
        <v>5</v>
      </c>
      <c r="S21" s="408"/>
      <c r="T21" s="499"/>
      <c r="U21" s="500"/>
      <c r="V21" s="698" t="s">
        <v>43</v>
      </c>
      <c r="W21" s="408"/>
      <c r="X21" s="408" t="s">
        <v>5</v>
      </c>
      <c r="Y21" s="408"/>
      <c r="Z21" s="499"/>
      <c r="AA21" s="500"/>
      <c r="AB21" s="698" t="s">
        <v>43</v>
      </c>
      <c r="AC21" s="408"/>
      <c r="AD21" s="408" t="s">
        <v>5</v>
      </c>
      <c r="AE21" s="408"/>
      <c r="AF21" s="499"/>
      <c r="AG21" s="500"/>
      <c r="AH21" s="698" t="s">
        <v>43</v>
      </c>
      <c r="AI21" s="408"/>
      <c r="AJ21" s="408" t="s">
        <v>5</v>
      </c>
      <c r="AK21" s="408"/>
      <c r="AL21" s="499"/>
      <c r="AM21" s="500"/>
      <c r="AN21" s="698" t="s">
        <v>43</v>
      </c>
      <c r="AO21" s="408"/>
      <c r="AP21" s="408" t="s">
        <v>5</v>
      </c>
      <c r="AQ21" s="408"/>
      <c r="AR21" s="408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3"/>
      <c r="BQ21" s="493"/>
      <c r="BR21" s="493"/>
      <c r="BS21" s="493"/>
      <c r="BT21" s="493"/>
      <c r="BU21" s="493"/>
      <c r="BV21" s="493"/>
      <c r="BW21" s="493"/>
      <c r="BX21" s="493"/>
      <c r="BY21" s="493"/>
      <c r="BZ21" s="493"/>
      <c r="CA21" s="493"/>
      <c r="CB21" s="493"/>
      <c r="CC21" s="493"/>
      <c r="CD21" s="493"/>
      <c r="CE21" s="493"/>
      <c r="CF21" s="493"/>
      <c r="CG21" s="493"/>
      <c r="CH21" s="493"/>
    </row>
    <row r="22" spans="1:86" s="494" customFormat="1" ht="14.25" x14ac:dyDescent="0.2">
      <c r="A22" s="692"/>
      <c r="B22" s="693"/>
      <c r="C22" s="693"/>
      <c r="D22" s="693"/>
      <c r="E22" s="693"/>
      <c r="F22" s="693"/>
      <c r="G22" s="693"/>
      <c r="H22" s="693"/>
      <c r="I22" s="694"/>
      <c r="J22" s="699"/>
      <c r="K22" s="408"/>
      <c r="L22" s="408" t="s">
        <v>8</v>
      </c>
      <c r="M22" s="408"/>
      <c r="N22" s="499"/>
      <c r="O22" s="500"/>
      <c r="P22" s="699"/>
      <c r="Q22" s="408"/>
      <c r="R22" s="408" t="s">
        <v>8</v>
      </c>
      <c r="S22" s="408"/>
      <c r="T22" s="499"/>
      <c r="U22" s="500"/>
      <c r="V22" s="699"/>
      <c r="W22" s="408"/>
      <c r="X22" s="408" t="s">
        <v>8</v>
      </c>
      <c r="Y22" s="408"/>
      <c r="Z22" s="499"/>
      <c r="AA22" s="500"/>
      <c r="AB22" s="699"/>
      <c r="AC22" s="408"/>
      <c r="AD22" s="408" t="s">
        <v>8</v>
      </c>
      <c r="AE22" s="408"/>
      <c r="AF22" s="499"/>
      <c r="AG22" s="500"/>
      <c r="AH22" s="699"/>
      <c r="AI22" s="408"/>
      <c r="AJ22" s="408" t="s">
        <v>8</v>
      </c>
      <c r="AK22" s="408"/>
      <c r="AL22" s="499"/>
      <c r="AM22" s="500"/>
      <c r="AN22" s="699"/>
      <c r="AO22" s="408"/>
      <c r="AP22" s="408" t="s">
        <v>8</v>
      </c>
      <c r="AQ22" s="408"/>
      <c r="AR22" s="408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3"/>
      <c r="CD22" s="493"/>
      <c r="CE22" s="493"/>
      <c r="CF22" s="493"/>
      <c r="CG22" s="493"/>
      <c r="CH22" s="493"/>
    </row>
    <row r="23" spans="1:86" s="494" customFormat="1" ht="14.25" x14ac:dyDescent="0.2">
      <c r="A23" s="692"/>
      <c r="B23" s="693"/>
      <c r="C23" s="693"/>
      <c r="D23" s="693"/>
      <c r="E23" s="693"/>
      <c r="F23" s="693"/>
      <c r="G23" s="693"/>
      <c r="H23" s="693"/>
      <c r="I23" s="694"/>
      <c r="J23" s="698" t="s">
        <v>12</v>
      </c>
      <c r="K23" s="408"/>
      <c r="L23" s="408" t="s">
        <v>8</v>
      </c>
      <c r="M23" s="726"/>
      <c r="N23" s="499"/>
      <c r="O23" s="500"/>
      <c r="P23" s="698" t="s">
        <v>12</v>
      </c>
      <c r="Q23" s="408"/>
      <c r="R23" s="408" t="s">
        <v>8</v>
      </c>
      <c r="S23" s="726"/>
      <c r="T23" s="499"/>
      <c r="U23" s="500"/>
      <c r="V23" s="698" t="s">
        <v>12</v>
      </c>
      <c r="W23" s="408"/>
      <c r="X23" s="408" t="s">
        <v>8</v>
      </c>
      <c r="Y23" s="726"/>
      <c r="Z23" s="499"/>
      <c r="AA23" s="500"/>
      <c r="AB23" s="698" t="s">
        <v>12</v>
      </c>
      <c r="AC23" s="408"/>
      <c r="AD23" s="408" t="s">
        <v>8</v>
      </c>
      <c r="AE23" s="726"/>
      <c r="AF23" s="499"/>
      <c r="AG23" s="500"/>
      <c r="AH23" s="698" t="s">
        <v>12</v>
      </c>
      <c r="AI23" s="408"/>
      <c r="AJ23" s="408" t="s">
        <v>8</v>
      </c>
      <c r="AK23" s="726"/>
      <c r="AL23" s="499"/>
      <c r="AM23" s="500"/>
      <c r="AN23" s="698" t="s">
        <v>12</v>
      </c>
      <c r="AO23" s="408"/>
      <c r="AP23" s="408" t="s">
        <v>8</v>
      </c>
      <c r="AQ23" s="726"/>
      <c r="AR23" s="726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</row>
    <row r="24" spans="1:86" s="494" customFormat="1" ht="14.25" x14ac:dyDescent="0.2">
      <c r="A24" s="692"/>
      <c r="B24" s="693"/>
      <c r="C24" s="693"/>
      <c r="D24" s="693"/>
      <c r="E24" s="693"/>
      <c r="F24" s="693"/>
      <c r="G24" s="693"/>
      <c r="H24" s="693"/>
      <c r="I24" s="694"/>
      <c r="J24" s="699"/>
      <c r="K24" s="408"/>
      <c r="L24" s="408" t="s">
        <v>5</v>
      </c>
      <c r="M24" s="727"/>
      <c r="N24" s="499"/>
      <c r="O24" s="500"/>
      <c r="P24" s="699"/>
      <c r="Q24" s="408"/>
      <c r="R24" s="408" t="s">
        <v>5</v>
      </c>
      <c r="S24" s="727"/>
      <c r="T24" s="499"/>
      <c r="U24" s="500"/>
      <c r="V24" s="699"/>
      <c r="W24" s="408"/>
      <c r="X24" s="408" t="s">
        <v>5</v>
      </c>
      <c r="Y24" s="727"/>
      <c r="Z24" s="499"/>
      <c r="AA24" s="500"/>
      <c r="AB24" s="699"/>
      <c r="AC24" s="408"/>
      <c r="AD24" s="408" t="s">
        <v>5</v>
      </c>
      <c r="AE24" s="727"/>
      <c r="AF24" s="499"/>
      <c r="AG24" s="500"/>
      <c r="AH24" s="699"/>
      <c r="AI24" s="408"/>
      <c r="AJ24" s="408" t="s">
        <v>5</v>
      </c>
      <c r="AK24" s="727"/>
      <c r="AL24" s="499"/>
      <c r="AM24" s="500"/>
      <c r="AN24" s="699"/>
      <c r="AO24" s="408"/>
      <c r="AP24" s="408" t="s">
        <v>5</v>
      </c>
      <c r="AQ24" s="727"/>
      <c r="AR24" s="727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  <c r="BS24" s="493"/>
      <c r="BT24" s="493"/>
      <c r="BU24" s="493"/>
      <c r="BV24" s="493"/>
      <c r="BW24" s="493"/>
      <c r="BX24" s="493"/>
      <c r="BY24" s="493"/>
      <c r="BZ24" s="493"/>
      <c r="CA24" s="493"/>
      <c r="CB24" s="493"/>
      <c r="CC24" s="493"/>
      <c r="CD24" s="493"/>
      <c r="CE24" s="493"/>
      <c r="CF24" s="493"/>
      <c r="CG24" s="493"/>
      <c r="CH24" s="493"/>
    </row>
    <row r="25" spans="1:86" s="494" customFormat="1" ht="42.75" x14ac:dyDescent="0.2">
      <c r="A25" s="692"/>
      <c r="B25" s="693"/>
      <c r="C25" s="693"/>
      <c r="D25" s="693"/>
      <c r="E25" s="693"/>
      <c r="F25" s="693"/>
      <c r="G25" s="693"/>
      <c r="H25" s="693"/>
      <c r="I25" s="694"/>
      <c r="J25" s="501" t="s">
        <v>13</v>
      </c>
      <c r="K25" s="408"/>
      <c r="L25" s="408" t="s">
        <v>14</v>
      </c>
      <c r="M25" s="408"/>
      <c r="N25" s="499"/>
      <c r="O25" s="500"/>
      <c r="P25" s="501" t="s">
        <v>13</v>
      </c>
      <c r="Q25" s="408"/>
      <c r="R25" s="408" t="s">
        <v>14</v>
      </c>
      <c r="S25" s="408"/>
      <c r="T25" s="499"/>
      <c r="U25" s="500"/>
      <c r="V25" s="501" t="s">
        <v>13</v>
      </c>
      <c r="W25" s="408"/>
      <c r="X25" s="408" t="s">
        <v>14</v>
      </c>
      <c r="Y25" s="408"/>
      <c r="Z25" s="499"/>
      <c r="AA25" s="500"/>
      <c r="AB25" s="501" t="s">
        <v>13</v>
      </c>
      <c r="AC25" s="408"/>
      <c r="AD25" s="408" t="s">
        <v>14</v>
      </c>
      <c r="AE25" s="408"/>
      <c r="AF25" s="499"/>
      <c r="AG25" s="500"/>
      <c r="AH25" s="501" t="s">
        <v>13</v>
      </c>
      <c r="AI25" s="408"/>
      <c r="AJ25" s="408" t="s">
        <v>14</v>
      </c>
      <c r="AK25" s="408"/>
      <c r="AL25" s="499"/>
      <c r="AM25" s="500"/>
      <c r="AN25" s="501" t="s">
        <v>13</v>
      </c>
      <c r="AO25" s="408"/>
      <c r="AP25" s="408" t="s">
        <v>14</v>
      </c>
      <c r="AQ25" s="408"/>
      <c r="AR25" s="408"/>
      <c r="AS25" s="493"/>
      <c r="AT25" s="493"/>
      <c r="AU25" s="493"/>
      <c r="AV25" s="493"/>
      <c r="AW25" s="493"/>
      <c r="AX25" s="493"/>
      <c r="AY25" s="493"/>
      <c r="AZ25" s="493"/>
      <c r="BA25" s="493"/>
      <c r="BB25" s="493"/>
      <c r="BC25" s="493"/>
      <c r="BD25" s="493"/>
      <c r="BE25" s="493"/>
      <c r="BF25" s="493"/>
      <c r="BG25" s="493"/>
      <c r="BH25" s="493"/>
      <c r="BI25" s="493"/>
      <c r="BJ25" s="493"/>
      <c r="BK25" s="493"/>
      <c r="BL25" s="493"/>
      <c r="BM25" s="493"/>
      <c r="BN25" s="493"/>
      <c r="BO25" s="493"/>
      <c r="BP25" s="493"/>
      <c r="BQ25" s="493"/>
      <c r="BR25" s="493"/>
      <c r="BS25" s="493"/>
      <c r="BT25" s="493"/>
      <c r="BU25" s="493"/>
      <c r="BV25" s="493"/>
      <c r="BW25" s="493"/>
      <c r="BX25" s="493"/>
      <c r="BY25" s="493"/>
      <c r="BZ25" s="493"/>
      <c r="CA25" s="493"/>
      <c r="CB25" s="493"/>
      <c r="CC25" s="493"/>
      <c r="CD25" s="493"/>
      <c r="CE25" s="493"/>
      <c r="CF25" s="493"/>
      <c r="CG25" s="493"/>
      <c r="CH25" s="493"/>
    </row>
    <row r="26" spans="1:86" s="494" customFormat="1" ht="36" customHeight="1" x14ac:dyDescent="0.2">
      <c r="A26" s="692"/>
      <c r="B26" s="693"/>
      <c r="C26" s="693"/>
      <c r="D26" s="693"/>
      <c r="E26" s="693"/>
      <c r="F26" s="693"/>
      <c r="G26" s="693"/>
      <c r="H26" s="693"/>
      <c r="I26" s="694"/>
      <c r="J26" s="501" t="s">
        <v>44</v>
      </c>
      <c r="K26" s="408"/>
      <c r="L26" s="408" t="s">
        <v>14</v>
      </c>
      <c r="M26" s="408"/>
      <c r="N26" s="499"/>
      <c r="O26" s="500"/>
      <c r="P26" s="501" t="s">
        <v>44</v>
      </c>
      <c r="Q26" s="408"/>
      <c r="R26" s="408" t="s">
        <v>14</v>
      </c>
      <c r="S26" s="408"/>
      <c r="T26" s="499"/>
      <c r="U26" s="500"/>
      <c r="V26" s="501" t="s">
        <v>44</v>
      </c>
      <c r="W26" s="408"/>
      <c r="X26" s="408" t="s">
        <v>14</v>
      </c>
      <c r="Y26" s="408"/>
      <c r="Z26" s="499"/>
      <c r="AA26" s="500"/>
      <c r="AB26" s="501" t="s">
        <v>44</v>
      </c>
      <c r="AC26" s="408"/>
      <c r="AD26" s="408" t="s">
        <v>14</v>
      </c>
      <c r="AE26" s="408"/>
      <c r="AF26" s="499"/>
      <c r="AG26" s="500"/>
      <c r="AH26" s="501" t="s">
        <v>44</v>
      </c>
      <c r="AI26" s="408"/>
      <c r="AJ26" s="408" t="s">
        <v>14</v>
      </c>
      <c r="AK26" s="408"/>
      <c r="AL26" s="499"/>
      <c r="AM26" s="500"/>
      <c r="AN26" s="501" t="s">
        <v>44</v>
      </c>
      <c r="AO26" s="408"/>
      <c r="AP26" s="408" t="s">
        <v>14</v>
      </c>
      <c r="AQ26" s="408"/>
      <c r="AR26" s="408"/>
      <c r="AS26" s="493"/>
      <c r="AT26" s="493"/>
      <c r="AU26" s="493"/>
      <c r="AV26" s="493"/>
      <c r="AW26" s="493"/>
      <c r="AX26" s="493"/>
      <c r="AY26" s="493"/>
      <c r="AZ26" s="493"/>
      <c r="BA26" s="493"/>
      <c r="BB26" s="493"/>
      <c r="BC26" s="493"/>
      <c r="BD26" s="493"/>
      <c r="BE26" s="493"/>
      <c r="BF26" s="493"/>
      <c r="BG26" s="493"/>
      <c r="BH26" s="493"/>
      <c r="BI26" s="493"/>
      <c r="BJ26" s="493"/>
      <c r="BK26" s="493"/>
      <c r="BL26" s="493"/>
      <c r="BM26" s="493"/>
      <c r="BN26" s="493"/>
      <c r="BO26" s="493"/>
      <c r="BP26" s="493"/>
      <c r="BQ26" s="493"/>
      <c r="BR26" s="493"/>
      <c r="BS26" s="493"/>
      <c r="BT26" s="493"/>
      <c r="BU26" s="493"/>
      <c r="BV26" s="493"/>
      <c r="BW26" s="493"/>
      <c r="BX26" s="493"/>
      <c r="BY26" s="493"/>
      <c r="BZ26" s="493"/>
      <c r="CA26" s="493"/>
      <c r="CB26" s="493"/>
      <c r="CC26" s="493"/>
      <c r="CD26" s="493"/>
      <c r="CE26" s="493"/>
      <c r="CF26" s="493"/>
      <c r="CG26" s="493"/>
      <c r="CH26" s="493"/>
    </row>
    <row r="27" spans="1:86" s="494" customFormat="1" ht="51" customHeight="1" x14ac:dyDescent="0.2">
      <c r="A27" s="692"/>
      <c r="B27" s="693"/>
      <c r="C27" s="693"/>
      <c r="D27" s="693"/>
      <c r="E27" s="693"/>
      <c r="F27" s="693"/>
      <c r="G27" s="693"/>
      <c r="H27" s="693"/>
      <c r="I27" s="694"/>
      <c r="J27" s="501" t="s">
        <v>15</v>
      </c>
      <c r="K27" s="408"/>
      <c r="L27" s="408" t="s">
        <v>16</v>
      </c>
      <c r="M27" s="408"/>
      <c r="N27" s="499"/>
      <c r="O27" s="500"/>
      <c r="P27" s="501" t="s">
        <v>15</v>
      </c>
      <c r="Q27" s="408"/>
      <c r="R27" s="408" t="s">
        <v>16</v>
      </c>
      <c r="S27" s="408"/>
      <c r="T27" s="499"/>
      <c r="U27" s="500"/>
      <c r="V27" s="501" t="s">
        <v>15</v>
      </c>
      <c r="W27" s="408"/>
      <c r="X27" s="408" t="s">
        <v>16</v>
      </c>
      <c r="Y27" s="408"/>
      <c r="Z27" s="499"/>
      <c r="AA27" s="500"/>
      <c r="AB27" s="501" t="s">
        <v>15</v>
      </c>
      <c r="AC27" s="408"/>
      <c r="AD27" s="408" t="s">
        <v>16</v>
      </c>
      <c r="AE27" s="408"/>
      <c r="AF27" s="499"/>
      <c r="AG27" s="500"/>
      <c r="AH27" s="501" t="s">
        <v>15</v>
      </c>
      <c r="AI27" s="408"/>
      <c r="AJ27" s="408" t="s">
        <v>16</v>
      </c>
      <c r="AK27" s="408"/>
      <c r="AL27" s="499"/>
      <c r="AM27" s="500"/>
      <c r="AN27" s="501" t="s">
        <v>15</v>
      </c>
      <c r="AO27" s="408"/>
      <c r="AP27" s="408" t="s">
        <v>16</v>
      </c>
      <c r="AQ27" s="408"/>
      <c r="AR27" s="408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  <c r="BK27" s="493"/>
      <c r="BL27" s="493"/>
      <c r="BM27" s="493"/>
      <c r="BN27" s="493"/>
      <c r="BO27" s="493"/>
      <c r="BP27" s="493"/>
      <c r="BQ27" s="493"/>
      <c r="BR27" s="493"/>
      <c r="BS27" s="493"/>
      <c r="BT27" s="493"/>
      <c r="BU27" s="493"/>
      <c r="BV27" s="493"/>
      <c r="BW27" s="493"/>
      <c r="BX27" s="493"/>
      <c r="BY27" s="493"/>
      <c r="BZ27" s="493"/>
      <c r="CA27" s="493"/>
      <c r="CB27" s="493"/>
      <c r="CC27" s="493"/>
      <c r="CD27" s="493"/>
      <c r="CE27" s="493"/>
      <c r="CF27" s="493"/>
      <c r="CG27" s="493"/>
      <c r="CH27" s="493"/>
    </row>
    <row r="28" spans="1:86" s="494" customFormat="1" ht="53.25" customHeight="1" x14ac:dyDescent="0.2">
      <c r="A28" s="692"/>
      <c r="B28" s="693"/>
      <c r="C28" s="693"/>
      <c r="D28" s="693"/>
      <c r="E28" s="693"/>
      <c r="F28" s="693"/>
      <c r="G28" s="693"/>
      <c r="H28" s="693"/>
      <c r="I28" s="694"/>
      <c r="J28" s="501" t="s">
        <v>17</v>
      </c>
      <c r="K28" s="408"/>
      <c r="L28" s="408" t="s">
        <v>8</v>
      </c>
      <c r="M28" s="408"/>
      <c r="N28" s="499"/>
      <c r="O28" s="500"/>
      <c r="P28" s="501" t="s">
        <v>17</v>
      </c>
      <c r="Q28" s="408"/>
      <c r="R28" s="408" t="s">
        <v>8</v>
      </c>
      <c r="S28" s="408"/>
      <c r="T28" s="499"/>
      <c r="U28" s="500"/>
      <c r="V28" s="501" t="s">
        <v>17</v>
      </c>
      <c r="W28" s="408"/>
      <c r="X28" s="408" t="s">
        <v>8</v>
      </c>
      <c r="Y28" s="408"/>
      <c r="Z28" s="499"/>
      <c r="AA28" s="500"/>
      <c r="AB28" s="501" t="s">
        <v>17</v>
      </c>
      <c r="AC28" s="408"/>
      <c r="AD28" s="408" t="s">
        <v>8</v>
      </c>
      <c r="AE28" s="408"/>
      <c r="AF28" s="499"/>
      <c r="AG28" s="500"/>
      <c r="AH28" s="501" t="s">
        <v>17</v>
      </c>
      <c r="AI28" s="408"/>
      <c r="AJ28" s="408" t="s">
        <v>8</v>
      </c>
      <c r="AK28" s="408"/>
      <c r="AL28" s="499"/>
      <c r="AM28" s="500"/>
      <c r="AN28" s="501" t="s">
        <v>17</v>
      </c>
      <c r="AO28" s="408"/>
      <c r="AP28" s="408" t="s">
        <v>8</v>
      </c>
      <c r="AQ28" s="408"/>
      <c r="AR28" s="408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493"/>
      <c r="BJ28" s="493"/>
      <c r="BK28" s="493"/>
      <c r="BL28" s="493"/>
      <c r="BM28" s="493"/>
      <c r="BN28" s="493"/>
      <c r="BO28" s="493"/>
      <c r="BP28" s="493"/>
      <c r="BQ28" s="493"/>
      <c r="BR28" s="493"/>
      <c r="BS28" s="493"/>
      <c r="BT28" s="493"/>
      <c r="BU28" s="493"/>
      <c r="BV28" s="493"/>
      <c r="BW28" s="493"/>
      <c r="BX28" s="493"/>
      <c r="BY28" s="493"/>
      <c r="BZ28" s="493"/>
      <c r="CA28" s="493"/>
      <c r="CB28" s="493"/>
      <c r="CC28" s="493"/>
      <c r="CD28" s="493"/>
      <c r="CE28" s="493"/>
      <c r="CF28" s="493"/>
      <c r="CG28" s="493"/>
      <c r="CH28" s="493"/>
    </row>
    <row r="29" spans="1:86" s="494" customFormat="1" ht="27.75" customHeight="1" x14ac:dyDescent="0.2">
      <c r="A29" s="692"/>
      <c r="B29" s="693"/>
      <c r="C29" s="693"/>
      <c r="D29" s="693"/>
      <c r="E29" s="693"/>
      <c r="F29" s="693"/>
      <c r="G29" s="693"/>
      <c r="H29" s="693"/>
      <c r="I29" s="694"/>
      <c r="J29" s="501" t="s">
        <v>18</v>
      </c>
      <c r="K29" s="408"/>
      <c r="L29" s="408"/>
      <c r="M29" s="408"/>
      <c r="N29" s="499"/>
      <c r="O29" s="500"/>
      <c r="P29" s="501" t="s">
        <v>18</v>
      </c>
      <c r="Q29" s="408"/>
      <c r="R29" s="408"/>
      <c r="S29" s="408"/>
      <c r="T29" s="499"/>
      <c r="U29" s="500"/>
      <c r="V29" s="501" t="s">
        <v>18</v>
      </c>
      <c r="W29" s="408"/>
      <c r="X29" s="408"/>
      <c r="Y29" s="408"/>
      <c r="Z29" s="499"/>
      <c r="AA29" s="500"/>
      <c r="AB29" s="501" t="s">
        <v>18</v>
      </c>
      <c r="AC29" s="408"/>
      <c r="AD29" s="408"/>
      <c r="AE29" s="408"/>
      <c r="AF29" s="499"/>
      <c r="AG29" s="500"/>
      <c r="AH29" s="501" t="s">
        <v>18</v>
      </c>
      <c r="AI29" s="408"/>
      <c r="AJ29" s="408"/>
      <c r="AK29" s="408"/>
      <c r="AL29" s="499"/>
      <c r="AM29" s="500"/>
      <c r="AN29" s="501" t="s">
        <v>18</v>
      </c>
      <c r="AO29" s="408"/>
      <c r="AP29" s="408"/>
      <c r="AQ29" s="408"/>
      <c r="AR29" s="408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3"/>
      <c r="BV29" s="493"/>
      <c r="BW29" s="493"/>
      <c r="BX29" s="493"/>
      <c r="BY29" s="493"/>
      <c r="BZ29" s="493"/>
      <c r="CA29" s="493"/>
      <c r="CB29" s="493"/>
      <c r="CC29" s="493"/>
      <c r="CD29" s="493"/>
      <c r="CE29" s="493"/>
      <c r="CF29" s="493"/>
      <c r="CG29" s="493"/>
      <c r="CH29" s="493"/>
    </row>
    <row r="30" spans="1:86" s="494" customFormat="1" ht="48.75" customHeight="1" x14ac:dyDescent="0.2">
      <c r="A30" s="692"/>
      <c r="B30" s="693"/>
      <c r="C30" s="693"/>
      <c r="D30" s="693"/>
      <c r="E30" s="693"/>
      <c r="F30" s="693"/>
      <c r="G30" s="693"/>
      <c r="H30" s="693"/>
      <c r="I30" s="694"/>
      <c r="J30" s="501" t="s">
        <v>46</v>
      </c>
      <c r="K30" s="408"/>
      <c r="L30" s="408" t="s">
        <v>16</v>
      </c>
      <c r="M30" s="408"/>
      <c r="N30" s="499"/>
      <c r="O30" s="502"/>
      <c r="P30" s="501" t="s">
        <v>46</v>
      </c>
      <c r="Q30" s="408"/>
      <c r="R30" s="408" t="s">
        <v>16</v>
      </c>
      <c r="S30" s="408"/>
      <c r="T30" s="499"/>
      <c r="U30" s="502"/>
      <c r="V30" s="501" t="s">
        <v>46</v>
      </c>
      <c r="W30" s="408"/>
      <c r="X30" s="408" t="s">
        <v>16</v>
      </c>
      <c r="Y30" s="408"/>
      <c r="Z30" s="499"/>
      <c r="AA30" s="502"/>
      <c r="AB30" s="501" t="s">
        <v>46</v>
      </c>
      <c r="AC30" s="408"/>
      <c r="AD30" s="408" t="s">
        <v>16</v>
      </c>
      <c r="AE30" s="408"/>
      <c r="AF30" s="499"/>
      <c r="AG30" s="502"/>
      <c r="AH30" s="501" t="s">
        <v>46</v>
      </c>
      <c r="AI30" s="408"/>
      <c r="AJ30" s="408" t="s">
        <v>16</v>
      </c>
      <c r="AK30" s="408"/>
      <c r="AL30" s="499"/>
      <c r="AM30" s="502"/>
      <c r="AN30" s="501" t="s">
        <v>46</v>
      </c>
      <c r="AO30" s="408"/>
      <c r="AP30" s="408" t="s">
        <v>16</v>
      </c>
      <c r="AQ30" s="408"/>
      <c r="AR30" s="408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3"/>
      <c r="BG30" s="493"/>
      <c r="BH30" s="493"/>
      <c r="BI30" s="493"/>
      <c r="BJ30" s="493"/>
      <c r="BK30" s="493"/>
      <c r="BL30" s="493"/>
      <c r="BM30" s="493"/>
      <c r="BN30" s="493"/>
      <c r="BO30" s="493"/>
      <c r="BP30" s="493"/>
      <c r="BQ30" s="493"/>
      <c r="BR30" s="493"/>
      <c r="BS30" s="493"/>
      <c r="BT30" s="493"/>
      <c r="BU30" s="493"/>
      <c r="BV30" s="493"/>
      <c r="BW30" s="493"/>
      <c r="BX30" s="493"/>
      <c r="BY30" s="493"/>
      <c r="BZ30" s="493"/>
      <c r="CA30" s="493"/>
      <c r="CB30" s="493"/>
      <c r="CC30" s="493"/>
      <c r="CD30" s="493"/>
      <c r="CE30" s="493"/>
      <c r="CF30" s="493"/>
      <c r="CG30" s="493"/>
      <c r="CH30" s="493"/>
    </row>
    <row r="31" spans="1:86" s="494" customFormat="1" ht="54.75" customHeight="1" x14ac:dyDescent="0.2">
      <c r="A31" s="695"/>
      <c r="B31" s="696"/>
      <c r="C31" s="696"/>
      <c r="D31" s="696"/>
      <c r="E31" s="696"/>
      <c r="F31" s="696"/>
      <c r="G31" s="696"/>
      <c r="H31" s="696"/>
      <c r="I31" s="697"/>
      <c r="J31" s="501" t="s">
        <v>45</v>
      </c>
      <c r="K31" s="408"/>
      <c r="L31" s="408"/>
      <c r="M31" s="408"/>
      <c r="N31" s="499"/>
      <c r="O31" s="502"/>
      <c r="P31" s="501" t="s">
        <v>45</v>
      </c>
      <c r="Q31" s="408"/>
      <c r="R31" s="408"/>
      <c r="S31" s="408"/>
      <c r="T31" s="499"/>
      <c r="U31" s="502"/>
      <c r="V31" s="501" t="s">
        <v>45</v>
      </c>
      <c r="W31" s="408"/>
      <c r="X31" s="408"/>
      <c r="Y31" s="408"/>
      <c r="Z31" s="499"/>
      <c r="AA31" s="502"/>
      <c r="AB31" s="501" t="s">
        <v>45</v>
      </c>
      <c r="AC31" s="408"/>
      <c r="AD31" s="408"/>
      <c r="AE31" s="408"/>
      <c r="AF31" s="499"/>
      <c r="AG31" s="502"/>
      <c r="AH31" s="501" t="s">
        <v>45</v>
      </c>
      <c r="AI31" s="408"/>
      <c r="AJ31" s="408"/>
      <c r="AK31" s="408"/>
      <c r="AL31" s="499"/>
      <c r="AM31" s="502"/>
      <c r="AN31" s="501" t="s">
        <v>45</v>
      </c>
      <c r="AO31" s="408"/>
      <c r="AP31" s="408"/>
      <c r="AQ31" s="408"/>
      <c r="AR31" s="408"/>
      <c r="AS31" s="493"/>
      <c r="AT31" s="493"/>
      <c r="AU31" s="493"/>
      <c r="AV31" s="493"/>
      <c r="AW31" s="493"/>
      <c r="AX31" s="493"/>
      <c r="AY31" s="493"/>
      <c r="AZ31" s="493"/>
      <c r="BA31" s="493"/>
      <c r="BB31" s="493"/>
      <c r="BC31" s="493"/>
      <c r="BD31" s="493"/>
      <c r="BE31" s="493"/>
      <c r="BF31" s="493"/>
      <c r="BG31" s="493"/>
      <c r="BH31" s="493"/>
      <c r="BI31" s="493"/>
      <c r="BJ31" s="493"/>
      <c r="BK31" s="493"/>
      <c r="BL31" s="493"/>
      <c r="BM31" s="493"/>
      <c r="BN31" s="493"/>
      <c r="BO31" s="493"/>
      <c r="BP31" s="493"/>
      <c r="BQ31" s="493"/>
      <c r="BR31" s="493"/>
      <c r="BS31" s="493"/>
      <c r="BT31" s="493"/>
      <c r="BU31" s="493"/>
      <c r="BV31" s="493"/>
      <c r="BW31" s="493"/>
      <c r="BX31" s="493"/>
      <c r="BY31" s="493"/>
      <c r="BZ31" s="493"/>
      <c r="CA31" s="493"/>
      <c r="CB31" s="493"/>
      <c r="CC31" s="493"/>
      <c r="CD31" s="493"/>
      <c r="CE31" s="493"/>
      <c r="CF31" s="493"/>
      <c r="CG31" s="493"/>
      <c r="CH31" s="493"/>
    </row>
    <row r="32" spans="1:86" s="494" customFormat="1" ht="47.25" customHeight="1" x14ac:dyDescent="0.2">
      <c r="A32" s="683" t="s">
        <v>23</v>
      </c>
      <c r="B32" s="684"/>
      <c r="C32" s="684"/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84"/>
      <c r="S32" s="684"/>
      <c r="T32" s="684"/>
      <c r="U32" s="684"/>
      <c r="V32" s="684"/>
      <c r="W32" s="684"/>
      <c r="X32" s="684"/>
      <c r="Y32" s="684"/>
      <c r="Z32" s="684"/>
      <c r="AA32" s="684"/>
      <c r="AB32" s="684"/>
      <c r="AC32" s="684"/>
      <c r="AD32" s="684"/>
      <c r="AE32" s="684"/>
      <c r="AF32" s="684"/>
      <c r="AG32" s="684"/>
      <c r="AH32" s="684"/>
      <c r="AI32" s="684"/>
      <c r="AJ32" s="684"/>
      <c r="AK32" s="684"/>
      <c r="AL32" s="684"/>
      <c r="AM32" s="684"/>
      <c r="AN32" s="684"/>
      <c r="AO32" s="684"/>
      <c r="AP32" s="684"/>
      <c r="AQ32" s="684"/>
      <c r="AR32" s="685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  <c r="BJ32" s="493"/>
      <c r="BK32" s="493"/>
      <c r="BL32" s="493"/>
      <c r="BM32" s="493"/>
      <c r="BN32" s="493"/>
      <c r="BO32" s="493"/>
      <c r="BP32" s="493"/>
      <c r="BQ32" s="493"/>
      <c r="BR32" s="493"/>
      <c r="BS32" s="493"/>
      <c r="BT32" s="493"/>
      <c r="BU32" s="493"/>
      <c r="BV32" s="493"/>
      <c r="BW32" s="493"/>
      <c r="BX32" s="493"/>
      <c r="BY32" s="493"/>
      <c r="BZ32" s="493"/>
      <c r="CA32" s="493"/>
      <c r="CB32" s="493"/>
      <c r="CC32" s="493"/>
      <c r="CD32" s="493"/>
      <c r="CE32" s="493"/>
      <c r="CF32" s="493"/>
      <c r="CG32" s="493"/>
      <c r="CH32" s="493"/>
    </row>
    <row r="33" spans="1:86" ht="27" customHeight="1" x14ac:dyDescent="0.25">
      <c r="A33" s="121"/>
      <c r="B33" s="86"/>
      <c r="C33" s="86" t="s">
        <v>246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122"/>
      <c r="AR33" s="123"/>
    </row>
    <row r="34" spans="1:86" ht="78.75" customHeight="1" x14ac:dyDescent="0.25">
      <c r="A34" s="728">
        <v>1</v>
      </c>
      <c r="B34" s="729">
        <v>2227016</v>
      </c>
      <c r="C34" s="730" t="s">
        <v>247</v>
      </c>
      <c r="D34" s="730">
        <f>F34</f>
        <v>1.97</v>
      </c>
      <c r="E34" s="730">
        <f>G34</f>
        <v>29550</v>
      </c>
      <c r="F34" s="731">
        <v>1.97</v>
      </c>
      <c r="G34" s="732">
        <f>1970*15</f>
        <v>29550</v>
      </c>
      <c r="H34" s="733" t="s">
        <v>248</v>
      </c>
      <c r="I34" s="733" t="s">
        <v>249</v>
      </c>
      <c r="J34" s="710" t="s">
        <v>11</v>
      </c>
      <c r="K34" s="124">
        <v>1.97</v>
      </c>
      <c r="L34" s="67" t="s">
        <v>5</v>
      </c>
      <c r="M34" s="711">
        <f>K35*0.78236563441</f>
        <v>23118.904496815499</v>
      </c>
      <c r="N34" s="121"/>
      <c r="O34" s="86"/>
      <c r="P34" s="86"/>
      <c r="Q34" s="86"/>
      <c r="R34" s="86"/>
      <c r="S34" s="87"/>
      <c r="T34" s="121"/>
      <c r="U34" s="86"/>
      <c r="V34" s="86"/>
      <c r="W34" s="86"/>
      <c r="X34" s="86"/>
      <c r="Y34" s="87"/>
      <c r="Z34" s="121"/>
      <c r="AA34" s="86"/>
      <c r="AB34" s="86"/>
      <c r="AC34" s="86"/>
      <c r="AD34" s="86"/>
      <c r="AE34" s="87"/>
      <c r="AF34" s="121"/>
      <c r="AG34" s="86"/>
      <c r="AH34" s="86"/>
      <c r="AI34" s="86"/>
      <c r="AJ34" s="86"/>
      <c r="AK34" s="87"/>
      <c r="AL34" s="121"/>
      <c r="AM34" s="86"/>
      <c r="AN34" s="86"/>
      <c r="AO34" s="86"/>
      <c r="AP34" s="86"/>
      <c r="AQ34" s="87"/>
      <c r="AR34" s="123"/>
    </row>
    <row r="35" spans="1:86" ht="21" customHeight="1" x14ac:dyDescent="0.25">
      <c r="A35" s="728"/>
      <c r="B35" s="729"/>
      <c r="C35" s="730"/>
      <c r="D35" s="730"/>
      <c r="E35" s="730"/>
      <c r="F35" s="731"/>
      <c r="G35" s="732"/>
      <c r="H35" s="733"/>
      <c r="I35" s="733"/>
      <c r="J35" s="710"/>
      <c r="K35" s="125">
        <v>29550</v>
      </c>
      <c r="L35" s="67" t="s">
        <v>8</v>
      </c>
      <c r="M35" s="711"/>
      <c r="N35" s="126"/>
      <c r="O35" s="122"/>
      <c r="P35" s="122"/>
      <c r="Q35" s="122"/>
      <c r="R35" s="122"/>
      <c r="S35" s="127"/>
      <c r="T35" s="126"/>
      <c r="U35" s="122"/>
      <c r="V35" s="122"/>
      <c r="W35" s="122"/>
      <c r="X35" s="122"/>
      <c r="Y35" s="127"/>
      <c r="Z35" s="126"/>
      <c r="AA35" s="122"/>
      <c r="AB35" s="122"/>
      <c r="AC35" s="122"/>
      <c r="AD35" s="122"/>
      <c r="AE35" s="127"/>
      <c r="AF35" s="126"/>
      <c r="AG35" s="122"/>
      <c r="AH35" s="122"/>
      <c r="AI35" s="122"/>
      <c r="AJ35" s="122"/>
      <c r="AK35" s="127"/>
      <c r="AL35" s="126"/>
      <c r="AM35" s="122"/>
      <c r="AN35" s="122"/>
      <c r="AO35" s="122"/>
      <c r="AP35" s="122"/>
      <c r="AQ35" s="127"/>
      <c r="AR35" s="123"/>
    </row>
    <row r="36" spans="1:86" ht="28.5" customHeight="1" x14ac:dyDescent="0.25">
      <c r="A36" s="728"/>
      <c r="B36" s="729"/>
      <c r="C36" s="730"/>
      <c r="D36" s="730"/>
      <c r="E36" s="730"/>
      <c r="F36" s="731"/>
      <c r="G36" s="732"/>
      <c r="H36" s="733"/>
      <c r="I36" s="733"/>
      <c r="J36" s="67" t="s">
        <v>46</v>
      </c>
      <c r="K36" s="108">
        <v>330</v>
      </c>
      <c r="L36" s="67" t="s">
        <v>16</v>
      </c>
      <c r="M36" s="546">
        <v>412.5</v>
      </c>
      <c r="N36" s="126"/>
      <c r="O36" s="122"/>
      <c r="P36" s="122"/>
      <c r="Q36" s="122"/>
      <c r="R36" s="122"/>
      <c r="S36" s="127"/>
      <c r="T36" s="126"/>
      <c r="U36" s="122"/>
      <c r="V36" s="122"/>
      <c r="W36" s="122"/>
      <c r="X36" s="122"/>
      <c r="Y36" s="127"/>
      <c r="Z36" s="126"/>
      <c r="AA36" s="122"/>
      <c r="AB36" s="122"/>
      <c r="AC36" s="122"/>
      <c r="AD36" s="122"/>
      <c r="AE36" s="127"/>
      <c r="AF36" s="126"/>
      <c r="AG36" s="122"/>
      <c r="AH36" s="122"/>
      <c r="AI36" s="122"/>
      <c r="AJ36" s="122"/>
      <c r="AK36" s="127"/>
      <c r="AL36" s="126"/>
      <c r="AM36" s="122"/>
      <c r="AN36" s="122"/>
      <c r="AO36" s="122"/>
      <c r="AP36" s="122"/>
      <c r="AQ36" s="127"/>
      <c r="AR36" s="123"/>
    </row>
    <row r="37" spans="1:86" ht="21.75" customHeight="1" x14ac:dyDescent="0.25">
      <c r="A37" s="728"/>
      <c r="B37" s="729"/>
      <c r="C37" s="730"/>
      <c r="D37" s="730"/>
      <c r="E37" s="730"/>
      <c r="F37" s="731"/>
      <c r="G37" s="732"/>
      <c r="H37" s="733"/>
      <c r="I37" s="733"/>
      <c r="J37" s="67" t="s">
        <v>17</v>
      </c>
      <c r="K37" s="125">
        <v>1900</v>
      </c>
      <c r="L37" s="67" t="s">
        <v>8</v>
      </c>
      <c r="M37" s="546">
        <f>8234.1*0.67</f>
        <v>5516.8470000000007</v>
      </c>
      <c r="N37" s="126"/>
      <c r="O37" s="122"/>
      <c r="P37" s="122"/>
      <c r="Q37" s="122"/>
      <c r="R37" s="122"/>
      <c r="S37" s="127"/>
      <c r="T37" s="126"/>
      <c r="U37" s="122"/>
      <c r="V37" s="122"/>
      <c r="W37" s="122"/>
      <c r="X37" s="122"/>
      <c r="Y37" s="127"/>
      <c r="Z37" s="126"/>
      <c r="AA37" s="122"/>
      <c r="AB37" s="122"/>
      <c r="AC37" s="122"/>
      <c r="AD37" s="122"/>
      <c r="AE37" s="127"/>
      <c r="AF37" s="126"/>
      <c r="AG37" s="122"/>
      <c r="AH37" s="122"/>
      <c r="AI37" s="122"/>
      <c r="AJ37" s="122"/>
      <c r="AK37" s="127"/>
      <c r="AL37" s="126"/>
      <c r="AM37" s="122"/>
      <c r="AN37" s="122"/>
      <c r="AO37" s="122"/>
      <c r="AP37" s="122"/>
      <c r="AQ37" s="127"/>
      <c r="AR37" s="123"/>
    </row>
    <row r="38" spans="1:86" ht="15" customHeight="1" x14ac:dyDescent="0.25">
      <c r="A38" s="728"/>
      <c r="B38" s="729"/>
      <c r="C38" s="730"/>
      <c r="D38" s="730"/>
      <c r="E38" s="730"/>
      <c r="F38" s="731"/>
      <c r="G38" s="732"/>
      <c r="H38" s="733"/>
      <c r="I38" s="733"/>
      <c r="J38" s="128" t="s">
        <v>250</v>
      </c>
      <c r="K38" s="108">
        <v>9</v>
      </c>
      <c r="L38" s="108" t="s">
        <v>251</v>
      </c>
      <c r="M38" s="546">
        <v>900</v>
      </c>
      <c r="N38" s="126"/>
      <c r="O38" s="122"/>
      <c r="P38" s="122"/>
      <c r="Q38" s="122"/>
      <c r="R38" s="122"/>
      <c r="S38" s="127"/>
      <c r="T38" s="126"/>
      <c r="U38" s="122"/>
      <c r="V38" s="122"/>
      <c r="W38" s="122"/>
      <c r="X38" s="122"/>
      <c r="Y38" s="127"/>
      <c r="Z38" s="126"/>
      <c r="AA38" s="122"/>
      <c r="AB38" s="122"/>
      <c r="AC38" s="122"/>
      <c r="AD38" s="122"/>
      <c r="AE38" s="127"/>
      <c r="AF38" s="126"/>
      <c r="AG38" s="122"/>
      <c r="AH38" s="122"/>
      <c r="AI38" s="122"/>
      <c r="AJ38" s="122"/>
      <c r="AK38" s="127"/>
      <c r="AL38" s="126"/>
      <c r="AM38" s="122"/>
      <c r="AN38" s="122"/>
      <c r="AO38" s="122"/>
      <c r="AP38" s="122"/>
      <c r="AQ38" s="127"/>
      <c r="AR38" s="123"/>
    </row>
    <row r="39" spans="1:86" ht="15" customHeight="1" x14ac:dyDescent="0.25">
      <c r="A39" s="710">
        <v>2</v>
      </c>
      <c r="B39" s="729">
        <v>2225490</v>
      </c>
      <c r="C39" s="730" t="s">
        <v>252</v>
      </c>
      <c r="D39" s="730">
        <f>F39</f>
        <v>0.88</v>
      </c>
      <c r="E39" s="730">
        <f>G39</f>
        <v>13320</v>
      </c>
      <c r="F39" s="731">
        <v>0.88</v>
      </c>
      <c r="G39" s="732">
        <v>13320</v>
      </c>
      <c r="H39" s="700" t="s">
        <v>253</v>
      </c>
      <c r="I39" s="710" t="s">
        <v>254</v>
      </c>
      <c r="J39" s="710" t="s">
        <v>11</v>
      </c>
      <c r="K39" s="117">
        <v>0.88</v>
      </c>
      <c r="L39" s="67" t="s">
        <v>5</v>
      </c>
      <c r="M39" s="711">
        <f>K40*0.78236563441</f>
        <v>10421.1102503412</v>
      </c>
      <c r="N39" s="126"/>
      <c r="O39" s="122"/>
      <c r="P39" s="122"/>
      <c r="Q39" s="122"/>
      <c r="R39" s="122"/>
      <c r="S39" s="127"/>
      <c r="T39" s="126"/>
      <c r="U39" s="122"/>
      <c r="V39" s="122"/>
      <c r="W39" s="122"/>
      <c r="X39" s="122"/>
      <c r="Y39" s="127"/>
      <c r="Z39" s="126"/>
      <c r="AA39" s="122"/>
      <c r="AB39" s="122"/>
      <c r="AC39" s="122"/>
      <c r="AD39" s="122"/>
      <c r="AE39" s="127"/>
      <c r="AF39" s="126"/>
      <c r="AG39" s="122"/>
      <c r="AH39" s="122"/>
      <c r="AI39" s="122"/>
      <c r="AJ39" s="122"/>
      <c r="AK39" s="127"/>
      <c r="AL39" s="126"/>
      <c r="AM39" s="122"/>
      <c r="AN39" s="122"/>
      <c r="AO39" s="122"/>
      <c r="AP39" s="122"/>
      <c r="AQ39" s="127"/>
      <c r="AR39" s="123"/>
    </row>
    <row r="40" spans="1:86" ht="15" customHeight="1" x14ac:dyDescent="0.25">
      <c r="A40" s="710"/>
      <c r="B40" s="729"/>
      <c r="C40" s="730"/>
      <c r="D40" s="730"/>
      <c r="E40" s="730"/>
      <c r="F40" s="731"/>
      <c r="G40" s="732"/>
      <c r="H40" s="700"/>
      <c r="I40" s="710"/>
      <c r="J40" s="710"/>
      <c r="K40" s="108">
        <v>13320</v>
      </c>
      <c r="L40" s="67" t="s">
        <v>8</v>
      </c>
      <c r="M40" s="711"/>
      <c r="N40" s="126"/>
      <c r="O40" s="122"/>
      <c r="P40" s="122"/>
      <c r="Q40" s="122"/>
      <c r="R40" s="122"/>
      <c r="S40" s="127"/>
      <c r="T40" s="126"/>
      <c r="U40" s="122"/>
      <c r="V40" s="122"/>
      <c r="W40" s="122"/>
      <c r="X40" s="122"/>
      <c r="Y40" s="127"/>
      <c r="Z40" s="126"/>
      <c r="AA40" s="122"/>
      <c r="AB40" s="122"/>
      <c r="AC40" s="122"/>
      <c r="AD40" s="122"/>
      <c r="AE40" s="127"/>
      <c r="AF40" s="126"/>
      <c r="AG40" s="122"/>
      <c r="AH40" s="122"/>
      <c r="AI40" s="122"/>
      <c r="AJ40" s="122"/>
      <c r="AK40" s="127"/>
      <c r="AL40" s="126"/>
      <c r="AM40" s="122"/>
      <c r="AN40" s="122"/>
      <c r="AO40" s="122"/>
      <c r="AP40" s="122"/>
      <c r="AQ40" s="127"/>
      <c r="AR40" s="123"/>
    </row>
    <row r="41" spans="1:86" s="32" customFormat="1" ht="21" customHeight="1" x14ac:dyDescent="0.25">
      <c r="A41" s="710"/>
      <c r="B41" s="729"/>
      <c r="C41" s="730"/>
      <c r="D41" s="730"/>
      <c r="E41" s="730"/>
      <c r="F41" s="731"/>
      <c r="G41" s="732"/>
      <c r="H41" s="700"/>
      <c r="I41" s="710"/>
      <c r="J41" s="128" t="s">
        <v>250</v>
      </c>
      <c r="K41" s="108">
        <v>2</v>
      </c>
      <c r="L41" s="108" t="s">
        <v>251</v>
      </c>
      <c r="M41" s="546">
        <v>200</v>
      </c>
      <c r="N41" s="126"/>
      <c r="O41" s="122"/>
      <c r="P41" s="122"/>
      <c r="Q41" s="122"/>
      <c r="R41" s="122"/>
      <c r="S41" s="127"/>
      <c r="T41" s="126"/>
      <c r="U41" s="122"/>
      <c r="V41" s="122"/>
      <c r="W41" s="122"/>
      <c r="X41" s="122"/>
      <c r="Y41" s="127"/>
      <c r="Z41" s="126"/>
      <c r="AA41" s="122"/>
      <c r="AB41" s="122"/>
      <c r="AC41" s="122"/>
      <c r="AD41" s="122"/>
      <c r="AE41" s="127"/>
      <c r="AF41" s="126"/>
      <c r="AG41" s="122"/>
      <c r="AH41" s="122"/>
      <c r="AI41" s="122"/>
      <c r="AJ41" s="122"/>
      <c r="AK41" s="127"/>
      <c r="AL41" s="126"/>
      <c r="AM41" s="122"/>
      <c r="AN41" s="122"/>
      <c r="AO41" s="122"/>
      <c r="AP41" s="122"/>
      <c r="AQ41" s="127"/>
      <c r="AR41" s="123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</row>
    <row r="42" spans="1:86" s="45" customFormat="1" ht="15" customHeight="1" x14ac:dyDescent="0.25">
      <c r="A42" s="710"/>
      <c r="B42" s="729"/>
      <c r="C42" s="730"/>
      <c r="D42" s="730"/>
      <c r="E42" s="730"/>
      <c r="F42" s="731"/>
      <c r="G42" s="732"/>
      <c r="H42" s="700"/>
      <c r="I42" s="710"/>
      <c r="J42" s="67" t="s">
        <v>17</v>
      </c>
      <c r="K42" s="108">
        <v>3520</v>
      </c>
      <c r="L42" s="67" t="s">
        <v>8</v>
      </c>
      <c r="M42" s="546">
        <f>9525.8*0.67</f>
        <v>6382.2860000000001</v>
      </c>
      <c r="N42" s="126"/>
      <c r="O42" s="122"/>
      <c r="P42" s="122"/>
      <c r="Q42" s="122"/>
      <c r="R42" s="122"/>
      <c r="S42" s="127"/>
      <c r="T42" s="126"/>
      <c r="U42" s="122"/>
      <c r="V42" s="122"/>
      <c r="W42" s="122"/>
      <c r="X42" s="122"/>
      <c r="Y42" s="127"/>
      <c r="Z42" s="126"/>
      <c r="AA42" s="122"/>
      <c r="AB42" s="122"/>
      <c r="AC42" s="122"/>
      <c r="AD42" s="122"/>
      <c r="AE42" s="127"/>
      <c r="AF42" s="126"/>
      <c r="AG42" s="122"/>
      <c r="AH42" s="122"/>
      <c r="AI42" s="122"/>
      <c r="AJ42" s="122"/>
      <c r="AK42" s="127"/>
      <c r="AL42" s="126"/>
      <c r="AM42" s="122"/>
      <c r="AN42" s="122"/>
      <c r="AO42" s="122"/>
      <c r="AP42" s="122"/>
      <c r="AQ42" s="127"/>
      <c r="AR42" s="123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</row>
    <row r="43" spans="1:86" s="45" customFormat="1" ht="36" customHeight="1" x14ac:dyDescent="0.25">
      <c r="A43" s="710"/>
      <c r="B43" s="729"/>
      <c r="C43" s="730"/>
      <c r="D43" s="730"/>
      <c r="E43" s="730"/>
      <c r="F43" s="731"/>
      <c r="G43" s="732"/>
      <c r="H43" s="700"/>
      <c r="I43" s="710"/>
      <c r="J43" s="67" t="s">
        <v>46</v>
      </c>
      <c r="K43" s="108">
        <v>231</v>
      </c>
      <c r="L43" s="67" t="s">
        <v>16</v>
      </c>
      <c r="M43" s="546">
        <v>288.8</v>
      </c>
      <c r="N43" s="126"/>
      <c r="O43" s="122"/>
      <c r="P43" s="122"/>
      <c r="Q43" s="122"/>
      <c r="R43" s="122"/>
      <c r="S43" s="127"/>
      <c r="T43" s="126"/>
      <c r="U43" s="122"/>
      <c r="V43" s="122"/>
      <c r="W43" s="122"/>
      <c r="X43" s="122"/>
      <c r="Y43" s="127"/>
      <c r="Z43" s="126"/>
      <c r="AA43" s="122"/>
      <c r="AB43" s="122"/>
      <c r="AC43" s="122"/>
      <c r="AD43" s="122"/>
      <c r="AE43" s="127"/>
      <c r="AF43" s="126"/>
      <c r="AG43" s="122"/>
      <c r="AH43" s="122"/>
      <c r="AI43" s="122"/>
      <c r="AJ43" s="122"/>
      <c r="AK43" s="127"/>
      <c r="AL43" s="126"/>
      <c r="AM43" s="122"/>
      <c r="AN43" s="122"/>
      <c r="AO43" s="122"/>
      <c r="AP43" s="122"/>
      <c r="AQ43" s="127"/>
      <c r="AR43" s="123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</row>
    <row r="44" spans="1:86" s="45" customFormat="1" ht="15" customHeight="1" x14ac:dyDescent="0.25">
      <c r="A44" s="710">
        <v>3</v>
      </c>
      <c r="B44" s="729">
        <v>2220994</v>
      </c>
      <c r="C44" s="731" t="s">
        <v>255</v>
      </c>
      <c r="D44" s="730">
        <f>F44</f>
        <v>1</v>
      </c>
      <c r="E44" s="730">
        <f>G44</f>
        <v>11140</v>
      </c>
      <c r="F44" s="731">
        <v>1</v>
      </c>
      <c r="G44" s="730">
        <v>11140</v>
      </c>
      <c r="H44" s="710" t="s">
        <v>256</v>
      </c>
      <c r="I44" s="710" t="s">
        <v>257</v>
      </c>
      <c r="J44" s="710" t="s">
        <v>11</v>
      </c>
      <c r="K44" s="117">
        <v>1.089</v>
      </c>
      <c r="L44" s="67" t="s">
        <v>5</v>
      </c>
      <c r="M44" s="711">
        <f>K45*0.78236563441</f>
        <v>14483.934989832329</v>
      </c>
      <c r="N44" s="126"/>
      <c r="O44" s="122"/>
      <c r="P44" s="122"/>
      <c r="Q44" s="122"/>
      <c r="R44" s="122"/>
      <c r="S44" s="127"/>
      <c r="T44" s="126"/>
      <c r="U44" s="122"/>
      <c r="V44" s="122"/>
      <c r="W44" s="122"/>
      <c r="X44" s="122"/>
      <c r="Y44" s="127"/>
      <c r="Z44" s="126"/>
      <c r="AA44" s="122"/>
      <c r="AB44" s="122"/>
      <c r="AC44" s="122"/>
      <c r="AD44" s="122"/>
      <c r="AE44" s="127"/>
      <c r="AF44" s="126"/>
      <c r="AG44" s="122"/>
      <c r="AH44" s="122"/>
      <c r="AI44" s="122"/>
      <c r="AJ44" s="122"/>
      <c r="AK44" s="127"/>
      <c r="AL44" s="126"/>
      <c r="AM44" s="122"/>
      <c r="AN44" s="122"/>
      <c r="AO44" s="122"/>
      <c r="AP44" s="122"/>
      <c r="AQ44" s="127"/>
      <c r="AR44" s="123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</row>
    <row r="45" spans="1:86" s="45" customFormat="1" x14ac:dyDescent="0.25">
      <c r="A45" s="710"/>
      <c r="B45" s="729"/>
      <c r="C45" s="731"/>
      <c r="D45" s="730"/>
      <c r="E45" s="730"/>
      <c r="F45" s="731"/>
      <c r="G45" s="730"/>
      <c r="H45" s="710"/>
      <c r="I45" s="710"/>
      <c r="J45" s="710"/>
      <c r="K45" s="108">
        <v>18513</v>
      </c>
      <c r="L45" s="67" t="s">
        <v>8</v>
      </c>
      <c r="M45" s="711"/>
      <c r="N45" s="126"/>
      <c r="O45" s="122"/>
      <c r="P45" s="122"/>
      <c r="Q45" s="122"/>
      <c r="R45" s="122"/>
      <c r="S45" s="127"/>
      <c r="T45" s="126"/>
      <c r="U45" s="122"/>
      <c r="V45" s="122"/>
      <c r="W45" s="122"/>
      <c r="X45" s="122"/>
      <c r="Y45" s="127"/>
      <c r="Z45" s="126"/>
      <c r="AA45" s="122"/>
      <c r="AB45" s="122"/>
      <c r="AC45" s="122"/>
      <c r="AD45" s="122"/>
      <c r="AE45" s="127"/>
      <c r="AF45" s="126"/>
      <c r="AG45" s="122"/>
      <c r="AH45" s="122"/>
      <c r="AI45" s="122"/>
      <c r="AJ45" s="122"/>
      <c r="AK45" s="127"/>
      <c r="AL45" s="126"/>
      <c r="AM45" s="122"/>
      <c r="AN45" s="122"/>
      <c r="AO45" s="122"/>
      <c r="AP45" s="122"/>
      <c r="AQ45" s="127"/>
      <c r="AR45" s="123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</row>
    <row r="46" spans="1:86" s="45" customFormat="1" x14ac:dyDescent="0.25">
      <c r="A46" s="710"/>
      <c r="B46" s="729"/>
      <c r="C46" s="731"/>
      <c r="D46" s="730"/>
      <c r="E46" s="730"/>
      <c r="F46" s="731"/>
      <c r="G46" s="730"/>
      <c r="H46" s="710"/>
      <c r="I46" s="710"/>
      <c r="J46" s="67" t="s">
        <v>17</v>
      </c>
      <c r="K46" s="108">
        <v>6000</v>
      </c>
      <c r="L46" s="67" t="s">
        <v>8</v>
      </c>
      <c r="M46" s="546">
        <f>12893.3*0.67</f>
        <v>8638.5110000000004</v>
      </c>
      <c r="N46" s="126"/>
      <c r="O46" s="122"/>
      <c r="P46" s="122"/>
      <c r="Q46" s="122"/>
      <c r="R46" s="122"/>
      <c r="S46" s="127"/>
      <c r="T46" s="126"/>
      <c r="U46" s="122"/>
      <c r="V46" s="122"/>
      <c r="W46" s="122"/>
      <c r="X46" s="122"/>
      <c r="Y46" s="127"/>
      <c r="Z46" s="126"/>
      <c r="AA46" s="122"/>
      <c r="AB46" s="122"/>
      <c r="AC46" s="122"/>
      <c r="AD46" s="122"/>
      <c r="AE46" s="127"/>
      <c r="AF46" s="126"/>
      <c r="AG46" s="122"/>
      <c r="AH46" s="122"/>
      <c r="AI46" s="122"/>
      <c r="AJ46" s="122"/>
      <c r="AK46" s="127"/>
      <c r="AL46" s="126"/>
      <c r="AM46" s="122"/>
      <c r="AN46" s="122"/>
      <c r="AO46" s="122"/>
      <c r="AP46" s="122"/>
      <c r="AQ46" s="127"/>
      <c r="AR46" s="123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</row>
    <row r="47" spans="1:86" s="45" customFormat="1" ht="45" x14ac:dyDescent="0.25">
      <c r="A47" s="710"/>
      <c r="B47" s="729"/>
      <c r="C47" s="731"/>
      <c r="D47" s="730"/>
      <c r="E47" s="730"/>
      <c r="F47" s="731"/>
      <c r="G47" s="730"/>
      <c r="H47" s="710"/>
      <c r="I47" s="710"/>
      <c r="J47" s="67" t="s">
        <v>46</v>
      </c>
      <c r="K47" s="108">
        <v>417</v>
      </c>
      <c r="L47" s="67" t="s">
        <v>16</v>
      </c>
      <c r="M47" s="546">
        <v>521.29999999999995</v>
      </c>
      <c r="N47" s="126"/>
      <c r="O47" s="122"/>
      <c r="P47" s="122"/>
      <c r="Q47" s="122"/>
      <c r="R47" s="122"/>
      <c r="S47" s="127"/>
      <c r="T47" s="126"/>
      <c r="U47" s="122"/>
      <c r="V47" s="122"/>
      <c r="W47" s="122"/>
      <c r="X47" s="122"/>
      <c r="Y47" s="127"/>
      <c r="Z47" s="126"/>
      <c r="AA47" s="122"/>
      <c r="AB47" s="122"/>
      <c r="AC47" s="122"/>
      <c r="AD47" s="122"/>
      <c r="AE47" s="127"/>
      <c r="AF47" s="126"/>
      <c r="AG47" s="122"/>
      <c r="AH47" s="122"/>
      <c r="AI47" s="122"/>
      <c r="AJ47" s="122"/>
      <c r="AK47" s="127"/>
      <c r="AL47" s="126"/>
      <c r="AM47" s="122"/>
      <c r="AN47" s="122"/>
      <c r="AO47" s="122"/>
      <c r="AP47" s="122"/>
      <c r="AQ47" s="127"/>
      <c r="AR47" s="123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</row>
    <row r="48" spans="1:86" s="45" customFormat="1" ht="30" x14ac:dyDescent="0.25">
      <c r="A48" s="710"/>
      <c r="B48" s="729"/>
      <c r="C48" s="731"/>
      <c r="D48" s="730"/>
      <c r="E48" s="730"/>
      <c r="F48" s="731"/>
      <c r="G48" s="730"/>
      <c r="H48" s="710"/>
      <c r="I48" s="710"/>
      <c r="J48" s="128" t="s">
        <v>250</v>
      </c>
      <c r="K48" s="108">
        <v>1</v>
      </c>
      <c r="L48" s="108" t="s">
        <v>251</v>
      </c>
      <c r="M48" s="546">
        <v>100</v>
      </c>
      <c r="N48" s="126"/>
      <c r="O48" s="122"/>
      <c r="P48" s="122"/>
      <c r="Q48" s="122"/>
      <c r="R48" s="122"/>
      <c r="S48" s="127"/>
      <c r="T48" s="126"/>
      <c r="U48" s="122"/>
      <c r="V48" s="122"/>
      <c r="W48" s="122"/>
      <c r="X48" s="122"/>
      <c r="Y48" s="127"/>
      <c r="Z48" s="126"/>
      <c r="AA48" s="122"/>
      <c r="AB48" s="122"/>
      <c r="AC48" s="122"/>
      <c r="AD48" s="122"/>
      <c r="AE48" s="127"/>
      <c r="AF48" s="126"/>
      <c r="AG48" s="122"/>
      <c r="AH48" s="122"/>
      <c r="AI48" s="122"/>
      <c r="AJ48" s="122"/>
      <c r="AK48" s="127"/>
      <c r="AL48" s="126"/>
      <c r="AM48" s="122"/>
      <c r="AN48" s="122"/>
      <c r="AO48" s="122"/>
      <c r="AP48" s="122"/>
      <c r="AQ48" s="127"/>
      <c r="AR48" s="123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</row>
    <row r="49" spans="1:86" s="45" customFormat="1" x14ac:dyDescent="0.25">
      <c r="A49" s="706">
        <v>4</v>
      </c>
      <c r="B49" s="735">
        <v>2220994</v>
      </c>
      <c r="C49" s="738" t="s">
        <v>255</v>
      </c>
      <c r="D49" s="741">
        <f>F49</f>
        <v>0.439</v>
      </c>
      <c r="E49" s="741">
        <f>G49</f>
        <v>3500</v>
      </c>
      <c r="F49" s="738">
        <v>0.439</v>
      </c>
      <c r="G49" s="744">
        <v>3500</v>
      </c>
      <c r="H49" s="706" t="s">
        <v>258</v>
      </c>
      <c r="I49" s="706" t="s">
        <v>259</v>
      </c>
      <c r="J49" s="706" t="s">
        <v>11</v>
      </c>
      <c r="K49" s="117">
        <v>0.35</v>
      </c>
      <c r="L49" s="67" t="s">
        <v>5</v>
      </c>
      <c r="M49" s="711">
        <f>K50*0.78236563441</f>
        <v>4655.0755247395</v>
      </c>
      <c r="N49" s="126"/>
      <c r="O49" s="122"/>
      <c r="P49" s="122"/>
      <c r="Q49" s="122"/>
      <c r="R49" s="122"/>
      <c r="S49" s="127"/>
      <c r="T49" s="126"/>
      <c r="U49" s="122"/>
      <c r="V49" s="122"/>
      <c r="W49" s="122"/>
      <c r="X49" s="122"/>
      <c r="Y49" s="127"/>
      <c r="Z49" s="126"/>
      <c r="AA49" s="122"/>
      <c r="AB49" s="122"/>
      <c r="AC49" s="122"/>
      <c r="AD49" s="122"/>
      <c r="AE49" s="127"/>
      <c r="AF49" s="126"/>
      <c r="AG49" s="122"/>
      <c r="AH49" s="122"/>
      <c r="AI49" s="122"/>
      <c r="AJ49" s="122"/>
      <c r="AK49" s="127"/>
      <c r="AL49" s="126"/>
      <c r="AM49" s="122"/>
      <c r="AN49" s="122"/>
      <c r="AO49" s="122"/>
      <c r="AP49" s="122"/>
      <c r="AQ49" s="127"/>
      <c r="AR49" s="123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</row>
    <row r="50" spans="1:86" s="45" customFormat="1" ht="15" customHeight="1" x14ac:dyDescent="0.25">
      <c r="A50" s="734"/>
      <c r="B50" s="736"/>
      <c r="C50" s="739"/>
      <c r="D50" s="742"/>
      <c r="E50" s="742"/>
      <c r="F50" s="739"/>
      <c r="G50" s="745"/>
      <c r="H50" s="734"/>
      <c r="I50" s="734"/>
      <c r="J50" s="707"/>
      <c r="K50" s="108">
        <v>5950</v>
      </c>
      <c r="L50" s="67" t="s">
        <v>8</v>
      </c>
      <c r="M50" s="711"/>
      <c r="N50" s="126"/>
      <c r="O50" s="122"/>
      <c r="P50" s="122"/>
      <c r="Q50" s="122"/>
      <c r="R50" s="122"/>
      <c r="S50" s="127"/>
      <c r="T50" s="126"/>
      <c r="U50" s="122"/>
      <c r="V50" s="122"/>
      <c r="W50" s="122"/>
      <c r="X50" s="122"/>
      <c r="Y50" s="127"/>
      <c r="Z50" s="126"/>
      <c r="AA50" s="122"/>
      <c r="AB50" s="122"/>
      <c r="AC50" s="122"/>
      <c r="AD50" s="122"/>
      <c r="AE50" s="127"/>
      <c r="AF50" s="126"/>
      <c r="AG50" s="122"/>
      <c r="AH50" s="122"/>
      <c r="AI50" s="122"/>
      <c r="AJ50" s="122"/>
      <c r="AK50" s="127"/>
      <c r="AL50" s="126"/>
      <c r="AM50" s="122"/>
      <c r="AN50" s="122"/>
      <c r="AO50" s="122"/>
      <c r="AP50" s="122"/>
      <c r="AQ50" s="127"/>
      <c r="AR50" s="123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</row>
    <row r="51" spans="1:86" s="45" customFormat="1" x14ac:dyDescent="0.25">
      <c r="A51" s="734"/>
      <c r="B51" s="736"/>
      <c r="C51" s="739"/>
      <c r="D51" s="742"/>
      <c r="E51" s="742"/>
      <c r="F51" s="739"/>
      <c r="G51" s="745"/>
      <c r="H51" s="734"/>
      <c r="I51" s="734"/>
      <c r="J51" s="67" t="s">
        <v>17</v>
      </c>
      <c r="K51" s="108">
        <v>2100</v>
      </c>
      <c r="L51" s="67" t="s">
        <v>8</v>
      </c>
      <c r="M51" s="546">
        <f>4746.7*0.67</f>
        <v>3180.2890000000002</v>
      </c>
      <c r="N51" s="126"/>
      <c r="O51" s="122"/>
      <c r="P51" s="122"/>
      <c r="Q51" s="122"/>
      <c r="R51" s="122"/>
      <c r="S51" s="127"/>
      <c r="T51" s="126"/>
      <c r="U51" s="122"/>
      <c r="V51" s="122"/>
      <c r="W51" s="122"/>
      <c r="X51" s="122"/>
      <c r="Y51" s="127"/>
      <c r="Z51" s="126"/>
      <c r="AA51" s="122"/>
      <c r="AB51" s="122"/>
      <c r="AC51" s="122"/>
      <c r="AD51" s="122"/>
      <c r="AE51" s="127"/>
      <c r="AF51" s="126"/>
      <c r="AG51" s="122"/>
      <c r="AH51" s="122"/>
      <c r="AI51" s="122"/>
      <c r="AJ51" s="122"/>
      <c r="AK51" s="127"/>
      <c r="AL51" s="126"/>
      <c r="AM51" s="122"/>
      <c r="AN51" s="122"/>
      <c r="AO51" s="122"/>
      <c r="AP51" s="122"/>
      <c r="AQ51" s="127"/>
      <c r="AR51" s="123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</row>
    <row r="52" spans="1:86" s="45" customFormat="1" x14ac:dyDescent="0.25">
      <c r="A52" s="734"/>
      <c r="B52" s="736"/>
      <c r="C52" s="739"/>
      <c r="D52" s="742"/>
      <c r="E52" s="742"/>
      <c r="F52" s="739"/>
      <c r="G52" s="745"/>
      <c r="H52" s="734"/>
      <c r="I52" s="734"/>
      <c r="J52" s="118"/>
      <c r="K52" s="108"/>
      <c r="L52" s="129"/>
      <c r="M52" s="546"/>
      <c r="N52" s="126"/>
      <c r="O52" s="122"/>
      <c r="P52" s="122"/>
      <c r="Q52" s="122"/>
      <c r="R52" s="122"/>
      <c r="S52" s="127"/>
      <c r="T52" s="126"/>
      <c r="U52" s="122"/>
      <c r="V52" s="122"/>
      <c r="W52" s="122"/>
      <c r="X52" s="122"/>
      <c r="Y52" s="127"/>
      <c r="Z52" s="126"/>
      <c r="AA52" s="122"/>
      <c r="AB52" s="122"/>
      <c r="AC52" s="122"/>
      <c r="AD52" s="122"/>
      <c r="AE52" s="127"/>
      <c r="AF52" s="126"/>
      <c r="AG52" s="122"/>
      <c r="AH52" s="122"/>
      <c r="AI52" s="122"/>
      <c r="AJ52" s="122"/>
      <c r="AK52" s="127"/>
      <c r="AL52" s="126"/>
      <c r="AM52" s="122"/>
      <c r="AN52" s="122"/>
      <c r="AO52" s="122"/>
      <c r="AP52" s="122"/>
      <c r="AQ52" s="127"/>
      <c r="AR52" s="123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</row>
    <row r="53" spans="1:86" s="45" customFormat="1" x14ac:dyDescent="0.25">
      <c r="A53" s="707"/>
      <c r="B53" s="737"/>
      <c r="C53" s="740"/>
      <c r="D53" s="743"/>
      <c r="E53" s="743"/>
      <c r="F53" s="740"/>
      <c r="G53" s="746"/>
      <c r="H53" s="707"/>
      <c r="I53" s="707"/>
      <c r="J53" s="118"/>
      <c r="K53" s="108"/>
      <c r="L53" s="67"/>
      <c r="M53" s="546"/>
      <c r="N53" s="126"/>
      <c r="O53" s="122"/>
      <c r="P53" s="122"/>
      <c r="Q53" s="122"/>
      <c r="R53" s="122"/>
      <c r="S53" s="127"/>
      <c r="T53" s="126"/>
      <c r="U53" s="122"/>
      <c r="V53" s="122"/>
      <c r="W53" s="122"/>
      <c r="X53" s="122"/>
      <c r="Y53" s="127"/>
      <c r="Z53" s="126"/>
      <c r="AA53" s="122"/>
      <c r="AB53" s="122"/>
      <c r="AC53" s="122"/>
      <c r="AD53" s="122"/>
      <c r="AE53" s="127"/>
      <c r="AF53" s="126"/>
      <c r="AG53" s="122"/>
      <c r="AH53" s="122"/>
      <c r="AI53" s="122"/>
      <c r="AJ53" s="122"/>
      <c r="AK53" s="127"/>
      <c r="AL53" s="126"/>
      <c r="AM53" s="122"/>
      <c r="AN53" s="122"/>
      <c r="AO53" s="122"/>
      <c r="AP53" s="122"/>
      <c r="AQ53" s="127"/>
      <c r="AR53" s="123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</row>
    <row r="54" spans="1:86" s="45" customFormat="1" ht="45" x14ac:dyDescent="0.25">
      <c r="A54" s="106">
        <v>5</v>
      </c>
      <c r="B54" s="67">
        <v>2219715</v>
      </c>
      <c r="C54" s="130" t="s">
        <v>260</v>
      </c>
      <c r="D54" s="130">
        <f>F54</f>
        <v>0.98</v>
      </c>
      <c r="E54" s="130">
        <f>G54</f>
        <v>12600</v>
      </c>
      <c r="F54" s="131">
        <v>0.98</v>
      </c>
      <c r="G54" s="130">
        <v>12600</v>
      </c>
      <c r="H54" s="116" t="s">
        <v>261</v>
      </c>
      <c r="I54" s="130" t="s">
        <v>262</v>
      </c>
      <c r="J54" s="67" t="s">
        <v>43</v>
      </c>
      <c r="K54" s="132">
        <v>11550</v>
      </c>
      <c r="L54" s="67" t="s">
        <v>8</v>
      </c>
      <c r="M54" s="546">
        <v>113504.1</v>
      </c>
      <c r="N54" s="126"/>
      <c r="O54" s="122"/>
      <c r="P54" s="122"/>
      <c r="Q54" s="122"/>
      <c r="R54" s="122"/>
      <c r="S54" s="127"/>
      <c r="T54" s="126"/>
      <c r="U54" s="122"/>
      <c r="V54" s="122"/>
      <c r="W54" s="122"/>
      <c r="X54" s="122"/>
      <c r="Y54" s="127"/>
      <c r="Z54" s="126"/>
      <c r="AA54" s="122"/>
      <c r="AB54" s="122"/>
      <c r="AC54" s="122"/>
      <c r="AD54" s="122"/>
      <c r="AE54" s="127"/>
      <c r="AF54" s="126"/>
      <c r="AG54" s="122"/>
      <c r="AH54" s="122"/>
      <c r="AI54" s="122"/>
      <c r="AJ54" s="122"/>
      <c r="AK54" s="127"/>
      <c r="AL54" s="126"/>
      <c r="AM54" s="122"/>
      <c r="AN54" s="122"/>
      <c r="AO54" s="122"/>
      <c r="AP54" s="122"/>
      <c r="AQ54" s="127"/>
      <c r="AR54" s="123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</row>
    <row r="55" spans="1:86" s="45" customFormat="1" ht="24.75" customHeight="1" x14ac:dyDescent="0.25">
      <c r="A55" s="710">
        <v>6</v>
      </c>
      <c r="B55" s="710">
        <v>2220122</v>
      </c>
      <c r="C55" s="730" t="s">
        <v>263</v>
      </c>
      <c r="D55" s="730">
        <f>F55</f>
        <v>1.9</v>
      </c>
      <c r="E55" s="730">
        <f>G55</f>
        <v>78080</v>
      </c>
      <c r="F55" s="731">
        <v>1.9</v>
      </c>
      <c r="G55" s="732">
        <v>78080</v>
      </c>
      <c r="H55" s="733" t="s">
        <v>264</v>
      </c>
      <c r="I55" s="733" t="s">
        <v>265</v>
      </c>
      <c r="J55" s="710" t="s">
        <v>11</v>
      </c>
      <c r="K55" s="124">
        <v>1.9</v>
      </c>
      <c r="L55" s="67" t="s">
        <v>5</v>
      </c>
      <c r="M55" s="711">
        <f>K56*0.78236563441</f>
        <v>25270.409991442997</v>
      </c>
      <c r="N55" s="126"/>
      <c r="O55" s="122"/>
      <c r="P55" s="122"/>
      <c r="Q55" s="122"/>
      <c r="R55" s="122"/>
      <c r="S55" s="127"/>
      <c r="T55" s="126"/>
      <c r="U55" s="122"/>
      <c r="V55" s="122"/>
      <c r="W55" s="122"/>
      <c r="X55" s="122"/>
      <c r="Y55" s="127"/>
      <c r="Z55" s="126"/>
      <c r="AA55" s="122"/>
      <c r="AB55" s="122"/>
      <c r="AC55" s="122"/>
      <c r="AD55" s="122"/>
      <c r="AE55" s="127"/>
      <c r="AF55" s="126"/>
      <c r="AG55" s="122"/>
      <c r="AH55" s="122"/>
      <c r="AI55" s="122"/>
      <c r="AJ55" s="122"/>
      <c r="AK55" s="127"/>
      <c r="AL55" s="126"/>
      <c r="AM55" s="122"/>
      <c r="AN55" s="122"/>
      <c r="AO55" s="122"/>
      <c r="AP55" s="122"/>
      <c r="AQ55" s="127"/>
      <c r="AR55" s="123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</row>
    <row r="56" spans="1:86" s="45" customFormat="1" x14ac:dyDescent="0.25">
      <c r="A56" s="710"/>
      <c r="B56" s="710"/>
      <c r="C56" s="730"/>
      <c r="D56" s="730"/>
      <c r="E56" s="730"/>
      <c r="F56" s="731"/>
      <c r="G56" s="732"/>
      <c r="H56" s="733"/>
      <c r="I56" s="733"/>
      <c r="J56" s="710"/>
      <c r="K56" s="132">
        <v>32300</v>
      </c>
      <c r="L56" s="67" t="s">
        <v>8</v>
      </c>
      <c r="M56" s="711"/>
      <c r="N56" s="126"/>
      <c r="O56" s="122"/>
      <c r="P56" s="122"/>
      <c r="Q56" s="122"/>
      <c r="R56" s="122"/>
      <c r="S56" s="127"/>
      <c r="T56" s="126"/>
      <c r="U56" s="122"/>
      <c r="V56" s="122"/>
      <c r="W56" s="122"/>
      <c r="X56" s="122"/>
      <c r="Y56" s="127"/>
      <c r="Z56" s="126"/>
      <c r="AA56" s="122"/>
      <c r="AB56" s="122"/>
      <c r="AC56" s="122"/>
      <c r="AD56" s="122"/>
      <c r="AE56" s="127"/>
      <c r="AF56" s="126"/>
      <c r="AG56" s="122"/>
      <c r="AH56" s="122"/>
      <c r="AI56" s="122"/>
      <c r="AJ56" s="122"/>
      <c r="AK56" s="127"/>
      <c r="AL56" s="126"/>
      <c r="AM56" s="122"/>
      <c r="AN56" s="122"/>
      <c r="AO56" s="122"/>
      <c r="AP56" s="122"/>
      <c r="AQ56" s="127"/>
      <c r="AR56" s="123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</row>
    <row r="57" spans="1:86" s="45" customFormat="1" x14ac:dyDescent="0.25">
      <c r="A57" s="710"/>
      <c r="B57" s="710"/>
      <c r="C57" s="730"/>
      <c r="D57" s="730"/>
      <c r="E57" s="730"/>
      <c r="F57" s="731"/>
      <c r="G57" s="732"/>
      <c r="H57" s="733"/>
      <c r="I57" s="733"/>
      <c r="J57" s="67" t="s">
        <v>17</v>
      </c>
      <c r="K57" s="132">
        <v>9000</v>
      </c>
      <c r="L57" s="67" t="s">
        <v>8</v>
      </c>
      <c r="M57" s="546">
        <f>12178.66856*0.67</f>
        <v>8159.707935200001</v>
      </c>
      <c r="N57" s="126"/>
      <c r="O57" s="122"/>
      <c r="P57" s="122"/>
      <c r="Q57" s="122"/>
      <c r="R57" s="122"/>
      <c r="S57" s="127"/>
      <c r="T57" s="126"/>
      <c r="U57" s="122"/>
      <c r="V57" s="122"/>
      <c r="W57" s="122"/>
      <c r="X57" s="122"/>
      <c r="Y57" s="127"/>
      <c r="Z57" s="126"/>
      <c r="AA57" s="122"/>
      <c r="AB57" s="122"/>
      <c r="AC57" s="122"/>
      <c r="AD57" s="122"/>
      <c r="AE57" s="127"/>
      <c r="AF57" s="126"/>
      <c r="AG57" s="122"/>
      <c r="AH57" s="122"/>
      <c r="AI57" s="122"/>
      <c r="AJ57" s="122"/>
      <c r="AK57" s="127"/>
      <c r="AL57" s="126"/>
      <c r="AM57" s="122"/>
      <c r="AN57" s="122"/>
      <c r="AO57" s="122"/>
      <c r="AP57" s="122"/>
      <c r="AQ57" s="127"/>
      <c r="AR57" s="123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</row>
    <row r="58" spans="1:86" s="45" customFormat="1" ht="30" x14ac:dyDescent="0.25">
      <c r="A58" s="710"/>
      <c r="B58" s="710"/>
      <c r="C58" s="730"/>
      <c r="D58" s="730"/>
      <c r="E58" s="730"/>
      <c r="F58" s="731"/>
      <c r="G58" s="732"/>
      <c r="H58" s="733"/>
      <c r="I58" s="733"/>
      <c r="J58" s="67" t="s">
        <v>266</v>
      </c>
      <c r="K58" s="132">
        <v>8</v>
      </c>
      <c r="L58" s="67" t="s">
        <v>251</v>
      </c>
      <c r="M58" s="546">
        <v>2000</v>
      </c>
      <c r="N58" s="126"/>
      <c r="O58" s="122"/>
      <c r="P58" s="122"/>
      <c r="Q58" s="122"/>
      <c r="R58" s="122"/>
      <c r="S58" s="127"/>
      <c r="T58" s="126"/>
      <c r="U58" s="122"/>
      <c r="V58" s="122"/>
      <c r="W58" s="122"/>
      <c r="X58" s="122"/>
      <c r="Y58" s="127"/>
      <c r="Z58" s="126"/>
      <c r="AA58" s="122"/>
      <c r="AB58" s="122"/>
      <c r="AC58" s="122"/>
      <c r="AD58" s="122"/>
      <c r="AE58" s="127"/>
      <c r="AF58" s="126"/>
      <c r="AG58" s="122"/>
      <c r="AH58" s="122"/>
      <c r="AI58" s="122"/>
      <c r="AJ58" s="122"/>
      <c r="AK58" s="127"/>
      <c r="AL58" s="126"/>
      <c r="AM58" s="122"/>
      <c r="AN58" s="122"/>
      <c r="AO58" s="122"/>
      <c r="AP58" s="122"/>
      <c r="AQ58" s="127"/>
      <c r="AR58" s="123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</row>
    <row r="59" spans="1:86" s="45" customFormat="1" x14ac:dyDescent="0.25">
      <c r="A59" s="710">
        <v>7</v>
      </c>
      <c r="B59" s="729">
        <v>2228404</v>
      </c>
      <c r="C59" s="730" t="s">
        <v>267</v>
      </c>
      <c r="D59" s="730">
        <f t="shared" ref="D59:E59" si="4">F59</f>
        <v>2.9020000000000001</v>
      </c>
      <c r="E59" s="730">
        <f t="shared" si="4"/>
        <v>34824</v>
      </c>
      <c r="F59" s="731">
        <v>2.9020000000000001</v>
      </c>
      <c r="G59" s="732">
        <v>34824</v>
      </c>
      <c r="H59" s="733" t="s">
        <v>268</v>
      </c>
      <c r="I59" s="733" t="s">
        <v>269</v>
      </c>
      <c r="J59" s="710" t="s">
        <v>11</v>
      </c>
      <c r="K59" s="117">
        <v>2.9020000000000001</v>
      </c>
      <c r="L59" s="67" t="s">
        <v>5</v>
      </c>
      <c r="M59" s="711">
        <f>K60*0.79236563441</f>
        <v>27593.34085269384</v>
      </c>
      <c r="N59" s="126"/>
      <c r="O59" s="122"/>
      <c r="P59" s="122"/>
      <c r="Q59" s="122"/>
      <c r="R59" s="122"/>
      <c r="S59" s="127"/>
      <c r="T59" s="126"/>
      <c r="U59" s="122"/>
      <c r="V59" s="122"/>
      <c r="W59" s="122"/>
      <c r="X59" s="122"/>
      <c r="Y59" s="127"/>
      <c r="Z59" s="126"/>
      <c r="AA59" s="122"/>
      <c r="AB59" s="122"/>
      <c r="AC59" s="122"/>
      <c r="AD59" s="122"/>
      <c r="AE59" s="127"/>
      <c r="AF59" s="126"/>
      <c r="AG59" s="122"/>
      <c r="AH59" s="122"/>
      <c r="AI59" s="122"/>
      <c r="AJ59" s="122"/>
      <c r="AK59" s="127"/>
      <c r="AL59" s="126"/>
      <c r="AM59" s="122"/>
      <c r="AN59" s="122"/>
      <c r="AO59" s="122"/>
      <c r="AP59" s="122"/>
      <c r="AQ59" s="127"/>
      <c r="AR59" s="123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</row>
    <row r="60" spans="1:86" s="45" customFormat="1" x14ac:dyDescent="0.25">
      <c r="A60" s="710"/>
      <c r="B60" s="729"/>
      <c r="C60" s="730"/>
      <c r="D60" s="730"/>
      <c r="E60" s="730"/>
      <c r="F60" s="731"/>
      <c r="G60" s="732"/>
      <c r="H60" s="733"/>
      <c r="I60" s="733"/>
      <c r="J60" s="710"/>
      <c r="K60" s="133">
        <v>34824</v>
      </c>
      <c r="L60" s="67" t="s">
        <v>8</v>
      </c>
      <c r="M60" s="711"/>
      <c r="N60" s="126"/>
      <c r="O60" s="122"/>
      <c r="P60" s="122"/>
      <c r="Q60" s="122"/>
      <c r="R60" s="122"/>
      <c r="S60" s="127"/>
      <c r="T60" s="126"/>
      <c r="U60" s="122"/>
      <c r="V60" s="122"/>
      <c r="W60" s="122"/>
      <c r="X60" s="122"/>
      <c r="Y60" s="127"/>
      <c r="Z60" s="126"/>
      <c r="AA60" s="122"/>
      <c r="AB60" s="122"/>
      <c r="AC60" s="122"/>
      <c r="AD60" s="122"/>
      <c r="AE60" s="127"/>
      <c r="AF60" s="126"/>
      <c r="AG60" s="122"/>
      <c r="AH60" s="122"/>
      <c r="AI60" s="122"/>
      <c r="AJ60" s="122"/>
      <c r="AK60" s="127"/>
      <c r="AL60" s="126"/>
      <c r="AM60" s="122"/>
      <c r="AN60" s="122"/>
      <c r="AO60" s="122"/>
      <c r="AP60" s="122"/>
      <c r="AQ60" s="127"/>
      <c r="AR60" s="123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</row>
    <row r="61" spans="1:86" s="45" customFormat="1" x14ac:dyDescent="0.25">
      <c r="A61" s="710"/>
      <c r="B61" s="729"/>
      <c r="C61" s="730"/>
      <c r="D61" s="730"/>
      <c r="E61" s="730"/>
      <c r="F61" s="731"/>
      <c r="G61" s="732"/>
      <c r="H61" s="733"/>
      <c r="I61" s="733"/>
      <c r="J61" s="67" t="s">
        <v>17</v>
      </c>
      <c r="K61" s="108">
        <v>17412</v>
      </c>
      <c r="L61" s="67" t="s">
        <v>8</v>
      </c>
      <c r="M61" s="546">
        <f>25064*0.67</f>
        <v>16792.88</v>
      </c>
      <c r="N61" s="126"/>
      <c r="O61" s="122"/>
      <c r="P61" s="122"/>
      <c r="Q61" s="122"/>
      <c r="R61" s="122"/>
      <c r="S61" s="127"/>
      <c r="T61" s="126"/>
      <c r="U61" s="122"/>
      <c r="V61" s="122"/>
      <c r="W61" s="122"/>
      <c r="X61" s="122"/>
      <c r="Y61" s="127"/>
      <c r="Z61" s="126"/>
      <c r="AA61" s="122"/>
      <c r="AB61" s="122"/>
      <c r="AC61" s="122"/>
      <c r="AD61" s="122"/>
      <c r="AE61" s="127"/>
      <c r="AF61" s="126"/>
      <c r="AG61" s="122"/>
      <c r="AH61" s="122"/>
      <c r="AI61" s="122"/>
      <c r="AJ61" s="122"/>
      <c r="AK61" s="127"/>
      <c r="AL61" s="126"/>
      <c r="AM61" s="122"/>
      <c r="AN61" s="122"/>
      <c r="AO61" s="122"/>
      <c r="AP61" s="122"/>
      <c r="AQ61" s="127"/>
      <c r="AR61" s="123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</row>
    <row r="62" spans="1:86" s="45" customFormat="1" x14ac:dyDescent="0.25">
      <c r="A62" s="710">
        <v>8</v>
      </c>
      <c r="B62" s="710">
        <v>2228456</v>
      </c>
      <c r="C62" s="730" t="s">
        <v>270</v>
      </c>
      <c r="D62" s="730">
        <f>F62</f>
        <v>0.5</v>
      </c>
      <c r="E62" s="730">
        <f>G62</f>
        <v>13970</v>
      </c>
      <c r="F62" s="731">
        <v>0.5</v>
      </c>
      <c r="G62" s="730">
        <v>13970</v>
      </c>
      <c r="H62" s="733" t="s">
        <v>271</v>
      </c>
      <c r="I62" s="733" t="s">
        <v>272</v>
      </c>
      <c r="J62" s="710" t="s">
        <v>11</v>
      </c>
      <c r="K62" s="117">
        <v>0.5</v>
      </c>
      <c r="L62" s="67" t="s">
        <v>5</v>
      </c>
      <c r="M62" s="711">
        <f>K63*0.78236563441</f>
        <v>4303.0109892549999</v>
      </c>
      <c r="N62" s="126"/>
      <c r="O62" s="122"/>
      <c r="P62" s="122"/>
      <c r="Q62" s="122"/>
      <c r="R62" s="122"/>
      <c r="S62" s="127"/>
      <c r="T62" s="126"/>
      <c r="U62" s="122"/>
      <c r="V62" s="122"/>
      <c r="W62" s="122"/>
      <c r="X62" s="122"/>
      <c r="Y62" s="127"/>
      <c r="Z62" s="126"/>
      <c r="AA62" s="122"/>
      <c r="AB62" s="122"/>
      <c r="AC62" s="122"/>
      <c r="AD62" s="122"/>
      <c r="AE62" s="127"/>
      <c r="AF62" s="126"/>
      <c r="AG62" s="122"/>
      <c r="AH62" s="122"/>
      <c r="AI62" s="122"/>
      <c r="AJ62" s="122"/>
      <c r="AK62" s="127"/>
      <c r="AL62" s="126"/>
      <c r="AM62" s="122"/>
      <c r="AN62" s="122"/>
      <c r="AO62" s="122"/>
      <c r="AP62" s="122"/>
      <c r="AQ62" s="127"/>
      <c r="AR62" s="123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</row>
    <row r="63" spans="1:86" s="45" customFormat="1" x14ac:dyDescent="0.25">
      <c r="A63" s="710"/>
      <c r="B63" s="710"/>
      <c r="C63" s="730"/>
      <c r="D63" s="730"/>
      <c r="E63" s="730"/>
      <c r="F63" s="731"/>
      <c r="G63" s="730"/>
      <c r="H63" s="733"/>
      <c r="I63" s="733"/>
      <c r="J63" s="710"/>
      <c r="K63" s="133">
        <v>5500</v>
      </c>
      <c r="L63" s="67" t="s">
        <v>8</v>
      </c>
      <c r="M63" s="711"/>
      <c r="N63" s="126"/>
      <c r="O63" s="122"/>
      <c r="P63" s="122"/>
      <c r="Q63" s="122"/>
      <c r="R63" s="122"/>
      <c r="S63" s="127"/>
      <c r="T63" s="126"/>
      <c r="U63" s="122"/>
      <c r="V63" s="122"/>
      <c r="W63" s="122"/>
      <c r="X63" s="122"/>
      <c r="Y63" s="127"/>
      <c r="Z63" s="126"/>
      <c r="AA63" s="122"/>
      <c r="AB63" s="122"/>
      <c r="AC63" s="122"/>
      <c r="AD63" s="122"/>
      <c r="AE63" s="127"/>
      <c r="AF63" s="126"/>
      <c r="AG63" s="122"/>
      <c r="AH63" s="122"/>
      <c r="AI63" s="122"/>
      <c r="AJ63" s="122"/>
      <c r="AK63" s="127"/>
      <c r="AL63" s="126"/>
      <c r="AM63" s="122"/>
      <c r="AN63" s="122"/>
      <c r="AO63" s="122"/>
      <c r="AP63" s="122"/>
      <c r="AQ63" s="127"/>
      <c r="AR63" s="123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</row>
    <row r="64" spans="1:86" s="45" customFormat="1" x14ac:dyDescent="0.25">
      <c r="A64" s="710"/>
      <c r="B64" s="710"/>
      <c r="C64" s="730"/>
      <c r="D64" s="730"/>
      <c r="E64" s="730"/>
      <c r="F64" s="731"/>
      <c r="G64" s="730"/>
      <c r="H64" s="733"/>
      <c r="I64" s="733"/>
      <c r="J64" s="67" t="s">
        <v>17</v>
      </c>
      <c r="K64" s="108">
        <v>3000</v>
      </c>
      <c r="L64" s="67" t="s">
        <v>8</v>
      </c>
      <c r="M64" s="445">
        <f>6456.7*0.67</f>
        <v>4325.9890000000005</v>
      </c>
      <c r="N64" s="126"/>
      <c r="O64" s="122"/>
      <c r="P64" s="122"/>
      <c r="Q64" s="122"/>
      <c r="R64" s="122"/>
      <c r="S64" s="127"/>
      <c r="T64" s="126"/>
      <c r="U64" s="122"/>
      <c r="V64" s="122"/>
      <c r="W64" s="122"/>
      <c r="X64" s="122"/>
      <c r="Y64" s="127"/>
      <c r="Z64" s="126"/>
      <c r="AA64" s="122"/>
      <c r="AB64" s="122"/>
      <c r="AC64" s="122"/>
      <c r="AD64" s="122"/>
      <c r="AE64" s="127"/>
      <c r="AF64" s="126"/>
      <c r="AG64" s="122"/>
      <c r="AH64" s="122"/>
      <c r="AI64" s="122"/>
      <c r="AJ64" s="122"/>
      <c r="AK64" s="127"/>
      <c r="AL64" s="126"/>
      <c r="AM64" s="122"/>
      <c r="AN64" s="122"/>
      <c r="AO64" s="122"/>
      <c r="AP64" s="122"/>
      <c r="AQ64" s="127"/>
      <c r="AR64" s="123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</row>
    <row r="65" spans="1:86" ht="21.75" customHeight="1" x14ac:dyDescent="0.25">
      <c r="A65" s="706">
        <v>9</v>
      </c>
      <c r="B65" s="735">
        <v>2226986</v>
      </c>
      <c r="C65" s="730" t="s">
        <v>273</v>
      </c>
      <c r="D65" s="730">
        <f>F65</f>
        <v>0.66900000000000004</v>
      </c>
      <c r="E65" s="730">
        <f>G65</f>
        <v>18063</v>
      </c>
      <c r="F65" s="731">
        <v>0.66900000000000004</v>
      </c>
      <c r="G65" s="732">
        <v>18063</v>
      </c>
      <c r="H65" s="733" t="s">
        <v>274</v>
      </c>
      <c r="I65" s="733" t="s">
        <v>275</v>
      </c>
      <c r="J65" s="710" t="s">
        <v>11</v>
      </c>
      <c r="K65" s="117">
        <v>0.66900000000000004</v>
      </c>
      <c r="L65" s="67" t="s">
        <v>5</v>
      </c>
      <c r="M65" s="711">
        <f>K66*0.77</f>
        <v>9149.91</v>
      </c>
      <c r="N65" s="126"/>
      <c r="O65" s="122"/>
      <c r="P65" s="122"/>
      <c r="Q65" s="122"/>
      <c r="R65" s="122"/>
      <c r="S65" s="127"/>
      <c r="T65" s="126"/>
      <c r="U65" s="122"/>
      <c r="V65" s="122"/>
      <c r="W65" s="122"/>
      <c r="X65" s="122"/>
      <c r="Y65" s="127"/>
      <c r="Z65" s="126"/>
      <c r="AA65" s="122"/>
      <c r="AB65" s="122"/>
      <c r="AC65" s="122"/>
      <c r="AD65" s="122"/>
      <c r="AE65" s="127"/>
      <c r="AF65" s="126"/>
      <c r="AG65" s="122"/>
      <c r="AH65" s="122"/>
      <c r="AI65" s="122"/>
      <c r="AJ65" s="122"/>
      <c r="AK65" s="127"/>
      <c r="AL65" s="126"/>
      <c r="AM65" s="122"/>
      <c r="AN65" s="122"/>
      <c r="AO65" s="122"/>
      <c r="AP65" s="122"/>
      <c r="AQ65" s="127"/>
      <c r="AR65" s="123"/>
    </row>
    <row r="66" spans="1:86" ht="15" customHeight="1" x14ac:dyDescent="0.25">
      <c r="A66" s="734"/>
      <c r="B66" s="736"/>
      <c r="C66" s="730"/>
      <c r="D66" s="730"/>
      <c r="E66" s="730"/>
      <c r="F66" s="731"/>
      <c r="G66" s="732"/>
      <c r="H66" s="733"/>
      <c r="I66" s="733"/>
      <c r="J66" s="710"/>
      <c r="K66" s="133">
        <v>11883</v>
      </c>
      <c r="L66" s="67" t="s">
        <v>8</v>
      </c>
      <c r="M66" s="711"/>
      <c r="N66" s="126"/>
      <c r="O66" s="122"/>
      <c r="P66" s="122"/>
      <c r="Q66" s="122"/>
      <c r="R66" s="122"/>
      <c r="S66" s="127"/>
      <c r="T66" s="126"/>
      <c r="U66" s="122"/>
      <c r="V66" s="122"/>
      <c r="W66" s="122"/>
      <c r="X66" s="122"/>
      <c r="Y66" s="127"/>
      <c r="Z66" s="126"/>
      <c r="AA66" s="122"/>
      <c r="AB66" s="122"/>
      <c r="AC66" s="122"/>
      <c r="AD66" s="122"/>
      <c r="AE66" s="127"/>
      <c r="AF66" s="126"/>
      <c r="AG66" s="122"/>
      <c r="AH66" s="122"/>
      <c r="AI66" s="122"/>
      <c r="AJ66" s="122"/>
      <c r="AK66" s="127"/>
      <c r="AL66" s="126"/>
      <c r="AM66" s="122"/>
      <c r="AN66" s="122"/>
      <c r="AO66" s="122"/>
      <c r="AP66" s="122"/>
      <c r="AQ66" s="127"/>
      <c r="AR66" s="123"/>
    </row>
    <row r="67" spans="1:86" ht="15" customHeight="1" x14ac:dyDescent="0.25">
      <c r="A67" s="734"/>
      <c r="B67" s="736"/>
      <c r="C67" s="730"/>
      <c r="D67" s="730"/>
      <c r="E67" s="730"/>
      <c r="F67" s="731"/>
      <c r="G67" s="732"/>
      <c r="H67" s="733"/>
      <c r="I67" s="733"/>
      <c r="J67" s="67" t="s">
        <v>17</v>
      </c>
      <c r="K67" s="108">
        <v>4000</v>
      </c>
      <c r="L67" s="67" t="s">
        <v>8</v>
      </c>
      <c r="M67" s="546">
        <f>8377.7*0.67</f>
        <v>5613.0590000000011</v>
      </c>
      <c r="N67" s="126"/>
      <c r="O67" s="122"/>
      <c r="P67" s="122"/>
      <c r="Q67" s="122"/>
      <c r="R67" s="122"/>
      <c r="S67" s="127"/>
      <c r="T67" s="126"/>
      <c r="U67" s="122"/>
      <c r="V67" s="122"/>
      <c r="W67" s="122"/>
      <c r="X67" s="122"/>
      <c r="Y67" s="127"/>
      <c r="Z67" s="126"/>
      <c r="AA67" s="122"/>
      <c r="AB67" s="122"/>
      <c r="AC67" s="122"/>
      <c r="AD67" s="122"/>
      <c r="AE67" s="127"/>
      <c r="AF67" s="126"/>
      <c r="AG67" s="122"/>
      <c r="AH67" s="122"/>
      <c r="AI67" s="122"/>
      <c r="AJ67" s="122"/>
      <c r="AK67" s="127"/>
      <c r="AL67" s="126"/>
      <c r="AM67" s="122"/>
      <c r="AN67" s="122"/>
      <c r="AO67" s="122"/>
      <c r="AP67" s="122"/>
      <c r="AQ67" s="127"/>
      <c r="AR67" s="123"/>
    </row>
    <row r="68" spans="1:86" ht="30" customHeight="1" x14ac:dyDescent="0.25">
      <c r="A68" s="734"/>
      <c r="B68" s="736"/>
      <c r="C68" s="730"/>
      <c r="D68" s="730"/>
      <c r="E68" s="730"/>
      <c r="F68" s="731"/>
      <c r="G68" s="732"/>
      <c r="H68" s="733"/>
      <c r="I68" s="733"/>
      <c r="J68" s="67" t="s">
        <v>46</v>
      </c>
      <c r="K68" s="108">
        <v>332</v>
      </c>
      <c r="L68" s="67" t="s">
        <v>16</v>
      </c>
      <c r="M68" s="546">
        <v>415</v>
      </c>
      <c r="N68" s="126"/>
      <c r="O68" s="122"/>
      <c r="P68" s="122"/>
      <c r="Q68" s="122"/>
      <c r="R68" s="122"/>
      <c r="S68" s="127"/>
      <c r="T68" s="126"/>
      <c r="U68" s="122"/>
      <c r="V68" s="122"/>
      <c r="W68" s="122"/>
      <c r="X68" s="122"/>
      <c r="Y68" s="127"/>
      <c r="Z68" s="126"/>
      <c r="AA68" s="122"/>
      <c r="AB68" s="122"/>
      <c r="AC68" s="122"/>
      <c r="AD68" s="122"/>
      <c r="AE68" s="127"/>
      <c r="AF68" s="126"/>
      <c r="AG68" s="122"/>
      <c r="AH68" s="122"/>
      <c r="AI68" s="122"/>
      <c r="AJ68" s="122"/>
      <c r="AK68" s="127"/>
      <c r="AL68" s="126"/>
      <c r="AM68" s="122"/>
      <c r="AN68" s="122"/>
      <c r="AO68" s="122"/>
      <c r="AP68" s="122"/>
      <c r="AQ68" s="127"/>
      <c r="AR68" s="123"/>
    </row>
    <row r="69" spans="1:86" s="32" customFormat="1" ht="40.5" customHeight="1" x14ac:dyDescent="0.25">
      <c r="A69" s="707"/>
      <c r="B69" s="737"/>
      <c r="C69" s="730"/>
      <c r="D69" s="730"/>
      <c r="E69" s="730"/>
      <c r="F69" s="731"/>
      <c r="G69" s="732"/>
      <c r="H69" s="733"/>
      <c r="I69" s="733"/>
      <c r="J69" s="128" t="s">
        <v>250</v>
      </c>
      <c r="K69" s="108">
        <v>4</v>
      </c>
      <c r="L69" s="108" t="s">
        <v>251</v>
      </c>
      <c r="M69" s="546">
        <v>400</v>
      </c>
      <c r="N69" s="126"/>
      <c r="O69" s="122"/>
      <c r="P69" s="122"/>
      <c r="Q69" s="122"/>
      <c r="R69" s="122"/>
      <c r="S69" s="127"/>
      <c r="T69" s="126"/>
      <c r="U69" s="122"/>
      <c r="V69" s="122"/>
      <c r="W69" s="122"/>
      <c r="X69" s="122"/>
      <c r="Y69" s="127"/>
      <c r="Z69" s="126"/>
      <c r="AA69" s="122"/>
      <c r="AB69" s="122"/>
      <c r="AC69" s="122"/>
      <c r="AD69" s="122"/>
      <c r="AE69" s="127"/>
      <c r="AF69" s="126"/>
      <c r="AG69" s="122"/>
      <c r="AH69" s="122"/>
      <c r="AI69" s="122"/>
      <c r="AJ69" s="122"/>
      <c r="AK69" s="127"/>
      <c r="AL69" s="126"/>
      <c r="AM69" s="122"/>
      <c r="AN69" s="122"/>
      <c r="AO69" s="122"/>
      <c r="AP69" s="122"/>
      <c r="AQ69" s="127"/>
      <c r="AR69" s="123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</row>
    <row r="70" spans="1:86" ht="27" customHeight="1" x14ac:dyDescent="0.25">
      <c r="A70" s="706">
        <v>10</v>
      </c>
      <c r="B70" s="706">
        <v>2224723</v>
      </c>
      <c r="C70" s="741" t="s">
        <v>272</v>
      </c>
      <c r="D70" s="741">
        <f>F70</f>
        <v>2.35</v>
      </c>
      <c r="E70" s="741">
        <f>G70</f>
        <v>21150</v>
      </c>
      <c r="F70" s="738">
        <v>2.35</v>
      </c>
      <c r="G70" s="747">
        <v>21150</v>
      </c>
      <c r="H70" s="750" t="s">
        <v>270</v>
      </c>
      <c r="I70" s="750" t="s">
        <v>274</v>
      </c>
      <c r="J70" s="706" t="s">
        <v>11</v>
      </c>
      <c r="K70" s="117">
        <v>2.35</v>
      </c>
      <c r="L70" s="67" t="s">
        <v>5</v>
      </c>
      <c r="M70" s="711">
        <f>K71*0.78236563441</f>
        <v>20615.334466703498</v>
      </c>
      <c r="N70" s="126"/>
      <c r="O70" s="122"/>
      <c r="P70" s="122"/>
      <c r="Q70" s="122"/>
      <c r="R70" s="122"/>
      <c r="S70" s="127"/>
      <c r="T70" s="126"/>
      <c r="U70" s="122"/>
      <c r="V70" s="122"/>
      <c r="W70" s="122"/>
      <c r="X70" s="122"/>
      <c r="Y70" s="127"/>
      <c r="Z70" s="126"/>
      <c r="AA70" s="122"/>
      <c r="AB70" s="122"/>
      <c r="AC70" s="122"/>
      <c r="AD70" s="122"/>
      <c r="AE70" s="127"/>
      <c r="AF70" s="126"/>
      <c r="AG70" s="122"/>
      <c r="AH70" s="122"/>
      <c r="AI70" s="122"/>
      <c r="AJ70" s="122"/>
      <c r="AK70" s="127"/>
      <c r="AL70" s="126"/>
      <c r="AM70" s="122"/>
      <c r="AN70" s="122"/>
      <c r="AO70" s="122"/>
      <c r="AP70" s="122"/>
      <c r="AQ70" s="127"/>
      <c r="AR70" s="123"/>
    </row>
    <row r="71" spans="1:86" ht="27" customHeight="1" x14ac:dyDescent="0.25">
      <c r="A71" s="734"/>
      <c r="B71" s="734"/>
      <c r="C71" s="742"/>
      <c r="D71" s="742"/>
      <c r="E71" s="742"/>
      <c r="F71" s="739"/>
      <c r="G71" s="748"/>
      <c r="H71" s="751"/>
      <c r="I71" s="751"/>
      <c r="J71" s="707"/>
      <c r="K71" s="133">
        <v>26350</v>
      </c>
      <c r="L71" s="67" t="s">
        <v>8</v>
      </c>
      <c r="M71" s="711"/>
      <c r="N71" s="126"/>
      <c r="O71" s="122"/>
      <c r="P71" s="122"/>
      <c r="Q71" s="122"/>
      <c r="R71" s="122"/>
      <c r="S71" s="127"/>
      <c r="T71" s="126"/>
      <c r="U71" s="122"/>
      <c r="V71" s="122"/>
      <c r="W71" s="122"/>
      <c r="X71" s="122"/>
      <c r="Y71" s="127"/>
      <c r="Z71" s="126"/>
      <c r="AA71" s="122"/>
      <c r="AB71" s="122"/>
      <c r="AC71" s="122"/>
      <c r="AD71" s="122"/>
      <c r="AE71" s="127"/>
      <c r="AF71" s="126"/>
      <c r="AG71" s="122"/>
      <c r="AH71" s="122"/>
      <c r="AI71" s="122"/>
      <c r="AJ71" s="122"/>
      <c r="AK71" s="127"/>
      <c r="AL71" s="126"/>
      <c r="AM71" s="122"/>
      <c r="AN71" s="122"/>
      <c r="AO71" s="122"/>
      <c r="AP71" s="122"/>
      <c r="AQ71" s="127"/>
      <c r="AR71" s="123"/>
    </row>
    <row r="72" spans="1:86" ht="21.75" customHeight="1" x14ac:dyDescent="0.25">
      <c r="A72" s="734"/>
      <c r="B72" s="734"/>
      <c r="C72" s="742"/>
      <c r="D72" s="742"/>
      <c r="E72" s="742"/>
      <c r="F72" s="739"/>
      <c r="G72" s="748"/>
      <c r="H72" s="751"/>
      <c r="I72" s="751"/>
      <c r="J72" s="67" t="s">
        <v>17</v>
      </c>
      <c r="K72" s="108">
        <v>9400</v>
      </c>
      <c r="L72" s="67" t="s">
        <v>8</v>
      </c>
      <c r="M72" s="445">
        <f>17627.5*0.67</f>
        <v>11810.425000000001</v>
      </c>
      <c r="N72" s="126"/>
      <c r="O72" s="122"/>
      <c r="P72" s="122"/>
      <c r="Q72" s="122"/>
      <c r="R72" s="122"/>
      <c r="S72" s="127"/>
      <c r="T72" s="126"/>
      <c r="U72" s="122"/>
      <c r="V72" s="122"/>
      <c r="W72" s="122"/>
      <c r="X72" s="122"/>
      <c r="Y72" s="127"/>
      <c r="Z72" s="126"/>
      <c r="AA72" s="122"/>
      <c r="AB72" s="122"/>
      <c r="AC72" s="122"/>
      <c r="AD72" s="122"/>
      <c r="AE72" s="127"/>
      <c r="AF72" s="126"/>
      <c r="AG72" s="122"/>
      <c r="AH72" s="122"/>
      <c r="AI72" s="122"/>
      <c r="AJ72" s="122"/>
      <c r="AK72" s="127"/>
      <c r="AL72" s="126"/>
      <c r="AM72" s="122"/>
      <c r="AN72" s="122"/>
      <c r="AO72" s="122"/>
      <c r="AP72" s="122"/>
      <c r="AQ72" s="127"/>
      <c r="AR72" s="123"/>
    </row>
    <row r="73" spans="1:86" ht="30.75" customHeight="1" x14ac:dyDescent="0.25">
      <c r="A73" s="707"/>
      <c r="B73" s="707"/>
      <c r="C73" s="743"/>
      <c r="D73" s="743"/>
      <c r="E73" s="743"/>
      <c r="F73" s="740"/>
      <c r="G73" s="749"/>
      <c r="H73" s="752"/>
      <c r="I73" s="752"/>
      <c r="J73" s="112" t="s">
        <v>46</v>
      </c>
      <c r="K73" s="134">
        <v>206</v>
      </c>
      <c r="L73" s="112" t="s">
        <v>16</v>
      </c>
      <c r="M73" s="445">
        <v>257.5</v>
      </c>
      <c r="N73" s="126"/>
      <c r="O73" s="122"/>
      <c r="P73" s="122"/>
      <c r="Q73" s="122"/>
      <c r="R73" s="122"/>
      <c r="S73" s="127"/>
      <c r="T73" s="126"/>
      <c r="U73" s="122"/>
      <c r="V73" s="122"/>
      <c r="W73" s="122"/>
      <c r="X73" s="122"/>
      <c r="Y73" s="127"/>
      <c r="Z73" s="126"/>
      <c r="AA73" s="122"/>
      <c r="AB73" s="122"/>
      <c r="AC73" s="122"/>
      <c r="AD73" s="122"/>
      <c r="AE73" s="127"/>
      <c r="AF73" s="126"/>
      <c r="AG73" s="122"/>
      <c r="AH73" s="122"/>
      <c r="AI73" s="122"/>
      <c r="AJ73" s="122"/>
      <c r="AK73" s="127"/>
      <c r="AL73" s="126"/>
      <c r="AM73" s="122"/>
      <c r="AN73" s="122"/>
      <c r="AO73" s="122"/>
      <c r="AP73" s="122"/>
      <c r="AQ73" s="127"/>
      <c r="AR73" s="123"/>
    </row>
    <row r="74" spans="1:86" ht="21.75" customHeight="1" x14ac:dyDescent="0.25">
      <c r="A74" s="706">
        <v>11</v>
      </c>
      <c r="B74" s="735">
        <v>2224751</v>
      </c>
      <c r="C74" s="730" t="s">
        <v>276</v>
      </c>
      <c r="D74" s="730">
        <f>F74</f>
        <v>5.6390000000000002</v>
      </c>
      <c r="E74" s="730">
        <f>G74</f>
        <v>84585</v>
      </c>
      <c r="F74" s="731">
        <v>5.6390000000000002</v>
      </c>
      <c r="G74" s="732">
        <v>84585</v>
      </c>
      <c r="H74" s="733" t="s">
        <v>274</v>
      </c>
      <c r="I74" s="733" t="s">
        <v>277</v>
      </c>
      <c r="J74" s="710" t="s">
        <v>11</v>
      </c>
      <c r="K74" s="117">
        <v>5.6390000000000002</v>
      </c>
      <c r="L74" s="67" t="s">
        <v>5</v>
      </c>
      <c r="M74" s="711">
        <f>K75*0.777</f>
        <v>65722.544999999998</v>
      </c>
      <c r="N74" s="126"/>
      <c r="O74" s="122"/>
      <c r="P74" s="122"/>
      <c r="Q74" s="122"/>
      <c r="R74" s="122"/>
      <c r="S74" s="127"/>
      <c r="T74" s="126"/>
      <c r="U74" s="122"/>
      <c r="V74" s="122"/>
      <c r="W74" s="122"/>
      <c r="X74" s="122"/>
      <c r="Y74" s="127"/>
      <c r="Z74" s="126"/>
      <c r="AA74" s="122"/>
      <c r="AB74" s="122"/>
      <c r="AC74" s="122"/>
      <c r="AD74" s="122"/>
      <c r="AE74" s="127"/>
      <c r="AF74" s="126"/>
      <c r="AG74" s="122"/>
      <c r="AH74" s="122"/>
      <c r="AI74" s="122"/>
      <c r="AJ74" s="122"/>
      <c r="AK74" s="127"/>
      <c r="AL74" s="126"/>
      <c r="AM74" s="122"/>
      <c r="AN74" s="122"/>
      <c r="AO74" s="122"/>
      <c r="AP74" s="122"/>
      <c r="AQ74" s="127"/>
      <c r="AR74" s="123"/>
    </row>
    <row r="75" spans="1:86" ht="21.75" customHeight="1" x14ac:dyDescent="0.25">
      <c r="A75" s="734"/>
      <c r="B75" s="736"/>
      <c r="C75" s="730"/>
      <c r="D75" s="730"/>
      <c r="E75" s="730"/>
      <c r="F75" s="731"/>
      <c r="G75" s="732"/>
      <c r="H75" s="733"/>
      <c r="I75" s="733"/>
      <c r="J75" s="710"/>
      <c r="K75" s="133">
        <v>84585</v>
      </c>
      <c r="L75" s="67" t="s">
        <v>8</v>
      </c>
      <c r="M75" s="711"/>
      <c r="N75" s="126"/>
      <c r="O75" s="122"/>
      <c r="P75" s="122"/>
      <c r="Q75" s="122"/>
      <c r="R75" s="122"/>
      <c r="S75" s="127"/>
      <c r="T75" s="126"/>
      <c r="U75" s="122"/>
      <c r="V75" s="122"/>
      <c r="W75" s="122"/>
      <c r="X75" s="122"/>
      <c r="Y75" s="127"/>
      <c r="Z75" s="126"/>
      <c r="AA75" s="122"/>
      <c r="AB75" s="122"/>
      <c r="AC75" s="122"/>
      <c r="AD75" s="122"/>
      <c r="AE75" s="127"/>
      <c r="AF75" s="126"/>
      <c r="AG75" s="122"/>
      <c r="AH75" s="122"/>
      <c r="AI75" s="122"/>
      <c r="AJ75" s="122"/>
      <c r="AK75" s="127"/>
      <c r="AL75" s="126"/>
      <c r="AM75" s="122"/>
      <c r="AN75" s="122"/>
      <c r="AO75" s="122"/>
      <c r="AP75" s="122"/>
      <c r="AQ75" s="127"/>
      <c r="AR75" s="123"/>
    </row>
    <row r="76" spans="1:86" ht="21.75" customHeight="1" x14ac:dyDescent="0.25">
      <c r="A76" s="734"/>
      <c r="B76" s="736"/>
      <c r="C76" s="730"/>
      <c r="D76" s="730"/>
      <c r="E76" s="730"/>
      <c r="F76" s="731"/>
      <c r="G76" s="732"/>
      <c r="H76" s="733"/>
      <c r="I76" s="733"/>
      <c r="J76" s="67" t="s">
        <v>17</v>
      </c>
      <c r="K76" s="108">
        <v>33600</v>
      </c>
      <c r="L76" s="67" t="s">
        <v>8</v>
      </c>
      <c r="M76" s="546">
        <f>72315.4*0.67</f>
        <v>48451.317999999999</v>
      </c>
      <c r="N76" s="126"/>
      <c r="O76" s="122"/>
      <c r="P76" s="122"/>
      <c r="Q76" s="122"/>
      <c r="R76" s="122"/>
      <c r="S76" s="127"/>
      <c r="T76" s="126"/>
      <c r="U76" s="122"/>
      <c r="V76" s="122"/>
      <c r="W76" s="122"/>
      <c r="X76" s="122"/>
      <c r="Y76" s="127"/>
      <c r="Z76" s="126"/>
      <c r="AA76" s="122"/>
      <c r="AB76" s="122"/>
      <c r="AC76" s="122"/>
      <c r="AD76" s="122"/>
      <c r="AE76" s="127"/>
      <c r="AF76" s="126"/>
      <c r="AG76" s="122"/>
      <c r="AH76" s="122"/>
      <c r="AI76" s="122"/>
      <c r="AJ76" s="122"/>
      <c r="AK76" s="127"/>
      <c r="AL76" s="126"/>
      <c r="AM76" s="122"/>
      <c r="AN76" s="122"/>
      <c r="AO76" s="122"/>
      <c r="AP76" s="122"/>
      <c r="AQ76" s="127"/>
      <c r="AR76" s="123"/>
    </row>
    <row r="77" spans="1:86" ht="36" customHeight="1" x14ac:dyDescent="0.25">
      <c r="A77" s="734"/>
      <c r="B77" s="736"/>
      <c r="C77" s="730"/>
      <c r="D77" s="730"/>
      <c r="E77" s="730"/>
      <c r="F77" s="731"/>
      <c r="G77" s="732"/>
      <c r="H77" s="733"/>
      <c r="I77" s="733"/>
      <c r="J77" s="67" t="s">
        <v>46</v>
      </c>
      <c r="K77" s="108">
        <v>998</v>
      </c>
      <c r="L77" s="67" t="s">
        <v>16</v>
      </c>
      <c r="M77" s="546">
        <v>1247.5</v>
      </c>
      <c r="N77" s="126"/>
      <c r="O77" s="122"/>
      <c r="P77" s="122"/>
      <c r="Q77" s="122"/>
      <c r="R77" s="122"/>
      <c r="S77" s="127"/>
      <c r="T77" s="126"/>
      <c r="U77" s="122"/>
      <c r="V77" s="122"/>
      <c r="W77" s="122"/>
      <c r="X77" s="122"/>
      <c r="Y77" s="127"/>
      <c r="Z77" s="126"/>
      <c r="AA77" s="122"/>
      <c r="AB77" s="122"/>
      <c r="AC77" s="122"/>
      <c r="AD77" s="122"/>
      <c r="AE77" s="127"/>
      <c r="AF77" s="126"/>
      <c r="AG77" s="122"/>
      <c r="AH77" s="122"/>
      <c r="AI77" s="122"/>
      <c r="AJ77" s="122"/>
      <c r="AK77" s="127"/>
      <c r="AL77" s="126"/>
      <c r="AM77" s="122"/>
      <c r="AN77" s="122"/>
      <c r="AO77" s="122"/>
      <c r="AP77" s="122"/>
      <c r="AQ77" s="127"/>
      <c r="AR77" s="123"/>
    </row>
    <row r="78" spans="1:86" ht="21.75" customHeight="1" x14ac:dyDescent="0.25">
      <c r="A78" s="734"/>
      <c r="B78" s="736"/>
      <c r="C78" s="730"/>
      <c r="D78" s="730"/>
      <c r="E78" s="730"/>
      <c r="F78" s="731"/>
      <c r="G78" s="732"/>
      <c r="H78" s="733"/>
      <c r="I78" s="733"/>
      <c r="J78" s="128" t="s">
        <v>250</v>
      </c>
      <c r="K78" s="108">
        <v>7</v>
      </c>
      <c r="L78" s="108" t="s">
        <v>251</v>
      </c>
      <c r="M78" s="546">
        <v>700</v>
      </c>
      <c r="N78" s="126"/>
      <c r="O78" s="122"/>
      <c r="P78" s="122"/>
      <c r="Q78" s="122"/>
      <c r="R78" s="122"/>
      <c r="S78" s="127"/>
      <c r="T78" s="126"/>
      <c r="U78" s="122"/>
      <c r="V78" s="122"/>
      <c r="W78" s="122"/>
      <c r="X78" s="122"/>
      <c r="Y78" s="127"/>
      <c r="Z78" s="126"/>
      <c r="AA78" s="122"/>
      <c r="AB78" s="122"/>
      <c r="AC78" s="122"/>
      <c r="AD78" s="122"/>
      <c r="AE78" s="127"/>
      <c r="AF78" s="126"/>
      <c r="AG78" s="122"/>
      <c r="AH78" s="122"/>
      <c r="AI78" s="122"/>
      <c r="AJ78" s="122"/>
      <c r="AK78" s="127"/>
      <c r="AL78" s="126"/>
      <c r="AM78" s="122"/>
      <c r="AN78" s="122"/>
      <c r="AO78" s="122"/>
      <c r="AP78" s="122"/>
      <c r="AQ78" s="127"/>
      <c r="AR78" s="123"/>
    </row>
    <row r="79" spans="1:86" ht="30" x14ac:dyDescent="0.25">
      <c r="A79" s="707"/>
      <c r="B79" s="737"/>
      <c r="C79" s="730"/>
      <c r="D79" s="730"/>
      <c r="E79" s="730"/>
      <c r="F79" s="731"/>
      <c r="G79" s="732"/>
      <c r="H79" s="733"/>
      <c r="I79" s="733"/>
      <c r="J79" s="118" t="s">
        <v>278</v>
      </c>
      <c r="K79" s="108">
        <v>80</v>
      </c>
      <c r="L79" s="67" t="s">
        <v>16</v>
      </c>
      <c r="M79" s="546">
        <v>400</v>
      </c>
      <c r="N79" s="126"/>
      <c r="O79" s="122"/>
      <c r="P79" s="122"/>
      <c r="Q79" s="122"/>
      <c r="R79" s="122"/>
      <c r="S79" s="127"/>
      <c r="T79" s="126"/>
      <c r="U79" s="122"/>
      <c r="V79" s="122"/>
      <c r="W79" s="122"/>
      <c r="X79" s="122"/>
      <c r="Y79" s="127"/>
      <c r="Z79" s="126"/>
      <c r="AA79" s="122"/>
      <c r="AB79" s="122"/>
      <c r="AC79" s="122"/>
      <c r="AD79" s="122"/>
      <c r="AE79" s="127"/>
      <c r="AF79" s="126"/>
      <c r="AG79" s="122"/>
      <c r="AH79" s="122"/>
      <c r="AI79" s="122"/>
      <c r="AJ79" s="122"/>
      <c r="AK79" s="127"/>
      <c r="AL79" s="126"/>
      <c r="AM79" s="122"/>
      <c r="AN79" s="122"/>
      <c r="AO79" s="122"/>
      <c r="AP79" s="122"/>
      <c r="AQ79" s="127"/>
      <c r="AR79" s="123"/>
    </row>
    <row r="80" spans="1:86" x14ac:dyDescent="0.25">
      <c r="A80" s="710">
        <v>12</v>
      </c>
      <c r="B80" s="729">
        <v>2221908</v>
      </c>
      <c r="C80" s="730" t="s">
        <v>274</v>
      </c>
      <c r="D80" s="730">
        <f>F80</f>
        <v>2.1</v>
      </c>
      <c r="E80" s="730">
        <f>G80</f>
        <v>16800</v>
      </c>
      <c r="F80" s="731">
        <v>2.1</v>
      </c>
      <c r="G80" s="732">
        <v>16800</v>
      </c>
      <c r="H80" s="733" t="s">
        <v>272</v>
      </c>
      <c r="I80" s="733" t="s">
        <v>276</v>
      </c>
      <c r="J80" s="710" t="s">
        <v>11</v>
      </c>
      <c r="K80" s="117">
        <v>2.1</v>
      </c>
      <c r="L80" s="67" t="s">
        <v>5</v>
      </c>
      <c r="M80" s="711">
        <f>K81*0.777</f>
        <v>19083.12</v>
      </c>
      <c r="N80" s="126"/>
      <c r="O80" s="122"/>
      <c r="P80" s="122"/>
      <c r="Q80" s="122"/>
      <c r="R80" s="122"/>
      <c r="S80" s="127"/>
      <c r="T80" s="126"/>
      <c r="U80" s="122"/>
      <c r="V80" s="122"/>
      <c r="W80" s="122"/>
      <c r="X80" s="122"/>
      <c r="Y80" s="127"/>
      <c r="Z80" s="126"/>
      <c r="AA80" s="122"/>
      <c r="AB80" s="122"/>
      <c r="AC80" s="122"/>
      <c r="AD80" s="122"/>
      <c r="AE80" s="127"/>
      <c r="AF80" s="126"/>
      <c r="AG80" s="122"/>
      <c r="AH80" s="122"/>
      <c r="AI80" s="122"/>
      <c r="AJ80" s="122"/>
      <c r="AK80" s="127"/>
      <c r="AL80" s="126"/>
      <c r="AM80" s="122"/>
      <c r="AN80" s="122"/>
      <c r="AO80" s="122"/>
      <c r="AP80" s="122"/>
      <c r="AQ80" s="127"/>
      <c r="AR80" s="123"/>
    </row>
    <row r="81" spans="1:86" x14ac:dyDescent="0.25">
      <c r="A81" s="710"/>
      <c r="B81" s="729"/>
      <c r="C81" s="730"/>
      <c r="D81" s="730"/>
      <c r="E81" s="730"/>
      <c r="F81" s="731"/>
      <c r="G81" s="732"/>
      <c r="H81" s="733"/>
      <c r="I81" s="733"/>
      <c r="J81" s="710"/>
      <c r="K81" s="133">
        <v>24560</v>
      </c>
      <c r="L81" s="67" t="s">
        <v>8</v>
      </c>
      <c r="M81" s="711"/>
      <c r="N81" s="126"/>
      <c r="O81" s="122"/>
      <c r="P81" s="122"/>
      <c r="Q81" s="122"/>
      <c r="R81" s="122"/>
      <c r="S81" s="127"/>
      <c r="T81" s="126"/>
      <c r="U81" s="122"/>
      <c r="V81" s="122"/>
      <c r="W81" s="122"/>
      <c r="X81" s="122"/>
      <c r="Y81" s="127"/>
      <c r="Z81" s="126"/>
      <c r="AA81" s="122"/>
      <c r="AB81" s="122"/>
      <c r="AC81" s="122"/>
      <c r="AD81" s="122"/>
      <c r="AE81" s="127"/>
      <c r="AF81" s="126"/>
      <c r="AG81" s="122"/>
      <c r="AH81" s="122"/>
      <c r="AI81" s="122"/>
      <c r="AJ81" s="122"/>
      <c r="AK81" s="127"/>
      <c r="AL81" s="126"/>
      <c r="AM81" s="122"/>
      <c r="AN81" s="122"/>
      <c r="AO81" s="122"/>
      <c r="AP81" s="122"/>
      <c r="AQ81" s="127"/>
      <c r="AR81" s="123"/>
    </row>
    <row r="82" spans="1:86" ht="29.25" customHeight="1" x14ac:dyDescent="0.25">
      <c r="A82" s="710"/>
      <c r="B82" s="729"/>
      <c r="C82" s="730"/>
      <c r="D82" s="730"/>
      <c r="E82" s="730"/>
      <c r="F82" s="731"/>
      <c r="G82" s="732"/>
      <c r="H82" s="733"/>
      <c r="I82" s="733"/>
      <c r="J82" s="67" t="s">
        <v>17</v>
      </c>
      <c r="K82" s="108">
        <v>12600</v>
      </c>
      <c r="L82" s="67" t="s">
        <v>8</v>
      </c>
      <c r="M82" s="546">
        <f>27118.3*0.67</f>
        <v>18169.261000000002</v>
      </c>
      <c r="N82" s="126"/>
      <c r="O82" s="122"/>
      <c r="P82" s="122"/>
      <c r="Q82" s="122"/>
      <c r="R82" s="122"/>
      <c r="S82" s="127"/>
      <c r="T82" s="126"/>
      <c r="U82" s="122"/>
      <c r="V82" s="122"/>
      <c r="W82" s="122"/>
      <c r="X82" s="122"/>
      <c r="Y82" s="127"/>
      <c r="Z82" s="126"/>
      <c r="AA82" s="122"/>
      <c r="AB82" s="122"/>
      <c r="AC82" s="122"/>
      <c r="AD82" s="122"/>
      <c r="AE82" s="127"/>
      <c r="AF82" s="126"/>
      <c r="AG82" s="122"/>
      <c r="AH82" s="122"/>
      <c r="AI82" s="122"/>
      <c r="AJ82" s="122"/>
      <c r="AK82" s="127"/>
      <c r="AL82" s="126"/>
      <c r="AM82" s="122"/>
      <c r="AN82" s="122"/>
      <c r="AO82" s="122"/>
      <c r="AP82" s="122"/>
      <c r="AQ82" s="127"/>
      <c r="AR82" s="123"/>
    </row>
    <row r="83" spans="1:86" ht="34.5" customHeight="1" x14ac:dyDescent="0.25">
      <c r="A83" s="710"/>
      <c r="B83" s="729"/>
      <c r="C83" s="730"/>
      <c r="D83" s="730"/>
      <c r="E83" s="730"/>
      <c r="F83" s="731"/>
      <c r="G83" s="732"/>
      <c r="H83" s="733"/>
      <c r="I83" s="733"/>
      <c r="J83" s="67" t="s">
        <v>46</v>
      </c>
      <c r="K83" s="108">
        <v>2746</v>
      </c>
      <c r="L83" s="67" t="s">
        <v>16</v>
      </c>
      <c r="M83" s="546">
        <v>3432.5</v>
      </c>
      <c r="N83" s="126"/>
      <c r="O83" s="122"/>
      <c r="P83" s="122"/>
      <c r="Q83" s="122"/>
      <c r="R83" s="122"/>
      <c r="S83" s="127"/>
      <c r="T83" s="126"/>
      <c r="U83" s="122"/>
      <c r="V83" s="122"/>
      <c r="W83" s="122"/>
      <c r="X83" s="122"/>
      <c r="Y83" s="127"/>
      <c r="Z83" s="126"/>
      <c r="AA83" s="122"/>
      <c r="AB83" s="122"/>
      <c r="AC83" s="122"/>
      <c r="AD83" s="122"/>
      <c r="AE83" s="127"/>
      <c r="AF83" s="126"/>
      <c r="AG83" s="122"/>
      <c r="AH83" s="122"/>
      <c r="AI83" s="122"/>
      <c r="AJ83" s="122"/>
      <c r="AK83" s="127"/>
      <c r="AL83" s="126"/>
      <c r="AM83" s="122"/>
      <c r="AN83" s="122"/>
      <c r="AO83" s="122"/>
      <c r="AP83" s="122"/>
      <c r="AQ83" s="127"/>
      <c r="AR83" s="123"/>
    </row>
    <row r="84" spans="1:86" ht="19.5" customHeight="1" x14ac:dyDescent="0.25">
      <c r="A84" s="67">
        <v>13</v>
      </c>
      <c r="B84" s="67">
        <v>2222052</v>
      </c>
      <c r="C84" s="65" t="s">
        <v>279</v>
      </c>
      <c r="D84" s="66"/>
      <c r="E84" s="66"/>
      <c r="F84" s="124">
        <v>1.905</v>
      </c>
      <c r="G84" s="64">
        <v>42300</v>
      </c>
      <c r="H84" s="108" t="s">
        <v>280</v>
      </c>
      <c r="I84" s="108" t="s">
        <v>281</v>
      </c>
      <c r="J84" s="67" t="s">
        <v>43</v>
      </c>
      <c r="K84" s="64">
        <f>600*21</f>
        <v>12600</v>
      </c>
      <c r="L84" s="67" t="s">
        <v>8</v>
      </c>
      <c r="M84" s="546">
        <v>91461</v>
      </c>
      <c r="N84" s="126"/>
      <c r="O84" s="122"/>
      <c r="P84" s="122"/>
      <c r="Q84" s="122"/>
      <c r="R84" s="122"/>
      <c r="S84" s="127"/>
      <c r="T84" s="126"/>
      <c r="U84" s="122"/>
      <c r="V84" s="122"/>
      <c r="W84" s="122"/>
      <c r="X84" s="122"/>
      <c r="Y84" s="127"/>
      <c r="Z84" s="126"/>
      <c r="AA84" s="122"/>
      <c r="AB84" s="122"/>
      <c r="AC84" s="122"/>
      <c r="AD84" s="122"/>
      <c r="AE84" s="127"/>
      <c r="AF84" s="126"/>
      <c r="AG84" s="122"/>
      <c r="AH84" s="122"/>
      <c r="AI84" s="122"/>
      <c r="AJ84" s="122"/>
      <c r="AK84" s="127"/>
      <c r="AL84" s="126"/>
      <c r="AM84" s="122"/>
      <c r="AN84" s="122"/>
      <c r="AO84" s="122"/>
      <c r="AP84" s="122"/>
      <c r="AQ84" s="127"/>
      <c r="AR84" s="123"/>
    </row>
    <row r="85" spans="1:86" ht="26.25" customHeight="1" x14ac:dyDescent="0.25">
      <c r="A85" s="710">
        <v>14</v>
      </c>
      <c r="B85" s="710">
        <v>2221880</v>
      </c>
      <c r="C85" s="730" t="s">
        <v>282</v>
      </c>
      <c r="D85" s="730">
        <f>F85</f>
        <v>1.06</v>
      </c>
      <c r="E85" s="730">
        <f>G85</f>
        <v>10500</v>
      </c>
      <c r="F85" s="731">
        <v>1.06</v>
      </c>
      <c r="G85" s="732">
        <v>10500</v>
      </c>
      <c r="H85" s="733" t="s">
        <v>283</v>
      </c>
      <c r="I85" s="733" t="s">
        <v>284</v>
      </c>
      <c r="J85" s="710" t="s">
        <v>11</v>
      </c>
      <c r="K85" s="124">
        <v>1.06</v>
      </c>
      <c r="L85" s="67" t="s">
        <v>5</v>
      </c>
      <c r="M85" s="711">
        <f>K86*0.77</f>
        <v>13351.800000000001</v>
      </c>
      <c r="N85" s="126"/>
      <c r="O85" s="122"/>
      <c r="P85" s="122"/>
      <c r="Q85" s="122"/>
      <c r="R85" s="122"/>
      <c r="S85" s="127"/>
      <c r="T85" s="126"/>
      <c r="U85" s="122"/>
      <c r="V85" s="122"/>
      <c r="W85" s="122"/>
      <c r="X85" s="122"/>
      <c r="Y85" s="127"/>
      <c r="Z85" s="126"/>
      <c r="AA85" s="122"/>
      <c r="AB85" s="122"/>
      <c r="AC85" s="122"/>
      <c r="AD85" s="122"/>
      <c r="AE85" s="127"/>
      <c r="AF85" s="126"/>
      <c r="AG85" s="122"/>
      <c r="AH85" s="122"/>
      <c r="AI85" s="122"/>
      <c r="AJ85" s="122"/>
      <c r="AK85" s="127"/>
      <c r="AL85" s="126"/>
      <c r="AM85" s="122"/>
      <c r="AN85" s="122"/>
      <c r="AO85" s="122"/>
      <c r="AP85" s="122"/>
      <c r="AQ85" s="127"/>
      <c r="AR85" s="123"/>
    </row>
    <row r="86" spans="1:86" ht="27.75" customHeight="1" x14ac:dyDescent="0.25">
      <c r="A86" s="710"/>
      <c r="B86" s="710"/>
      <c r="C86" s="730"/>
      <c r="D86" s="730"/>
      <c r="E86" s="730"/>
      <c r="F86" s="731"/>
      <c r="G86" s="732"/>
      <c r="H86" s="733"/>
      <c r="I86" s="733"/>
      <c r="J86" s="710"/>
      <c r="K86" s="132">
        <v>17340</v>
      </c>
      <c r="L86" s="67" t="s">
        <v>8</v>
      </c>
      <c r="M86" s="711"/>
      <c r="N86" s="126"/>
      <c r="O86" s="122"/>
      <c r="P86" s="122"/>
      <c r="Q86" s="122"/>
      <c r="R86" s="122"/>
      <c r="S86" s="127"/>
      <c r="T86" s="126"/>
      <c r="U86" s="122"/>
      <c r="V86" s="122"/>
      <c r="W86" s="122"/>
      <c r="X86" s="122"/>
      <c r="Y86" s="127"/>
      <c r="Z86" s="126"/>
      <c r="AA86" s="122"/>
      <c r="AB86" s="122"/>
      <c r="AC86" s="122"/>
      <c r="AD86" s="122"/>
      <c r="AE86" s="127"/>
      <c r="AF86" s="126"/>
      <c r="AG86" s="122"/>
      <c r="AH86" s="122"/>
      <c r="AI86" s="122"/>
      <c r="AJ86" s="122"/>
      <c r="AK86" s="127"/>
      <c r="AL86" s="126"/>
      <c r="AM86" s="122"/>
      <c r="AN86" s="122"/>
      <c r="AO86" s="122"/>
      <c r="AP86" s="122"/>
      <c r="AQ86" s="127"/>
      <c r="AR86" s="123"/>
    </row>
    <row r="87" spans="1:86" ht="49.5" customHeight="1" x14ac:dyDescent="0.25">
      <c r="A87" s="710"/>
      <c r="B87" s="710"/>
      <c r="C87" s="730"/>
      <c r="D87" s="730"/>
      <c r="E87" s="730"/>
      <c r="F87" s="731"/>
      <c r="G87" s="732"/>
      <c r="H87" s="733"/>
      <c r="I87" s="733"/>
      <c r="J87" s="67" t="s">
        <v>17</v>
      </c>
      <c r="K87" s="132">
        <v>5700</v>
      </c>
      <c r="L87" s="67" t="s">
        <v>8</v>
      </c>
      <c r="M87" s="546">
        <f>12267.8*0.67</f>
        <v>8219.4259999999995</v>
      </c>
      <c r="N87" s="126"/>
      <c r="O87" s="122"/>
      <c r="P87" s="122"/>
      <c r="Q87" s="122"/>
      <c r="R87" s="122"/>
      <c r="S87" s="127"/>
      <c r="T87" s="126"/>
      <c r="U87" s="122"/>
      <c r="V87" s="122"/>
      <c r="W87" s="122"/>
      <c r="X87" s="122"/>
      <c r="Y87" s="127"/>
      <c r="Z87" s="126"/>
      <c r="AA87" s="122"/>
      <c r="AB87" s="122"/>
      <c r="AC87" s="122"/>
      <c r="AD87" s="122"/>
      <c r="AE87" s="127"/>
      <c r="AF87" s="126"/>
      <c r="AG87" s="122"/>
      <c r="AH87" s="122"/>
      <c r="AI87" s="122"/>
      <c r="AJ87" s="122"/>
      <c r="AK87" s="127"/>
      <c r="AL87" s="126"/>
      <c r="AM87" s="122"/>
      <c r="AN87" s="122"/>
      <c r="AO87" s="122"/>
      <c r="AP87" s="122"/>
      <c r="AQ87" s="127"/>
      <c r="AR87" s="123"/>
    </row>
    <row r="88" spans="1:86" ht="30.75" customHeight="1" x14ac:dyDescent="0.25">
      <c r="A88" s="710"/>
      <c r="B88" s="710"/>
      <c r="C88" s="730"/>
      <c r="D88" s="730"/>
      <c r="E88" s="730"/>
      <c r="F88" s="731"/>
      <c r="G88" s="732"/>
      <c r="H88" s="733"/>
      <c r="I88" s="733"/>
      <c r="J88" s="128" t="s">
        <v>250</v>
      </c>
      <c r="K88" s="132">
        <v>3</v>
      </c>
      <c r="L88" s="108" t="s">
        <v>251</v>
      </c>
      <c r="M88" s="546">
        <v>300</v>
      </c>
      <c r="N88" s="126"/>
      <c r="O88" s="122"/>
      <c r="P88" s="122"/>
      <c r="Q88" s="122"/>
      <c r="R88" s="122"/>
      <c r="S88" s="127"/>
      <c r="T88" s="126"/>
      <c r="U88" s="122"/>
      <c r="V88" s="122"/>
      <c r="W88" s="122"/>
      <c r="X88" s="122"/>
      <c r="Y88" s="127"/>
      <c r="Z88" s="126"/>
      <c r="AA88" s="122"/>
      <c r="AB88" s="122"/>
      <c r="AC88" s="122"/>
      <c r="AD88" s="122"/>
      <c r="AE88" s="127"/>
      <c r="AF88" s="126"/>
      <c r="AG88" s="122"/>
      <c r="AH88" s="122"/>
      <c r="AI88" s="122"/>
      <c r="AJ88" s="122"/>
      <c r="AK88" s="127"/>
      <c r="AL88" s="126"/>
      <c r="AM88" s="122"/>
      <c r="AN88" s="122"/>
      <c r="AO88" s="122"/>
      <c r="AP88" s="122"/>
      <c r="AQ88" s="127"/>
      <c r="AR88" s="123"/>
    </row>
    <row r="89" spans="1:86" ht="35.25" customHeight="1" x14ac:dyDescent="0.25">
      <c r="A89" s="710"/>
      <c r="B89" s="710"/>
      <c r="C89" s="730"/>
      <c r="D89" s="730"/>
      <c r="E89" s="730"/>
      <c r="F89" s="731"/>
      <c r="G89" s="732"/>
      <c r="H89" s="733"/>
      <c r="I89" s="733"/>
      <c r="J89" s="118" t="s">
        <v>18</v>
      </c>
      <c r="K89" s="132">
        <v>1.5</v>
      </c>
      <c r="L89" s="108" t="s">
        <v>5</v>
      </c>
      <c r="M89" s="546">
        <v>5550</v>
      </c>
      <c r="N89" s="126"/>
      <c r="O89" s="122"/>
      <c r="P89" s="122"/>
      <c r="Q89" s="122"/>
      <c r="R89" s="122"/>
      <c r="S89" s="127"/>
      <c r="T89" s="126"/>
      <c r="U89" s="122"/>
      <c r="V89" s="122"/>
      <c r="W89" s="122"/>
      <c r="X89" s="122"/>
      <c r="Y89" s="127"/>
      <c r="Z89" s="126"/>
      <c r="AA89" s="122"/>
      <c r="AB89" s="122"/>
      <c r="AC89" s="122"/>
      <c r="AD89" s="122"/>
      <c r="AE89" s="127"/>
      <c r="AF89" s="126"/>
      <c r="AG89" s="122"/>
      <c r="AH89" s="122"/>
      <c r="AI89" s="122"/>
      <c r="AJ89" s="122"/>
      <c r="AK89" s="127"/>
      <c r="AL89" s="126"/>
      <c r="AM89" s="122"/>
      <c r="AN89" s="122"/>
      <c r="AO89" s="122"/>
      <c r="AP89" s="122"/>
      <c r="AQ89" s="127"/>
      <c r="AR89" s="123"/>
    </row>
    <row r="90" spans="1:86" ht="34.5" customHeight="1" x14ac:dyDescent="0.25">
      <c r="A90" s="710">
        <v>15</v>
      </c>
      <c r="B90" s="729">
        <v>2220362</v>
      </c>
      <c r="C90" s="731" t="s">
        <v>285</v>
      </c>
      <c r="D90" s="730">
        <f>F90</f>
        <v>0.95</v>
      </c>
      <c r="E90" s="730">
        <f>G90</f>
        <v>16000</v>
      </c>
      <c r="F90" s="731">
        <v>0.95</v>
      </c>
      <c r="G90" s="730">
        <v>16000</v>
      </c>
      <c r="H90" s="710" t="s">
        <v>286</v>
      </c>
      <c r="I90" s="710" t="s">
        <v>287</v>
      </c>
      <c r="J90" s="710" t="s">
        <v>11</v>
      </c>
      <c r="K90" s="117">
        <v>0.95</v>
      </c>
      <c r="L90" s="67" t="s">
        <v>5</v>
      </c>
      <c r="M90" s="711">
        <f>K91*0.78236563441</f>
        <v>12517.85015056</v>
      </c>
      <c r="N90" s="126"/>
      <c r="O90" s="122"/>
      <c r="P90" s="122"/>
      <c r="Q90" s="122"/>
      <c r="R90" s="122"/>
      <c r="S90" s="127"/>
      <c r="T90" s="126"/>
      <c r="U90" s="122"/>
      <c r="V90" s="122"/>
      <c r="W90" s="122"/>
      <c r="X90" s="122"/>
      <c r="Y90" s="127"/>
      <c r="Z90" s="126"/>
      <c r="AA90" s="122"/>
      <c r="AB90" s="122"/>
      <c r="AC90" s="122"/>
      <c r="AD90" s="122"/>
      <c r="AE90" s="127"/>
      <c r="AF90" s="126"/>
      <c r="AG90" s="122"/>
      <c r="AH90" s="122"/>
      <c r="AI90" s="122"/>
      <c r="AJ90" s="122"/>
      <c r="AK90" s="127"/>
      <c r="AL90" s="126"/>
      <c r="AM90" s="122"/>
      <c r="AN90" s="122"/>
      <c r="AO90" s="122"/>
      <c r="AP90" s="122"/>
      <c r="AQ90" s="127"/>
      <c r="AR90" s="123"/>
    </row>
    <row r="91" spans="1:86" ht="28.5" customHeight="1" x14ac:dyDescent="0.25">
      <c r="A91" s="710"/>
      <c r="B91" s="729"/>
      <c r="C91" s="731"/>
      <c r="D91" s="730"/>
      <c r="E91" s="730"/>
      <c r="F91" s="731"/>
      <c r="G91" s="730"/>
      <c r="H91" s="710"/>
      <c r="I91" s="710"/>
      <c r="J91" s="710"/>
      <c r="K91" s="108">
        <v>16000</v>
      </c>
      <c r="L91" s="67" t="s">
        <v>8</v>
      </c>
      <c r="M91" s="711"/>
      <c r="N91" s="126"/>
      <c r="O91" s="122"/>
      <c r="P91" s="122"/>
      <c r="Q91" s="122"/>
      <c r="R91" s="122"/>
      <c r="S91" s="127"/>
      <c r="T91" s="126"/>
      <c r="U91" s="122"/>
      <c r="V91" s="122"/>
      <c r="W91" s="122"/>
      <c r="X91" s="122"/>
      <c r="Y91" s="127"/>
      <c r="Z91" s="126"/>
      <c r="AA91" s="122"/>
      <c r="AB91" s="122"/>
      <c r="AC91" s="122"/>
      <c r="AD91" s="122"/>
      <c r="AE91" s="127"/>
      <c r="AF91" s="126"/>
      <c r="AG91" s="122"/>
      <c r="AH91" s="122"/>
      <c r="AI91" s="122"/>
      <c r="AJ91" s="122"/>
      <c r="AK91" s="127"/>
      <c r="AL91" s="126"/>
      <c r="AM91" s="122"/>
      <c r="AN91" s="122"/>
      <c r="AO91" s="122"/>
      <c r="AP91" s="122"/>
      <c r="AQ91" s="127"/>
      <c r="AR91" s="123"/>
    </row>
    <row r="92" spans="1:86" ht="21" customHeight="1" x14ac:dyDescent="0.25">
      <c r="A92" s="710"/>
      <c r="B92" s="729"/>
      <c r="C92" s="731"/>
      <c r="D92" s="730"/>
      <c r="E92" s="730"/>
      <c r="F92" s="731"/>
      <c r="G92" s="730"/>
      <c r="H92" s="710"/>
      <c r="I92" s="710"/>
      <c r="J92" s="67" t="s">
        <v>17</v>
      </c>
      <c r="K92" s="108">
        <v>5700</v>
      </c>
      <c r="L92" s="67" t="s">
        <v>8</v>
      </c>
      <c r="M92" s="546">
        <f>10577.2*0.67</f>
        <v>7086.7240000000011</v>
      </c>
      <c r="N92" s="126"/>
      <c r="O92" s="122"/>
      <c r="P92" s="122"/>
      <c r="Q92" s="122"/>
      <c r="R92" s="122"/>
      <c r="S92" s="127"/>
      <c r="T92" s="126"/>
      <c r="U92" s="122"/>
      <c r="V92" s="122"/>
      <c r="W92" s="122"/>
      <c r="X92" s="122"/>
      <c r="Y92" s="127"/>
      <c r="Z92" s="126"/>
      <c r="AA92" s="122"/>
      <c r="AB92" s="122"/>
      <c r="AC92" s="122"/>
      <c r="AD92" s="122"/>
      <c r="AE92" s="127"/>
      <c r="AF92" s="126"/>
      <c r="AG92" s="122"/>
      <c r="AH92" s="122"/>
      <c r="AI92" s="122"/>
      <c r="AJ92" s="122"/>
      <c r="AK92" s="127"/>
      <c r="AL92" s="126"/>
      <c r="AM92" s="122"/>
      <c r="AN92" s="122"/>
      <c r="AO92" s="122"/>
      <c r="AP92" s="122"/>
      <c r="AQ92" s="127"/>
      <c r="AR92" s="123"/>
    </row>
    <row r="93" spans="1:86" s="10" customFormat="1" ht="33.75" customHeight="1" x14ac:dyDescent="0.25">
      <c r="A93" s="710"/>
      <c r="B93" s="729"/>
      <c r="C93" s="731"/>
      <c r="D93" s="730"/>
      <c r="E93" s="730"/>
      <c r="F93" s="731"/>
      <c r="G93" s="730"/>
      <c r="H93" s="710"/>
      <c r="I93" s="710"/>
      <c r="J93" s="67" t="s">
        <v>46</v>
      </c>
      <c r="K93" s="108">
        <v>1000</v>
      </c>
      <c r="L93" s="67" t="s">
        <v>16</v>
      </c>
      <c r="M93" s="546">
        <v>1250</v>
      </c>
      <c r="N93" s="126"/>
      <c r="O93" s="122"/>
      <c r="P93" s="122"/>
      <c r="Q93" s="122"/>
      <c r="R93" s="122"/>
      <c r="S93" s="127"/>
      <c r="T93" s="126"/>
      <c r="U93" s="122"/>
      <c r="V93" s="122"/>
      <c r="W93" s="122"/>
      <c r="X93" s="122"/>
      <c r="Y93" s="127"/>
      <c r="Z93" s="126"/>
      <c r="AA93" s="122"/>
      <c r="AB93" s="122"/>
      <c r="AC93" s="122"/>
      <c r="AD93" s="122"/>
      <c r="AE93" s="127"/>
      <c r="AF93" s="126"/>
      <c r="AG93" s="122"/>
      <c r="AH93" s="122"/>
      <c r="AI93" s="122"/>
      <c r="AJ93" s="122"/>
      <c r="AK93" s="127"/>
      <c r="AL93" s="126"/>
      <c r="AM93" s="122"/>
      <c r="AN93" s="122"/>
      <c r="AO93" s="122"/>
      <c r="AP93" s="122"/>
      <c r="AQ93" s="127"/>
      <c r="AR93" s="123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</row>
    <row r="94" spans="1:86" s="10" customFormat="1" ht="19.5" customHeight="1" x14ac:dyDescent="0.25">
      <c r="A94" s="710"/>
      <c r="B94" s="729"/>
      <c r="C94" s="731"/>
      <c r="D94" s="730"/>
      <c r="E94" s="730"/>
      <c r="F94" s="731"/>
      <c r="G94" s="730"/>
      <c r="H94" s="710"/>
      <c r="I94" s="710"/>
      <c r="J94" s="128" t="s">
        <v>250</v>
      </c>
      <c r="K94" s="108">
        <v>4</v>
      </c>
      <c r="L94" s="108" t="s">
        <v>251</v>
      </c>
      <c r="M94" s="546">
        <v>400</v>
      </c>
      <c r="N94" s="126"/>
      <c r="O94" s="122"/>
      <c r="P94" s="122"/>
      <c r="Q94" s="122"/>
      <c r="R94" s="122"/>
      <c r="S94" s="127"/>
      <c r="T94" s="126"/>
      <c r="U94" s="122"/>
      <c r="V94" s="122"/>
      <c r="W94" s="122"/>
      <c r="X94" s="122"/>
      <c r="Y94" s="127"/>
      <c r="Z94" s="126"/>
      <c r="AA94" s="122"/>
      <c r="AB94" s="122"/>
      <c r="AC94" s="122"/>
      <c r="AD94" s="122"/>
      <c r="AE94" s="127"/>
      <c r="AF94" s="126"/>
      <c r="AG94" s="122"/>
      <c r="AH94" s="122"/>
      <c r="AI94" s="122"/>
      <c r="AJ94" s="122"/>
      <c r="AK94" s="127"/>
      <c r="AL94" s="126"/>
      <c r="AM94" s="122"/>
      <c r="AN94" s="122"/>
      <c r="AO94" s="122"/>
      <c r="AP94" s="122"/>
      <c r="AQ94" s="127"/>
      <c r="AR94" s="123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</row>
    <row r="95" spans="1:86" s="10" customFormat="1" ht="21.75" customHeight="1" x14ac:dyDescent="0.25">
      <c r="A95" s="710">
        <v>16</v>
      </c>
      <c r="B95" s="710">
        <v>2220122</v>
      </c>
      <c r="C95" s="730" t="s">
        <v>263</v>
      </c>
      <c r="D95" s="730">
        <f>F95</f>
        <v>1</v>
      </c>
      <c r="E95" s="730">
        <f>G95</f>
        <v>78080</v>
      </c>
      <c r="F95" s="731">
        <v>1</v>
      </c>
      <c r="G95" s="732">
        <v>78080</v>
      </c>
      <c r="H95" s="733" t="s">
        <v>288</v>
      </c>
      <c r="I95" s="733" t="s">
        <v>289</v>
      </c>
      <c r="J95" s="710" t="s">
        <v>11</v>
      </c>
      <c r="K95" s="124">
        <v>1</v>
      </c>
      <c r="L95" s="67" t="s">
        <v>5</v>
      </c>
      <c r="M95" s="711">
        <f>K96*0.77</f>
        <v>13090</v>
      </c>
      <c r="N95" s="126"/>
      <c r="O95" s="122"/>
      <c r="P95" s="122"/>
      <c r="Q95" s="122"/>
      <c r="R95" s="122"/>
      <c r="S95" s="127"/>
      <c r="T95" s="126"/>
      <c r="U95" s="122"/>
      <c r="V95" s="122"/>
      <c r="W95" s="122"/>
      <c r="X95" s="122"/>
      <c r="Y95" s="127"/>
      <c r="Z95" s="126"/>
      <c r="AA95" s="122"/>
      <c r="AB95" s="122"/>
      <c r="AC95" s="122"/>
      <c r="AD95" s="122"/>
      <c r="AE95" s="127"/>
      <c r="AF95" s="126"/>
      <c r="AG95" s="122"/>
      <c r="AH95" s="122"/>
      <c r="AI95" s="122"/>
      <c r="AJ95" s="122"/>
      <c r="AK95" s="127"/>
      <c r="AL95" s="126"/>
      <c r="AM95" s="122"/>
      <c r="AN95" s="122"/>
      <c r="AO95" s="122"/>
      <c r="AP95" s="122"/>
      <c r="AQ95" s="127"/>
      <c r="AR95" s="123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</row>
    <row r="96" spans="1:86" s="10" customFormat="1" ht="21.75" customHeight="1" x14ac:dyDescent="0.25">
      <c r="A96" s="710"/>
      <c r="B96" s="710"/>
      <c r="C96" s="730"/>
      <c r="D96" s="730"/>
      <c r="E96" s="730"/>
      <c r="F96" s="731"/>
      <c r="G96" s="732"/>
      <c r="H96" s="733"/>
      <c r="I96" s="733"/>
      <c r="J96" s="710"/>
      <c r="K96" s="132">
        <v>17000</v>
      </c>
      <c r="L96" s="67" t="s">
        <v>8</v>
      </c>
      <c r="M96" s="711"/>
      <c r="N96" s="126"/>
      <c r="O96" s="122"/>
      <c r="P96" s="122"/>
      <c r="Q96" s="122"/>
      <c r="R96" s="122"/>
      <c r="S96" s="127"/>
      <c r="T96" s="126"/>
      <c r="U96" s="122"/>
      <c r="V96" s="122"/>
      <c r="W96" s="122"/>
      <c r="X96" s="122"/>
      <c r="Y96" s="127"/>
      <c r="Z96" s="126"/>
      <c r="AA96" s="122"/>
      <c r="AB96" s="122"/>
      <c r="AC96" s="122"/>
      <c r="AD96" s="122"/>
      <c r="AE96" s="127"/>
      <c r="AF96" s="126"/>
      <c r="AG96" s="122"/>
      <c r="AH96" s="122"/>
      <c r="AI96" s="122"/>
      <c r="AJ96" s="122"/>
      <c r="AK96" s="127"/>
      <c r="AL96" s="126"/>
      <c r="AM96" s="122"/>
      <c r="AN96" s="122"/>
      <c r="AO96" s="122"/>
      <c r="AP96" s="122"/>
      <c r="AQ96" s="127"/>
      <c r="AR96" s="123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</row>
    <row r="97" spans="1:86" s="32" customFormat="1" ht="48.75" customHeight="1" x14ac:dyDescent="0.25">
      <c r="A97" s="710"/>
      <c r="B97" s="710"/>
      <c r="C97" s="730"/>
      <c r="D97" s="730"/>
      <c r="E97" s="730"/>
      <c r="F97" s="731"/>
      <c r="G97" s="732"/>
      <c r="H97" s="733"/>
      <c r="I97" s="733"/>
      <c r="J97" s="67" t="s">
        <v>17</v>
      </c>
      <c r="K97" s="132">
        <v>6000</v>
      </c>
      <c r="L97" s="67" t="s">
        <v>8</v>
      </c>
      <c r="M97" s="546">
        <f>17968*0.67</f>
        <v>12038.560000000001</v>
      </c>
      <c r="N97" s="126"/>
      <c r="O97" s="122"/>
      <c r="P97" s="122"/>
      <c r="Q97" s="122"/>
      <c r="R97" s="122"/>
      <c r="S97" s="127"/>
      <c r="T97" s="126"/>
      <c r="U97" s="122"/>
      <c r="V97" s="122"/>
      <c r="W97" s="122"/>
      <c r="X97" s="122"/>
      <c r="Y97" s="127"/>
      <c r="Z97" s="126"/>
      <c r="AA97" s="122"/>
      <c r="AB97" s="122"/>
      <c r="AC97" s="122"/>
      <c r="AD97" s="122"/>
      <c r="AE97" s="127"/>
      <c r="AF97" s="126"/>
      <c r="AG97" s="122"/>
      <c r="AH97" s="122"/>
      <c r="AI97" s="122"/>
      <c r="AJ97" s="122"/>
      <c r="AK97" s="127"/>
      <c r="AL97" s="126"/>
      <c r="AM97" s="122"/>
      <c r="AN97" s="122"/>
      <c r="AO97" s="122"/>
      <c r="AP97" s="122"/>
      <c r="AQ97" s="127"/>
      <c r="AR97" s="123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</row>
    <row r="98" spans="1:86" s="7" customFormat="1" ht="15" customHeight="1" x14ac:dyDescent="0.25">
      <c r="A98" s="706">
        <v>17</v>
      </c>
      <c r="B98" s="735">
        <v>2225570</v>
      </c>
      <c r="C98" s="738" t="s">
        <v>290</v>
      </c>
      <c r="D98" s="741">
        <f>F98</f>
        <v>0.67</v>
      </c>
      <c r="E98" s="741">
        <f>G98</f>
        <v>19960</v>
      </c>
      <c r="F98" s="738">
        <v>0.67</v>
      </c>
      <c r="G98" s="744">
        <v>19960</v>
      </c>
      <c r="H98" s="706" t="s">
        <v>291</v>
      </c>
      <c r="I98" s="706" t="s">
        <v>263</v>
      </c>
      <c r="J98" s="706" t="s">
        <v>11</v>
      </c>
      <c r="K98" s="117">
        <v>0.67</v>
      </c>
      <c r="L98" s="67" t="s">
        <v>5</v>
      </c>
      <c r="M98" s="711">
        <f>K99*0.81448365384</f>
        <v>8470.6299999359999</v>
      </c>
      <c r="N98" s="126"/>
      <c r="O98" s="122"/>
      <c r="P98" s="122"/>
      <c r="Q98" s="122"/>
      <c r="R98" s="122"/>
      <c r="S98" s="127"/>
      <c r="T98" s="126"/>
      <c r="U98" s="122"/>
      <c r="V98" s="122"/>
      <c r="W98" s="122"/>
      <c r="X98" s="122"/>
      <c r="Y98" s="127"/>
      <c r="Z98" s="126"/>
      <c r="AA98" s="122"/>
      <c r="AB98" s="122"/>
      <c r="AC98" s="122"/>
      <c r="AD98" s="122"/>
      <c r="AE98" s="127"/>
      <c r="AF98" s="126"/>
      <c r="AG98" s="122"/>
      <c r="AH98" s="122"/>
      <c r="AI98" s="122"/>
      <c r="AJ98" s="122"/>
      <c r="AK98" s="127"/>
      <c r="AL98" s="126"/>
      <c r="AM98" s="122"/>
      <c r="AN98" s="122"/>
      <c r="AO98" s="122"/>
      <c r="AP98" s="122"/>
      <c r="AQ98" s="127"/>
      <c r="AR98" s="123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</row>
    <row r="99" spans="1:86" s="7" customFormat="1" x14ac:dyDescent="0.25">
      <c r="A99" s="734"/>
      <c r="B99" s="736"/>
      <c r="C99" s="739"/>
      <c r="D99" s="742"/>
      <c r="E99" s="742"/>
      <c r="F99" s="739"/>
      <c r="G99" s="745"/>
      <c r="H99" s="734"/>
      <c r="I99" s="734"/>
      <c r="J99" s="707"/>
      <c r="K99" s="108">
        <v>10400</v>
      </c>
      <c r="L99" s="67" t="s">
        <v>8</v>
      </c>
      <c r="M99" s="711"/>
      <c r="N99" s="126"/>
      <c r="O99" s="122"/>
      <c r="P99" s="122"/>
      <c r="Q99" s="122"/>
      <c r="R99" s="122"/>
      <c r="S99" s="127"/>
      <c r="T99" s="126"/>
      <c r="U99" s="122"/>
      <c r="V99" s="122"/>
      <c r="W99" s="122"/>
      <c r="X99" s="122"/>
      <c r="Y99" s="127"/>
      <c r="Z99" s="126"/>
      <c r="AA99" s="122"/>
      <c r="AB99" s="122"/>
      <c r="AC99" s="122"/>
      <c r="AD99" s="122"/>
      <c r="AE99" s="127"/>
      <c r="AF99" s="126"/>
      <c r="AG99" s="122"/>
      <c r="AH99" s="122"/>
      <c r="AI99" s="122"/>
      <c r="AJ99" s="122"/>
      <c r="AK99" s="127"/>
      <c r="AL99" s="126"/>
      <c r="AM99" s="122"/>
      <c r="AN99" s="122"/>
      <c r="AO99" s="122"/>
      <c r="AP99" s="122"/>
      <c r="AQ99" s="127"/>
      <c r="AR99" s="123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</row>
    <row r="100" spans="1:86" s="7" customFormat="1" ht="15" customHeight="1" x14ac:dyDescent="0.25">
      <c r="A100" s="734"/>
      <c r="B100" s="736"/>
      <c r="C100" s="739"/>
      <c r="D100" s="742"/>
      <c r="E100" s="742"/>
      <c r="F100" s="739"/>
      <c r="G100" s="745"/>
      <c r="H100" s="734"/>
      <c r="I100" s="734"/>
      <c r="J100" s="67" t="s">
        <v>17</v>
      </c>
      <c r="K100" s="108">
        <v>4000</v>
      </c>
      <c r="L100" s="67" t="s">
        <v>8</v>
      </c>
      <c r="M100" s="546">
        <f>8244.8*0.67</f>
        <v>5524.0159999999996</v>
      </c>
      <c r="N100" s="126"/>
      <c r="O100" s="122"/>
      <c r="P100" s="122"/>
      <c r="Q100" s="122"/>
      <c r="R100" s="122"/>
      <c r="S100" s="127"/>
      <c r="T100" s="126"/>
      <c r="U100" s="122"/>
      <c r="V100" s="122"/>
      <c r="W100" s="122"/>
      <c r="X100" s="122"/>
      <c r="Y100" s="127"/>
      <c r="Z100" s="126"/>
      <c r="AA100" s="122"/>
      <c r="AB100" s="122"/>
      <c r="AC100" s="122"/>
      <c r="AD100" s="122"/>
      <c r="AE100" s="127"/>
      <c r="AF100" s="126"/>
      <c r="AG100" s="122"/>
      <c r="AH100" s="122"/>
      <c r="AI100" s="122"/>
      <c r="AJ100" s="122"/>
      <c r="AK100" s="127"/>
      <c r="AL100" s="126"/>
      <c r="AM100" s="122"/>
      <c r="AN100" s="122"/>
      <c r="AO100" s="122"/>
      <c r="AP100" s="122"/>
      <c r="AQ100" s="127"/>
      <c r="AR100" s="123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</row>
    <row r="101" spans="1:86" s="7" customFormat="1" ht="45" x14ac:dyDescent="0.25">
      <c r="A101" s="734"/>
      <c r="B101" s="736"/>
      <c r="C101" s="739"/>
      <c r="D101" s="742"/>
      <c r="E101" s="742"/>
      <c r="F101" s="739"/>
      <c r="G101" s="745"/>
      <c r="H101" s="734"/>
      <c r="I101" s="734"/>
      <c r="J101" s="67" t="s">
        <v>46</v>
      </c>
      <c r="K101" s="108">
        <v>414</v>
      </c>
      <c r="L101" s="67" t="s">
        <v>16</v>
      </c>
      <c r="M101" s="546">
        <v>515.5</v>
      </c>
      <c r="N101" s="126"/>
      <c r="O101" s="122"/>
      <c r="P101" s="122"/>
      <c r="Q101" s="122"/>
      <c r="R101" s="122"/>
      <c r="S101" s="127"/>
      <c r="T101" s="126"/>
      <c r="U101" s="122"/>
      <c r="V101" s="122"/>
      <c r="W101" s="122"/>
      <c r="X101" s="122"/>
      <c r="Y101" s="127"/>
      <c r="Z101" s="126"/>
      <c r="AA101" s="122"/>
      <c r="AB101" s="122"/>
      <c r="AC101" s="122"/>
      <c r="AD101" s="122"/>
      <c r="AE101" s="127"/>
      <c r="AF101" s="126"/>
      <c r="AG101" s="122"/>
      <c r="AH101" s="122"/>
      <c r="AI101" s="122"/>
      <c r="AJ101" s="122"/>
      <c r="AK101" s="127"/>
      <c r="AL101" s="126"/>
      <c r="AM101" s="122"/>
      <c r="AN101" s="122"/>
      <c r="AO101" s="122"/>
      <c r="AP101" s="122"/>
      <c r="AQ101" s="127"/>
      <c r="AR101" s="123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</row>
    <row r="102" spans="1:86" s="7" customFormat="1" ht="27.75" customHeight="1" x14ac:dyDescent="0.25">
      <c r="A102" s="707"/>
      <c r="B102" s="737"/>
      <c r="C102" s="740"/>
      <c r="D102" s="743"/>
      <c r="E102" s="743"/>
      <c r="F102" s="740"/>
      <c r="G102" s="746"/>
      <c r="H102" s="707"/>
      <c r="I102" s="707"/>
      <c r="J102" s="128" t="s">
        <v>250</v>
      </c>
      <c r="K102" s="108">
        <v>2</v>
      </c>
      <c r="L102" s="108" t="s">
        <v>251</v>
      </c>
      <c r="M102" s="546">
        <v>200</v>
      </c>
      <c r="N102" s="126"/>
      <c r="O102" s="122"/>
      <c r="P102" s="122"/>
      <c r="Q102" s="122"/>
      <c r="R102" s="122"/>
      <c r="S102" s="127"/>
      <c r="T102" s="126"/>
      <c r="U102" s="122"/>
      <c r="V102" s="122"/>
      <c r="W102" s="122"/>
      <c r="X102" s="122"/>
      <c r="Y102" s="127"/>
      <c r="Z102" s="126"/>
      <c r="AA102" s="122"/>
      <c r="AB102" s="122"/>
      <c r="AC102" s="122"/>
      <c r="AD102" s="122"/>
      <c r="AE102" s="127"/>
      <c r="AF102" s="126"/>
      <c r="AG102" s="122"/>
      <c r="AH102" s="122"/>
      <c r="AI102" s="122"/>
      <c r="AJ102" s="122"/>
      <c r="AK102" s="127"/>
      <c r="AL102" s="126"/>
      <c r="AM102" s="122"/>
      <c r="AN102" s="122"/>
      <c r="AO102" s="122"/>
      <c r="AP102" s="122"/>
      <c r="AQ102" s="127"/>
      <c r="AR102" s="123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</row>
    <row r="103" spans="1:86" s="7" customFormat="1" ht="27.75" customHeight="1" x14ac:dyDescent="0.25">
      <c r="A103" s="766">
        <v>18</v>
      </c>
      <c r="B103" s="735">
        <v>2223488</v>
      </c>
      <c r="C103" s="769" t="s">
        <v>292</v>
      </c>
      <c r="D103" s="741">
        <f t="shared" ref="D103:E103" si="5">F103</f>
        <v>1.79</v>
      </c>
      <c r="E103" s="741">
        <f t="shared" si="5"/>
        <v>25074</v>
      </c>
      <c r="F103" s="738">
        <v>1.79</v>
      </c>
      <c r="G103" s="758">
        <v>25074</v>
      </c>
      <c r="H103" s="750" t="s">
        <v>268</v>
      </c>
      <c r="I103" s="750" t="s">
        <v>293</v>
      </c>
      <c r="J103" s="710" t="s">
        <v>11</v>
      </c>
      <c r="K103" s="117">
        <v>1.79</v>
      </c>
      <c r="L103" s="67" t="s">
        <v>5</v>
      </c>
      <c r="M103" s="711">
        <f>K104*0.77</f>
        <v>19306.98</v>
      </c>
      <c r="N103" s="753"/>
      <c r="O103" s="755"/>
      <c r="P103" s="703"/>
      <c r="Q103" s="135"/>
      <c r="R103" s="119"/>
      <c r="S103" s="757"/>
      <c r="T103" s="126"/>
      <c r="U103" s="122"/>
      <c r="V103" s="122"/>
      <c r="W103" s="122"/>
      <c r="X103" s="122"/>
      <c r="Y103" s="127"/>
      <c r="Z103" s="126"/>
      <c r="AA103" s="122"/>
      <c r="AB103" s="122"/>
      <c r="AC103" s="122"/>
      <c r="AD103" s="122"/>
      <c r="AE103" s="127"/>
      <c r="AF103" s="126"/>
      <c r="AG103" s="122"/>
      <c r="AH103" s="122"/>
      <c r="AI103" s="122"/>
      <c r="AJ103" s="122"/>
      <c r="AK103" s="127"/>
      <c r="AL103" s="126"/>
      <c r="AM103" s="122"/>
      <c r="AN103" s="122"/>
      <c r="AO103" s="122"/>
      <c r="AP103" s="122"/>
      <c r="AQ103" s="127"/>
      <c r="AR103" s="123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</row>
    <row r="104" spans="1:86" s="7" customFormat="1" ht="22.5" customHeight="1" x14ac:dyDescent="0.25">
      <c r="A104" s="767"/>
      <c r="B104" s="736"/>
      <c r="C104" s="770"/>
      <c r="D104" s="742"/>
      <c r="E104" s="742"/>
      <c r="F104" s="739"/>
      <c r="G104" s="759"/>
      <c r="H104" s="751"/>
      <c r="I104" s="751"/>
      <c r="J104" s="710"/>
      <c r="K104" s="133">
        <v>25074</v>
      </c>
      <c r="L104" s="67" t="s">
        <v>8</v>
      </c>
      <c r="M104" s="711"/>
      <c r="N104" s="753"/>
      <c r="O104" s="755"/>
      <c r="P104" s="703"/>
      <c r="Q104" s="136"/>
      <c r="R104" s="119"/>
      <c r="S104" s="757"/>
      <c r="T104" s="126"/>
      <c r="U104" s="122"/>
      <c r="V104" s="122"/>
      <c r="W104" s="122"/>
      <c r="X104" s="122"/>
      <c r="Y104" s="127"/>
      <c r="Z104" s="126"/>
      <c r="AA104" s="122"/>
      <c r="AB104" s="122"/>
      <c r="AC104" s="122"/>
      <c r="AD104" s="122"/>
      <c r="AE104" s="127"/>
      <c r="AF104" s="126"/>
      <c r="AG104" s="122"/>
      <c r="AH104" s="122"/>
      <c r="AI104" s="122"/>
      <c r="AJ104" s="122"/>
      <c r="AK104" s="127"/>
      <c r="AL104" s="126"/>
      <c r="AM104" s="122"/>
      <c r="AN104" s="122"/>
      <c r="AO104" s="122"/>
      <c r="AP104" s="122"/>
      <c r="AQ104" s="127"/>
      <c r="AR104" s="123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</row>
    <row r="105" spans="1:86" s="7" customFormat="1" ht="22.5" customHeight="1" x14ac:dyDescent="0.25">
      <c r="A105" s="768"/>
      <c r="B105" s="737"/>
      <c r="C105" s="771"/>
      <c r="D105" s="743"/>
      <c r="E105" s="743"/>
      <c r="F105" s="740"/>
      <c r="G105" s="760"/>
      <c r="H105" s="752"/>
      <c r="I105" s="752"/>
      <c r="J105" s="67" t="s">
        <v>17</v>
      </c>
      <c r="K105" s="108">
        <v>10746</v>
      </c>
      <c r="L105" s="67" t="s">
        <v>8</v>
      </c>
      <c r="M105" s="546">
        <f>23128*0.7909</f>
        <v>18291.9352</v>
      </c>
      <c r="N105" s="754"/>
      <c r="O105" s="756"/>
      <c r="P105" s="137"/>
      <c r="Q105" s="138"/>
      <c r="R105" s="137"/>
      <c r="S105" s="139"/>
      <c r="T105" s="140"/>
      <c r="U105" s="141"/>
      <c r="V105" s="141"/>
      <c r="W105" s="141"/>
      <c r="X105" s="141"/>
      <c r="Y105" s="142"/>
      <c r="Z105" s="140"/>
      <c r="AA105" s="141"/>
      <c r="AB105" s="141"/>
      <c r="AC105" s="141"/>
      <c r="AD105" s="141"/>
      <c r="AE105" s="142"/>
      <c r="AF105" s="140"/>
      <c r="AG105" s="141"/>
      <c r="AH105" s="141"/>
      <c r="AI105" s="141"/>
      <c r="AJ105" s="141"/>
      <c r="AK105" s="142"/>
      <c r="AL105" s="140"/>
      <c r="AM105" s="141"/>
      <c r="AN105" s="141"/>
      <c r="AO105" s="141"/>
      <c r="AP105" s="141"/>
      <c r="AQ105" s="142"/>
      <c r="AR105" s="123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</row>
    <row r="106" spans="1:86" s="7" customFormat="1" ht="22.5" customHeight="1" x14ac:dyDescent="0.25">
      <c r="A106" s="706">
        <v>19</v>
      </c>
      <c r="B106" s="706">
        <v>2219637</v>
      </c>
      <c r="C106" s="741" t="s">
        <v>265</v>
      </c>
      <c r="D106" s="741">
        <f>F106</f>
        <v>1.27</v>
      </c>
      <c r="E106" s="741">
        <f>G106</f>
        <v>26200</v>
      </c>
      <c r="F106" s="738">
        <v>1.27</v>
      </c>
      <c r="G106" s="758">
        <v>26200</v>
      </c>
      <c r="H106" s="761"/>
      <c r="I106" s="762"/>
      <c r="J106" s="702"/>
      <c r="K106" s="143"/>
      <c r="L106" s="94"/>
      <c r="M106" s="704"/>
      <c r="N106" s="763" t="s">
        <v>283</v>
      </c>
      <c r="O106" s="750" t="s">
        <v>286</v>
      </c>
      <c r="P106" s="706" t="s">
        <v>11</v>
      </c>
      <c r="Q106" s="144">
        <v>1.27</v>
      </c>
      <c r="R106" s="67" t="s">
        <v>5</v>
      </c>
      <c r="S106" s="708">
        <f>Q107*0.912</f>
        <v>19110.96</v>
      </c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</row>
    <row r="107" spans="1:86" s="7" customFormat="1" x14ac:dyDescent="0.25">
      <c r="A107" s="734"/>
      <c r="B107" s="734"/>
      <c r="C107" s="742"/>
      <c r="D107" s="742"/>
      <c r="E107" s="742"/>
      <c r="F107" s="739"/>
      <c r="G107" s="759"/>
      <c r="H107" s="753"/>
      <c r="I107" s="755"/>
      <c r="J107" s="703"/>
      <c r="K107" s="145"/>
      <c r="L107" s="119"/>
      <c r="M107" s="705"/>
      <c r="N107" s="764"/>
      <c r="O107" s="751"/>
      <c r="P107" s="707"/>
      <c r="Q107" s="146">
        <f>Q106*16500</f>
        <v>20955</v>
      </c>
      <c r="R107" s="67" t="s">
        <v>8</v>
      </c>
      <c r="S107" s="709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</row>
    <row r="108" spans="1:86" s="7" customFormat="1" x14ac:dyDescent="0.25">
      <c r="A108" s="734"/>
      <c r="B108" s="734"/>
      <c r="C108" s="742"/>
      <c r="D108" s="742"/>
      <c r="E108" s="742"/>
      <c r="F108" s="739"/>
      <c r="G108" s="759"/>
      <c r="H108" s="753"/>
      <c r="I108" s="755"/>
      <c r="J108" s="119"/>
      <c r="K108" s="145"/>
      <c r="L108" s="119"/>
      <c r="M108" s="147"/>
      <c r="N108" s="764"/>
      <c r="O108" s="751"/>
      <c r="P108" s="67" t="s">
        <v>17</v>
      </c>
      <c r="Q108" s="146">
        <v>7500</v>
      </c>
      <c r="R108" s="67" t="s">
        <v>8</v>
      </c>
      <c r="S108" s="148">
        <f>16141.8*0.58</f>
        <v>9362.2439999999988</v>
      </c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</row>
    <row r="109" spans="1:86" s="7" customFormat="1" ht="38.25" customHeight="1" x14ac:dyDescent="0.25">
      <c r="A109" s="734"/>
      <c r="B109" s="734"/>
      <c r="C109" s="742"/>
      <c r="D109" s="742"/>
      <c r="E109" s="742"/>
      <c r="F109" s="739"/>
      <c r="G109" s="759"/>
      <c r="H109" s="753"/>
      <c r="I109" s="755"/>
      <c r="J109" s="119"/>
      <c r="K109" s="145"/>
      <c r="L109" s="119"/>
      <c r="M109" s="147"/>
      <c r="N109" s="764"/>
      <c r="O109" s="751"/>
      <c r="P109" s="67" t="s">
        <v>46</v>
      </c>
      <c r="Q109" s="146">
        <v>350</v>
      </c>
      <c r="R109" s="67" t="s">
        <v>16</v>
      </c>
      <c r="S109" s="148">
        <v>440</v>
      </c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</row>
    <row r="110" spans="1:86" s="7" customFormat="1" ht="60" customHeight="1" x14ac:dyDescent="0.25">
      <c r="A110" s="707"/>
      <c r="B110" s="707"/>
      <c r="C110" s="743"/>
      <c r="D110" s="743"/>
      <c r="E110" s="743"/>
      <c r="F110" s="740"/>
      <c r="G110" s="760"/>
      <c r="H110" s="753"/>
      <c r="I110" s="755"/>
      <c r="J110" s="149"/>
      <c r="K110" s="145"/>
      <c r="L110" s="135"/>
      <c r="M110" s="147"/>
      <c r="N110" s="765"/>
      <c r="O110" s="752"/>
      <c r="P110" s="128" t="s">
        <v>250</v>
      </c>
      <c r="Q110" s="146">
        <v>3</v>
      </c>
      <c r="R110" s="108" t="s">
        <v>251</v>
      </c>
      <c r="S110" s="148">
        <v>300</v>
      </c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</row>
    <row r="111" spans="1:86" s="7" customFormat="1" ht="32.25" customHeight="1" x14ac:dyDescent="0.25">
      <c r="A111" s="706">
        <v>20</v>
      </c>
      <c r="B111" s="706">
        <v>2220364</v>
      </c>
      <c r="C111" s="741" t="s">
        <v>294</v>
      </c>
      <c r="D111" s="741">
        <f>F111</f>
        <v>0.56100000000000005</v>
      </c>
      <c r="E111" s="741">
        <f>G111</f>
        <v>5610</v>
      </c>
      <c r="F111" s="738">
        <v>0.56100000000000005</v>
      </c>
      <c r="G111" s="744">
        <v>5610</v>
      </c>
      <c r="H111" s="761"/>
      <c r="I111" s="762"/>
      <c r="J111" s="702"/>
      <c r="K111" s="143"/>
      <c r="L111" s="94"/>
      <c r="M111" s="704"/>
      <c r="N111" s="763" t="s">
        <v>265</v>
      </c>
      <c r="O111" s="750" t="s">
        <v>295</v>
      </c>
      <c r="P111" s="706" t="s">
        <v>11</v>
      </c>
      <c r="Q111" s="144">
        <v>0.56100000000000005</v>
      </c>
      <c r="R111" s="67" t="s">
        <v>5</v>
      </c>
      <c r="S111" s="708">
        <f>Q112*0.912</f>
        <v>8441.9279999999999</v>
      </c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</row>
    <row r="112" spans="1:86" s="7" customFormat="1" x14ac:dyDescent="0.25">
      <c r="A112" s="734"/>
      <c r="B112" s="734"/>
      <c r="C112" s="742"/>
      <c r="D112" s="742"/>
      <c r="E112" s="742"/>
      <c r="F112" s="739"/>
      <c r="G112" s="745"/>
      <c r="H112" s="753"/>
      <c r="I112" s="755"/>
      <c r="J112" s="703"/>
      <c r="K112" s="145"/>
      <c r="L112" s="119"/>
      <c r="M112" s="705"/>
      <c r="N112" s="764"/>
      <c r="O112" s="751"/>
      <c r="P112" s="707"/>
      <c r="Q112" s="146">
        <f>Q111*16500</f>
        <v>9256.5</v>
      </c>
      <c r="R112" s="67" t="s">
        <v>8</v>
      </c>
      <c r="S112" s="709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</row>
    <row r="113" spans="1:86" s="7" customFormat="1" x14ac:dyDescent="0.25">
      <c r="A113" s="734"/>
      <c r="B113" s="734"/>
      <c r="C113" s="742"/>
      <c r="D113" s="742"/>
      <c r="E113" s="742"/>
      <c r="F113" s="739"/>
      <c r="G113" s="745"/>
      <c r="H113" s="753"/>
      <c r="I113" s="755"/>
      <c r="J113" s="119"/>
      <c r="K113" s="145"/>
      <c r="L113" s="119"/>
      <c r="M113" s="147"/>
      <c r="N113" s="764"/>
      <c r="O113" s="751"/>
      <c r="P113" s="67" t="s">
        <v>17</v>
      </c>
      <c r="Q113" s="146">
        <v>3360</v>
      </c>
      <c r="R113" s="67" t="s">
        <v>8</v>
      </c>
      <c r="S113" s="148">
        <f>7117.2*0.58</f>
        <v>4127.9759999999997</v>
      </c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</row>
    <row r="114" spans="1:86" s="7" customFormat="1" ht="30" x14ac:dyDescent="0.25">
      <c r="A114" s="734"/>
      <c r="B114" s="734"/>
      <c r="C114" s="742"/>
      <c r="D114" s="742"/>
      <c r="E114" s="742"/>
      <c r="F114" s="739"/>
      <c r="G114" s="745"/>
      <c r="H114" s="753"/>
      <c r="I114" s="755"/>
      <c r="J114" s="149"/>
      <c r="K114" s="145"/>
      <c r="L114" s="135"/>
      <c r="M114" s="147"/>
      <c r="N114" s="764"/>
      <c r="O114" s="751"/>
      <c r="P114" s="128" t="s">
        <v>250</v>
      </c>
      <c r="Q114" s="146">
        <v>1</v>
      </c>
      <c r="R114" s="108" t="s">
        <v>251</v>
      </c>
      <c r="S114" s="148">
        <v>100</v>
      </c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</row>
    <row r="115" spans="1:86" s="7" customFormat="1" ht="45" x14ac:dyDescent="0.25">
      <c r="A115" s="707"/>
      <c r="B115" s="707"/>
      <c r="C115" s="743"/>
      <c r="D115" s="743"/>
      <c r="E115" s="743"/>
      <c r="F115" s="740"/>
      <c r="G115" s="746"/>
      <c r="H115" s="753"/>
      <c r="I115" s="755"/>
      <c r="J115" s="119"/>
      <c r="K115" s="145"/>
      <c r="L115" s="119"/>
      <c r="M115" s="147"/>
      <c r="N115" s="765"/>
      <c r="O115" s="752"/>
      <c r="P115" s="67" t="s">
        <v>46</v>
      </c>
      <c r="Q115" s="146">
        <v>200</v>
      </c>
      <c r="R115" s="67" t="s">
        <v>16</v>
      </c>
      <c r="S115" s="148">
        <v>250</v>
      </c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</row>
    <row r="116" spans="1:86" s="7" customFormat="1" x14ac:dyDescent="0.25">
      <c r="A116" s="706">
        <v>21</v>
      </c>
      <c r="B116" s="735">
        <v>2222596</v>
      </c>
      <c r="C116" s="741" t="s">
        <v>296</v>
      </c>
      <c r="D116" s="741">
        <f>F116</f>
        <v>3.95</v>
      </c>
      <c r="E116" s="741">
        <f>G116</f>
        <v>35550</v>
      </c>
      <c r="F116" s="738">
        <v>3.95</v>
      </c>
      <c r="G116" s="758">
        <v>35550</v>
      </c>
      <c r="H116" s="96"/>
      <c r="I116" s="97"/>
      <c r="J116" s="98"/>
      <c r="K116" s="97"/>
      <c r="L116" s="97"/>
      <c r="M116" s="99"/>
      <c r="N116" s="775" t="s">
        <v>297</v>
      </c>
      <c r="O116" s="706" t="s">
        <v>252</v>
      </c>
      <c r="P116" s="706" t="s">
        <v>11</v>
      </c>
      <c r="Q116" s="117">
        <v>3.95</v>
      </c>
      <c r="R116" s="67" t="s">
        <v>5</v>
      </c>
      <c r="S116" s="708">
        <f>Q117*0.912</f>
        <v>59439.6</v>
      </c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</row>
    <row r="117" spans="1:86" s="7" customFormat="1" x14ac:dyDescent="0.25">
      <c r="A117" s="734"/>
      <c r="B117" s="736"/>
      <c r="C117" s="742"/>
      <c r="D117" s="742"/>
      <c r="E117" s="742"/>
      <c r="F117" s="739"/>
      <c r="G117" s="759"/>
      <c r="H117" s="103"/>
      <c r="I117" s="135"/>
      <c r="J117" s="149"/>
      <c r="K117" s="135"/>
      <c r="L117" s="135"/>
      <c r="M117" s="100"/>
      <c r="N117" s="776"/>
      <c r="O117" s="734"/>
      <c r="P117" s="707"/>
      <c r="Q117" s="146">
        <f>Q116*16500</f>
        <v>65175</v>
      </c>
      <c r="R117" s="67" t="s">
        <v>8</v>
      </c>
      <c r="S117" s="709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</row>
    <row r="118" spans="1:86" s="7" customFormat="1" ht="30" x14ac:dyDescent="0.25">
      <c r="A118" s="734"/>
      <c r="B118" s="736"/>
      <c r="C118" s="742"/>
      <c r="D118" s="742"/>
      <c r="E118" s="742"/>
      <c r="F118" s="739"/>
      <c r="G118" s="759"/>
      <c r="H118" s="103"/>
      <c r="I118" s="135"/>
      <c r="J118" s="149"/>
      <c r="K118" s="135"/>
      <c r="L118" s="135"/>
      <c r="M118" s="100"/>
      <c r="N118" s="776"/>
      <c r="O118" s="734"/>
      <c r="P118" s="128" t="s">
        <v>250</v>
      </c>
      <c r="Q118" s="108">
        <v>12</v>
      </c>
      <c r="R118" s="108" t="s">
        <v>251</v>
      </c>
      <c r="S118" s="108">
        <v>1200</v>
      </c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</row>
    <row r="119" spans="1:86" s="7" customFormat="1" x14ac:dyDescent="0.25">
      <c r="A119" s="734"/>
      <c r="B119" s="736"/>
      <c r="C119" s="742"/>
      <c r="D119" s="742"/>
      <c r="E119" s="742"/>
      <c r="F119" s="739"/>
      <c r="G119" s="759"/>
      <c r="H119" s="103"/>
      <c r="I119" s="135"/>
      <c r="J119" s="149"/>
      <c r="K119" s="135"/>
      <c r="L119" s="135"/>
      <c r="M119" s="100"/>
      <c r="N119" s="776"/>
      <c r="O119" s="734"/>
      <c r="P119" s="67" t="s">
        <v>17</v>
      </c>
      <c r="Q119" s="108">
        <v>15800</v>
      </c>
      <c r="R119" s="67" t="s">
        <v>8</v>
      </c>
      <c r="S119" s="125">
        <f>42758*0.58</f>
        <v>24799.64</v>
      </c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</row>
    <row r="120" spans="1:86" s="7" customFormat="1" ht="45" x14ac:dyDescent="0.25">
      <c r="A120" s="734"/>
      <c r="B120" s="736"/>
      <c r="C120" s="742"/>
      <c r="D120" s="742"/>
      <c r="E120" s="742"/>
      <c r="F120" s="739"/>
      <c r="G120" s="759"/>
      <c r="H120" s="103"/>
      <c r="I120" s="135"/>
      <c r="J120" s="149"/>
      <c r="K120" s="135"/>
      <c r="L120" s="135"/>
      <c r="M120" s="100"/>
      <c r="N120" s="776"/>
      <c r="O120" s="734"/>
      <c r="P120" s="67" t="s">
        <v>46</v>
      </c>
      <c r="Q120" s="108">
        <v>1265</v>
      </c>
      <c r="R120" s="67" t="s">
        <v>16</v>
      </c>
      <c r="S120" s="108">
        <v>1581.3</v>
      </c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</row>
    <row r="121" spans="1:86" ht="45" x14ac:dyDescent="0.25">
      <c r="A121" s="707"/>
      <c r="B121" s="737"/>
      <c r="C121" s="743"/>
      <c r="D121" s="743"/>
      <c r="E121" s="743"/>
      <c r="F121" s="740"/>
      <c r="G121" s="760"/>
      <c r="H121" s="103"/>
      <c r="I121" s="135"/>
      <c r="J121" s="149"/>
      <c r="K121" s="135"/>
      <c r="L121" s="135"/>
      <c r="M121" s="100"/>
      <c r="N121" s="777"/>
      <c r="O121" s="707"/>
      <c r="P121" s="112" t="s">
        <v>15</v>
      </c>
      <c r="Q121" s="108">
        <v>126</v>
      </c>
      <c r="R121" s="67" t="s">
        <v>16</v>
      </c>
      <c r="S121" s="108">
        <v>630</v>
      </c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</row>
    <row r="122" spans="1:86" x14ac:dyDescent="0.25">
      <c r="A122" s="706">
        <v>22</v>
      </c>
      <c r="B122" s="735">
        <v>2229556</v>
      </c>
      <c r="C122" s="741" t="s">
        <v>254</v>
      </c>
      <c r="D122" s="741">
        <f>F122</f>
        <v>3.786</v>
      </c>
      <c r="E122" s="741">
        <f>G122</f>
        <v>26502</v>
      </c>
      <c r="F122" s="738">
        <v>3.786</v>
      </c>
      <c r="G122" s="758">
        <v>26502</v>
      </c>
      <c r="H122" s="96"/>
      <c r="I122" s="97"/>
      <c r="J122" s="98"/>
      <c r="K122" s="97"/>
      <c r="L122" s="97"/>
      <c r="M122" s="99"/>
      <c r="N122" s="772" t="s">
        <v>252</v>
      </c>
      <c r="O122" s="706" t="s">
        <v>298</v>
      </c>
      <c r="P122" s="706" t="s">
        <v>11</v>
      </c>
      <c r="Q122" s="117">
        <v>3.786</v>
      </c>
      <c r="R122" s="67" t="s">
        <v>5</v>
      </c>
      <c r="S122" s="708">
        <f>Q123*0.912</f>
        <v>56971.728000000003</v>
      </c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</row>
    <row r="123" spans="1:86" x14ac:dyDescent="0.25">
      <c r="A123" s="734"/>
      <c r="B123" s="736"/>
      <c r="C123" s="742"/>
      <c r="D123" s="742"/>
      <c r="E123" s="742"/>
      <c r="F123" s="739"/>
      <c r="G123" s="759"/>
      <c r="H123" s="103"/>
      <c r="I123" s="135"/>
      <c r="J123" s="149"/>
      <c r="K123" s="135"/>
      <c r="L123" s="135"/>
      <c r="M123" s="100"/>
      <c r="N123" s="773"/>
      <c r="O123" s="734"/>
      <c r="P123" s="707"/>
      <c r="Q123" s="146">
        <f>Q122*16500</f>
        <v>62469</v>
      </c>
      <c r="R123" s="67" t="s">
        <v>8</v>
      </c>
      <c r="S123" s="709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</row>
    <row r="124" spans="1:86" ht="30" x14ac:dyDescent="0.25">
      <c r="A124" s="734"/>
      <c r="B124" s="736"/>
      <c r="C124" s="742"/>
      <c r="D124" s="742"/>
      <c r="E124" s="742"/>
      <c r="F124" s="739"/>
      <c r="G124" s="759"/>
      <c r="H124" s="103"/>
      <c r="I124" s="135"/>
      <c r="J124" s="149"/>
      <c r="K124" s="135"/>
      <c r="L124" s="135"/>
      <c r="M124" s="100"/>
      <c r="N124" s="773"/>
      <c r="O124" s="734"/>
      <c r="P124" s="128" t="s">
        <v>250</v>
      </c>
      <c r="Q124" s="108">
        <v>2</v>
      </c>
      <c r="R124" s="108" t="s">
        <v>251</v>
      </c>
      <c r="S124" s="108">
        <v>200</v>
      </c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</row>
    <row r="125" spans="1:86" x14ac:dyDescent="0.25">
      <c r="A125" s="734"/>
      <c r="B125" s="736"/>
      <c r="C125" s="742"/>
      <c r="D125" s="742"/>
      <c r="E125" s="742"/>
      <c r="F125" s="739"/>
      <c r="G125" s="759"/>
      <c r="H125" s="103"/>
      <c r="I125" s="135"/>
      <c r="J125" s="149"/>
      <c r="K125" s="135"/>
      <c r="L125" s="135"/>
      <c r="M125" s="100"/>
      <c r="N125" s="773"/>
      <c r="O125" s="734"/>
      <c r="P125" s="67" t="s">
        <v>17</v>
      </c>
      <c r="Q125" s="108">
        <v>14000</v>
      </c>
      <c r="R125" s="67" t="s">
        <v>8</v>
      </c>
      <c r="S125" s="125">
        <f>27084.6*0.58</f>
        <v>15709.067999999997</v>
      </c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</row>
    <row r="126" spans="1:86" ht="45" x14ac:dyDescent="0.25">
      <c r="A126" s="707"/>
      <c r="B126" s="737"/>
      <c r="C126" s="743"/>
      <c r="D126" s="743"/>
      <c r="E126" s="743"/>
      <c r="F126" s="740"/>
      <c r="G126" s="760"/>
      <c r="H126" s="103"/>
      <c r="I126" s="135"/>
      <c r="J126" s="149"/>
      <c r="K126" s="135"/>
      <c r="L126" s="135"/>
      <c r="M126" s="100"/>
      <c r="N126" s="774"/>
      <c r="O126" s="707"/>
      <c r="P126" s="67" t="s">
        <v>46</v>
      </c>
      <c r="Q126" s="108">
        <v>100</v>
      </c>
      <c r="R126" s="67" t="s">
        <v>16</v>
      </c>
      <c r="S126" s="108">
        <v>125</v>
      </c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</row>
    <row r="127" spans="1:86" x14ac:dyDescent="0.25">
      <c r="A127" s="706">
        <v>23</v>
      </c>
      <c r="B127" s="735">
        <v>2229537</v>
      </c>
      <c r="C127" s="741" t="s">
        <v>299</v>
      </c>
      <c r="D127" s="741">
        <f>F127</f>
        <v>2.11</v>
      </c>
      <c r="E127" s="741">
        <f>G127</f>
        <v>44310</v>
      </c>
      <c r="F127" s="738">
        <v>2.11</v>
      </c>
      <c r="G127" s="758">
        <v>44310</v>
      </c>
      <c r="H127" s="96"/>
      <c r="I127" s="97"/>
      <c r="J127" s="98"/>
      <c r="K127" s="97"/>
      <c r="L127" s="97"/>
      <c r="M127" s="99"/>
      <c r="N127" s="763" t="s">
        <v>300</v>
      </c>
      <c r="O127" s="741" t="s">
        <v>298</v>
      </c>
      <c r="P127" s="706" t="s">
        <v>11</v>
      </c>
      <c r="Q127" s="144">
        <v>2.11</v>
      </c>
      <c r="R127" s="67" t="s">
        <v>5</v>
      </c>
      <c r="S127" s="708">
        <f>Q128*0.912</f>
        <v>31751.280000000002</v>
      </c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</row>
    <row r="128" spans="1:86" x14ac:dyDescent="0.25">
      <c r="A128" s="734"/>
      <c r="B128" s="736"/>
      <c r="C128" s="742"/>
      <c r="D128" s="742"/>
      <c r="E128" s="742"/>
      <c r="F128" s="739"/>
      <c r="G128" s="759"/>
      <c r="H128" s="103"/>
      <c r="I128" s="135"/>
      <c r="J128" s="149"/>
      <c r="K128" s="135"/>
      <c r="L128" s="135"/>
      <c r="M128" s="100"/>
      <c r="N128" s="764"/>
      <c r="O128" s="742"/>
      <c r="P128" s="707"/>
      <c r="Q128" s="146">
        <f>Q127*16500</f>
        <v>34815</v>
      </c>
      <c r="R128" s="67" t="s">
        <v>8</v>
      </c>
      <c r="S128" s="709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</row>
    <row r="129" spans="1:44" ht="45" x14ac:dyDescent="0.25">
      <c r="A129" s="734"/>
      <c r="B129" s="736"/>
      <c r="C129" s="742"/>
      <c r="D129" s="742"/>
      <c r="E129" s="742"/>
      <c r="F129" s="739"/>
      <c r="G129" s="759"/>
      <c r="H129" s="103"/>
      <c r="I129" s="135"/>
      <c r="J129" s="149"/>
      <c r="K129" s="135"/>
      <c r="L129" s="135"/>
      <c r="M129" s="100"/>
      <c r="N129" s="764"/>
      <c r="O129" s="742"/>
      <c r="P129" s="67" t="s">
        <v>46</v>
      </c>
      <c r="Q129" s="108">
        <v>300</v>
      </c>
      <c r="R129" s="67" t="s">
        <v>16</v>
      </c>
      <c r="S129" s="150">
        <v>375</v>
      </c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</row>
    <row r="130" spans="1:44" x14ac:dyDescent="0.25">
      <c r="A130" s="707"/>
      <c r="B130" s="737"/>
      <c r="C130" s="743"/>
      <c r="D130" s="743"/>
      <c r="E130" s="743"/>
      <c r="F130" s="740"/>
      <c r="G130" s="760"/>
      <c r="H130" s="103"/>
      <c r="I130" s="135"/>
      <c r="J130" s="149"/>
      <c r="K130" s="135"/>
      <c r="L130" s="135"/>
      <c r="M130" s="100"/>
      <c r="N130" s="765"/>
      <c r="O130" s="743"/>
      <c r="P130" s="112" t="s">
        <v>17</v>
      </c>
      <c r="Q130" s="151">
        <v>12660</v>
      </c>
      <c r="R130" s="112" t="s">
        <v>8</v>
      </c>
      <c r="S130" s="152">
        <f>26445.3*0.58</f>
        <v>15338.273999999998</v>
      </c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</row>
    <row r="131" spans="1:44" x14ac:dyDescent="0.25">
      <c r="A131" s="706">
        <v>24</v>
      </c>
      <c r="B131" s="706">
        <v>2229301</v>
      </c>
      <c r="C131" s="741" t="s">
        <v>301</v>
      </c>
      <c r="D131" s="741">
        <f>F131</f>
        <v>1.87</v>
      </c>
      <c r="E131" s="741">
        <f>G131</f>
        <v>14960</v>
      </c>
      <c r="F131" s="738">
        <v>1.87</v>
      </c>
      <c r="G131" s="758">
        <v>14960</v>
      </c>
      <c r="H131" s="761"/>
      <c r="I131" s="762"/>
      <c r="J131" s="702"/>
      <c r="K131" s="762"/>
      <c r="L131" s="702"/>
      <c r="M131" s="704"/>
      <c r="N131" s="778" t="s">
        <v>302</v>
      </c>
      <c r="O131" s="700" t="s">
        <v>303</v>
      </c>
      <c r="P131" s="706" t="s">
        <v>11</v>
      </c>
      <c r="Q131" s="117">
        <v>1.87</v>
      </c>
      <c r="R131" s="67" t="s">
        <v>5</v>
      </c>
      <c r="S131" s="708">
        <f>Q132*0.912</f>
        <v>28139.760000000002</v>
      </c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</row>
    <row r="132" spans="1:44" x14ac:dyDescent="0.25">
      <c r="A132" s="734"/>
      <c r="B132" s="734"/>
      <c r="C132" s="742"/>
      <c r="D132" s="742"/>
      <c r="E132" s="742"/>
      <c r="F132" s="739"/>
      <c r="G132" s="759"/>
      <c r="H132" s="753"/>
      <c r="I132" s="755"/>
      <c r="J132" s="703"/>
      <c r="K132" s="755"/>
      <c r="L132" s="703"/>
      <c r="M132" s="705"/>
      <c r="N132" s="779"/>
      <c r="O132" s="700"/>
      <c r="P132" s="707"/>
      <c r="Q132" s="146">
        <f>Q131*16500</f>
        <v>30855</v>
      </c>
      <c r="R132" s="67" t="s">
        <v>8</v>
      </c>
      <c r="S132" s="709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</row>
    <row r="133" spans="1:44" ht="30" x14ac:dyDescent="0.25">
      <c r="A133" s="734"/>
      <c r="B133" s="734"/>
      <c r="C133" s="742"/>
      <c r="D133" s="742"/>
      <c r="E133" s="742"/>
      <c r="F133" s="739"/>
      <c r="G133" s="759"/>
      <c r="H133" s="753"/>
      <c r="I133" s="755"/>
      <c r="J133" s="703"/>
      <c r="K133" s="755"/>
      <c r="L133" s="703"/>
      <c r="M133" s="705"/>
      <c r="N133" s="779"/>
      <c r="O133" s="700"/>
      <c r="P133" s="128" t="s">
        <v>250</v>
      </c>
      <c r="Q133" s="67">
        <v>3</v>
      </c>
      <c r="R133" s="108" t="s">
        <v>251</v>
      </c>
      <c r="S133" s="108">
        <v>300</v>
      </c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</row>
    <row r="134" spans="1:44" x14ac:dyDescent="0.25">
      <c r="A134" s="734"/>
      <c r="B134" s="734"/>
      <c r="C134" s="742"/>
      <c r="D134" s="742"/>
      <c r="E134" s="742"/>
      <c r="F134" s="739"/>
      <c r="G134" s="759"/>
      <c r="H134" s="753"/>
      <c r="I134" s="755"/>
      <c r="J134" s="703"/>
      <c r="K134" s="755"/>
      <c r="L134" s="703"/>
      <c r="M134" s="705"/>
      <c r="N134" s="779"/>
      <c r="O134" s="700"/>
      <c r="P134" s="67" t="s">
        <v>17</v>
      </c>
      <c r="Q134" s="67">
        <v>7480</v>
      </c>
      <c r="R134" s="67" t="s">
        <v>8</v>
      </c>
      <c r="S134" s="125">
        <f>14027*0.58</f>
        <v>8135.66</v>
      </c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</row>
    <row r="135" spans="1:44" ht="45" x14ac:dyDescent="0.25">
      <c r="A135" s="734"/>
      <c r="B135" s="734"/>
      <c r="C135" s="742"/>
      <c r="D135" s="742"/>
      <c r="E135" s="742"/>
      <c r="F135" s="739"/>
      <c r="G135" s="759"/>
      <c r="H135" s="753"/>
      <c r="I135" s="755"/>
      <c r="J135" s="703"/>
      <c r="K135" s="755"/>
      <c r="L135" s="703"/>
      <c r="M135" s="705"/>
      <c r="N135" s="779"/>
      <c r="O135" s="700"/>
      <c r="P135" s="67" t="s">
        <v>46</v>
      </c>
      <c r="Q135" s="67">
        <v>159</v>
      </c>
      <c r="R135" s="67" t="s">
        <v>16</v>
      </c>
      <c r="S135" s="108">
        <v>198.8</v>
      </c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</row>
    <row r="136" spans="1:44" x14ac:dyDescent="0.25">
      <c r="A136" s="707"/>
      <c r="B136" s="707"/>
      <c r="C136" s="743"/>
      <c r="D136" s="743"/>
      <c r="E136" s="743"/>
      <c r="F136" s="740"/>
      <c r="G136" s="760"/>
      <c r="H136" s="753"/>
      <c r="I136" s="755"/>
      <c r="J136" s="703"/>
      <c r="K136" s="755"/>
      <c r="L136" s="703"/>
      <c r="M136" s="705"/>
      <c r="N136" s="780"/>
      <c r="O136" s="700"/>
      <c r="P136" s="118" t="s">
        <v>18</v>
      </c>
      <c r="Q136" s="108">
        <v>1.87</v>
      </c>
      <c r="R136" s="108" t="s">
        <v>5</v>
      </c>
      <c r="S136" s="125">
        <v>6919</v>
      </c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</row>
    <row r="137" spans="1:44" x14ac:dyDescent="0.25">
      <c r="A137" s="706">
        <v>25</v>
      </c>
      <c r="B137" s="735">
        <v>2223406</v>
      </c>
      <c r="C137" s="741" t="s">
        <v>298</v>
      </c>
      <c r="D137" s="741">
        <f>F137</f>
        <v>0.9</v>
      </c>
      <c r="E137" s="741">
        <f>G137</f>
        <v>21960</v>
      </c>
      <c r="F137" s="738">
        <v>0.9</v>
      </c>
      <c r="G137" s="758">
        <f>1830*12</f>
        <v>21960</v>
      </c>
      <c r="H137" s="761"/>
      <c r="I137" s="762"/>
      <c r="J137" s="781"/>
      <c r="K137" s="762"/>
      <c r="L137" s="762"/>
      <c r="M137" s="763"/>
      <c r="N137" s="763" t="s">
        <v>249</v>
      </c>
      <c r="O137" s="750" t="s">
        <v>254</v>
      </c>
      <c r="P137" s="706" t="s">
        <v>11</v>
      </c>
      <c r="Q137" s="144">
        <v>0.9</v>
      </c>
      <c r="R137" s="67" t="s">
        <v>5</v>
      </c>
      <c r="S137" s="708">
        <f>Q138*0.912</f>
        <v>13543.2</v>
      </c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</row>
    <row r="138" spans="1:44" x14ac:dyDescent="0.25">
      <c r="A138" s="734"/>
      <c r="B138" s="736"/>
      <c r="C138" s="742"/>
      <c r="D138" s="742"/>
      <c r="E138" s="742"/>
      <c r="F138" s="739"/>
      <c r="G138" s="759"/>
      <c r="H138" s="753"/>
      <c r="I138" s="755"/>
      <c r="J138" s="782"/>
      <c r="K138" s="755"/>
      <c r="L138" s="755"/>
      <c r="M138" s="764"/>
      <c r="N138" s="764"/>
      <c r="O138" s="751"/>
      <c r="P138" s="707"/>
      <c r="Q138" s="146">
        <f>Q137*16500</f>
        <v>14850</v>
      </c>
      <c r="R138" s="67" t="s">
        <v>8</v>
      </c>
      <c r="S138" s="709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</row>
    <row r="139" spans="1:44" ht="45" x14ac:dyDescent="0.25">
      <c r="A139" s="734"/>
      <c r="B139" s="736"/>
      <c r="C139" s="742"/>
      <c r="D139" s="742"/>
      <c r="E139" s="742"/>
      <c r="F139" s="739"/>
      <c r="G139" s="759"/>
      <c r="H139" s="753"/>
      <c r="I139" s="755"/>
      <c r="J139" s="782"/>
      <c r="K139" s="755"/>
      <c r="L139" s="755"/>
      <c r="M139" s="764"/>
      <c r="N139" s="764"/>
      <c r="O139" s="751"/>
      <c r="P139" s="67" t="s">
        <v>46</v>
      </c>
      <c r="Q139" s="108">
        <v>361</v>
      </c>
      <c r="R139" s="67" t="s">
        <v>16</v>
      </c>
      <c r="S139" s="150">
        <v>451.3</v>
      </c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</row>
    <row r="140" spans="1:44" x14ac:dyDescent="0.25">
      <c r="A140" s="734"/>
      <c r="B140" s="736"/>
      <c r="C140" s="742"/>
      <c r="D140" s="742"/>
      <c r="E140" s="742"/>
      <c r="F140" s="739"/>
      <c r="G140" s="759"/>
      <c r="H140" s="753"/>
      <c r="I140" s="755"/>
      <c r="J140" s="782"/>
      <c r="K140" s="755"/>
      <c r="L140" s="755"/>
      <c r="M140" s="764"/>
      <c r="N140" s="764"/>
      <c r="O140" s="751"/>
      <c r="P140" s="67" t="s">
        <v>17</v>
      </c>
      <c r="Q140" s="125">
        <v>3600</v>
      </c>
      <c r="R140" s="67" t="s">
        <v>8</v>
      </c>
      <c r="S140" s="150">
        <f>7748.1*0.58</f>
        <v>4493.8980000000001</v>
      </c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</row>
    <row r="141" spans="1:44" ht="30" x14ac:dyDescent="0.25">
      <c r="A141" s="707"/>
      <c r="B141" s="737"/>
      <c r="C141" s="743"/>
      <c r="D141" s="743"/>
      <c r="E141" s="743"/>
      <c r="F141" s="740"/>
      <c r="G141" s="760"/>
      <c r="H141" s="753"/>
      <c r="I141" s="755"/>
      <c r="J141" s="782"/>
      <c r="K141" s="755"/>
      <c r="L141" s="755"/>
      <c r="M141" s="764"/>
      <c r="N141" s="765"/>
      <c r="O141" s="752"/>
      <c r="P141" s="128" t="s">
        <v>250</v>
      </c>
      <c r="Q141" s="108">
        <v>4</v>
      </c>
      <c r="R141" s="108" t="s">
        <v>251</v>
      </c>
      <c r="S141" s="153">
        <v>400</v>
      </c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</row>
    <row r="142" spans="1:44" x14ac:dyDescent="0.25">
      <c r="A142" s="766">
        <v>26</v>
      </c>
      <c r="B142" s="735">
        <v>2220671</v>
      </c>
      <c r="C142" s="769" t="s">
        <v>304</v>
      </c>
      <c r="D142" s="741">
        <f>F142</f>
        <v>3.06</v>
      </c>
      <c r="E142" s="741">
        <f>G142</f>
        <v>27540</v>
      </c>
      <c r="F142" s="738">
        <v>3.06</v>
      </c>
      <c r="G142" s="758">
        <v>27540</v>
      </c>
      <c r="H142" s="96"/>
      <c r="I142" s="97"/>
      <c r="J142" s="98"/>
      <c r="K142" s="97"/>
      <c r="L142" s="97"/>
      <c r="M142" s="99"/>
      <c r="N142" s="763" t="s">
        <v>305</v>
      </c>
      <c r="O142" s="750" t="s">
        <v>306</v>
      </c>
      <c r="P142" s="710" t="s">
        <v>11</v>
      </c>
      <c r="Q142" s="117">
        <v>3.06</v>
      </c>
      <c r="R142" s="67" t="s">
        <v>5</v>
      </c>
      <c r="S142" s="708">
        <f>Q143*0.912</f>
        <v>46046.880000000005</v>
      </c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</row>
    <row r="143" spans="1:44" x14ac:dyDescent="0.25">
      <c r="A143" s="767"/>
      <c r="B143" s="736"/>
      <c r="C143" s="770"/>
      <c r="D143" s="742"/>
      <c r="E143" s="742"/>
      <c r="F143" s="739"/>
      <c r="G143" s="759"/>
      <c r="H143" s="103"/>
      <c r="I143" s="135"/>
      <c r="J143" s="149"/>
      <c r="K143" s="135"/>
      <c r="L143" s="135"/>
      <c r="M143" s="100"/>
      <c r="N143" s="764"/>
      <c r="O143" s="751"/>
      <c r="P143" s="710"/>
      <c r="Q143" s="146">
        <f>Q142*16500</f>
        <v>50490</v>
      </c>
      <c r="R143" s="67" t="s">
        <v>8</v>
      </c>
      <c r="S143" s="709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</row>
    <row r="144" spans="1:44" x14ac:dyDescent="0.25">
      <c r="A144" s="768"/>
      <c r="B144" s="737"/>
      <c r="C144" s="771"/>
      <c r="D144" s="743"/>
      <c r="E144" s="743"/>
      <c r="F144" s="740"/>
      <c r="G144" s="760"/>
      <c r="H144" s="103"/>
      <c r="I144" s="135"/>
      <c r="J144" s="149"/>
      <c r="K144" s="135"/>
      <c r="L144" s="135"/>
      <c r="M144" s="100"/>
      <c r="N144" s="765"/>
      <c r="O144" s="752"/>
      <c r="P144" s="67" t="s">
        <v>17</v>
      </c>
      <c r="Q144" s="154">
        <v>12240</v>
      </c>
      <c r="R144" s="67" t="s">
        <v>8</v>
      </c>
      <c r="S144" s="125">
        <f>33123.9*0.58</f>
        <v>19211.862000000001</v>
      </c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</row>
    <row r="145" spans="1:44" x14ac:dyDescent="0.25">
      <c r="A145" s="766">
        <v>27</v>
      </c>
      <c r="B145" s="735">
        <v>2223930</v>
      </c>
      <c r="C145" s="769" t="s">
        <v>307</v>
      </c>
      <c r="D145" s="741">
        <f>F145</f>
        <v>3.4750000000000001</v>
      </c>
      <c r="E145" s="741">
        <f>G145</f>
        <v>31275</v>
      </c>
      <c r="F145" s="738">
        <v>3.4750000000000001</v>
      </c>
      <c r="G145" s="758">
        <v>31275</v>
      </c>
      <c r="H145" s="96"/>
      <c r="I145" s="97"/>
      <c r="J145" s="98"/>
      <c r="K145" s="97"/>
      <c r="L145" s="97"/>
      <c r="M145" s="99"/>
      <c r="N145" s="763" t="s">
        <v>308</v>
      </c>
      <c r="O145" s="750" t="s">
        <v>309</v>
      </c>
      <c r="P145" s="710" t="s">
        <v>11</v>
      </c>
      <c r="Q145" s="155">
        <v>3.4750000000000001</v>
      </c>
      <c r="R145" s="67" t="s">
        <v>5</v>
      </c>
      <c r="S145" s="708">
        <f>Q146*0.912</f>
        <v>28522.799999999999</v>
      </c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</row>
    <row r="146" spans="1:44" x14ac:dyDescent="0.25">
      <c r="A146" s="767"/>
      <c r="B146" s="736"/>
      <c r="C146" s="770"/>
      <c r="D146" s="742"/>
      <c r="E146" s="742"/>
      <c r="F146" s="739"/>
      <c r="G146" s="759"/>
      <c r="H146" s="103"/>
      <c r="I146" s="135"/>
      <c r="J146" s="149"/>
      <c r="K146" s="135"/>
      <c r="L146" s="135"/>
      <c r="M146" s="100"/>
      <c r="N146" s="764"/>
      <c r="O146" s="751"/>
      <c r="P146" s="710"/>
      <c r="Q146" s="156">
        <v>31275</v>
      </c>
      <c r="R146" s="67" t="s">
        <v>8</v>
      </c>
      <c r="S146" s="709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</row>
    <row r="147" spans="1:44" x14ac:dyDescent="0.25">
      <c r="A147" s="768"/>
      <c r="B147" s="737"/>
      <c r="C147" s="771"/>
      <c r="D147" s="743"/>
      <c r="E147" s="743"/>
      <c r="F147" s="740"/>
      <c r="G147" s="760"/>
      <c r="H147" s="113"/>
      <c r="I147" s="138"/>
      <c r="J147" s="157"/>
      <c r="K147" s="138"/>
      <c r="L147" s="138"/>
      <c r="M147" s="158"/>
      <c r="N147" s="764"/>
      <c r="O147" s="751"/>
      <c r="P147" s="112" t="s">
        <v>17</v>
      </c>
      <c r="Q147" s="159">
        <v>6950</v>
      </c>
      <c r="R147" s="112" t="s">
        <v>8</v>
      </c>
      <c r="S147" s="151">
        <f>18808.1*0.58</f>
        <v>10908.697999999999</v>
      </c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</row>
    <row r="148" spans="1:44" x14ac:dyDescent="0.25">
      <c r="A148" s="783">
        <v>28</v>
      </c>
      <c r="B148" s="786">
        <v>2227659</v>
      </c>
      <c r="C148" s="741" t="s">
        <v>310</v>
      </c>
      <c r="D148" s="741">
        <f>F148</f>
        <v>1.95</v>
      </c>
      <c r="E148" s="789">
        <v>31200</v>
      </c>
      <c r="F148" s="792">
        <v>1.95</v>
      </c>
      <c r="G148" s="789">
        <v>31200</v>
      </c>
      <c r="H148" s="160"/>
      <c r="I148" s="109"/>
      <c r="J148" s="109"/>
      <c r="K148" s="109"/>
      <c r="L148" s="109"/>
      <c r="M148" s="110"/>
      <c r="N148" s="795" t="s">
        <v>311</v>
      </c>
      <c r="O148" s="795" t="s">
        <v>312</v>
      </c>
      <c r="P148" s="783" t="s">
        <v>11</v>
      </c>
      <c r="Q148" s="161">
        <v>1.95</v>
      </c>
      <c r="R148" s="64" t="s">
        <v>5</v>
      </c>
      <c r="S148" s="708">
        <f>Q149*0.912</f>
        <v>29343.600000000002</v>
      </c>
      <c r="T148" s="87"/>
      <c r="U148" s="162"/>
      <c r="V148" s="162"/>
      <c r="W148" s="120"/>
      <c r="X148" s="120"/>
      <c r="Y148" s="162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</row>
    <row r="149" spans="1:44" x14ac:dyDescent="0.25">
      <c r="A149" s="784"/>
      <c r="B149" s="787"/>
      <c r="C149" s="742"/>
      <c r="D149" s="742"/>
      <c r="E149" s="790"/>
      <c r="F149" s="793"/>
      <c r="G149" s="790"/>
      <c r="H149" s="163"/>
      <c r="I149" s="78"/>
      <c r="J149" s="78"/>
      <c r="K149" s="78"/>
      <c r="L149" s="78"/>
      <c r="M149" s="164"/>
      <c r="N149" s="796"/>
      <c r="O149" s="796"/>
      <c r="P149" s="785"/>
      <c r="Q149" s="146">
        <f>Q148*16500</f>
        <v>32175</v>
      </c>
      <c r="R149" s="64" t="s">
        <v>8</v>
      </c>
      <c r="S149" s="709"/>
      <c r="T149" s="87"/>
      <c r="U149" s="162"/>
      <c r="V149" s="162"/>
      <c r="W149" s="120"/>
      <c r="X149" s="120"/>
      <c r="Y149" s="162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</row>
    <row r="150" spans="1:44" x14ac:dyDescent="0.25">
      <c r="A150" s="784"/>
      <c r="B150" s="787"/>
      <c r="C150" s="742"/>
      <c r="D150" s="742"/>
      <c r="E150" s="790"/>
      <c r="F150" s="793"/>
      <c r="G150" s="790"/>
      <c r="H150" s="163"/>
      <c r="I150" s="78"/>
      <c r="J150" s="78"/>
      <c r="K150" s="78"/>
      <c r="L150" s="78"/>
      <c r="M150" s="164"/>
      <c r="N150" s="796"/>
      <c r="O150" s="796"/>
      <c r="P150" s="64" t="s">
        <v>17</v>
      </c>
      <c r="Q150" s="165">
        <v>11700</v>
      </c>
      <c r="R150" s="64" t="s">
        <v>8</v>
      </c>
      <c r="S150" s="166">
        <f>25181.2548*0.58</f>
        <v>14605.127783999998</v>
      </c>
      <c r="T150" s="87"/>
      <c r="U150" s="162"/>
      <c r="V150" s="162"/>
      <c r="W150" s="120"/>
      <c r="X150" s="120"/>
      <c r="Y150" s="162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</row>
    <row r="151" spans="1:44" ht="30" x14ac:dyDescent="0.25">
      <c r="A151" s="784"/>
      <c r="B151" s="787"/>
      <c r="C151" s="742"/>
      <c r="D151" s="742"/>
      <c r="E151" s="790"/>
      <c r="F151" s="793"/>
      <c r="G151" s="790"/>
      <c r="H151" s="163"/>
      <c r="I151" s="78"/>
      <c r="J151" s="78"/>
      <c r="K151" s="78"/>
      <c r="L151" s="78"/>
      <c r="M151" s="164"/>
      <c r="N151" s="796"/>
      <c r="O151" s="796"/>
      <c r="P151" s="64" t="s">
        <v>278</v>
      </c>
      <c r="Q151" s="167">
        <v>1330</v>
      </c>
      <c r="R151" s="64" t="s">
        <v>16</v>
      </c>
      <c r="S151" s="166">
        <f>1.33*10700</f>
        <v>14231</v>
      </c>
      <c r="T151" s="87"/>
      <c r="U151" s="162"/>
      <c r="V151" s="162"/>
      <c r="W151" s="120"/>
      <c r="X151" s="120"/>
      <c r="Y151" s="162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</row>
    <row r="152" spans="1:44" ht="30" x14ac:dyDescent="0.25">
      <c r="A152" s="785"/>
      <c r="B152" s="788"/>
      <c r="C152" s="743"/>
      <c r="D152" s="743"/>
      <c r="E152" s="791"/>
      <c r="F152" s="794"/>
      <c r="G152" s="791"/>
      <c r="H152" s="168"/>
      <c r="I152" s="169"/>
      <c r="J152" s="169"/>
      <c r="K152" s="169"/>
      <c r="L152" s="169"/>
      <c r="M152" s="170"/>
      <c r="N152" s="797"/>
      <c r="O152" s="797"/>
      <c r="P152" s="171" t="s">
        <v>250</v>
      </c>
      <c r="Q152" s="167">
        <v>4</v>
      </c>
      <c r="R152" s="132" t="s">
        <v>251</v>
      </c>
      <c r="S152" s="166">
        <v>400</v>
      </c>
      <c r="T152" s="87"/>
      <c r="U152" s="162"/>
      <c r="V152" s="162"/>
      <c r="W152" s="120"/>
      <c r="X152" s="120"/>
      <c r="Y152" s="162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</row>
    <row r="153" spans="1:44" x14ac:dyDescent="0.25">
      <c r="A153" s="706">
        <v>29</v>
      </c>
      <c r="B153" s="735">
        <v>2223792</v>
      </c>
      <c r="C153" s="738" t="s">
        <v>313</v>
      </c>
      <c r="D153" s="741">
        <f>F153</f>
        <v>4.3150000000000004</v>
      </c>
      <c r="E153" s="741">
        <f>G153</f>
        <v>44000</v>
      </c>
      <c r="F153" s="738">
        <v>4.3150000000000004</v>
      </c>
      <c r="G153" s="744">
        <v>44000</v>
      </c>
      <c r="H153" s="761"/>
      <c r="I153" s="762"/>
      <c r="J153" s="781"/>
      <c r="K153" s="762"/>
      <c r="L153" s="762"/>
      <c r="M153" s="762"/>
      <c r="N153" s="762"/>
      <c r="O153" s="762"/>
      <c r="P153" s="762"/>
      <c r="Q153" s="762"/>
      <c r="R153" s="762"/>
      <c r="S153" s="798"/>
      <c r="T153" s="800" t="s">
        <v>314</v>
      </c>
      <c r="U153" s="706" t="s">
        <v>315</v>
      </c>
      <c r="V153" s="706" t="s">
        <v>11</v>
      </c>
      <c r="W153" s="67">
        <v>4.3150000000000004</v>
      </c>
      <c r="X153" s="67" t="s">
        <v>5</v>
      </c>
      <c r="Y153" s="750">
        <f>W154*0.956</f>
        <v>30938.550000000003</v>
      </c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</row>
    <row r="154" spans="1:44" x14ac:dyDescent="0.25">
      <c r="A154" s="734"/>
      <c r="B154" s="736"/>
      <c r="C154" s="739"/>
      <c r="D154" s="742"/>
      <c r="E154" s="742"/>
      <c r="F154" s="739"/>
      <c r="G154" s="745"/>
      <c r="H154" s="753"/>
      <c r="I154" s="755"/>
      <c r="J154" s="782"/>
      <c r="K154" s="755"/>
      <c r="L154" s="755"/>
      <c r="M154" s="755"/>
      <c r="N154" s="755"/>
      <c r="O154" s="755"/>
      <c r="P154" s="755"/>
      <c r="Q154" s="755"/>
      <c r="R154" s="755"/>
      <c r="S154" s="799"/>
      <c r="T154" s="801"/>
      <c r="U154" s="734"/>
      <c r="V154" s="707"/>
      <c r="W154" s="108">
        <f>W153*7.5*1000</f>
        <v>32362.500000000004</v>
      </c>
      <c r="X154" s="67" t="s">
        <v>8</v>
      </c>
      <c r="Y154" s="752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</row>
    <row r="155" spans="1:44" x14ac:dyDescent="0.25">
      <c r="A155" s="734"/>
      <c r="B155" s="736"/>
      <c r="C155" s="739"/>
      <c r="D155" s="742"/>
      <c r="E155" s="742"/>
      <c r="F155" s="739"/>
      <c r="G155" s="745"/>
      <c r="H155" s="753"/>
      <c r="I155" s="755"/>
      <c r="J155" s="782"/>
      <c r="K155" s="755"/>
      <c r="L155" s="755"/>
      <c r="M155" s="755"/>
      <c r="N155" s="755"/>
      <c r="O155" s="755"/>
      <c r="P155" s="755"/>
      <c r="Q155" s="755"/>
      <c r="R155" s="755"/>
      <c r="S155" s="799"/>
      <c r="T155" s="801"/>
      <c r="U155" s="734"/>
      <c r="V155" s="67" t="s">
        <v>17</v>
      </c>
      <c r="W155" s="67">
        <v>11000</v>
      </c>
      <c r="X155" s="67" t="s">
        <v>8</v>
      </c>
      <c r="Y155" s="125">
        <f>29768.2*0.58</f>
        <v>17265.556</v>
      </c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</row>
    <row r="156" spans="1:44" ht="45" x14ac:dyDescent="0.25">
      <c r="A156" s="707"/>
      <c r="B156" s="737"/>
      <c r="C156" s="740"/>
      <c r="D156" s="743"/>
      <c r="E156" s="743"/>
      <c r="F156" s="740"/>
      <c r="G156" s="746"/>
      <c r="H156" s="753"/>
      <c r="I156" s="755"/>
      <c r="J156" s="782"/>
      <c r="K156" s="755"/>
      <c r="L156" s="755"/>
      <c r="M156" s="755"/>
      <c r="N156" s="755"/>
      <c r="O156" s="755"/>
      <c r="P156" s="755"/>
      <c r="Q156" s="755"/>
      <c r="R156" s="755"/>
      <c r="S156" s="799"/>
      <c r="T156" s="802"/>
      <c r="U156" s="707"/>
      <c r="V156" s="112" t="s">
        <v>15</v>
      </c>
      <c r="W156" s="67">
        <v>224</v>
      </c>
      <c r="X156" s="67" t="s">
        <v>16</v>
      </c>
      <c r="Y156" s="125">
        <v>1120</v>
      </c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</row>
    <row r="157" spans="1:44" x14ac:dyDescent="0.25">
      <c r="A157" s="706">
        <v>30</v>
      </c>
      <c r="B157" s="735">
        <v>2226298</v>
      </c>
      <c r="C157" s="738" t="s">
        <v>316</v>
      </c>
      <c r="D157" s="741">
        <f>F157</f>
        <v>2.5</v>
      </c>
      <c r="E157" s="741">
        <f>G157</f>
        <v>27500</v>
      </c>
      <c r="F157" s="738">
        <v>2.5</v>
      </c>
      <c r="G157" s="744">
        <v>27500</v>
      </c>
      <c r="H157" s="761"/>
      <c r="I157" s="762"/>
      <c r="J157" s="781"/>
      <c r="K157" s="762"/>
      <c r="L157" s="762"/>
      <c r="M157" s="762"/>
      <c r="N157" s="762"/>
      <c r="O157" s="762"/>
      <c r="P157" s="762"/>
      <c r="Q157" s="762"/>
      <c r="R157" s="762"/>
      <c r="S157" s="798"/>
      <c r="T157" s="800" t="s">
        <v>258</v>
      </c>
      <c r="U157" s="706" t="s">
        <v>317</v>
      </c>
      <c r="V157" s="706" t="s">
        <v>11</v>
      </c>
      <c r="W157" s="117">
        <v>2.5</v>
      </c>
      <c r="X157" s="67" t="s">
        <v>5</v>
      </c>
      <c r="Y157" s="750">
        <f>W158*0.956</f>
        <v>26290</v>
      </c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</row>
    <row r="158" spans="1:44" x14ac:dyDescent="0.25">
      <c r="A158" s="734"/>
      <c r="B158" s="736"/>
      <c r="C158" s="739"/>
      <c r="D158" s="742"/>
      <c r="E158" s="742"/>
      <c r="F158" s="739"/>
      <c r="G158" s="745"/>
      <c r="H158" s="753"/>
      <c r="I158" s="755"/>
      <c r="J158" s="782"/>
      <c r="K158" s="755"/>
      <c r="L158" s="755"/>
      <c r="M158" s="755"/>
      <c r="N158" s="755"/>
      <c r="O158" s="755"/>
      <c r="P158" s="755"/>
      <c r="Q158" s="755"/>
      <c r="R158" s="755"/>
      <c r="S158" s="799"/>
      <c r="T158" s="801"/>
      <c r="U158" s="734"/>
      <c r="V158" s="707"/>
      <c r="W158" s="108">
        <v>27500</v>
      </c>
      <c r="X158" s="67" t="s">
        <v>8</v>
      </c>
      <c r="Y158" s="752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</row>
    <row r="159" spans="1:44" ht="30" x14ac:dyDescent="0.25">
      <c r="A159" s="734"/>
      <c r="B159" s="736"/>
      <c r="C159" s="739"/>
      <c r="D159" s="742"/>
      <c r="E159" s="742"/>
      <c r="F159" s="739"/>
      <c r="G159" s="745"/>
      <c r="H159" s="753"/>
      <c r="I159" s="755"/>
      <c r="J159" s="782"/>
      <c r="K159" s="755"/>
      <c r="L159" s="755"/>
      <c r="M159" s="755"/>
      <c r="N159" s="755"/>
      <c r="O159" s="755"/>
      <c r="P159" s="755"/>
      <c r="Q159" s="755"/>
      <c r="R159" s="755"/>
      <c r="S159" s="799"/>
      <c r="T159" s="801"/>
      <c r="U159" s="734"/>
      <c r="V159" s="128" t="s">
        <v>250</v>
      </c>
      <c r="W159" s="67">
        <v>6</v>
      </c>
      <c r="X159" s="108" t="s">
        <v>251</v>
      </c>
      <c r="Y159" s="108">
        <v>600</v>
      </c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</row>
    <row r="160" spans="1:44" x14ac:dyDescent="0.25">
      <c r="A160" s="734"/>
      <c r="B160" s="736"/>
      <c r="C160" s="739"/>
      <c r="D160" s="742"/>
      <c r="E160" s="742"/>
      <c r="F160" s="739"/>
      <c r="G160" s="745"/>
      <c r="H160" s="753"/>
      <c r="I160" s="755"/>
      <c r="J160" s="782"/>
      <c r="K160" s="755"/>
      <c r="L160" s="755"/>
      <c r="M160" s="755"/>
      <c r="N160" s="755"/>
      <c r="O160" s="755"/>
      <c r="P160" s="755"/>
      <c r="Q160" s="755"/>
      <c r="R160" s="755"/>
      <c r="S160" s="799"/>
      <c r="T160" s="801"/>
      <c r="U160" s="734"/>
      <c r="V160" s="67" t="s">
        <v>17</v>
      </c>
      <c r="W160" s="67">
        <v>10000</v>
      </c>
      <c r="X160" s="67" t="s">
        <v>8</v>
      </c>
      <c r="Y160" s="125">
        <f>27062*0.58</f>
        <v>15695.96</v>
      </c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</row>
    <row r="161" spans="1:44" ht="45" x14ac:dyDescent="0.25">
      <c r="A161" s="734"/>
      <c r="B161" s="736"/>
      <c r="C161" s="739"/>
      <c r="D161" s="742"/>
      <c r="E161" s="742"/>
      <c r="F161" s="739"/>
      <c r="G161" s="745"/>
      <c r="H161" s="753"/>
      <c r="I161" s="755"/>
      <c r="J161" s="782"/>
      <c r="K161" s="755"/>
      <c r="L161" s="755"/>
      <c r="M161" s="755"/>
      <c r="N161" s="755"/>
      <c r="O161" s="755"/>
      <c r="P161" s="755"/>
      <c r="Q161" s="755"/>
      <c r="R161" s="755"/>
      <c r="S161" s="799"/>
      <c r="T161" s="801"/>
      <c r="U161" s="734"/>
      <c r="V161" s="67" t="s">
        <v>46</v>
      </c>
      <c r="W161" s="67">
        <v>557</v>
      </c>
      <c r="X161" s="67" t="s">
        <v>16</v>
      </c>
      <c r="Y161" s="108">
        <v>696.3</v>
      </c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</row>
    <row r="162" spans="1:44" ht="45" x14ac:dyDescent="0.25">
      <c r="A162" s="707"/>
      <c r="B162" s="737"/>
      <c r="C162" s="740"/>
      <c r="D162" s="743"/>
      <c r="E162" s="743"/>
      <c r="F162" s="740"/>
      <c r="G162" s="746"/>
      <c r="H162" s="753"/>
      <c r="I162" s="755"/>
      <c r="J162" s="782"/>
      <c r="K162" s="755"/>
      <c r="L162" s="755"/>
      <c r="M162" s="755"/>
      <c r="N162" s="755"/>
      <c r="O162" s="755"/>
      <c r="P162" s="755"/>
      <c r="Q162" s="755"/>
      <c r="R162" s="755"/>
      <c r="S162" s="799"/>
      <c r="T162" s="802"/>
      <c r="U162" s="707"/>
      <c r="V162" s="112" t="s">
        <v>15</v>
      </c>
      <c r="W162" s="112">
        <v>76</v>
      </c>
      <c r="X162" s="67" t="s">
        <v>16</v>
      </c>
      <c r="Y162" s="134">
        <v>380</v>
      </c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</row>
    <row r="163" spans="1:44" x14ac:dyDescent="0.25">
      <c r="A163" s="706">
        <v>31</v>
      </c>
      <c r="B163" s="735">
        <v>2221937</v>
      </c>
      <c r="C163" s="738" t="s">
        <v>291</v>
      </c>
      <c r="D163" s="741">
        <f>F163</f>
        <v>2.165</v>
      </c>
      <c r="E163" s="741">
        <f>G163</f>
        <v>45465</v>
      </c>
      <c r="F163" s="738">
        <v>2.165</v>
      </c>
      <c r="G163" s="744">
        <v>45465</v>
      </c>
      <c r="H163" s="761"/>
      <c r="I163" s="762"/>
      <c r="J163" s="781"/>
      <c r="K163" s="762"/>
      <c r="L163" s="762"/>
      <c r="M163" s="762"/>
      <c r="N163" s="762"/>
      <c r="O163" s="762"/>
      <c r="P163" s="762"/>
      <c r="Q163" s="762"/>
      <c r="R163" s="762"/>
      <c r="S163" s="798"/>
      <c r="T163" s="800" t="s">
        <v>318</v>
      </c>
      <c r="U163" s="706" t="s">
        <v>290</v>
      </c>
      <c r="V163" s="706" t="s">
        <v>11</v>
      </c>
      <c r="W163" s="67">
        <v>2.165</v>
      </c>
      <c r="X163" s="67" t="s">
        <v>5</v>
      </c>
      <c r="Y163" s="750">
        <f>W164*0.956</f>
        <v>43464.54</v>
      </c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</row>
    <row r="164" spans="1:44" x14ac:dyDescent="0.25">
      <c r="A164" s="734"/>
      <c r="B164" s="736"/>
      <c r="C164" s="739"/>
      <c r="D164" s="742"/>
      <c r="E164" s="742"/>
      <c r="F164" s="739"/>
      <c r="G164" s="745"/>
      <c r="H164" s="753"/>
      <c r="I164" s="755"/>
      <c r="J164" s="782"/>
      <c r="K164" s="755"/>
      <c r="L164" s="755"/>
      <c r="M164" s="755"/>
      <c r="N164" s="755"/>
      <c r="O164" s="755"/>
      <c r="P164" s="755"/>
      <c r="Q164" s="755"/>
      <c r="R164" s="755"/>
      <c r="S164" s="799"/>
      <c r="T164" s="801"/>
      <c r="U164" s="734"/>
      <c r="V164" s="707"/>
      <c r="W164" s="108">
        <v>45465</v>
      </c>
      <c r="X164" s="67" t="s">
        <v>8</v>
      </c>
      <c r="Y164" s="752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</row>
    <row r="165" spans="1:44" x14ac:dyDescent="0.25">
      <c r="A165" s="734"/>
      <c r="B165" s="736"/>
      <c r="C165" s="739"/>
      <c r="D165" s="742"/>
      <c r="E165" s="742"/>
      <c r="F165" s="739"/>
      <c r="G165" s="745"/>
      <c r="H165" s="753"/>
      <c r="I165" s="755"/>
      <c r="J165" s="782"/>
      <c r="K165" s="755"/>
      <c r="L165" s="755"/>
      <c r="M165" s="755"/>
      <c r="N165" s="755"/>
      <c r="O165" s="755"/>
      <c r="P165" s="755"/>
      <c r="Q165" s="755"/>
      <c r="R165" s="755"/>
      <c r="S165" s="799"/>
      <c r="T165" s="801"/>
      <c r="U165" s="734"/>
      <c r="V165" s="67" t="s">
        <v>17</v>
      </c>
      <c r="W165" s="67">
        <v>12990</v>
      </c>
      <c r="X165" s="67" t="s">
        <v>8</v>
      </c>
      <c r="Y165" s="125">
        <f>27134.7*0.58</f>
        <v>15738.126</v>
      </c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</row>
    <row r="166" spans="1:44" ht="45" x14ac:dyDescent="0.25">
      <c r="A166" s="734"/>
      <c r="B166" s="736"/>
      <c r="C166" s="739"/>
      <c r="D166" s="742"/>
      <c r="E166" s="742"/>
      <c r="F166" s="739"/>
      <c r="G166" s="745"/>
      <c r="H166" s="753"/>
      <c r="I166" s="755"/>
      <c r="J166" s="782"/>
      <c r="K166" s="755"/>
      <c r="L166" s="755"/>
      <c r="M166" s="755"/>
      <c r="N166" s="755"/>
      <c r="O166" s="755"/>
      <c r="P166" s="755"/>
      <c r="Q166" s="755"/>
      <c r="R166" s="755"/>
      <c r="S166" s="799"/>
      <c r="T166" s="801"/>
      <c r="U166" s="734"/>
      <c r="V166" s="67" t="s">
        <v>46</v>
      </c>
      <c r="W166" s="67">
        <v>776</v>
      </c>
      <c r="X166" s="67" t="s">
        <v>16</v>
      </c>
      <c r="Y166" s="108">
        <v>970</v>
      </c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</row>
    <row r="167" spans="1:44" ht="30" x14ac:dyDescent="0.25">
      <c r="A167" s="734"/>
      <c r="B167" s="736"/>
      <c r="C167" s="739"/>
      <c r="D167" s="742"/>
      <c r="E167" s="742"/>
      <c r="F167" s="739"/>
      <c r="G167" s="745"/>
      <c r="H167" s="753"/>
      <c r="I167" s="755"/>
      <c r="J167" s="782"/>
      <c r="K167" s="755"/>
      <c r="L167" s="755"/>
      <c r="M167" s="755"/>
      <c r="N167" s="755"/>
      <c r="O167" s="755"/>
      <c r="P167" s="755"/>
      <c r="Q167" s="755"/>
      <c r="R167" s="755"/>
      <c r="S167" s="799"/>
      <c r="T167" s="801"/>
      <c r="U167" s="734"/>
      <c r="V167" s="128" t="s">
        <v>250</v>
      </c>
      <c r="W167" s="67">
        <v>10</v>
      </c>
      <c r="X167" s="108" t="s">
        <v>251</v>
      </c>
      <c r="Y167" s="108">
        <v>1000</v>
      </c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</row>
    <row r="168" spans="1:44" ht="30" x14ac:dyDescent="0.25">
      <c r="A168" s="707"/>
      <c r="B168" s="737"/>
      <c r="C168" s="740"/>
      <c r="D168" s="743"/>
      <c r="E168" s="743"/>
      <c r="F168" s="740"/>
      <c r="G168" s="746"/>
      <c r="H168" s="753"/>
      <c r="I168" s="755"/>
      <c r="J168" s="782"/>
      <c r="K168" s="755"/>
      <c r="L168" s="755"/>
      <c r="M168" s="755"/>
      <c r="N168" s="755"/>
      <c r="O168" s="755"/>
      <c r="P168" s="755"/>
      <c r="Q168" s="755"/>
      <c r="R168" s="755"/>
      <c r="S168" s="799"/>
      <c r="T168" s="802"/>
      <c r="U168" s="707"/>
      <c r="V168" s="118" t="s">
        <v>13</v>
      </c>
      <c r="W168" s="67">
        <v>6</v>
      </c>
      <c r="X168" s="108" t="s">
        <v>251</v>
      </c>
      <c r="Y168" s="108">
        <v>1500</v>
      </c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</row>
    <row r="169" spans="1:44" x14ac:dyDescent="0.25">
      <c r="A169" s="706">
        <v>32</v>
      </c>
      <c r="B169" s="735">
        <v>2220732</v>
      </c>
      <c r="C169" s="738" t="s">
        <v>319</v>
      </c>
      <c r="D169" s="741">
        <f>F169</f>
        <v>1.1200000000000001</v>
      </c>
      <c r="E169" s="741">
        <f>G169</f>
        <v>10800</v>
      </c>
      <c r="F169" s="738">
        <v>1.1200000000000001</v>
      </c>
      <c r="G169" s="744">
        <v>10800</v>
      </c>
      <c r="H169" s="761"/>
      <c r="I169" s="762"/>
      <c r="J169" s="781"/>
      <c r="K169" s="762"/>
      <c r="L169" s="762"/>
      <c r="M169" s="762"/>
      <c r="N169" s="762"/>
      <c r="O169" s="762"/>
      <c r="P169" s="762"/>
      <c r="Q169" s="762"/>
      <c r="R169" s="762"/>
      <c r="S169" s="798"/>
      <c r="T169" s="800" t="s">
        <v>320</v>
      </c>
      <c r="U169" s="706" t="s">
        <v>321</v>
      </c>
      <c r="V169" s="706" t="s">
        <v>11</v>
      </c>
      <c r="W169" s="117">
        <v>1.1200000000000001</v>
      </c>
      <c r="X169" s="67" t="s">
        <v>5</v>
      </c>
      <c r="Y169" s="750">
        <f>W170*0.956</f>
        <v>10324.799999999999</v>
      </c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</row>
    <row r="170" spans="1:44" x14ac:dyDescent="0.25">
      <c r="A170" s="734"/>
      <c r="B170" s="736"/>
      <c r="C170" s="739"/>
      <c r="D170" s="742"/>
      <c r="E170" s="742"/>
      <c r="F170" s="739"/>
      <c r="G170" s="745"/>
      <c r="H170" s="753"/>
      <c r="I170" s="755"/>
      <c r="J170" s="782"/>
      <c r="K170" s="755"/>
      <c r="L170" s="755"/>
      <c r="M170" s="755"/>
      <c r="N170" s="755"/>
      <c r="O170" s="755"/>
      <c r="P170" s="755"/>
      <c r="Q170" s="755"/>
      <c r="R170" s="755"/>
      <c r="S170" s="799"/>
      <c r="T170" s="801"/>
      <c r="U170" s="734"/>
      <c r="V170" s="707"/>
      <c r="W170" s="108">
        <v>10800</v>
      </c>
      <c r="X170" s="67" t="s">
        <v>8</v>
      </c>
      <c r="Y170" s="752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</row>
    <row r="171" spans="1:44" x14ac:dyDescent="0.25">
      <c r="A171" s="734"/>
      <c r="B171" s="736"/>
      <c r="C171" s="739"/>
      <c r="D171" s="742"/>
      <c r="E171" s="742"/>
      <c r="F171" s="739"/>
      <c r="G171" s="745"/>
      <c r="H171" s="753"/>
      <c r="I171" s="755"/>
      <c r="J171" s="782"/>
      <c r="K171" s="755"/>
      <c r="L171" s="755"/>
      <c r="M171" s="755"/>
      <c r="N171" s="755"/>
      <c r="O171" s="755"/>
      <c r="P171" s="755"/>
      <c r="Q171" s="755"/>
      <c r="R171" s="755"/>
      <c r="S171" s="799"/>
      <c r="T171" s="801"/>
      <c r="U171" s="734"/>
      <c r="V171" s="67" t="s">
        <v>17</v>
      </c>
      <c r="W171" s="108">
        <v>5700</v>
      </c>
      <c r="X171" s="67" t="s">
        <v>8</v>
      </c>
      <c r="Y171" s="153">
        <f>15401.1*0.58</f>
        <v>8932.637999999999</v>
      </c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</row>
    <row r="172" spans="1:44" ht="45" x14ac:dyDescent="0.25">
      <c r="A172" s="734"/>
      <c r="B172" s="736"/>
      <c r="C172" s="739"/>
      <c r="D172" s="742"/>
      <c r="E172" s="742"/>
      <c r="F172" s="739"/>
      <c r="G172" s="745"/>
      <c r="H172" s="753"/>
      <c r="I172" s="755"/>
      <c r="J172" s="782"/>
      <c r="K172" s="755"/>
      <c r="L172" s="755"/>
      <c r="M172" s="755"/>
      <c r="N172" s="755"/>
      <c r="O172" s="755"/>
      <c r="P172" s="755"/>
      <c r="Q172" s="755"/>
      <c r="R172" s="755"/>
      <c r="S172" s="799"/>
      <c r="T172" s="801"/>
      <c r="U172" s="734"/>
      <c r="V172" s="67" t="s">
        <v>46</v>
      </c>
      <c r="W172" s="108">
        <v>369</v>
      </c>
      <c r="X172" s="67" t="s">
        <v>16</v>
      </c>
      <c r="Y172" s="153">
        <v>461.3</v>
      </c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</row>
    <row r="173" spans="1:44" x14ac:dyDescent="0.25">
      <c r="A173" s="706">
        <v>33</v>
      </c>
      <c r="B173" s="735">
        <v>2220181</v>
      </c>
      <c r="C173" s="738" t="s">
        <v>268</v>
      </c>
      <c r="D173" s="741">
        <f>F173</f>
        <v>1.135</v>
      </c>
      <c r="E173" s="741">
        <f>G173</f>
        <v>11000</v>
      </c>
      <c r="F173" s="738">
        <v>1.135</v>
      </c>
      <c r="G173" s="744">
        <v>11000</v>
      </c>
      <c r="H173" s="761"/>
      <c r="I173" s="762"/>
      <c r="J173" s="781"/>
      <c r="K173" s="762"/>
      <c r="L173" s="762"/>
      <c r="M173" s="762"/>
      <c r="N173" s="762"/>
      <c r="O173" s="762"/>
      <c r="P173" s="762"/>
      <c r="Q173" s="762"/>
      <c r="R173" s="762"/>
      <c r="S173" s="798"/>
      <c r="T173" s="800" t="s">
        <v>255</v>
      </c>
      <c r="U173" s="706" t="s">
        <v>322</v>
      </c>
      <c r="V173" s="706" t="s">
        <v>11</v>
      </c>
      <c r="W173" s="117">
        <v>1.135</v>
      </c>
      <c r="X173" s="67" t="s">
        <v>5</v>
      </c>
      <c r="Y173" s="750">
        <f>W174*0.956</f>
        <v>10516</v>
      </c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</row>
    <row r="174" spans="1:44" x14ac:dyDescent="0.25">
      <c r="A174" s="734"/>
      <c r="B174" s="736"/>
      <c r="C174" s="739"/>
      <c r="D174" s="742"/>
      <c r="E174" s="742"/>
      <c r="F174" s="739"/>
      <c r="G174" s="745"/>
      <c r="H174" s="753"/>
      <c r="I174" s="755"/>
      <c r="J174" s="782"/>
      <c r="K174" s="755"/>
      <c r="L174" s="755"/>
      <c r="M174" s="755"/>
      <c r="N174" s="755"/>
      <c r="O174" s="755"/>
      <c r="P174" s="755"/>
      <c r="Q174" s="755"/>
      <c r="R174" s="755"/>
      <c r="S174" s="799"/>
      <c r="T174" s="801"/>
      <c r="U174" s="734"/>
      <c r="V174" s="707"/>
      <c r="W174" s="108">
        <v>11000</v>
      </c>
      <c r="X174" s="67" t="s">
        <v>8</v>
      </c>
      <c r="Y174" s="752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</row>
    <row r="175" spans="1:44" x14ac:dyDescent="0.25">
      <c r="A175" s="734"/>
      <c r="B175" s="736"/>
      <c r="C175" s="739"/>
      <c r="D175" s="742"/>
      <c r="E175" s="742"/>
      <c r="F175" s="739"/>
      <c r="G175" s="745"/>
      <c r="H175" s="753"/>
      <c r="I175" s="755"/>
      <c r="J175" s="782"/>
      <c r="K175" s="755"/>
      <c r="L175" s="755"/>
      <c r="M175" s="755"/>
      <c r="N175" s="755"/>
      <c r="O175" s="755"/>
      <c r="P175" s="755"/>
      <c r="Q175" s="755"/>
      <c r="R175" s="755"/>
      <c r="S175" s="799"/>
      <c r="T175" s="801"/>
      <c r="U175" s="734"/>
      <c r="V175" s="67" t="s">
        <v>17</v>
      </c>
      <c r="W175" s="108">
        <v>5300</v>
      </c>
      <c r="X175" s="67" t="s">
        <v>8</v>
      </c>
      <c r="Y175" s="153">
        <f>11082.2*0.58</f>
        <v>6427.6760000000004</v>
      </c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</row>
    <row r="176" spans="1:44" ht="45" x14ac:dyDescent="0.25">
      <c r="A176" s="734"/>
      <c r="B176" s="736"/>
      <c r="C176" s="739"/>
      <c r="D176" s="742"/>
      <c r="E176" s="742"/>
      <c r="F176" s="739"/>
      <c r="G176" s="745"/>
      <c r="H176" s="753"/>
      <c r="I176" s="755"/>
      <c r="J176" s="782"/>
      <c r="K176" s="755"/>
      <c r="L176" s="755"/>
      <c r="M176" s="755"/>
      <c r="N176" s="755"/>
      <c r="O176" s="755"/>
      <c r="P176" s="755"/>
      <c r="Q176" s="755"/>
      <c r="R176" s="755"/>
      <c r="S176" s="799"/>
      <c r="T176" s="801"/>
      <c r="U176" s="734"/>
      <c r="V176" s="67" t="s">
        <v>46</v>
      </c>
      <c r="W176" s="108">
        <v>315</v>
      </c>
      <c r="X176" s="67" t="s">
        <v>16</v>
      </c>
      <c r="Y176" s="153">
        <v>393.8</v>
      </c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</row>
    <row r="177" spans="1:44" ht="30" x14ac:dyDescent="0.25">
      <c r="A177" s="707"/>
      <c r="B177" s="737"/>
      <c r="C177" s="740"/>
      <c r="D177" s="743"/>
      <c r="E177" s="743"/>
      <c r="F177" s="740"/>
      <c r="G177" s="746"/>
      <c r="H177" s="753"/>
      <c r="I177" s="755"/>
      <c r="J177" s="782"/>
      <c r="K177" s="755"/>
      <c r="L177" s="755"/>
      <c r="M177" s="755"/>
      <c r="N177" s="755"/>
      <c r="O177" s="755"/>
      <c r="P177" s="755"/>
      <c r="Q177" s="755"/>
      <c r="R177" s="755"/>
      <c r="S177" s="799"/>
      <c r="T177" s="802"/>
      <c r="U177" s="707"/>
      <c r="V177" s="128" t="s">
        <v>250</v>
      </c>
      <c r="W177" s="108">
        <v>1</v>
      </c>
      <c r="X177" s="108" t="s">
        <v>251</v>
      </c>
      <c r="Y177" s="153">
        <v>100</v>
      </c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</row>
    <row r="178" spans="1:44" x14ac:dyDescent="0.25">
      <c r="A178" s="706">
        <v>34</v>
      </c>
      <c r="B178" s="735">
        <v>2229366</v>
      </c>
      <c r="C178" s="738" t="s">
        <v>323</v>
      </c>
      <c r="D178" s="741">
        <f>F178</f>
        <v>1.4319999999999999</v>
      </c>
      <c r="E178" s="741">
        <f>G178</f>
        <v>12870</v>
      </c>
      <c r="F178" s="738">
        <v>1.4319999999999999</v>
      </c>
      <c r="G178" s="744">
        <v>12870</v>
      </c>
      <c r="H178" s="761"/>
      <c r="I178" s="762"/>
      <c r="J178" s="781"/>
      <c r="K178" s="762"/>
      <c r="L178" s="762"/>
      <c r="M178" s="762"/>
      <c r="N178" s="762"/>
      <c r="O178" s="762"/>
      <c r="P178" s="762"/>
      <c r="Q178" s="762"/>
      <c r="R178" s="762"/>
      <c r="S178" s="798"/>
      <c r="T178" s="800" t="s">
        <v>291</v>
      </c>
      <c r="U178" s="706" t="s">
        <v>255</v>
      </c>
      <c r="V178" s="706" t="s">
        <v>11</v>
      </c>
      <c r="W178" s="117">
        <v>1.4319999999999999</v>
      </c>
      <c r="X178" s="67" t="s">
        <v>5</v>
      </c>
      <c r="Y178" s="750">
        <f>W179*0.956</f>
        <v>12303.72</v>
      </c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</row>
    <row r="179" spans="1:44" x14ac:dyDescent="0.25">
      <c r="A179" s="734"/>
      <c r="B179" s="736"/>
      <c r="C179" s="739"/>
      <c r="D179" s="742"/>
      <c r="E179" s="742"/>
      <c r="F179" s="739"/>
      <c r="G179" s="745"/>
      <c r="H179" s="753"/>
      <c r="I179" s="755"/>
      <c r="J179" s="782"/>
      <c r="K179" s="755"/>
      <c r="L179" s="755"/>
      <c r="M179" s="755"/>
      <c r="N179" s="755"/>
      <c r="O179" s="755"/>
      <c r="P179" s="755"/>
      <c r="Q179" s="755"/>
      <c r="R179" s="755"/>
      <c r="S179" s="799"/>
      <c r="T179" s="801"/>
      <c r="U179" s="734"/>
      <c r="V179" s="707"/>
      <c r="W179" s="108">
        <v>12870</v>
      </c>
      <c r="X179" s="67" t="s">
        <v>8</v>
      </c>
      <c r="Y179" s="752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</row>
    <row r="180" spans="1:44" x14ac:dyDescent="0.25">
      <c r="A180" s="734"/>
      <c r="B180" s="736"/>
      <c r="C180" s="739"/>
      <c r="D180" s="742"/>
      <c r="E180" s="742"/>
      <c r="F180" s="739"/>
      <c r="G180" s="745"/>
      <c r="H180" s="753"/>
      <c r="I180" s="755"/>
      <c r="J180" s="782"/>
      <c r="K180" s="755"/>
      <c r="L180" s="755"/>
      <c r="M180" s="755"/>
      <c r="N180" s="755"/>
      <c r="O180" s="755"/>
      <c r="P180" s="755"/>
      <c r="Q180" s="755"/>
      <c r="R180" s="755"/>
      <c r="S180" s="799"/>
      <c r="T180" s="801"/>
      <c r="U180" s="734"/>
      <c r="V180" s="67" t="s">
        <v>17</v>
      </c>
      <c r="W180" s="108">
        <v>8400</v>
      </c>
      <c r="X180" s="67" t="s">
        <v>8</v>
      </c>
      <c r="Y180" s="153">
        <f>17546.7*0.58</f>
        <v>10177.085999999999</v>
      </c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</row>
    <row r="181" spans="1:44" ht="45" x14ac:dyDescent="0.25">
      <c r="A181" s="707"/>
      <c r="B181" s="737"/>
      <c r="C181" s="740"/>
      <c r="D181" s="743"/>
      <c r="E181" s="743"/>
      <c r="F181" s="740"/>
      <c r="G181" s="746"/>
      <c r="H181" s="753"/>
      <c r="I181" s="755"/>
      <c r="J181" s="782"/>
      <c r="K181" s="755"/>
      <c r="L181" s="755"/>
      <c r="M181" s="755"/>
      <c r="N181" s="755"/>
      <c r="O181" s="755"/>
      <c r="P181" s="755"/>
      <c r="Q181" s="755"/>
      <c r="R181" s="755"/>
      <c r="S181" s="799"/>
      <c r="T181" s="802"/>
      <c r="U181" s="707"/>
      <c r="V181" s="67" t="s">
        <v>46</v>
      </c>
      <c r="W181" s="108">
        <v>370</v>
      </c>
      <c r="X181" s="67" t="s">
        <v>16</v>
      </c>
      <c r="Y181" s="153">
        <v>462.5</v>
      </c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</row>
    <row r="182" spans="1:44" x14ac:dyDescent="0.25">
      <c r="A182" s="706">
        <v>35</v>
      </c>
      <c r="B182" s="735">
        <v>2226713</v>
      </c>
      <c r="C182" s="738" t="s">
        <v>324</v>
      </c>
      <c r="D182" s="741">
        <f>F182</f>
        <v>2.7229999999999999</v>
      </c>
      <c r="E182" s="741">
        <f>G182</f>
        <v>49000</v>
      </c>
      <c r="F182" s="738">
        <v>2.7229999999999999</v>
      </c>
      <c r="G182" s="744">
        <v>49000</v>
      </c>
      <c r="H182" s="761"/>
      <c r="I182" s="762"/>
      <c r="J182" s="781"/>
      <c r="K182" s="762"/>
      <c r="L182" s="762"/>
      <c r="M182" s="762"/>
      <c r="N182" s="762"/>
      <c r="O182" s="762"/>
      <c r="P182" s="762"/>
      <c r="Q182" s="97"/>
      <c r="R182" s="97"/>
      <c r="S182" s="172"/>
      <c r="T182" s="800" t="s">
        <v>325</v>
      </c>
      <c r="U182" s="706" t="s">
        <v>326</v>
      </c>
      <c r="V182" s="706" t="s">
        <v>11</v>
      </c>
      <c r="W182" s="117">
        <v>2.7229999999999999</v>
      </c>
      <c r="X182" s="67" t="s">
        <v>5</v>
      </c>
      <c r="Y182" s="750">
        <f>W183*0.956</f>
        <v>46844</v>
      </c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</row>
    <row r="183" spans="1:44" x14ac:dyDescent="0.25">
      <c r="A183" s="734"/>
      <c r="B183" s="736"/>
      <c r="C183" s="739"/>
      <c r="D183" s="742"/>
      <c r="E183" s="742"/>
      <c r="F183" s="739"/>
      <c r="G183" s="745"/>
      <c r="H183" s="753"/>
      <c r="I183" s="755"/>
      <c r="J183" s="782"/>
      <c r="K183" s="755"/>
      <c r="L183" s="755"/>
      <c r="M183" s="755"/>
      <c r="N183" s="755"/>
      <c r="O183" s="755"/>
      <c r="P183" s="755"/>
      <c r="Q183" s="135"/>
      <c r="R183" s="135"/>
      <c r="S183" s="173"/>
      <c r="T183" s="801"/>
      <c r="U183" s="734"/>
      <c r="V183" s="707"/>
      <c r="W183" s="108">
        <v>49000</v>
      </c>
      <c r="X183" s="67" t="s">
        <v>8</v>
      </c>
      <c r="Y183" s="752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</row>
    <row r="184" spans="1:44" x14ac:dyDescent="0.25">
      <c r="A184" s="734"/>
      <c r="B184" s="736"/>
      <c r="C184" s="739"/>
      <c r="D184" s="742"/>
      <c r="E184" s="742"/>
      <c r="F184" s="739"/>
      <c r="G184" s="745"/>
      <c r="H184" s="753"/>
      <c r="I184" s="755"/>
      <c r="J184" s="782"/>
      <c r="K184" s="755"/>
      <c r="L184" s="755"/>
      <c r="M184" s="755"/>
      <c r="N184" s="755"/>
      <c r="O184" s="755"/>
      <c r="P184" s="755"/>
      <c r="Q184" s="135"/>
      <c r="R184" s="135"/>
      <c r="S184" s="173"/>
      <c r="T184" s="801"/>
      <c r="U184" s="734"/>
      <c r="V184" s="67" t="s">
        <v>17</v>
      </c>
      <c r="W184" s="108">
        <v>16200</v>
      </c>
      <c r="X184" s="67" t="s">
        <v>8</v>
      </c>
      <c r="Y184" s="153">
        <f>29352.9*0.58</f>
        <v>17024.682000000001</v>
      </c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</row>
    <row r="185" spans="1:44" ht="45" x14ac:dyDescent="0.25">
      <c r="A185" s="734"/>
      <c r="B185" s="736"/>
      <c r="C185" s="739"/>
      <c r="D185" s="742"/>
      <c r="E185" s="742"/>
      <c r="F185" s="739"/>
      <c r="G185" s="745"/>
      <c r="H185" s="753"/>
      <c r="I185" s="755"/>
      <c r="J185" s="782"/>
      <c r="K185" s="755"/>
      <c r="L185" s="755"/>
      <c r="M185" s="755"/>
      <c r="N185" s="755"/>
      <c r="O185" s="755"/>
      <c r="P185" s="755"/>
      <c r="Q185" s="135"/>
      <c r="R185" s="135"/>
      <c r="S185" s="173"/>
      <c r="T185" s="801"/>
      <c r="U185" s="734"/>
      <c r="V185" s="67" t="s">
        <v>46</v>
      </c>
      <c r="W185" s="108">
        <v>828</v>
      </c>
      <c r="X185" s="67" t="s">
        <v>16</v>
      </c>
      <c r="Y185" s="153">
        <v>1035</v>
      </c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</row>
    <row r="186" spans="1:44" ht="30" x14ac:dyDescent="0.25">
      <c r="A186" s="707"/>
      <c r="B186" s="737"/>
      <c r="C186" s="740"/>
      <c r="D186" s="743"/>
      <c r="E186" s="743"/>
      <c r="F186" s="740"/>
      <c r="G186" s="746"/>
      <c r="H186" s="753"/>
      <c r="I186" s="755"/>
      <c r="J186" s="782"/>
      <c r="K186" s="755"/>
      <c r="L186" s="755"/>
      <c r="M186" s="755"/>
      <c r="N186" s="755"/>
      <c r="O186" s="755"/>
      <c r="P186" s="755"/>
      <c r="Q186" s="135"/>
      <c r="R186" s="135"/>
      <c r="S186" s="173"/>
      <c r="T186" s="802"/>
      <c r="U186" s="707"/>
      <c r="V186" s="128" t="s">
        <v>250</v>
      </c>
      <c r="W186" s="108">
        <v>8</v>
      </c>
      <c r="X186" s="108" t="s">
        <v>251</v>
      </c>
      <c r="Y186" s="153">
        <v>800</v>
      </c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</row>
    <row r="187" spans="1:44" x14ac:dyDescent="0.25">
      <c r="A187" s="706">
        <v>36</v>
      </c>
      <c r="B187" s="706">
        <v>2227841</v>
      </c>
      <c r="C187" s="741" t="s">
        <v>286</v>
      </c>
      <c r="D187" s="741">
        <f>F187</f>
        <v>3.6</v>
      </c>
      <c r="E187" s="741">
        <f>G187</f>
        <v>86400</v>
      </c>
      <c r="F187" s="738">
        <v>3.6</v>
      </c>
      <c r="G187" s="758">
        <v>86400</v>
      </c>
      <c r="H187" s="761"/>
      <c r="I187" s="762"/>
      <c r="J187" s="174"/>
      <c r="K187" s="762"/>
      <c r="L187" s="702"/>
      <c r="M187" s="804"/>
      <c r="N187" s="762"/>
      <c r="O187" s="762"/>
      <c r="P187" s="702"/>
      <c r="Q187" s="175"/>
      <c r="R187" s="94"/>
      <c r="S187" s="807"/>
      <c r="T187" s="763" t="s">
        <v>265</v>
      </c>
      <c r="U187" s="750" t="s">
        <v>293</v>
      </c>
      <c r="V187" s="706" t="s">
        <v>11</v>
      </c>
      <c r="W187" s="144">
        <v>3.6</v>
      </c>
      <c r="X187" s="67" t="s">
        <v>5</v>
      </c>
      <c r="Y187" s="750">
        <f>W188*0.956</f>
        <v>82598.399999999994</v>
      </c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</row>
    <row r="188" spans="1:44" x14ac:dyDescent="0.25">
      <c r="A188" s="734"/>
      <c r="B188" s="734"/>
      <c r="C188" s="742"/>
      <c r="D188" s="742"/>
      <c r="E188" s="742"/>
      <c r="F188" s="739"/>
      <c r="G188" s="759"/>
      <c r="H188" s="753"/>
      <c r="I188" s="755"/>
      <c r="J188" s="176"/>
      <c r="K188" s="755"/>
      <c r="L188" s="703"/>
      <c r="M188" s="805"/>
      <c r="N188" s="755"/>
      <c r="O188" s="755"/>
      <c r="P188" s="703"/>
      <c r="Q188" s="136"/>
      <c r="R188" s="119"/>
      <c r="S188" s="808"/>
      <c r="T188" s="764"/>
      <c r="U188" s="751"/>
      <c r="V188" s="707"/>
      <c r="W188" s="177">
        <v>86400</v>
      </c>
      <c r="X188" s="67" t="s">
        <v>8</v>
      </c>
      <c r="Y188" s="752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</row>
    <row r="189" spans="1:44" x14ac:dyDescent="0.25">
      <c r="A189" s="734"/>
      <c r="B189" s="734"/>
      <c r="C189" s="742"/>
      <c r="D189" s="742"/>
      <c r="E189" s="742"/>
      <c r="F189" s="739"/>
      <c r="G189" s="759"/>
      <c r="H189" s="753"/>
      <c r="I189" s="755"/>
      <c r="J189" s="176"/>
      <c r="K189" s="755"/>
      <c r="L189" s="703"/>
      <c r="M189" s="805"/>
      <c r="N189" s="755"/>
      <c r="O189" s="755"/>
      <c r="P189" s="119"/>
      <c r="Q189" s="136"/>
      <c r="R189" s="119"/>
      <c r="S189" s="178"/>
      <c r="T189" s="764"/>
      <c r="U189" s="751"/>
      <c r="V189" s="67" t="s">
        <v>17</v>
      </c>
      <c r="W189" s="179">
        <v>6000</v>
      </c>
      <c r="X189" s="67" t="s">
        <v>8</v>
      </c>
      <c r="Y189" s="146">
        <f>12533.3*0.58</f>
        <v>7269.3139999999994</v>
      </c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</row>
    <row r="190" spans="1:44" ht="45" x14ac:dyDescent="0.25">
      <c r="A190" s="734"/>
      <c r="B190" s="734"/>
      <c r="C190" s="742"/>
      <c r="D190" s="742"/>
      <c r="E190" s="742"/>
      <c r="F190" s="739"/>
      <c r="G190" s="759"/>
      <c r="H190" s="753"/>
      <c r="I190" s="755"/>
      <c r="J190" s="703"/>
      <c r="K190" s="755"/>
      <c r="L190" s="703"/>
      <c r="M190" s="805"/>
      <c r="N190" s="755"/>
      <c r="O190" s="755"/>
      <c r="P190" s="119"/>
      <c r="Q190" s="135"/>
      <c r="R190" s="119"/>
      <c r="S190" s="178"/>
      <c r="T190" s="764"/>
      <c r="U190" s="751"/>
      <c r="V190" s="67" t="s">
        <v>46</v>
      </c>
      <c r="W190" s="108">
        <v>3700</v>
      </c>
      <c r="X190" s="67" t="s">
        <v>16</v>
      </c>
      <c r="Y190" s="146">
        <v>4625</v>
      </c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</row>
    <row r="191" spans="1:44" ht="30" x14ac:dyDescent="0.25">
      <c r="A191" s="734"/>
      <c r="B191" s="734"/>
      <c r="C191" s="742"/>
      <c r="D191" s="742"/>
      <c r="E191" s="742"/>
      <c r="F191" s="739"/>
      <c r="G191" s="759"/>
      <c r="H191" s="753"/>
      <c r="I191" s="755"/>
      <c r="J191" s="703"/>
      <c r="K191" s="755"/>
      <c r="L191" s="703"/>
      <c r="M191" s="805"/>
      <c r="N191" s="755"/>
      <c r="O191" s="755"/>
      <c r="P191" s="149"/>
      <c r="Q191" s="135"/>
      <c r="R191" s="135"/>
      <c r="S191" s="178"/>
      <c r="T191" s="764"/>
      <c r="U191" s="751"/>
      <c r="V191" s="128" t="s">
        <v>250</v>
      </c>
      <c r="W191" s="108">
        <v>10</v>
      </c>
      <c r="X191" s="108" t="s">
        <v>251</v>
      </c>
      <c r="Y191" s="146">
        <v>1000</v>
      </c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</row>
    <row r="192" spans="1:44" ht="30" x14ac:dyDescent="0.25">
      <c r="A192" s="707"/>
      <c r="B192" s="707"/>
      <c r="C192" s="743"/>
      <c r="D192" s="743"/>
      <c r="E192" s="743"/>
      <c r="F192" s="740"/>
      <c r="G192" s="760"/>
      <c r="H192" s="754"/>
      <c r="I192" s="756"/>
      <c r="J192" s="803"/>
      <c r="K192" s="756"/>
      <c r="L192" s="803"/>
      <c r="M192" s="806"/>
      <c r="N192" s="756"/>
      <c r="O192" s="756"/>
      <c r="P192" s="157"/>
      <c r="Q192" s="138"/>
      <c r="R192" s="138"/>
      <c r="S192" s="180"/>
      <c r="T192" s="764"/>
      <c r="U192" s="751"/>
      <c r="V192" s="181" t="s">
        <v>266</v>
      </c>
      <c r="W192" s="134">
        <f>4+8+4+8+6+2+8+8</f>
        <v>48</v>
      </c>
      <c r="X192" s="134" t="s">
        <v>251</v>
      </c>
      <c r="Y192" s="182">
        <v>12000</v>
      </c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</row>
    <row r="193" spans="1:44" x14ac:dyDescent="0.25">
      <c r="A193" s="706">
        <v>37</v>
      </c>
      <c r="B193" s="735">
        <v>2228356</v>
      </c>
      <c r="C193" s="731" t="s">
        <v>327</v>
      </c>
      <c r="D193" s="741">
        <f>F193</f>
        <v>2.1629999999999998</v>
      </c>
      <c r="E193" s="741">
        <f>G193</f>
        <v>43260</v>
      </c>
      <c r="F193" s="738">
        <v>2.1629999999999998</v>
      </c>
      <c r="G193" s="758">
        <v>43260</v>
      </c>
      <c r="H193" s="761"/>
      <c r="I193" s="762"/>
      <c r="J193" s="781"/>
      <c r="K193" s="762"/>
      <c r="L193" s="762"/>
      <c r="M193" s="762"/>
      <c r="N193" s="762"/>
      <c r="O193" s="762"/>
      <c r="P193" s="762"/>
      <c r="Q193" s="762"/>
      <c r="R193" s="762"/>
      <c r="S193" s="809"/>
      <c r="T193" s="811"/>
      <c r="U193" s="811"/>
      <c r="V193" s="811"/>
      <c r="W193" s="811"/>
      <c r="X193" s="811"/>
      <c r="Y193" s="813"/>
      <c r="Z193" s="800" t="s">
        <v>328</v>
      </c>
      <c r="AA193" s="706" t="s">
        <v>297</v>
      </c>
      <c r="AB193" s="706" t="s">
        <v>11</v>
      </c>
      <c r="AC193" s="67">
        <v>2.1629999999999998</v>
      </c>
      <c r="AD193" s="67" t="s">
        <v>5</v>
      </c>
      <c r="AE193" s="750">
        <f>AC194*1.35</f>
        <v>58401.000000000007</v>
      </c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</row>
    <row r="194" spans="1:44" x14ac:dyDescent="0.25">
      <c r="A194" s="734"/>
      <c r="B194" s="736"/>
      <c r="C194" s="731"/>
      <c r="D194" s="742"/>
      <c r="E194" s="742"/>
      <c r="F194" s="739"/>
      <c r="G194" s="759"/>
      <c r="H194" s="753"/>
      <c r="I194" s="755"/>
      <c r="J194" s="782"/>
      <c r="K194" s="755"/>
      <c r="L194" s="755"/>
      <c r="M194" s="755"/>
      <c r="N194" s="755"/>
      <c r="O194" s="755"/>
      <c r="P194" s="755"/>
      <c r="Q194" s="755"/>
      <c r="R194" s="755"/>
      <c r="S194" s="810"/>
      <c r="T194" s="812"/>
      <c r="U194" s="812"/>
      <c r="V194" s="812"/>
      <c r="W194" s="812"/>
      <c r="X194" s="812"/>
      <c r="Y194" s="814"/>
      <c r="Z194" s="801"/>
      <c r="AA194" s="734"/>
      <c r="AB194" s="707"/>
      <c r="AC194" s="108">
        <v>43260</v>
      </c>
      <c r="AD194" s="67" t="s">
        <v>8</v>
      </c>
      <c r="AE194" s="752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</row>
    <row r="195" spans="1:44" ht="30" x14ac:dyDescent="0.25">
      <c r="A195" s="734"/>
      <c r="B195" s="736"/>
      <c r="C195" s="731"/>
      <c r="D195" s="742"/>
      <c r="E195" s="742"/>
      <c r="F195" s="739"/>
      <c r="G195" s="759"/>
      <c r="H195" s="753"/>
      <c r="I195" s="755"/>
      <c r="J195" s="782"/>
      <c r="K195" s="755"/>
      <c r="L195" s="755"/>
      <c r="M195" s="755"/>
      <c r="N195" s="755"/>
      <c r="O195" s="755"/>
      <c r="P195" s="755"/>
      <c r="Q195" s="755"/>
      <c r="R195" s="755"/>
      <c r="S195" s="810"/>
      <c r="T195" s="812"/>
      <c r="U195" s="812"/>
      <c r="V195" s="812"/>
      <c r="W195" s="812"/>
      <c r="X195" s="812"/>
      <c r="Y195" s="814"/>
      <c r="Z195" s="801"/>
      <c r="AA195" s="734"/>
      <c r="AB195" s="128" t="s">
        <v>250</v>
      </c>
      <c r="AC195" s="67">
        <v>4</v>
      </c>
      <c r="AD195" s="108" t="s">
        <v>251</v>
      </c>
      <c r="AE195" s="108">
        <v>400</v>
      </c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</row>
    <row r="196" spans="1:44" x14ac:dyDescent="0.25">
      <c r="A196" s="734"/>
      <c r="B196" s="736"/>
      <c r="C196" s="731"/>
      <c r="D196" s="742"/>
      <c r="E196" s="742"/>
      <c r="F196" s="739"/>
      <c r="G196" s="759"/>
      <c r="H196" s="753"/>
      <c r="I196" s="755"/>
      <c r="J196" s="782"/>
      <c r="K196" s="755"/>
      <c r="L196" s="755"/>
      <c r="M196" s="755"/>
      <c r="N196" s="755"/>
      <c r="O196" s="755"/>
      <c r="P196" s="755"/>
      <c r="Q196" s="755"/>
      <c r="R196" s="755"/>
      <c r="S196" s="810"/>
      <c r="T196" s="812"/>
      <c r="U196" s="812"/>
      <c r="V196" s="812"/>
      <c r="W196" s="812"/>
      <c r="X196" s="812"/>
      <c r="Y196" s="814"/>
      <c r="Z196" s="801"/>
      <c r="AA196" s="734"/>
      <c r="AB196" s="67" t="s">
        <v>17</v>
      </c>
      <c r="AC196" s="67">
        <v>12000</v>
      </c>
      <c r="AD196" s="67" t="s">
        <v>8</v>
      </c>
      <c r="AE196" s="125">
        <f>25066.7*0.7</f>
        <v>17546.689999999999</v>
      </c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</row>
    <row r="197" spans="1:44" ht="45" x14ac:dyDescent="0.25">
      <c r="A197" s="707"/>
      <c r="B197" s="737"/>
      <c r="C197" s="731"/>
      <c r="D197" s="743"/>
      <c r="E197" s="743"/>
      <c r="F197" s="740"/>
      <c r="G197" s="760"/>
      <c r="H197" s="753"/>
      <c r="I197" s="755"/>
      <c r="J197" s="782"/>
      <c r="K197" s="755"/>
      <c r="L197" s="755"/>
      <c r="M197" s="755"/>
      <c r="N197" s="755"/>
      <c r="O197" s="755"/>
      <c r="P197" s="755"/>
      <c r="Q197" s="755"/>
      <c r="R197" s="755"/>
      <c r="S197" s="810"/>
      <c r="T197" s="812"/>
      <c r="U197" s="812"/>
      <c r="V197" s="812"/>
      <c r="W197" s="812"/>
      <c r="X197" s="812"/>
      <c r="Y197" s="814"/>
      <c r="Z197" s="802"/>
      <c r="AA197" s="707"/>
      <c r="AB197" s="67" t="s">
        <v>46</v>
      </c>
      <c r="AC197" s="67">
        <v>1200</v>
      </c>
      <c r="AD197" s="67" t="s">
        <v>16</v>
      </c>
      <c r="AE197" s="108">
        <v>1500</v>
      </c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</row>
    <row r="198" spans="1:44" x14ac:dyDescent="0.25">
      <c r="A198" s="706">
        <v>38</v>
      </c>
      <c r="B198" s="735">
        <v>2226132</v>
      </c>
      <c r="C198" s="738" t="s">
        <v>317</v>
      </c>
      <c r="D198" s="741">
        <f>F198</f>
        <v>1.29</v>
      </c>
      <c r="E198" s="741">
        <f>G198</f>
        <v>13000</v>
      </c>
      <c r="F198" s="738">
        <v>1.29</v>
      </c>
      <c r="G198" s="744">
        <v>13000</v>
      </c>
      <c r="H198" s="761"/>
      <c r="I198" s="762"/>
      <c r="J198" s="781"/>
      <c r="K198" s="762"/>
      <c r="L198" s="762"/>
      <c r="M198" s="762"/>
      <c r="N198" s="762"/>
      <c r="O198" s="762"/>
      <c r="P198" s="762"/>
      <c r="Q198" s="762"/>
      <c r="R198" s="762"/>
      <c r="S198" s="809"/>
      <c r="T198" s="702"/>
      <c r="U198" s="702"/>
      <c r="V198" s="702"/>
      <c r="W198" s="702"/>
      <c r="X198" s="702"/>
      <c r="Y198" s="800"/>
      <c r="Z198" s="800" t="s">
        <v>329</v>
      </c>
      <c r="AA198" s="706" t="s">
        <v>330</v>
      </c>
      <c r="AB198" s="706" t="s">
        <v>11</v>
      </c>
      <c r="AC198" s="117">
        <v>1.29</v>
      </c>
      <c r="AD198" s="67" t="s">
        <v>5</v>
      </c>
      <c r="AE198" s="750">
        <f>AC199*1.35</f>
        <v>17550</v>
      </c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</row>
    <row r="199" spans="1:44" x14ac:dyDescent="0.25">
      <c r="A199" s="734"/>
      <c r="B199" s="736"/>
      <c r="C199" s="739"/>
      <c r="D199" s="742"/>
      <c r="E199" s="742"/>
      <c r="F199" s="739"/>
      <c r="G199" s="745"/>
      <c r="H199" s="753"/>
      <c r="I199" s="755"/>
      <c r="J199" s="782"/>
      <c r="K199" s="755"/>
      <c r="L199" s="755"/>
      <c r="M199" s="755"/>
      <c r="N199" s="755"/>
      <c r="O199" s="755"/>
      <c r="P199" s="755"/>
      <c r="Q199" s="755"/>
      <c r="R199" s="755"/>
      <c r="S199" s="810"/>
      <c r="T199" s="703"/>
      <c r="U199" s="703"/>
      <c r="V199" s="703"/>
      <c r="W199" s="703"/>
      <c r="X199" s="703"/>
      <c r="Y199" s="801"/>
      <c r="Z199" s="801"/>
      <c r="AA199" s="734"/>
      <c r="AB199" s="707"/>
      <c r="AC199" s="88">
        <v>13000</v>
      </c>
      <c r="AD199" s="67" t="s">
        <v>8</v>
      </c>
      <c r="AE199" s="752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</row>
    <row r="200" spans="1:44" ht="30" x14ac:dyDescent="0.25">
      <c r="A200" s="734"/>
      <c r="B200" s="736"/>
      <c r="C200" s="739"/>
      <c r="D200" s="742"/>
      <c r="E200" s="742"/>
      <c r="F200" s="739"/>
      <c r="G200" s="745"/>
      <c r="H200" s="753"/>
      <c r="I200" s="755"/>
      <c r="J200" s="782"/>
      <c r="K200" s="755"/>
      <c r="L200" s="755"/>
      <c r="M200" s="755"/>
      <c r="N200" s="755"/>
      <c r="O200" s="755"/>
      <c r="P200" s="755"/>
      <c r="Q200" s="755"/>
      <c r="R200" s="755"/>
      <c r="S200" s="810"/>
      <c r="T200" s="703"/>
      <c r="U200" s="703"/>
      <c r="V200" s="703"/>
      <c r="W200" s="703"/>
      <c r="X200" s="703"/>
      <c r="Y200" s="801"/>
      <c r="Z200" s="801"/>
      <c r="AA200" s="734"/>
      <c r="AB200" s="128" t="s">
        <v>250</v>
      </c>
      <c r="AC200" s="67">
        <v>4</v>
      </c>
      <c r="AD200" s="108" t="s">
        <v>251</v>
      </c>
      <c r="AE200" s="108">
        <v>400</v>
      </c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</row>
    <row r="201" spans="1:44" x14ac:dyDescent="0.25">
      <c r="A201" s="734"/>
      <c r="B201" s="736"/>
      <c r="C201" s="739"/>
      <c r="D201" s="742"/>
      <c r="E201" s="742"/>
      <c r="F201" s="739"/>
      <c r="G201" s="745"/>
      <c r="H201" s="753"/>
      <c r="I201" s="755"/>
      <c r="J201" s="782"/>
      <c r="K201" s="755"/>
      <c r="L201" s="755"/>
      <c r="M201" s="755"/>
      <c r="N201" s="755"/>
      <c r="O201" s="755"/>
      <c r="P201" s="755"/>
      <c r="Q201" s="755"/>
      <c r="R201" s="755"/>
      <c r="S201" s="810"/>
      <c r="T201" s="703"/>
      <c r="U201" s="703"/>
      <c r="V201" s="703"/>
      <c r="W201" s="703"/>
      <c r="X201" s="703"/>
      <c r="Y201" s="801"/>
      <c r="Z201" s="801"/>
      <c r="AA201" s="734"/>
      <c r="AB201" s="67" t="s">
        <v>17</v>
      </c>
      <c r="AC201" s="67">
        <v>5160</v>
      </c>
      <c r="AD201" s="67" t="s">
        <v>8</v>
      </c>
      <c r="AE201" s="125">
        <f>9709.6*0.7</f>
        <v>6796.72</v>
      </c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</row>
    <row r="202" spans="1:44" ht="45" x14ac:dyDescent="0.25">
      <c r="A202" s="707"/>
      <c r="B202" s="737"/>
      <c r="C202" s="740"/>
      <c r="D202" s="743"/>
      <c r="E202" s="743"/>
      <c r="F202" s="740"/>
      <c r="G202" s="746"/>
      <c r="H202" s="753"/>
      <c r="I202" s="755"/>
      <c r="J202" s="782"/>
      <c r="K202" s="755"/>
      <c r="L202" s="755"/>
      <c r="M202" s="755"/>
      <c r="N202" s="755"/>
      <c r="O202" s="755"/>
      <c r="P202" s="755"/>
      <c r="Q202" s="755"/>
      <c r="R202" s="755"/>
      <c r="S202" s="810"/>
      <c r="T202" s="703"/>
      <c r="U202" s="703"/>
      <c r="V202" s="703"/>
      <c r="W202" s="703"/>
      <c r="X202" s="703"/>
      <c r="Y202" s="801"/>
      <c r="Z202" s="802"/>
      <c r="AA202" s="707"/>
      <c r="AB202" s="67" t="s">
        <v>46</v>
      </c>
      <c r="AC202" s="67">
        <v>240</v>
      </c>
      <c r="AD202" s="67" t="s">
        <v>16</v>
      </c>
      <c r="AE202" s="108">
        <v>300</v>
      </c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</row>
    <row r="203" spans="1:44" x14ac:dyDescent="0.25">
      <c r="A203" s="706">
        <v>39</v>
      </c>
      <c r="B203" s="735">
        <v>2223545</v>
      </c>
      <c r="C203" s="738" t="s">
        <v>331</v>
      </c>
      <c r="D203" s="741">
        <f>F203</f>
        <v>1.87</v>
      </c>
      <c r="E203" s="741">
        <f>G203</f>
        <v>17000</v>
      </c>
      <c r="F203" s="738">
        <v>1.87</v>
      </c>
      <c r="G203" s="744">
        <v>17000</v>
      </c>
      <c r="H203" s="761"/>
      <c r="I203" s="762"/>
      <c r="J203" s="781"/>
      <c r="K203" s="762"/>
      <c r="L203" s="762"/>
      <c r="M203" s="762"/>
      <c r="N203" s="762"/>
      <c r="O203" s="762"/>
      <c r="P203" s="762"/>
      <c r="Q203" s="762"/>
      <c r="R203" s="762"/>
      <c r="S203" s="809"/>
      <c r="T203" s="702"/>
      <c r="U203" s="702"/>
      <c r="V203" s="702"/>
      <c r="W203" s="702"/>
      <c r="X203" s="702"/>
      <c r="Y203" s="800"/>
      <c r="Z203" s="800" t="s">
        <v>332</v>
      </c>
      <c r="AA203" s="706" t="s">
        <v>333</v>
      </c>
      <c r="AB203" s="706" t="s">
        <v>11</v>
      </c>
      <c r="AC203" s="117">
        <v>1.87</v>
      </c>
      <c r="AD203" s="67" t="s">
        <v>5</v>
      </c>
      <c r="AE203" s="750">
        <f>AC204*1.35</f>
        <v>22950</v>
      </c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</row>
    <row r="204" spans="1:44" x14ac:dyDescent="0.25">
      <c r="A204" s="734"/>
      <c r="B204" s="736"/>
      <c r="C204" s="739"/>
      <c r="D204" s="742"/>
      <c r="E204" s="742"/>
      <c r="F204" s="739"/>
      <c r="G204" s="745"/>
      <c r="H204" s="753"/>
      <c r="I204" s="755"/>
      <c r="J204" s="782"/>
      <c r="K204" s="755"/>
      <c r="L204" s="755"/>
      <c r="M204" s="755"/>
      <c r="N204" s="755"/>
      <c r="O204" s="755"/>
      <c r="P204" s="755"/>
      <c r="Q204" s="755"/>
      <c r="R204" s="755"/>
      <c r="S204" s="810"/>
      <c r="T204" s="703"/>
      <c r="U204" s="703"/>
      <c r="V204" s="703"/>
      <c r="W204" s="703"/>
      <c r="X204" s="703"/>
      <c r="Y204" s="801"/>
      <c r="Z204" s="801"/>
      <c r="AA204" s="734"/>
      <c r="AB204" s="707"/>
      <c r="AC204" s="88">
        <v>17000</v>
      </c>
      <c r="AD204" s="67" t="s">
        <v>8</v>
      </c>
      <c r="AE204" s="752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</row>
    <row r="205" spans="1:44" ht="30" x14ac:dyDescent="0.25">
      <c r="A205" s="734"/>
      <c r="B205" s="736"/>
      <c r="C205" s="739"/>
      <c r="D205" s="742"/>
      <c r="E205" s="742"/>
      <c r="F205" s="739"/>
      <c r="G205" s="745"/>
      <c r="H205" s="753"/>
      <c r="I205" s="755"/>
      <c r="J205" s="782"/>
      <c r="K205" s="755"/>
      <c r="L205" s="755"/>
      <c r="M205" s="755"/>
      <c r="N205" s="755"/>
      <c r="O205" s="755"/>
      <c r="P205" s="755"/>
      <c r="Q205" s="755"/>
      <c r="R205" s="755"/>
      <c r="S205" s="810"/>
      <c r="T205" s="703"/>
      <c r="U205" s="703"/>
      <c r="V205" s="703"/>
      <c r="W205" s="703"/>
      <c r="X205" s="703"/>
      <c r="Y205" s="801"/>
      <c r="Z205" s="801"/>
      <c r="AA205" s="734"/>
      <c r="AB205" s="128" t="s">
        <v>250</v>
      </c>
      <c r="AC205" s="67">
        <v>6</v>
      </c>
      <c r="AD205" s="108" t="s">
        <v>251</v>
      </c>
      <c r="AE205" s="108">
        <v>600</v>
      </c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</row>
    <row r="206" spans="1:44" x14ac:dyDescent="0.25">
      <c r="A206" s="734"/>
      <c r="B206" s="736"/>
      <c r="C206" s="739"/>
      <c r="D206" s="742"/>
      <c r="E206" s="742"/>
      <c r="F206" s="739"/>
      <c r="G206" s="745"/>
      <c r="H206" s="753"/>
      <c r="I206" s="755"/>
      <c r="J206" s="782"/>
      <c r="K206" s="755"/>
      <c r="L206" s="755"/>
      <c r="M206" s="755"/>
      <c r="N206" s="755"/>
      <c r="O206" s="755"/>
      <c r="P206" s="755"/>
      <c r="Q206" s="755"/>
      <c r="R206" s="755"/>
      <c r="S206" s="810"/>
      <c r="T206" s="703"/>
      <c r="U206" s="703"/>
      <c r="V206" s="703"/>
      <c r="W206" s="703"/>
      <c r="X206" s="703"/>
      <c r="Y206" s="801"/>
      <c r="Z206" s="801"/>
      <c r="AA206" s="734"/>
      <c r="AB206" s="67" t="s">
        <v>17</v>
      </c>
      <c r="AC206" s="67">
        <v>7480</v>
      </c>
      <c r="AD206" s="67" t="s">
        <v>8</v>
      </c>
      <c r="AE206" s="125">
        <f>20109.5*0.7</f>
        <v>14076.65</v>
      </c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</row>
    <row r="207" spans="1:44" ht="45" x14ac:dyDescent="0.25">
      <c r="A207" s="707"/>
      <c r="B207" s="737"/>
      <c r="C207" s="740"/>
      <c r="D207" s="743"/>
      <c r="E207" s="743"/>
      <c r="F207" s="740"/>
      <c r="G207" s="746"/>
      <c r="H207" s="753"/>
      <c r="I207" s="755"/>
      <c r="J207" s="782"/>
      <c r="K207" s="755"/>
      <c r="L207" s="755"/>
      <c r="M207" s="755"/>
      <c r="N207" s="755"/>
      <c r="O207" s="755"/>
      <c r="P207" s="755"/>
      <c r="Q207" s="755"/>
      <c r="R207" s="755"/>
      <c r="S207" s="810"/>
      <c r="T207" s="703"/>
      <c r="U207" s="703"/>
      <c r="V207" s="703"/>
      <c r="W207" s="703"/>
      <c r="X207" s="703"/>
      <c r="Y207" s="801"/>
      <c r="Z207" s="802"/>
      <c r="AA207" s="707"/>
      <c r="AB207" s="67" t="s">
        <v>46</v>
      </c>
      <c r="AC207" s="67">
        <v>475</v>
      </c>
      <c r="AD207" s="67" t="s">
        <v>16</v>
      </c>
      <c r="AE207" s="108">
        <v>593.79999999999995</v>
      </c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</row>
    <row r="208" spans="1:44" x14ac:dyDescent="0.25">
      <c r="A208" s="706">
        <v>40</v>
      </c>
      <c r="B208" s="735">
        <v>2220903</v>
      </c>
      <c r="C208" s="738" t="s">
        <v>334</v>
      </c>
      <c r="D208" s="741">
        <f>F208</f>
        <v>2.89</v>
      </c>
      <c r="E208" s="741">
        <f>G208</f>
        <v>26000</v>
      </c>
      <c r="F208" s="738">
        <v>2.89</v>
      </c>
      <c r="G208" s="744">
        <v>26000</v>
      </c>
      <c r="H208" s="761"/>
      <c r="I208" s="762"/>
      <c r="J208" s="781"/>
      <c r="K208" s="762"/>
      <c r="L208" s="762"/>
      <c r="M208" s="762"/>
      <c r="N208" s="762"/>
      <c r="O208" s="762"/>
      <c r="P208" s="762"/>
      <c r="Q208" s="762"/>
      <c r="R208" s="762"/>
      <c r="S208" s="809"/>
      <c r="T208" s="702"/>
      <c r="U208" s="702"/>
      <c r="V208" s="702"/>
      <c r="W208" s="702"/>
      <c r="X208" s="702"/>
      <c r="Y208" s="800"/>
      <c r="Z208" s="800" t="s">
        <v>335</v>
      </c>
      <c r="AA208" s="706" t="s">
        <v>300</v>
      </c>
      <c r="AB208" s="706" t="s">
        <v>11</v>
      </c>
      <c r="AC208" s="117">
        <v>2.89</v>
      </c>
      <c r="AD208" s="67" t="s">
        <v>5</v>
      </c>
      <c r="AE208" s="750">
        <f>AC209*1.35</f>
        <v>35100</v>
      </c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</row>
    <row r="209" spans="1:44" x14ac:dyDescent="0.25">
      <c r="A209" s="734"/>
      <c r="B209" s="736"/>
      <c r="C209" s="739"/>
      <c r="D209" s="742"/>
      <c r="E209" s="742"/>
      <c r="F209" s="739"/>
      <c r="G209" s="745"/>
      <c r="H209" s="753"/>
      <c r="I209" s="755"/>
      <c r="J209" s="782"/>
      <c r="K209" s="755"/>
      <c r="L209" s="755"/>
      <c r="M209" s="755"/>
      <c r="N209" s="755"/>
      <c r="O209" s="755"/>
      <c r="P209" s="755"/>
      <c r="Q209" s="755"/>
      <c r="R209" s="755"/>
      <c r="S209" s="810"/>
      <c r="T209" s="703"/>
      <c r="U209" s="703"/>
      <c r="V209" s="703"/>
      <c r="W209" s="703"/>
      <c r="X209" s="703"/>
      <c r="Y209" s="801"/>
      <c r="Z209" s="801"/>
      <c r="AA209" s="734"/>
      <c r="AB209" s="707"/>
      <c r="AC209" s="88">
        <v>26000</v>
      </c>
      <c r="AD209" s="67" t="s">
        <v>8</v>
      </c>
      <c r="AE209" s="752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</row>
    <row r="210" spans="1:44" ht="30" x14ac:dyDescent="0.25">
      <c r="A210" s="734"/>
      <c r="B210" s="736"/>
      <c r="C210" s="739"/>
      <c r="D210" s="742"/>
      <c r="E210" s="742"/>
      <c r="F210" s="739"/>
      <c r="G210" s="745"/>
      <c r="H210" s="753"/>
      <c r="I210" s="755"/>
      <c r="J210" s="782"/>
      <c r="K210" s="755"/>
      <c r="L210" s="755"/>
      <c r="M210" s="755"/>
      <c r="N210" s="755"/>
      <c r="O210" s="755"/>
      <c r="P210" s="755"/>
      <c r="Q210" s="755"/>
      <c r="R210" s="755"/>
      <c r="S210" s="810"/>
      <c r="T210" s="703"/>
      <c r="U210" s="703"/>
      <c r="V210" s="703"/>
      <c r="W210" s="703"/>
      <c r="X210" s="703"/>
      <c r="Y210" s="801"/>
      <c r="Z210" s="801"/>
      <c r="AA210" s="734"/>
      <c r="AB210" s="128" t="s">
        <v>250</v>
      </c>
      <c r="AC210" s="67">
        <v>4</v>
      </c>
      <c r="AD210" s="108" t="s">
        <v>251</v>
      </c>
      <c r="AE210" s="108">
        <v>400</v>
      </c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</row>
    <row r="211" spans="1:44" x14ac:dyDescent="0.25">
      <c r="A211" s="734"/>
      <c r="B211" s="736"/>
      <c r="C211" s="739"/>
      <c r="D211" s="742"/>
      <c r="E211" s="742"/>
      <c r="F211" s="739"/>
      <c r="G211" s="745"/>
      <c r="H211" s="753"/>
      <c r="I211" s="755"/>
      <c r="J211" s="782"/>
      <c r="K211" s="755"/>
      <c r="L211" s="755"/>
      <c r="M211" s="755"/>
      <c r="N211" s="755"/>
      <c r="O211" s="755"/>
      <c r="P211" s="755"/>
      <c r="Q211" s="755"/>
      <c r="R211" s="755"/>
      <c r="S211" s="810"/>
      <c r="T211" s="703"/>
      <c r="U211" s="703"/>
      <c r="V211" s="703"/>
      <c r="W211" s="703"/>
      <c r="X211" s="703"/>
      <c r="Y211" s="801"/>
      <c r="Z211" s="801"/>
      <c r="AA211" s="734"/>
      <c r="AB211" s="67" t="s">
        <v>17</v>
      </c>
      <c r="AC211" s="67">
        <v>11560</v>
      </c>
      <c r="AD211" s="67" t="s">
        <v>8</v>
      </c>
      <c r="AE211" s="125">
        <f>31283.7*0.7</f>
        <v>21898.59</v>
      </c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</row>
    <row r="212" spans="1:44" ht="45" x14ac:dyDescent="0.25">
      <c r="A212" s="707"/>
      <c r="B212" s="737"/>
      <c r="C212" s="740"/>
      <c r="D212" s="743"/>
      <c r="E212" s="743"/>
      <c r="F212" s="740"/>
      <c r="G212" s="746"/>
      <c r="H212" s="753"/>
      <c r="I212" s="755"/>
      <c r="J212" s="782"/>
      <c r="K212" s="755"/>
      <c r="L212" s="755"/>
      <c r="M212" s="755"/>
      <c r="N212" s="755"/>
      <c r="O212" s="755"/>
      <c r="P212" s="755"/>
      <c r="Q212" s="755"/>
      <c r="R212" s="755"/>
      <c r="S212" s="810"/>
      <c r="T212" s="703"/>
      <c r="U212" s="703"/>
      <c r="V212" s="703"/>
      <c r="W212" s="703"/>
      <c r="X212" s="703"/>
      <c r="Y212" s="801"/>
      <c r="Z212" s="802"/>
      <c r="AA212" s="707"/>
      <c r="AB212" s="67" t="s">
        <v>46</v>
      </c>
      <c r="AC212" s="67">
        <v>679</v>
      </c>
      <c r="AD212" s="67" t="s">
        <v>16</v>
      </c>
      <c r="AE212" s="108">
        <v>848.8</v>
      </c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</row>
    <row r="213" spans="1:44" x14ac:dyDescent="0.25">
      <c r="A213" s="710">
        <v>41</v>
      </c>
      <c r="B213" s="729">
        <v>2223092</v>
      </c>
      <c r="C213" s="731" t="s">
        <v>300</v>
      </c>
      <c r="D213" s="741">
        <f>F213</f>
        <v>4.1399999999999997</v>
      </c>
      <c r="E213" s="741">
        <f>G213</f>
        <v>33000</v>
      </c>
      <c r="F213" s="738">
        <v>4.1399999999999997</v>
      </c>
      <c r="G213" s="744">
        <v>33000</v>
      </c>
      <c r="H213" s="761"/>
      <c r="I213" s="762"/>
      <c r="J213" s="781"/>
      <c r="K213" s="762"/>
      <c r="L213" s="762"/>
      <c r="M213" s="762"/>
      <c r="N213" s="762"/>
      <c r="O213" s="762"/>
      <c r="P213" s="762"/>
      <c r="Q213" s="762"/>
      <c r="R213" s="762"/>
      <c r="S213" s="809"/>
      <c r="T213" s="702"/>
      <c r="U213" s="702"/>
      <c r="V213" s="702"/>
      <c r="W213" s="702"/>
      <c r="X213" s="702"/>
      <c r="Y213" s="800"/>
      <c r="Z213" s="800" t="s">
        <v>334</v>
      </c>
      <c r="AA213" s="706" t="s">
        <v>336</v>
      </c>
      <c r="AB213" s="706" t="s">
        <v>11</v>
      </c>
      <c r="AC213" s="117">
        <v>4.1399999999999997</v>
      </c>
      <c r="AD213" s="67" t="s">
        <v>5</v>
      </c>
      <c r="AE213" s="750">
        <f>AC214*1.35</f>
        <v>44550</v>
      </c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</row>
    <row r="214" spans="1:44" x14ac:dyDescent="0.25">
      <c r="A214" s="710"/>
      <c r="B214" s="729"/>
      <c r="C214" s="731"/>
      <c r="D214" s="742"/>
      <c r="E214" s="742"/>
      <c r="F214" s="739"/>
      <c r="G214" s="745"/>
      <c r="H214" s="753"/>
      <c r="I214" s="755"/>
      <c r="J214" s="782"/>
      <c r="K214" s="755"/>
      <c r="L214" s="755"/>
      <c r="M214" s="755"/>
      <c r="N214" s="755"/>
      <c r="O214" s="755"/>
      <c r="P214" s="755"/>
      <c r="Q214" s="755"/>
      <c r="R214" s="755"/>
      <c r="S214" s="810"/>
      <c r="T214" s="703"/>
      <c r="U214" s="703"/>
      <c r="V214" s="703"/>
      <c r="W214" s="703"/>
      <c r="X214" s="703"/>
      <c r="Y214" s="801"/>
      <c r="Z214" s="801"/>
      <c r="AA214" s="734"/>
      <c r="AB214" s="707"/>
      <c r="AC214" s="88">
        <v>33000</v>
      </c>
      <c r="AD214" s="67" t="s">
        <v>8</v>
      </c>
      <c r="AE214" s="752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</row>
    <row r="215" spans="1:44" ht="30" x14ac:dyDescent="0.25">
      <c r="A215" s="710"/>
      <c r="B215" s="729"/>
      <c r="C215" s="731"/>
      <c r="D215" s="742"/>
      <c r="E215" s="742"/>
      <c r="F215" s="739"/>
      <c r="G215" s="745"/>
      <c r="H215" s="753"/>
      <c r="I215" s="755"/>
      <c r="J215" s="782"/>
      <c r="K215" s="755"/>
      <c r="L215" s="755"/>
      <c r="M215" s="755"/>
      <c r="N215" s="755"/>
      <c r="O215" s="755"/>
      <c r="P215" s="755"/>
      <c r="Q215" s="755"/>
      <c r="R215" s="755"/>
      <c r="S215" s="810"/>
      <c r="T215" s="703"/>
      <c r="U215" s="703"/>
      <c r="V215" s="703"/>
      <c r="W215" s="703"/>
      <c r="X215" s="703"/>
      <c r="Y215" s="801"/>
      <c r="Z215" s="801"/>
      <c r="AA215" s="734"/>
      <c r="AB215" s="128" t="s">
        <v>250</v>
      </c>
      <c r="AC215" s="67">
        <v>2</v>
      </c>
      <c r="AD215" s="108" t="s">
        <v>251</v>
      </c>
      <c r="AE215" s="108">
        <v>200</v>
      </c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</row>
    <row r="216" spans="1:44" x14ac:dyDescent="0.25">
      <c r="A216" s="710"/>
      <c r="B216" s="729"/>
      <c r="C216" s="731"/>
      <c r="D216" s="742"/>
      <c r="E216" s="742"/>
      <c r="F216" s="739"/>
      <c r="G216" s="745"/>
      <c r="H216" s="753"/>
      <c r="I216" s="755"/>
      <c r="J216" s="782"/>
      <c r="K216" s="755"/>
      <c r="L216" s="755"/>
      <c r="M216" s="755"/>
      <c r="N216" s="755"/>
      <c r="O216" s="755"/>
      <c r="P216" s="755"/>
      <c r="Q216" s="755"/>
      <c r="R216" s="755"/>
      <c r="S216" s="810"/>
      <c r="T216" s="703"/>
      <c r="U216" s="703"/>
      <c r="V216" s="703"/>
      <c r="W216" s="703"/>
      <c r="X216" s="703"/>
      <c r="Y216" s="801"/>
      <c r="Z216" s="801"/>
      <c r="AA216" s="734"/>
      <c r="AB216" s="67" t="s">
        <v>17</v>
      </c>
      <c r="AC216" s="67">
        <v>5600</v>
      </c>
      <c r="AD216" s="67" t="s">
        <v>8</v>
      </c>
      <c r="AE216" s="125">
        <f>15154.7*0.7</f>
        <v>10608.289999999999</v>
      </c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</row>
    <row r="217" spans="1:44" x14ac:dyDescent="0.25">
      <c r="A217" s="710"/>
      <c r="B217" s="729"/>
      <c r="C217" s="731"/>
      <c r="D217" s="743"/>
      <c r="E217" s="743"/>
      <c r="F217" s="740"/>
      <c r="G217" s="746"/>
      <c r="H217" s="753"/>
      <c r="I217" s="755"/>
      <c r="J217" s="782"/>
      <c r="K217" s="755"/>
      <c r="L217" s="755"/>
      <c r="M217" s="755"/>
      <c r="N217" s="755"/>
      <c r="O217" s="755"/>
      <c r="P217" s="755"/>
      <c r="Q217" s="755"/>
      <c r="R217" s="755"/>
      <c r="S217" s="810"/>
      <c r="T217" s="703"/>
      <c r="U217" s="703"/>
      <c r="V217" s="703"/>
      <c r="W217" s="703"/>
      <c r="X217" s="703"/>
      <c r="Y217" s="801"/>
      <c r="Z217" s="802"/>
      <c r="AA217" s="707"/>
      <c r="AB217" s="118" t="s">
        <v>18</v>
      </c>
      <c r="AC217" s="108">
        <v>2.84</v>
      </c>
      <c r="AD217" s="108" t="s">
        <v>5</v>
      </c>
      <c r="AE217" s="125">
        <v>10508</v>
      </c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</row>
    <row r="218" spans="1:44" x14ac:dyDescent="0.25">
      <c r="A218" s="706">
        <v>42</v>
      </c>
      <c r="B218" s="735">
        <v>2221310</v>
      </c>
      <c r="C218" s="738" t="s">
        <v>337</v>
      </c>
      <c r="D218" s="741">
        <f>F218</f>
        <v>2</v>
      </c>
      <c r="E218" s="741">
        <f>G218</f>
        <v>14000</v>
      </c>
      <c r="F218" s="738">
        <v>2</v>
      </c>
      <c r="G218" s="744">
        <v>14000</v>
      </c>
      <c r="H218" s="761"/>
      <c r="I218" s="762"/>
      <c r="J218" s="781"/>
      <c r="K218" s="762"/>
      <c r="L218" s="762"/>
      <c r="M218" s="762"/>
      <c r="N218" s="762"/>
      <c r="O218" s="762"/>
      <c r="P218" s="762"/>
      <c r="Q218" s="762"/>
      <c r="R218" s="762"/>
      <c r="S218" s="809"/>
      <c r="T218" s="702"/>
      <c r="U218" s="702"/>
      <c r="V218" s="702"/>
      <c r="W218" s="702"/>
      <c r="X218" s="702"/>
      <c r="Y218" s="800"/>
      <c r="Z218" s="800" t="s">
        <v>249</v>
      </c>
      <c r="AA218" s="706" t="s">
        <v>338</v>
      </c>
      <c r="AB218" s="706" t="s">
        <v>11</v>
      </c>
      <c r="AC218" s="117">
        <v>2</v>
      </c>
      <c r="AD218" s="67" t="s">
        <v>5</v>
      </c>
      <c r="AE218" s="750">
        <f>AC219*1.35</f>
        <v>18900</v>
      </c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</row>
    <row r="219" spans="1:44" x14ac:dyDescent="0.25">
      <c r="A219" s="734"/>
      <c r="B219" s="736"/>
      <c r="C219" s="739"/>
      <c r="D219" s="742"/>
      <c r="E219" s="742"/>
      <c r="F219" s="739"/>
      <c r="G219" s="745"/>
      <c r="H219" s="753"/>
      <c r="I219" s="755"/>
      <c r="J219" s="782"/>
      <c r="K219" s="755"/>
      <c r="L219" s="755"/>
      <c r="M219" s="755"/>
      <c r="N219" s="755"/>
      <c r="O219" s="755"/>
      <c r="P219" s="755"/>
      <c r="Q219" s="755"/>
      <c r="R219" s="755"/>
      <c r="S219" s="810"/>
      <c r="T219" s="703"/>
      <c r="U219" s="703"/>
      <c r="V219" s="703"/>
      <c r="W219" s="703"/>
      <c r="X219" s="703"/>
      <c r="Y219" s="801"/>
      <c r="Z219" s="801"/>
      <c r="AA219" s="734"/>
      <c r="AB219" s="707"/>
      <c r="AC219" s="88">
        <v>14000</v>
      </c>
      <c r="AD219" s="67" t="s">
        <v>8</v>
      </c>
      <c r="AE219" s="752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</row>
    <row r="220" spans="1:44" x14ac:dyDescent="0.25">
      <c r="A220" s="734"/>
      <c r="B220" s="736"/>
      <c r="C220" s="739"/>
      <c r="D220" s="742"/>
      <c r="E220" s="742"/>
      <c r="F220" s="739"/>
      <c r="G220" s="745"/>
      <c r="H220" s="753"/>
      <c r="I220" s="755"/>
      <c r="J220" s="782"/>
      <c r="K220" s="755"/>
      <c r="L220" s="755"/>
      <c r="M220" s="755"/>
      <c r="N220" s="755"/>
      <c r="O220" s="755"/>
      <c r="P220" s="755"/>
      <c r="Q220" s="755"/>
      <c r="R220" s="755"/>
      <c r="S220" s="810"/>
      <c r="T220" s="703"/>
      <c r="U220" s="703"/>
      <c r="V220" s="703"/>
      <c r="W220" s="703"/>
      <c r="X220" s="703"/>
      <c r="Y220" s="801"/>
      <c r="Z220" s="801"/>
      <c r="AA220" s="734"/>
      <c r="AB220" s="67" t="s">
        <v>17</v>
      </c>
      <c r="AC220" s="67">
        <v>8000</v>
      </c>
      <c r="AD220" s="67" t="s">
        <v>8</v>
      </c>
      <c r="AE220" s="125">
        <f>21649.6*0.7</f>
        <v>15154.719999999998</v>
      </c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</row>
    <row r="221" spans="1:44" x14ac:dyDescent="0.25">
      <c r="A221" s="734"/>
      <c r="B221" s="736"/>
      <c r="C221" s="739"/>
      <c r="D221" s="742"/>
      <c r="E221" s="742"/>
      <c r="F221" s="739"/>
      <c r="G221" s="745"/>
      <c r="H221" s="753"/>
      <c r="I221" s="755"/>
      <c r="J221" s="782"/>
      <c r="K221" s="755"/>
      <c r="L221" s="755"/>
      <c r="M221" s="755"/>
      <c r="N221" s="755"/>
      <c r="O221" s="755"/>
      <c r="P221" s="755"/>
      <c r="Q221" s="755"/>
      <c r="R221" s="755"/>
      <c r="S221" s="810"/>
      <c r="T221" s="703"/>
      <c r="U221" s="703"/>
      <c r="V221" s="703"/>
      <c r="W221" s="703"/>
      <c r="X221" s="703"/>
      <c r="Y221" s="801"/>
      <c r="Z221" s="801"/>
      <c r="AA221" s="734"/>
      <c r="AB221" s="118" t="s">
        <v>18</v>
      </c>
      <c r="AC221" s="108">
        <v>0.38</v>
      </c>
      <c r="AD221" s="108" t="s">
        <v>5</v>
      </c>
      <c r="AE221" s="125">
        <v>1406</v>
      </c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</row>
    <row r="222" spans="1:44" ht="30" x14ac:dyDescent="0.25">
      <c r="A222" s="734"/>
      <c r="B222" s="736"/>
      <c r="C222" s="739"/>
      <c r="D222" s="742"/>
      <c r="E222" s="742"/>
      <c r="F222" s="739"/>
      <c r="G222" s="745"/>
      <c r="H222" s="753"/>
      <c r="I222" s="755"/>
      <c r="J222" s="782"/>
      <c r="K222" s="755"/>
      <c r="L222" s="755"/>
      <c r="M222" s="755"/>
      <c r="N222" s="755"/>
      <c r="O222" s="755"/>
      <c r="P222" s="755"/>
      <c r="Q222" s="755"/>
      <c r="R222" s="755"/>
      <c r="S222" s="810"/>
      <c r="T222" s="703"/>
      <c r="U222" s="703"/>
      <c r="V222" s="703"/>
      <c r="W222" s="703"/>
      <c r="X222" s="703"/>
      <c r="Y222" s="801"/>
      <c r="Z222" s="801"/>
      <c r="AA222" s="734"/>
      <c r="AB222" s="128" t="s">
        <v>250</v>
      </c>
      <c r="AC222" s="67">
        <v>2</v>
      </c>
      <c r="AD222" s="108" t="s">
        <v>251</v>
      </c>
      <c r="AE222" s="108">
        <v>200</v>
      </c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</row>
    <row r="223" spans="1:44" ht="45" x14ac:dyDescent="0.25">
      <c r="A223" s="707"/>
      <c r="B223" s="737"/>
      <c r="C223" s="740"/>
      <c r="D223" s="743"/>
      <c r="E223" s="743"/>
      <c r="F223" s="740"/>
      <c r="G223" s="746"/>
      <c r="H223" s="753"/>
      <c r="I223" s="755"/>
      <c r="J223" s="782"/>
      <c r="K223" s="755"/>
      <c r="L223" s="755"/>
      <c r="M223" s="755"/>
      <c r="N223" s="755"/>
      <c r="O223" s="755"/>
      <c r="P223" s="755"/>
      <c r="Q223" s="755"/>
      <c r="R223" s="755"/>
      <c r="S223" s="810"/>
      <c r="T223" s="703"/>
      <c r="U223" s="703"/>
      <c r="V223" s="703"/>
      <c r="W223" s="703"/>
      <c r="X223" s="703"/>
      <c r="Y223" s="801"/>
      <c r="Z223" s="802"/>
      <c r="AA223" s="707"/>
      <c r="AB223" s="67" t="s">
        <v>46</v>
      </c>
      <c r="AC223" s="67">
        <v>400</v>
      </c>
      <c r="AD223" s="67" t="s">
        <v>16</v>
      </c>
      <c r="AE223" s="108">
        <v>500</v>
      </c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</row>
    <row r="224" spans="1:44" x14ac:dyDescent="0.25">
      <c r="A224" s="706">
        <v>43</v>
      </c>
      <c r="B224" s="735">
        <v>2224454</v>
      </c>
      <c r="C224" s="738" t="s">
        <v>339</v>
      </c>
      <c r="D224" s="741">
        <f>F224</f>
        <v>3.5409999999999999</v>
      </c>
      <c r="E224" s="741">
        <f>G224</f>
        <v>67279</v>
      </c>
      <c r="F224" s="738">
        <v>3.5409999999999999</v>
      </c>
      <c r="G224" s="744">
        <v>67279</v>
      </c>
      <c r="H224" s="761"/>
      <c r="I224" s="762"/>
      <c r="J224" s="781"/>
      <c r="K224" s="762"/>
      <c r="L224" s="762"/>
      <c r="M224" s="762"/>
      <c r="N224" s="762"/>
      <c r="O224" s="762"/>
      <c r="P224" s="762"/>
      <c r="Q224" s="762"/>
      <c r="R224" s="762"/>
      <c r="S224" s="809"/>
      <c r="T224" s="702"/>
      <c r="U224" s="702"/>
      <c r="V224" s="702"/>
      <c r="W224" s="702"/>
      <c r="X224" s="702"/>
      <c r="Y224" s="800"/>
      <c r="Z224" s="815" t="s">
        <v>340</v>
      </c>
      <c r="AA224" s="706" t="s">
        <v>341</v>
      </c>
      <c r="AB224" s="706" t="s">
        <v>11</v>
      </c>
      <c r="AC224" s="67">
        <v>3.5409999999999999</v>
      </c>
      <c r="AD224" s="67" t="s">
        <v>5</v>
      </c>
      <c r="AE224" s="750">
        <f>AC225*1.35</f>
        <v>90826.650000000009</v>
      </c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</row>
    <row r="225" spans="1:44" x14ac:dyDescent="0.25">
      <c r="A225" s="734"/>
      <c r="B225" s="736"/>
      <c r="C225" s="739"/>
      <c r="D225" s="742"/>
      <c r="E225" s="742"/>
      <c r="F225" s="739"/>
      <c r="G225" s="745"/>
      <c r="H225" s="753"/>
      <c r="I225" s="755"/>
      <c r="J225" s="782"/>
      <c r="K225" s="755"/>
      <c r="L225" s="755"/>
      <c r="M225" s="755"/>
      <c r="N225" s="755"/>
      <c r="O225" s="755"/>
      <c r="P225" s="755"/>
      <c r="Q225" s="755"/>
      <c r="R225" s="755"/>
      <c r="S225" s="810"/>
      <c r="T225" s="703"/>
      <c r="U225" s="703"/>
      <c r="V225" s="703"/>
      <c r="W225" s="703"/>
      <c r="X225" s="703"/>
      <c r="Y225" s="801"/>
      <c r="Z225" s="816"/>
      <c r="AA225" s="734"/>
      <c r="AB225" s="707"/>
      <c r="AC225" s="88">
        <v>67279</v>
      </c>
      <c r="AD225" s="67" t="s">
        <v>8</v>
      </c>
      <c r="AE225" s="752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</row>
    <row r="226" spans="1:44" x14ac:dyDescent="0.25">
      <c r="A226" s="734"/>
      <c r="B226" s="736"/>
      <c r="C226" s="739"/>
      <c r="D226" s="742"/>
      <c r="E226" s="742"/>
      <c r="F226" s="739"/>
      <c r="G226" s="745"/>
      <c r="H226" s="753"/>
      <c r="I226" s="755"/>
      <c r="J226" s="782"/>
      <c r="K226" s="755"/>
      <c r="L226" s="755"/>
      <c r="M226" s="755"/>
      <c r="N226" s="755"/>
      <c r="O226" s="755"/>
      <c r="P226" s="755"/>
      <c r="Q226" s="755"/>
      <c r="R226" s="755"/>
      <c r="S226" s="810"/>
      <c r="T226" s="703"/>
      <c r="U226" s="703"/>
      <c r="V226" s="703"/>
      <c r="W226" s="703"/>
      <c r="X226" s="703"/>
      <c r="Y226" s="801"/>
      <c r="Z226" s="816"/>
      <c r="AA226" s="734"/>
      <c r="AB226" s="67" t="s">
        <v>17</v>
      </c>
      <c r="AC226" s="67">
        <v>21246</v>
      </c>
      <c r="AD226" s="67" t="s">
        <v>8</v>
      </c>
      <c r="AE226" s="125">
        <f>35233.5*0.7</f>
        <v>24663.449999999997</v>
      </c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</row>
    <row r="227" spans="1:44" ht="45" x14ac:dyDescent="0.25">
      <c r="A227" s="734"/>
      <c r="B227" s="736"/>
      <c r="C227" s="739"/>
      <c r="D227" s="742"/>
      <c r="E227" s="742"/>
      <c r="F227" s="739"/>
      <c r="G227" s="745"/>
      <c r="H227" s="753"/>
      <c r="I227" s="755"/>
      <c r="J227" s="782"/>
      <c r="K227" s="755"/>
      <c r="L227" s="755"/>
      <c r="M227" s="755"/>
      <c r="N227" s="755"/>
      <c r="O227" s="755"/>
      <c r="P227" s="755"/>
      <c r="Q227" s="755"/>
      <c r="R227" s="755"/>
      <c r="S227" s="810"/>
      <c r="T227" s="703"/>
      <c r="U227" s="703"/>
      <c r="V227" s="703"/>
      <c r="W227" s="703"/>
      <c r="X227" s="703"/>
      <c r="Y227" s="801"/>
      <c r="Z227" s="816"/>
      <c r="AA227" s="734"/>
      <c r="AB227" s="67" t="s">
        <v>46</v>
      </c>
      <c r="AC227" s="67">
        <v>682</v>
      </c>
      <c r="AD227" s="67" t="s">
        <v>16</v>
      </c>
      <c r="AE227" s="108">
        <v>852.5</v>
      </c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</row>
    <row r="228" spans="1:44" ht="30" x14ac:dyDescent="0.25">
      <c r="A228" s="707"/>
      <c r="B228" s="737"/>
      <c r="C228" s="740"/>
      <c r="D228" s="743"/>
      <c r="E228" s="743"/>
      <c r="F228" s="740"/>
      <c r="G228" s="746"/>
      <c r="H228" s="753"/>
      <c r="I228" s="755"/>
      <c r="J228" s="782"/>
      <c r="K228" s="755"/>
      <c r="L228" s="755"/>
      <c r="M228" s="755"/>
      <c r="N228" s="755"/>
      <c r="O228" s="755"/>
      <c r="P228" s="755"/>
      <c r="Q228" s="755"/>
      <c r="R228" s="755"/>
      <c r="S228" s="810"/>
      <c r="T228" s="703"/>
      <c r="U228" s="703"/>
      <c r="V228" s="703"/>
      <c r="W228" s="703"/>
      <c r="X228" s="703"/>
      <c r="Y228" s="801"/>
      <c r="Z228" s="817"/>
      <c r="AA228" s="707"/>
      <c r="AB228" s="112" t="s">
        <v>266</v>
      </c>
      <c r="AC228" s="67">
        <f>24+10</f>
        <v>34</v>
      </c>
      <c r="AD228" s="67" t="s">
        <v>251</v>
      </c>
      <c r="AE228" s="108">
        <v>8500</v>
      </c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</row>
    <row r="229" spans="1:44" x14ac:dyDescent="0.25">
      <c r="A229" s="706">
        <v>44</v>
      </c>
      <c r="B229" s="735">
        <v>2220514</v>
      </c>
      <c r="C229" s="741" t="s">
        <v>308</v>
      </c>
      <c r="D229" s="741">
        <f>F229</f>
        <v>2</v>
      </c>
      <c r="E229" s="741">
        <f>G229</f>
        <v>16000</v>
      </c>
      <c r="F229" s="738">
        <v>2</v>
      </c>
      <c r="G229" s="758">
        <v>16000</v>
      </c>
      <c r="H229" s="96"/>
      <c r="I229" s="97"/>
      <c r="J229" s="98"/>
      <c r="K229" s="97"/>
      <c r="L229" s="97"/>
      <c r="M229" s="97"/>
      <c r="N229" s="97"/>
      <c r="O229" s="97"/>
      <c r="P229" s="97"/>
      <c r="Q229" s="97"/>
      <c r="R229" s="97"/>
      <c r="S229" s="183"/>
      <c r="T229" s="94"/>
      <c r="U229" s="94"/>
      <c r="V229" s="94"/>
      <c r="W229" s="94"/>
      <c r="X229" s="94"/>
      <c r="Y229" s="95"/>
      <c r="Z229" s="800" t="s">
        <v>342</v>
      </c>
      <c r="AA229" s="706" t="s">
        <v>343</v>
      </c>
      <c r="AB229" s="706" t="s">
        <v>11</v>
      </c>
      <c r="AC229" s="184">
        <v>2</v>
      </c>
      <c r="AD229" s="106" t="s">
        <v>5</v>
      </c>
      <c r="AE229" s="750">
        <f>AC230*1.35</f>
        <v>21600</v>
      </c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</row>
    <row r="230" spans="1:44" x14ac:dyDescent="0.25">
      <c r="A230" s="734"/>
      <c r="B230" s="736"/>
      <c r="C230" s="742"/>
      <c r="D230" s="742"/>
      <c r="E230" s="742"/>
      <c r="F230" s="739"/>
      <c r="G230" s="759"/>
      <c r="H230" s="103"/>
      <c r="I230" s="135"/>
      <c r="J230" s="149"/>
      <c r="K230" s="135"/>
      <c r="L230" s="135"/>
      <c r="M230" s="135"/>
      <c r="N230" s="135"/>
      <c r="O230" s="135"/>
      <c r="P230" s="135"/>
      <c r="Q230" s="135"/>
      <c r="R230" s="135"/>
      <c r="S230" s="136"/>
      <c r="T230" s="119"/>
      <c r="U230" s="119"/>
      <c r="V230" s="119"/>
      <c r="W230" s="119"/>
      <c r="X230" s="119"/>
      <c r="Y230" s="111"/>
      <c r="Z230" s="801"/>
      <c r="AA230" s="734"/>
      <c r="AB230" s="707"/>
      <c r="AC230" s="185">
        <v>16000</v>
      </c>
      <c r="AD230" s="67" t="s">
        <v>8</v>
      </c>
      <c r="AE230" s="752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</row>
    <row r="231" spans="1:44" ht="30" x14ac:dyDescent="0.25">
      <c r="A231" s="734"/>
      <c r="B231" s="736"/>
      <c r="C231" s="742"/>
      <c r="D231" s="742"/>
      <c r="E231" s="742"/>
      <c r="F231" s="739"/>
      <c r="G231" s="759"/>
      <c r="H231" s="103"/>
      <c r="I231" s="135"/>
      <c r="J231" s="149"/>
      <c r="K231" s="135"/>
      <c r="L231" s="135"/>
      <c r="M231" s="135"/>
      <c r="N231" s="135"/>
      <c r="O231" s="135"/>
      <c r="P231" s="135"/>
      <c r="Q231" s="135"/>
      <c r="R231" s="135"/>
      <c r="S231" s="136"/>
      <c r="T231" s="119"/>
      <c r="U231" s="119"/>
      <c r="V231" s="119"/>
      <c r="W231" s="119"/>
      <c r="X231" s="119"/>
      <c r="Y231" s="111"/>
      <c r="Z231" s="801"/>
      <c r="AA231" s="734"/>
      <c r="AB231" s="128" t="s">
        <v>250</v>
      </c>
      <c r="AC231" s="108">
        <v>6</v>
      </c>
      <c r="AD231" s="108" t="s">
        <v>251</v>
      </c>
      <c r="AE231" s="125">
        <v>600</v>
      </c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</row>
    <row r="232" spans="1:44" x14ac:dyDescent="0.25">
      <c r="A232" s="734"/>
      <c r="B232" s="736"/>
      <c r="C232" s="742"/>
      <c r="D232" s="742"/>
      <c r="E232" s="742"/>
      <c r="F232" s="739"/>
      <c r="G232" s="759"/>
      <c r="H232" s="103"/>
      <c r="I232" s="135"/>
      <c r="J232" s="149"/>
      <c r="K232" s="135"/>
      <c r="L232" s="135"/>
      <c r="M232" s="135"/>
      <c r="N232" s="135"/>
      <c r="O232" s="135"/>
      <c r="P232" s="135"/>
      <c r="Q232" s="135"/>
      <c r="R232" s="135"/>
      <c r="S232" s="136"/>
      <c r="T232" s="119"/>
      <c r="U232" s="119"/>
      <c r="V232" s="119"/>
      <c r="W232" s="119"/>
      <c r="X232" s="119"/>
      <c r="Y232" s="111"/>
      <c r="Z232" s="801"/>
      <c r="AA232" s="734"/>
      <c r="AB232" s="67" t="s">
        <v>17</v>
      </c>
      <c r="AC232" s="108">
        <v>8000</v>
      </c>
      <c r="AD232" s="67" t="s">
        <v>8</v>
      </c>
      <c r="AE232" s="125">
        <f>21649.6*0.7</f>
        <v>15154.719999999998</v>
      </c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</row>
    <row r="233" spans="1:44" ht="45" x14ac:dyDescent="0.25">
      <c r="A233" s="707"/>
      <c r="B233" s="737"/>
      <c r="C233" s="743"/>
      <c r="D233" s="743"/>
      <c r="E233" s="743"/>
      <c r="F233" s="740"/>
      <c r="G233" s="760"/>
      <c r="H233" s="103"/>
      <c r="I233" s="135"/>
      <c r="J233" s="149"/>
      <c r="K233" s="135"/>
      <c r="L233" s="135"/>
      <c r="M233" s="135"/>
      <c r="N233" s="135"/>
      <c r="O233" s="135"/>
      <c r="P233" s="135"/>
      <c r="Q233" s="135"/>
      <c r="R233" s="135"/>
      <c r="S233" s="136"/>
      <c r="T233" s="119"/>
      <c r="U233" s="119"/>
      <c r="V233" s="119"/>
      <c r="W233" s="119"/>
      <c r="X233" s="119"/>
      <c r="Y233" s="111"/>
      <c r="Z233" s="802"/>
      <c r="AA233" s="707"/>
      <c r="AB233" s="67" t="s">
        <v>46</v>
      </c>
      <c r="AC233" s="108">
        <v>198</v>
      </c>
      <c r="AD233" s="67" t="s">
        <v>16</v>
      </c>
      <c r="AE233" s="125">
        <v>247.5</v>
      </c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</row>
    <row r="234" spans="1:44" x14ac:dyDescent="0.25">
      <c r="A234" s="706">
        <v>45</v>
      </c>
      <c r="B234" s="735">
        <v>2220085</v>
      </c>
      <c r="C234" s="741" t="s">
        <v>344</v>
      </c>
      <c r="D234" s="741">
        <f>F234</f>
        <v>1.7</v>
      </c>
      <c r="E234" s="741">
        <f>G234</f>
        <v>15300</v>
      </c>
      <c r="F234" s="738">
        <v>1.7</v>
      </c>
      <c r="G234" s="758">
        <v>15300</v>
      </c>
      <c r="H234" s="96"/>
      <c r="I234" s="97"/>
      <c r="J234" s="98"/>
      <c r="K234" s="97"/>
      <c r="L234" s="97"/>
      <c r="M234" s="97"/>
      <c r="N234" s="97"/>
      <c r="O234" s="97"/>
      <c r="P234" s="97"/>
      <c r="Q234" s="97"/>
      <c r="R234" s="97"/>
      <c r="S234" s="183"/>
      <c r="T234" s="94"/>
      <c r="U234" s="94"/>
      <c r="V234" s="94"/>
      <c r="W234" s="94"/>
      <c r="X234" s="94"/>
      <c r="Y234" s="95"/>
      <c r="Z234" s="763" t="s">
        <v>277</v>
      </c>
      <c r="AA234" s="706" t="s">
        <v>345</v>
      </c>
      <c r="AB234" s="706" t="s">
        <v>11</v>
      </c>
      <c r="AC234" s="117">
        <v>1.7</v>
      </c>
      <c r="AD234" s="67" t="s">
        <v>5</v>
      </c>
      <c r="AE234" s="750">
        <f>AC235*1.35</f>
        <v>20655</v>
      </c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</row>
    <row r="235" spans="1:44" x14ac:dyDescent="0.25">
      <c r="A235" s="734"/>
      <c r="B235" s="736"/>
      <c r="C235" s="742"/>
      <c r="D235" s="742"/>
      <c r="E235" s="742"/>
      <c r="F235" s="739"/>
      <c r="G235" s="759"/>
      <c r="H235" s="103"/>
      <c r="I235" s="135"/>
      <c r="J235" s="149"/>
      <c r="K235" s="135"/>
      <c r="L235" s="135"/>
      <c r="M235" s="135"/>
      <c r="N235" s="135"/>
      <c r="O235" s="135"/>
      <c r="P235" s="135"/>
      <c r="Q235" s="135"/>
      <c r="R235" s="135"/>
      <c r="S235" s="136"/>
      <c r="T235" s="119"/>
      <c r="U235" s="119"/>
      <c r="V235" s="119"/>
      <c r="W235" s="119"/>
      <c r="X235" s="119"/>
      <c r="Y235" s="111"/>
      <c r="Z235" s="764"/>
      <c r="AA235" s="734"/>
      <c r="AB235" s="707"/>
      <c r="AC235" s="88">
        <v>15300</v>
      </c>
      <c r="AD235" s="67" t="s">
        <v>8</v>
      </c>
      <c r="AE235" s="752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</row>
    <row r="236" spans="1:44" ht="30" x14ac:dyDescent="0.25">
      <c r="A236" s="734"/>
      <c r="B236" s="736"/>
      <c r="C236" s="742"/>
      <c r="D236" s="742"/>
      <c r="E236" s="742"/>
      <c r="F236" s="739"/>
      <c r="G236" s="759"/>
      <c r="H236" s="103"/>
      <c r="I236" s="135"/>
      <c r="J236" s="149"/>
      <c r="K236" s="135"/>
      <c r="L236" s="135"/>
      <c r="M236" s="135"/>
      <c r="N236" s="135"/>
      <c r="O236" s="135"/>
      <c r="P236" s="135"/>
      <c r="Q236" s="135"/>
      <c r="R236" s="135"/>
      <c r="S236" s="136"/>
      <c r="T236" s="119"/>
      <c r="U236" s="119"/>
      <c r="V236" s="119"/>
      <c r="W236" s="119"/>
      <c r="X236" s="119"/>
      <c r="Y236" s="111"/>
      <c r="Z236" s="764"/>
      <c r="AA236" s="734"/>
      <c r="AB236" s="128" t="s">
        <v>250</v>
      </c>
      <c r="AC236" s="108">
        <v>4</v>
      </c>
      <c r="AD236" s="108" t="s">
        <v>251</v>
      </c>
      <c r="AE236" s="108">
        <v>400</v>
      </c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</row>
    <row r="237" spans="1:44" x14ac:dyDescent="0.25">
      <c r="A237" s="734"/>
      <c r="B237" s="736"/>
      <c r="C237" s="742"/>
      <c r="D237" s="742"/>
      <c r="E237" s="742"/>
      <c r="F237" s="739"/>
      <c r="G237" s="759"/>
      <c r="H237" s="103"/>
      <c r="I237" s="135"/>
      <c r="J237" s="149"/>
      <c r="K237" s="135"/>
      <c r="L237" s="135"/>
      <c r="M237" s="135"/>
      <c r="N237" s="135"/>
      <c r="O237" s="135"/>
      <c r="P237" s="135"/>
      <c r="Q237" s="135"/>
      <c r="R237" s="135"/>
      <c r="S237" s="136"/>
      <c r="T237" s="119"/>
      <c r="U237" s="119"/>
      <c r="V237" s="119"/>
      <c r="W237" s="119"/>
      <c r="X237" s="119"/>
      <c r="Y237" s="111"/>
      <c r="Z237" s="764"/>
      <c r="AA237" s="734"/>
      <c r="AB237" s="67" t="s">
        <v>17</v>
      </c>
      <c r="AC237" s="108">
        <v>6800</v>
      </c>
      <c r="AD237" s="67" t="s">
        <v>8</v>
      </c>
      <c r="AE237" s="125">
        <f>13416.5*0.7</f>
        <v>9391.5499999999993</v>
      </c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</row>
    <row r="238" spans="1:44" ht="45" x14ac:dyDescent="0.25">
      <c r="A238" s="734"/>
      <c r="B238" s="736"/>
      <c r="C238" s="742"/>
      <c r="D238" s="742"/>
      <c r="E238" s="742"/>
      <c r="F238" s="739"/>
      <c r="G238" s="759"/>
      <c r="H238" s="103"/>
      <c r="I238" s="135"/>
      <c r="J238" s="149"/>
      <c r="K238" s="135"/>
      <c r="L238" s="135"/>
      <c r="M238" s="135"/>
      <c r="N238" s="135"/>
      <c r="O238" s="135"/>
      <c r="P238" s="135"/>
      <c r="Q238" s="135"/>
      <c r="R238" s="135"/>
      <c r="S238" s="136"/>
      <c r="T238" s="119"/>
      <c r="U238" s="119"/>
      <c r="V238" s="119"/>
      <c r="W238" s="119"/>
      <c r="X238" s="119"/>
      <c r="Y238" s="111"/>
      <c r="Z238" s="764"/>
      <c r="AA238" s="734"/>
      <c r="AB238" s="67" t="s">
        <v>46</v>
      </c>
      <c r="AC238" s="108">
        <v>224</v>
      </c>
      <c r="AD238" s="67" t="s">
        <v>16</v>
      </c>
      <c r="AE238" s="108">
        <v>280</v>
      </c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</row>
    <row r="239" spans="1:44" x14ac:dyDescent="0.25">
      <c r="A239" s="707"/>
      <c r="B239" s="737"/>
      <c r="C239" s="743"/>
      <c r="D239" s="743"/>
      <c r="E239" s="743"/>
      <c r="F239" s="740"/>
      <c r="G239" s="760"/>
      <c r="H239" s="103"/>
      <c r="I239" s="135"/>
      <c r="J239" s="149"/>
      <c r="K239" s="135"/>
      <c r="L239" s="135"/>
      <c r="M239" s="135"/>
      <c r="N239" s="135"/>
      <c r="O239" s="135"/>
      <c r="P239" s="135"/>
      <c r="Q239" s="135"/>
      <c r="R239" s="135"/>
      <c r="S239" s="136"/>
      <c r="T239" s="119"/>
      <c r="U239" s="119"/>
      <c r="V239" s="119"/>
      <c r="W239" s="119"/>
      <c r="X239" s="119"/>
      <c r="Y239" s="111"/>
      <c r="Z239" s="765"/>
      <c r="AA239" s="707"/>
      <c r="AB239" s="118" t="s">
        <v>18</v>
      </c>
      <c r="AC239" s="108">
        <v>1.7</v>
      </c>
      <c r="AD239" s="108" t="s">
        <v>5</v>
      </c>
      <c r="AE239" s="125">
        <v>6290</v>
      </c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</row>
    <row r="240" spans="1:44" x14ac:dyDescent="0.25">
      <c r="A240" s="706">
        <v>46</v>
      </c>
      <c r="B240" s="706">
        <v>2227548</v>
      </c>
      <c r="C240" s="741" t="s">
        <v>346</v>
      </c>
      <c r="D240" s="741">
        <f>F240</f>
        <v>0.9</v>
      </c>
      <c r="E240" s="741">
        <f>G240</f>
        <v>30000</v>
      </c>
      <c r="F240" s="738">
        <v>0.9</v>
      </c>
      <c r="G240" s="758">
        <v>30000</v>
      </c>
      <c r="H240" s="761"/>
      <c r="I240" s="762"/>
      <c r="J240" s="702"/>
      <c r="K240" s="143"/>
      <c r="L240" s="94"/>
      <c r="M240" s="804"/>
      <c r="N240" s="97"/>
      <c r="O240" s="97"/>
      <c r="P240" s="97"/>
      <c r="Q240" s="97"/>
      <c r="R240" s="97"/>
      <c r="S240" s="183"/>
      <c r="T240" s="94"/>
      <c r="U240" s="94"/>
      <c r="V240" s="94"/>
      <c r="W240" s="94"/>
      <c r="X240" s="94"/>
      <c r="Y240" s="95"/>
      <c r="Z240" s="763" t="s">
        <v>291</v>
      </c>
      <c r="AA240" s="750" t="s">
        <v>286</v>
      </c>
      <c r="AB240" s="706" t="s">
        <v>11</v>
      </c>
      <c r="AC240" s="144">
        <v>0.9</v>
      </c>
      <c r="AD240" s="67" t="s">
        <v>5</v>
      </c>
      <c r="AE240" s="750">
        <f>AC241*1.35</f>
        <v>21600</v>
      </c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</row>
    <row r="241" spans="1:44" x14ac:dyDescent="0.25">
      <c r="A241" s="734"/>
      <c r="B241" s="734"/>
      <c r="C241" s="742"/>
      <c r="D241" s="742"/>
      <c r="E241" s="742"/>
      <c r="F241" s="739"/>
      <c r="G241" s="759"/>
      <c r="H241" s="753"/>
      <c r="I241" s="755"/>
      <c r="J241" s="703"/>
      <c r="K241" s="145"/>
      <c r="L241" s="119"/>
      <c r="M241" s="805"/>
      <c r="N241" s="135"/>
      <c r="O241" s="135"/>
      <c r="P241" s="135"/>
      <c r="Q241" s="135"/>
      <c r="R241" s="135"/>
      <c r="S241" s="136"/>
      <c r="T241" s="119"/>
      <c r="U241" s="119"/>
      <c r="V241" s="119"/>
      <c r="W241" s="119"/>
      <c r="X241" s="119"/>
      <c r="Y241" s="111"/>
      <c r="Z241" s="764"/>
      <c r="AA241" s="751"/>
      <c r="AB241" s="707"/>
      <c r="AC241" s="186">
        <v>16000</v>
      </c>
      <c r="AD241" s="67" t="s">
        <v>8</v>
      </c>
      <c r="AE241" s="752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</row>
    <row r="242" spans="1:44" x14ac:dyDescent="0.25">
      <c r="A242" s="734"/>
      <c r="B242" s="734"/>
      <c r="C242" s="742"/>
      <c r="D242" s="742"/>
      <c r="E242" s="742"/>
      <c r="F242" s="739"/>
      <c r="G242" s="759"/>
      <c r="H242" s="753"/>
      <c r="I242" s="755"/>
      <c r="J242" s="119"/>
      <c r="K242" s="145"/>
      <c r="L242" s="119"/>
      <c r="M242" s="187"/>
      <c r="N242" s="135"/>
      <c r="O242" s="135"/>
      <c r="P242" s="135"/>
      <c r="Q242" s="135"/>
      <c r="R242" s="135"/>
      <c r="S242" s="136"/>
      <c r="T242" s="119"/>
      <c r="U242" s="119"/>
      <c r="V242" s="119"/>
      <c r="W242" s="119"/>
      <c r="X242" s="119"/>
      <c r="Y242" s="111"/>
      <c r="Z242" s="764"/>
      <c r="AA242" s="751"/>
      <c r="AB242" s="67" t="s">
        <v>17</v>
      </c>
      <c r="AC242" s="146">
        <v>5400</v>
      </c>
      <c r="AD242" s="67" t="s">
        <v>8</v>
      </c>
      <c r="AE242" s="148">
        <f>11280*0.7</f>
        <v>7895.9999999999991</v>
      </c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</row>
    <row r="243" spans="1:44" ht="45" x14ac:dyDescent="0.25">
      <c r="A243" s="707"/>
      <c r="B243" s="707"/>
      <c r="C243" s="743"/>
      <c r="D243" s="743"/>
      <c r="E243" s="743"/>
      <c r="F243" s="740"/>
      <c r="G243" s="760"/>
      <c r="H243" s="754"/>
      <c r="I243" s="756"/>
      <c r="J243" s="137"/>
      <c r="K243" s="188"/>
      <c r="L243" s="137"/>
      <c r="M243" s="189"/>
      <c r="N243" s="138"/>
      <c r="O243" s="138"/>
      <c r="P243" s="138"/>
      <c r="Q243" s="138"/>
      <c r="R243" s="138"/>
      <c r="S243" s="190"/>
      <c r="T243" s="137"/>
      <c r="U243" s="137"/>
      <c r="V243" s="137"/>
      <c r="W243" s="137"/>
      <c r="X243" s="137"/>
      <c r="Y243" s="105"/>
      <c r="Z243" s="764"/>
      <c r="AA243" s="751"/>
      <c r="AB243" s="112" t="s">
        <v>46</v>
      </c>
      <c r="AC243" s="182">
        <v>500</v>
      </c>
      <c r="AD243" s="112" t="s">
        <v>16</v>
      </c>
      <c r="AE243" s="191">
        <v>625</v>
      </c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</row>
    <row r="244" spans="1:44" x14ac:dyDescent="0.25">
      <c r="A244" s="706">
        <v>47</v>
      </c>
      <c r="B244" s="706">
        <v>2227974</v>
      </c>
      <c r="C244" s="741" t="s">
        <v>347</v>
      </c>
      <c r="D244" s="741">
        <f>F244</f>
        <v>1.08</v>
      </c>
      <c r="E244" s="741">
        <f>G244</f>
        <v>14000</v>
      </c>
      <c r="F244" s="738">
        <v>1.08</v>
      </c>
      <c r="G244" s="747">
        <v>14000</v>
      </c>
      <c r="H244" s="192"/>
      <c r="I244" s="192"/>
      <c r="J244" s="192"/>
      <c r="K244" s="192"/>
      <c r="L244" s="192"/>
      <c r="M244" s="192"/>
      <c r="N244" s="135"/>
      <c r="O244" s="135"/>
      <c r="P244" s="135"/>
      <c r="Q244" s="135"/>
      <c r="R244" s="135"/>
      <c r="S244" s="136"/>
      <c r="T244" s="119"/>
      <c r="U244" s="119"/>
      <c r="V244" s="119"/>
      <c r="W244" s="119"/>
      <c r="X244" s="119"/>
      <c r="Y244" s="119"/>
      <c r="Z244" s="750" t="s">
        <v>283</v>
      </c>
      <c r="AA244" s="750" t="s">
        <v>348</v>
      </c>
      <c r="AB244" s="706" t="s">
        <v>11</v>
      </c>
      <c r="AC244" s="144">
        <v>1.08</v>
      </c>
      <c r="AD244" s="67" t="s">
        <v>5</v>
      </c>
      <c r="AE244" s="750">
        <f>AC245*1.35</f>
        <v>14580.000000000002</v>
      </c>
      <c r="AF244" s="87"/>
      <c r="AG244" s="162"/>
      <c r="AH244" s="162"/>
      <c r="AI244" s="120"/>
      <c r="AJ244" s="120"/>
      <c r="AK244" s="162"/>
      <c r="AL244" s="120"/>
      <c r="AM244" s="120"/>
      <c r="AN244" s="120"/>
      <c r="AO244" s="120"/>
      <c r="AP244" s="120"/>
      <c r="AQ244" s="120"/>
      <c r="AR244" s="120"/>
    </row>
    <row r="245" spans="1:44" x14ac:dyDescent="0.25">
      <c r="A245" s="734"/>
      <c r="B245" s="734"/>
      <c r="C245" s="742"/>
      <c r="D245" s="742"/>
      <c r="E245" s="742"/>
      <c r="F245" s="739"/>
      <c r="G245" s="748"/>
      <c r="H245" s="192"/>
      <c r="I245" s="192"/>
      <c r="J245" s="192"/>
      <c r="K245" s="192"/>
      <c r="L245" s="192"/>
      <c r="M245" s="192"/>
      <c r="N245" s="135"/>
      <c r="O245" s="135"/>
      <c r="P245" s="135"/>
      <c r="Q245" s="135"/>
      <c r="R245" s="135"/>
      <c r="S245" s="136"/>
      <c r="T245" s="119"/>
      <c r="U245" s="119"/>
      <c r="V245" s="119"/>
      <c r="W245" s="119"/>
      <c r="X245" s="119"/>
      <c r="Y245" s="119"/>
      <c r="Z245" s="751"/>
      <c r="AA245" s="751"/>
      <c r="AB245" s="707"/>
      <c r="AC245" s="186">
        <v>10800</v>
      </c>
      <c r="AD245" s="67" t="s">
        <v>8</v>
      </c>
      <c r="AE245" s="752"/>
      <c r="AF245" s="87"/>
      <c r="AG245" s="162"/>
      <c r="AH245" s="162"/>
      <c r="AI245" s="120"/>
      <c r="AJ245" s="120"/>
      <c r="AK245" s="162"/>
      <c r="AL245" s="120"/>
      <c r="AM245" s="120"/>
      <c r="AN245" s="120"/>
      <c r="AO245" s="120"/>
      <c r="AP245" s="120"/>
      <c r="AQ245" s="120"/>
      <c r="AR245" s="120"/>
    </row>
    <row r="246" spans="1:44" x14ac:dyDescent="0.25">
      <c r="A246" s="734"/>
      <c r="B246" s="734"/>
      <c r="C246" s="742"/>
      <c r="D246" s="742"/>
      <c r="E246" s="742"/>
      <c r="F246" s="739"/>
      <c r="G246" s="748"/>
      <c r="H246" s="192"/>
      <c r="I246" s="192"/>
      <c r="J246" s="192"/>
      <c r="K246" s="192"/>
      <c r="L246" s="192"/>
      <c r="M246" s="192"/>
      <c r="N246" s="135"/>
      <c r="O246" s="135"/>
      <c r="P246" s="135"/>
      <c r="Q246" s="135"/>
      <c r="R246" s="135"/>
      <c r="S246" s="136"/>
      <c r="T246" s="119"/>
      <c r="U246" s="119"/>
      <c r="V246" s="119"/>
      <c r="W246" s="119"/>
      <c r="X246" s="119"/>
      <c r="Y246" s="119"/>
      <c r="Z246" s="751"/>
      <c r="AA246" s="751"/>
      <c r="AB246" s="67" t="s">
        <v>17</v>
      </c>
      <c r="AC246" s="146">
        <v>11400</v>
      </c>
      <c r="AD246" s="67" t="s">
        <v>8</v>
      </c>
      <c r="AE246" s="148">
        <f>24535.6*0.7</f>
        <v>17174.919999999998</v>
      </c>
      <c r="AF246" s="87"/>
      <c r="AG246" s="162"/>
      <c r="AH246" s="162"/>
      <c r="AI246" s="120"/>
      <c r="AJ246" s="120"/>
      <c r="AK246" s="162"/>
      <c r="AL246" s="120"/>
      <c r="AM246" s="120"/>
      <c r="AN246" s="120"/>
      <c r="AO246" s="120"/>
      <c r="AP246" s="120"/>
      <c r="AQ246" s="120"/>
      <c r="AR246" s="120"/>
    </row>
    <row r="247" spans="1:44" ht="45" x14ac:dyDescent="0.25">
      <c r="A247" s="734"/>
      <c r="B247" s="734"/>
      <c r="C247" s="742"/>
      <c r="D247" s="742"/>
      <c r="E247" s="742"/>
      <c r="F247" s="739"/>
      <c r="G247" s="748"/>
      <c r="H247" s="192"/>
      <c r="I247" s="192"/>
      <c r="J247" s="192"/>
      <c r="K247" s="192"/>
      <c r="L247" s="192"/>
      <c r="M247" s="192"/>
      <c r="N247" s="135"/>
      <c r="O247" s="135"/>
      <c r="P247" s="135"/>
      <c r="Q247" s="135"/>
      <c r="R247" s="135"/>
      <c r="S247" s="136"/>
      <c r="T247" s="119"/>
      <c r="U247" s="119"/>
      <c r="V247" s="119"/>
      <c r="W247" s="119"/>
      <c r="X247" s="119"/>
      <c r="Y247" s="119"/>
      <c r="Z247" s="751"/>
      <c r="AA247" s="751"/>
      <c r="AB247" s="67" t="s">
        <v>46</v>
      </c>
      <c r="AC247" s="146">
        <v>600</v>
      </c>
      <c r="AD247" s="67" t="s">
        <v>16</v>
      </c>
      <c r="AE247" s="148">
        <v>750</v>
      </c>
      <c r="AF247" s="87"/>
      <c r="AG247" s="162"/>
      <c r="AH247" s="162"/>
      <c r="AI247" s="120"/>
      <c r="AJ247" s="120"/>
      <c r="AK247" s="162"/>
      <c r="AL247" s="120"/>
      <c r="AM247" s="120"/>
      <c r="AN247" s="120"/>
      <c r="AO247" s="120"/>
      <c r="AP247" s="120"/>
      <c r="AQ247" s="120"/>
      <c r="AR247" s="120"/>
    </row>
    <row r="248" spans="1:44" ht="30" x14ac:dyDescent="0.25">
      <c r="A248" s="707"/>
      <c r="B248" s="707"/>
      <c r="C248" s="743"/>
      <c r="D248" s="743"/>
      <c r="E248" s="743"/>
      <c r="F248" s="740"/>
      <c r="G248" s="749"/>
      <c r="H248" s="192"/>
      <c r="I248" s="192"/>
      <c r="J248" s="192"/>
      <c r="K248" s="192"/>
      <c r="L248" s="192"/>
      <c r="M248" s="192"/>
      <c r="N248" s="135"/>
      <c r="O248" s="135"/>
      <c r="P248" s="135"/>
      <c r="Q248" s="135"/>
      <c r="R248" s="135"/>
      <c r="S248" s="136"/>
      <c r="T248" s="119"/>
      <c r="U248" s="119"/>
      <c r="V248" s="119"/>
      <c r="W248" s="119"/>
      <c r="X248" s="119"/>
      <c r="Y248" s="119"/>
      <c r="Z248" s="752"/>
      <c r="AA248" s="752"/>
      <c r="AB248" s="128" t="s">
        <v>250</v>
      </c>
      <c r="AC248" s="146">
        <v>6</v>
      </c>
      <c r="AD248" s="108" t="s">
        <v>251</v>
      </c>
      <c r="AE248" s="148">
        <v>600</v>
      </c>
      <c r="AF248" s="87"/>
      <c r="AG248" s="162"/>
      <c r="AH248" s="162"/>
      <c r="AI248" s="120"/>
      <c r="AJ248" s="120"/>
      <c r="AK248" s="162"/>
      <c r="AL248" s="120"/>
      <c r="AM248" s="120"/>
      <c r="AN248" s="120"/>
      <c r="AO248" s="120"/>
      <c r="AP248" s="120"/>
      <c r="AQ248" s="120"/>
      <c r="AR248" s="120"/>
    </row>
    <row r="249" spans="1:44" x14ac:dyDescent="0.25">
      <c r="A249" s="706">
        <v>48</v>
      </c>
      <c r="B249" s="706">
        <v>2224554</v>
      </c>
      <c r="C249" s="741" t="s">
        <v>271</v>
      </c>
      <c r="D249" s="741">
        <f>F249</f>
        <v>1.806</v>
      </c>
      <c r="E249" s="741">
        <f>G249</f>
        <v>30700</v>
      </c>
      <c r="F249" s="738">
        <v>1.806</v>
      </c>
      <c r="G249" s="758">
        <v>30700</v>
      </c>
      <c r="H249" s="761"/>
      <c r="I249" s="762"/>
      <c r="J249" s="702"/>
      <c r="K249" s="762"/>
      <c r="L249" s="702"/>
      <c r="M249" s="804"/>
      <c r="N249" s="762"/>
      <c r="O249" s="762"/>
      <c r="P249" s="702"/>
      <c r="Q249" s="97"/>
      <c r="R249" s="94"/>
      <c r="S249" s="820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5"/>
      <c r="AF249" s="763" t="s">
        <v>349</v>
      </c>
      <c r="AG249" s="750" t="s">
        <v>350</v>
      </c>
      <c r="AH249" s="706" t="s">
        <v>11</v>
      </c>
      <c r="AI249" s="117">
        <v>1.806</v>
      </c>
      <c r="AJ249" s="67" t="s">
        <v>5</v>
      </c>
      <c r="AK249" s="818">
        <f>AI250*1.22</f>
        <v>37454</v>
      </c>
      <c r="AL249" s="120"/>
      <c r="AM249" s="120"/>
      <c r="AN249" s="120"/>
      <c r="AO249" s="120"/>
      <c r="AP249" s="120"/>
      <c r="AQ249" s="120"/>
      <c r="AR249" s="120"/>
    </row>
    <row r="250" spans="1:44" x14ac:dyDescent="0.25">
      <c r="A250" s="734"/>
      <c r="B250" s="734"/>
      <c r="C250" s="742"/>
      <c r="D250" s="742"/>
      <c r="E250" s="742"/>
      <c r="F250" s="739"/>
      <c r="G250" s="759"/>
      <c r="H250" s="753"/>
      <c r="I250" s="755"/>
      <c r="J250" s="703"/>
      <c r="K250" s="755"/>
      <c r="L250" s="703"/>
      <c r="M250" s="805"/>
      <c r="N250" s="755"/>
      <c r="O250" s="755"/>
      <c r="P250" s="703"/>
      <c r="Q250" s="136"/>
      <c r="R250" s="119"/>
      <c r="S250" s="821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1"/>
      <c r="AF250" s="764"/>
      <c r="AG250" s="751"/>
      <c r="AH250" s="707"/>
      <c r="AI250" s="133">
        <v>30700</v>
      </c>
      <c r="AJ250" s="67" t="s">
        <v>8</v>
      </c>
      <c r="AK250" s="819"/>
      <c r="AL250" s="120"/>
      <c r="AM250" s="120"/>
      <c r="AN250" s="120"/>
      <c r="AO250" s="120"/>
      <c r="AP250" s="120"/>
      <c r="AQ250" s="120"/>
      <c r="AR250" s="120"/>
    </row>
    <row r="251" spans="1:44" x14ac:dyDescent="0.25">
      <c r="A251" s="734"/>
      <c r="B251" s="734"/>
      <c r="C251" s="742"/>
      <c r="D251" s="742"/>
      <c r="E251" s="742"/>
      <c r="F251" s="739"/>
      <c r="G251" s="759"/>
      <c r="H251" s="753"/>
      <c r="I251" s="755"/>
      <c r="J251" s="703"/>
      <c r="K251" s="755"/>
      <c r="L251" s="703"/>
      <c r="M251" s="805"/>
      <c r="N251" s="755"/>
      <c r="O251" s="755"/>
      <c r="P251" s="119"/>
      <c r="Q251" s="135"/>
      <c r="R251" s="119"/>
      <c r="S251" s="145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1"/>
      <c r="AF251" s="764"/>
      <c r="AG251" s="751"/>
      <c r="AH251" s="67" t="s">
        <v>17</v>
      </c>
      <c r="AI251" s="108">
        <v>10800</v>
      </c>
      <c r="AJ251" s="67" t="s">
        <v>8</v>
      </c>
      <c r="AK251" s="146">
        <f>23244.2*0.67</f>
        <v>15573.614000000001</v>
      </c>
      <c r="AL251" s="120"/>
      <c r="AM251" s="120"/>
      <c r="AN251" s="120"/>
      <c r="AO251" s="120"/>
      <c r="AP251" s="120"/>
      <c r="AQ251" s="120"/>
      <c r="AR251" s="120"/>
    </row>
    <row r="252" spans="1:44" ht="45" x14ac:dyDescent="0.25">
      <c r="A252" s="734"/>
      <c r="B252" s="734"/>
      <c r="C252" s="742"/>
      <c r="D252" s="742"/>
      <c r="E252" s="742"/>
      <c r="F252" s="739"/>
      <c r="G252" s="759"/>
      <c r="H252" s="753"/>
      <c r="I252" s="755"/>
      <c r="J252" s="703"/>
      <c r="K252" s="755"/>
      <c r="L252" s="703"/>
      <c r="M252" s="805"/>
      <c r="N252" s="755"/>
      <c r="O252" s="755"/>
      <c r="P252" s="119"/>
      <c r="Q252" s="135"/>
      <c r="R252" s="119"/>
      <c r="S252" s="145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1"/>
      <c r="AF252" s="764"/>
      <c r="AG252" s="751"/>
      <c r="AH252" s="67" t="s">
        <v>46</v>
      </c>
      <c r="AI252" s="108">
        <v>442</v>
      </c>
      <c r="AJ252" s="67" t="s">
        <v>16</v>
      </c>
      <c r="AK252" s="146">
        <v>552.5</v>
      </c>
      <c r="AL252" s="120"/>
      <c r="AM252" s="120"/>
      <c r="AN252" s="120"/>
      <c r="AO252" s="120"/>
      <c r="AP252" s="120"/>
      <c r="AQ252" s="120"/>
      <c r="AR252" s="120"/>
    </row>
    <row r="253" spans="1:44" ht="30" x14ac:dyDescent="0.25">
      <c r="A253" s="734"/>
      <c r="B253" s="734"/>
      <c r="C253" s="742"/>
      <c r="D253" s="742"/>
      <c r="E253" s="742"/>
      <c r="F253" s="739"/>
      <c r="G253" s="759"/>
      <c r="H253" s="753"/>
      <c r="I253" s="755"/>
      <c r="J253" s="703"/>
      <c r="K253" s="755"/>
      <c r="L253" s="703"/>
      <c r="M253" s="805"/>
      <c r="N253" s="755"/>
      <c r="O253" s="755"/>
      <c r="P253" s="149"/>
      <c r="Q253" s="135"/>
      <c r="R253" s="135"/>
      <c r="S253" s="145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1"/>
      <c r="AF253" s="764"/>
      <c r="AG253" s="751"/>
      <c r="AH253" s="128" t="s">
        <v>250</v>
      </c>
      <c r="AI253" s="108">
        <v>5</v>
      </c>
      <c r="AJ253" s="108" t="s">
        <v>251</v>
      </c>
      <c r="AK253" s="146">
        <v>500</v>
      </c>
      <c r="AL253" s="120"/>
      <c r="AM253" s="120"/>
      <c r="AN253" s="120"/>
      <c r="AO253" s="120"/>
      <c r="AP253" s="120"/>
      <c r="AQ253" s="120"/>
      <c r="AR253" s="120"/>
    </row>
    <row r="254" spans="1:44" ht="45" x14ac:dyDescent="0.25">
      <c r="A254" s="707"/>
      <c r="B254" s="707"/>
      <c r="C254" s="743"/>
      <c r="D254" s="743"/>
      <c r="E254" s="743"/>
      <c r="F254" s="740"/>
      <c r="G254" s="760"/>
      <c r="H254" s="753"/>
      <c r="I254" s="755"/>
      <c r="J254" s="703"/>
      <c r="K254" s="755"/>
      <c r="L254" s="703"/>
      <c r="M254" s="805"/>
      <c r="N254" s="755"/>
      <c r="O254" s="755"/>
      <c r="P254" s="149"/>
      <c r="Q254" s="135"/>
      <c r="R254" s="119"/>
      <c r="S254" s="145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1"/>
      <c r="AF254" s="765"/>
      <c r="AG254" s="752"/>
      <c r="AH254" s="181" t="s">
        <v>15</v>
      </c>
      <c r="AI254" s="108">
        <v>360</v>
      </c>
      <c r="AJ254" s="112" t="s">
        <v>16</v>
      </c>
      <c r="AK254" s="146">
        <v>1800</v>
      </c>
      <c r="AL254" s="120"/>
      <c r="AM254" s="120"/>
      <c r="AN254" s="120"/>
      <c r="AO254" s="120"/>
      <c r="AP254" s="120"/>
      <c r="AQ254" s="120"/>
      <c r="AR254" s="120"/>
    </row>
    <row r="255" spans="1:44" x14ac:dyDescent="0.25">
      <c r="A255" s="706">
        <v>49</v>
      </c>
      <c r="B255" s="735">
        <v>2225710</v>
      </c>
      <c r="C255" s="738" t="s">
        <v>351</v>
      </c>
      <c r="D255" s="741">
        <f>F255</f>
        <v>1.1499999999999999</v>
      </c>
      <c r="E255" s="741">
        <f>G255</f>
        <v>15000</v>
      </c>
      <c r="F255" s="738">
        <v>1.1499999999999999</v>
      </c>
      <c r="G255" s="744">
        <v>15000</v>
      </c>
      <c r="H255" s="761"/>
      <c r="I255" s="762"/>
      <c r="J255" s="781"/>
      <c r="K255" s="762"/>
      <c r="L255" s="762"/>
      <c r="M255" s="762"/>
      <c r="N255" s="702"/>
      <c r="O255" s="702"/>
      <c r="P255" s="702"/>
      <c r="Q255" s="97"/>
      <c r="R255" s="94"/>
      <c r="S255" s="822"/>
      <c r="T255" s="94"/>
      <c r="U255" s="94"/>
      <c r="V255" s="94"/>
      <c r="W255" s="94"/>
      <c r="X255" s="94"/>
      <c r="Y255" s="94"/>
      <c r="Z255" s="94"/>
      <c r="AA255" s="702"/>
      <c r="AB255" s="781"/>
      <c r="AC255" s="702"/>
      <c r="AD255" s="762"/>
      <c r="AE255" s="800"/>
      <c r="AF255" s="800" t="s">
        <v>352</v>
      </c>
      <c r="AG255" s="706" t="s">
        <v>353</v>
      </c>
      <c r="AH255" s="706" t="s">
        <v>11</v>
      </c>
      <c r="AI255" s="117">
        <v>1.1499999999999999</v>
      </c>
      <c r="AJ255" s="67" t="s">
        <v>5</v>
      </c>
      <c r="AK255" s="818">
        <f>AI256*1.22</f>
        <v>18300</v>
      </c>
      <c r="AL255" s="120"/>
      <c r="AM255" s="120"/>
      <c r="AN255" s="120"/>
      <c r="AO255" s="120"/>
      <c r="AP255" s="120"/>
      <c r="AQ255" s="120"/>
      <c r="AR255" s="120"/>
    </row>
    <row r="256" spans="1:44" x14ac:dyDescent="0.25">
      <c r="A256" s="734"/>
      <c r="B256" s="736"/>
      <c r="C256" s="739"/>
      <c r="D256" s="742"/>
      <c r="E256" s="742"/>
      <c r="F256" s="739"/>
      <c r="G256" s="745"/>
      <c r="H256" s="753"/>
      <c r="I256" s="755"/>
      <c r="J256" s="782"/>
      <c r="K256" s="755"/>
      <c r="L256" s="755"/>
      <c r="M256" s="755"/>
      <c r="N256" s="703"/>
      <c r="O256" s="703"/>
      <c r="P256" s="703"/>
      <c r="Q256" s="135"/>
      <c r="R256" s="119"/>
      <c r="S256" s="823"/>
      <c r="T256" s="119"/>
      <c r="U256" s="119"/>
      <c r="V256" s="119"/>
      <c r="W256" s="119"/>
      <c r="X256" s="119"/>
      <c r="Y256" s="119"/>
      <c r="Z256" s="119"/>
      <c r="AA256" s="703"/>
      <c r="AB256" s="782"/>
      <c r="AC256" s="703"/>
      <c r="AD256" s="755"/>
      <c r="AE256" s="801"/>
      <c r="AF256" s="801"/>
      <c r="AG256" s="734"/>
      <c r="AH256" s="707"/>
      <c r="AI256" s="108">
        <v>15000</v>
      </c>
      <c r="AJ256" s="67" t="s">
        <v>8</v>
      </c>
      <c r="AK256" s="819"/>
      <c r="AL256" s="120"/>
      <c r="AM256" s="120"/>
      <c r="AN256" s="120"/>
      <c r="AO256" s="120"/>
      <c r="AP256" s="120"/>
      <c r="AQ256" s="120"/>
      <c r="AR256" s="120"/>
    </row>
    <row r="257" spans="1:44" x14ac:dyDescent="0.25">
      <c r="A257" s="734"/>
      <c r="B257" s="736"/>
      <c r="C257" s="739"/>
      <c r="D257" s="742"/>
      <c r="E257" s="742"/>
      <c r="F257" s="739"/>
      <c r="G257" s="745"/>
      <c r="H257" s="753"/>
      <c r="I257" s="755"/>
      <c r="J257" s="782"/>
      <c r="K257" s="755"/>
      <c r="L257" s="755"/>
      <c r="M257" s="755"/>
      <c r="N257" s="703"/>
      <c r="O257" s="703"/>
      <c r="P257" s="119"/>
      <c r="Q257" s="135"/>
      <c r="R257" s="119"/>
      <c r="S257" s="193"/>
      <c r="T257" s="119"/>
      <c r="U257" s="119"/>
      <c r="V257" s="119"/>
      <c r="W257" s="119"/>
      <c r="X257" s="119"/>
      <c r="Y257" s="119"/>
      <c r="Z257" s="119"/>
      <c r="AA257" s="703"/>
      <c r="AB257" s="782"/>
      <c r="AC257" s="703"/>
      <c r="AD257" s="755"/>
      <c r="AE257" s="801"/>
      <c r="AF257" s="801"/>
      <c r="AG257" s="734"/>
      <c r="AH257" s="67" t="s">
        <v>17</v>
      </c>
      <c r="AI257" s="108">
        <v>6900</v>
      </c>
      <c r="AJ257" s="67" t="s">
        <v>8</v>
      </c>
      <c r="AK257" s="153">
        <f>14413.3*0.67</f>
        <v>9656.9110000000001</v>
      </c>
      <c r="AL257" s="120"/>
      <c r="AM257" s="120"/>
      <c r="AN257" s="120"/>
      <c r="AO257" s="120"/>
      <c r="AP257" s="120"/>
      <c r="AQ257" s="120"/>
      <c r="AR257" s="120"/>
    </row>
    <row r="258" spans="1:44" ht="45" x14ac:dyDescent="0.25">
      <c r="A258" s="734"/>
      <c r="B258" s="736"/>
      <c r="C258" s="739"/>
      <c r="D258" s="742"/>
      <c r="E258" s="742"/>
      <c r="F258" s="739"/>
      <c r="G258" s="745"/>
      <c r="H258" s="753"/>
      <c r="I258" s="755"/>
      <c r="J258" s="782"/>
      <c r="K258" s="755"/>
      <c r="L258" s="755"/>
      <c r="M258" s="755"/>
      <c r="N258" s="703"/>
      <c r="O258" s="703"/>
      <c r="P258" s="119"/>
      <c r="Q258" s="135"/>
      <c r="R258" s="119"/>
      <c r="S258" s="193"/>
      <c r="T258" s="119"/>
      <c r="U258" s="119"/>
      <c r="V258" s="119"/>
      <c r="W258" s="119"/>
      <c r="X258" s="119"/>
      <c r="Y258" s="119"/>
      <c r="Z258" s="119"/>
      <c r="AA258" s="703"/>
      <c r="AB258" s="782"/>
      <c r="AC258" s="703"/>
      <c r="AD258" s="755"/>
      <c r="AE258" s="801"/>
      <c r="AF258" s="801"/>
      <c r="AG258" s="734"/>
      <c r="AH258" s="67" t="s">
        <v>46</v>
      </c>
      <c r="AI258" s="108">
        <v>330</v>
      </c>
      <c r="AJ258" s="67" t="s">
        <v>16</v>
      </c>
      <c r="AK258" s="153">
        <v>412.5</v>
      </c>
      <c r="AL258" s="120"/>
      <c r="AM258" s="120"/>
      <c r="AN258" s="120"/>
      <c r="AO258" s="120"/>
      <c r="AP258" s="120"/>
      <c r="AQ258" s="120"/>
      <c r="AR258" s="120"/>
    </row>
    <row r="259" spans="1:44" ht="30" x14ac:dyDescent="0.25">
      <c r="A259" s="734"/>
      <c r="B259" s="736"/>
      <c r="C259" s="739"/>
      <c r="D259" s="742"/>
      <c r="E259" s="742"/>
      <c r="F259" s="739"/>
      <c r="G259" s="745"/>
      <c r="H259" s="753"/>
      <c r="I259" s="755"/>
      <c r="J259" s="782"/>
      <c r="K259" s="755"/>
      <c r="L259" s="755"/>
      <c r="M259" s="755"/>
      <c r="N259" s="703"/>
      <c r="O259" s="703"/>
      <c r="P259" s="149"/>
      <c r="Q259" s="135"/>
      <c r="R259" s="135"/>
      <c r="S259" s="193"/>
      <c r="T259" s="119"/>
      <c r="U259" s="119"/>
      <c r="V259" s="119"/>
      <c r="W259" s="119"/>
      <c r="X259" s="119"/>
      <c r="Y259" s="119"/>
      <c r="Z259" s="119"/>
      <c r="AA259" s="703"/>
      <c r="AB259" s="782"/>
      <c r="AC259" s="703"/>
      <c r="AD259" s="755"/>
      <c r="AE259" s="801"/>
      <c r="AF259" s="801"/>
      <c r="AG259" s="734"/>
      <c r="AH259" s="128" t="s">
        <v>250</v>
      </c>
      <c r="AI259" s="108">
        <v>6</v>
      </c>
      <c r="AJ259" s="108" t="s">
        <v>251</v>
      </c>
      <c r="AK259" s="153">
        <v>600</v>
      </c>
      <c r="AL259" s="120"/>
      <c r="AM259" s="120"/>
      <c r="AN259" s="120"/>
      <c r="AO259" s="120"/>
      <c r="AP259" s="120"/>
      <c r="AQ259" s="120"/>
      <c r="AR259" s="120"/>
    </row>
    <row r="260" spans="1:44" x14ac:dyDescent="0.25">
      <c r="A260" s="706">
        <v>50</v>
      </c>
      <c r="B260" s="735">
        <v>2222517</v>
      </c>
      <c r="C260" s="738" t="s">
        <v>258</v>
      </c>
      <c r="D260" s="741">
        <f>F260</f>
        <v>2.5</v>
      </c>
      <c r="E260" s="741">
        <f>G260</f>
        <v>57750</v>
      </c>
      <c r="F260" s="738">
        <v>2.5</v>
      </c>
      <c r="G260" s="744">
        <v>57750</v>
      </c>
      <c r="H260" s="761"/>
      <c r="I260" s="762"/>
      <c r="J260" s="781"/>
      <c r="K260" s="762"/>
      <c r="L260" s="762"/>
      <c r="M260" s="762"/>
      <c r="N260" s="702"/>
      <c r="O260" s="702"/>
      <c r="P260" s="702"/>
      <c r="Q260" s="97"/>
      <c r="R260" s="94"/>
      <c r="S260" s="822"/>
      <c r="T260" s="702"/>
      <c r="U260" s="702"/>
      <c r="V260" s="702"/>
      <c r="W260" s="702"/>
      <c r="X260" s="702"/>
      <c r="Y260" s="702"/>
      <c r="Z260" s="702"/>
      <c r="AA260" s="702"/>
      <c r="AB260" s="781"/>
      <c r="AC260" s="702"/>
      <c r="AD260" s="762"/>
      <c r="AE260" s="800"/>
      <c r="AF260" s="800" t="s">
        <v>329</v>
      </c>
      <c r="AG260" s="706" t="s">
        <v>287</v>
      </c>
      <c r="AH260" s="706" t="s">
        <v>11</v>
      </c>
      <c r="AI260" s="117">
        <v>2.5</v>
      </c>
      <c r="AJ260" s="67" t="s">
        <v>5</v>
      </c>
      <c r="AK260" s="818">
        <f>AI261*1.22</f>
        <v>69540</v>
      </c>
      <c r="AL260" s="120"/>
      <c r="AM260" s="120"/>
      <c r="AN260" s="120"/>
      <c r="AO260" s="120"/>
      <c r="AP260" s="120"/>
      <c r="AQ260" s="120"/>
      <c r="AR260" s="120"/>
    </row>
    <row r="261" spans="1:44" x14ac:dyDescent="0.25">
      <c r="A261" s="734"/>
      <c r="B261" s="736"/>
      <c r="C261" s="739"/>
      <c r="D261" s="742"/>
      <c r="E261" s="742"/>
      <c r="F261" s="739"/>
      <c r="G261" s="745"/>
      <c r="H261" s="753"/>
      <c r="I261" s="755"/>
      <c r="J261" s="782"/>
      <c r="K261" s="755"/>
      <c r="L261" s="755"/>
      <c r="M261" s="755"/>
      <c r="N261" s="703"/>
      <c r="O261" s="703"/>
      <c r="P261" s="703"/>
      <c r="Q261" s="135"/>
      <c r="R261" s="119"/>
      <c r="S261" s="823"/>
      <c r="T261" s="703"/>
      <c r="U261" s="703"/>
      <c r="V261" s="703"/>
      <c r="W261" s="703"/>
      <c r="X261" s="703"/>
      <c r="Y261" s="703"/>
      <c r="Z261" s="703"/>
      <c r="AA261" s="703"/>
      <c r="AB261" s="782"/>
      <c r="AC261" s="703"/>
      <c r="AD261" s="755"/>
      <c r="AE261" s="801"/>
      <c r="AF261" s="801"/>
      <c r="AG261" s="734"/>
      <c r="AH261" s="707"/>
      <c r="AI261" s="108">
        <v>57000</v>
      </c>
      <c r="AJ261" s="67" t="s">
        <v>8</v>
      </c>
      <c r="AK261" s="819"/>
      <c r="AL261" s="120"/>
      <c r="AM261" s="120"/>
      <c r="AN261" s="120"/>
      <c r="AO261" s="120"/>
      <c r="AP261" s="120"/>
      <c r="AQ261" s="120"/>
      <c r="AR261" s="120"/>
    </row>
    <row r="262" spans="1:44" x14ac:dyDescent="0.25">
      <c r="A262" s="734"/>
      <c r="B262" s="736"/>
      <c r="C262" s="739"/>
      <c r="D262" s="742"/>
      <c r="E262" s="742"/>
      <c r="F262" s="739"/>
      <c r="G262" s="745"/>
      <c r="H262" s="753"/>
      <c r="I262" s="755"/>
      <c r="J262" s="782"/>
      <c r="K262" s="755"/>
      <c r="L262" s="755"/>
      <c r="M262" s="755"/>
      <c r="N262" s="703"/>
      <c r="O262" s="703"/>
      <c r="P262" s="119"/>
      <c r="Q262" s="135"/>
      <c r="R262" s="119"/>
      <c r="S262" s="193"/>
      <c r="T262" s="703"/>
      <c r="U262" s="703"/>
      <c r="V262" s="703"/>
      <c r="W262" s="703"/>
      <c r="X262" s="703"/>
      <c r="Y262" s="703"/>
      <c r="Z262" s="703"/>
      <c r="AA262" s="703"/>
      <c r="AB262" s="782"/>
      <c r="AC262" s="703"/>
      <c r="AD262" s="755"/>
      <c r="AE262" s="801"/>
      <c r="AF262" s="801"/>
      <c r="AG262" s="734"/>
      <c r="AH262" s="67" t="s">
        <v>17</v>
      </c>
      <c r="AI262" s="108">
        <v>15000</v>
      </c>
      <c r="AJ262" s="67" t="s">
        <v>8</v>
      </c>
      <c r="AK262" s="153">
        <f>25018.2*0.67</f>
        <v>16762.194000000003</v>
      </c>
      <c r="AL262" s="120"/>
      <c r="AM262" s="120"/>
      <c r="AN262" s="120"/>
      <c r="AO262" s="120"/>
      <c r="AP262" s="120"/>
      <c r="AQ262" s="120"/>
      <c r="AR262" s="120"/>
    </row>
    <row r="263" spans="1:44" ht="45" x14ac:dyDescent="0.25">
      <c r="A263" s="734"/>
      <c r="B263" s="736"/>
      <c r="C263" s="739"/>
      <c r="D263" s="742"/>
      <c r="E263" s="742"/>
      <c r="F263" s="739"/>
      <c r="G263" s="745"/>
      <c r="H263" s="753"/>
      <c r="I263" s="755"/>
      <c r="J263" s="782"/>
      <c r="K263" s="755"/>
      <c r="L263" s="755"/>
      <c r="M263" s="755"/>
      <c r="N263" s="703"/>
      <c r="O263" s="703"/>
      <c r="P263" s="119"/>
      <c r="Q263" s="135"/>
      <c r="R263" s="119"/>
      <c r="S263" s="193"/>
      <c r="T263" s="703"/>
      <c r="U263" s="703"/>
      <c r="V263" s="703"/>
      <c r="W263" s="703"/>
      <c r="X263" s="703"/>
      <c r="Y263" s="703"/>
      <c r="Z263" s="703"/>
      <c r="AA263" s="703"/>
      <c r="AB263" s="782"/>
      <c r="AC263" s="703"/>
      <c r="AD263" s="755"/>
      <c r="AE263" s="801"/>
      <c r="AF263" s="801"/>
      <c r="AG263" s="734"/>
      <c r="AH263" s="67" t="s">
        <v>46</v>
      </c>
      <c r="AI263" s="108">
        <v>661</v>
      </c>
      <c r="AJ263" s="67" t="s">
        <v>16</v>
      </c>
      <c r="AK263" s="153">
        <v>826.3</v>
      </c>
      <c r="AL263" s="120"/>
      <c r="AM263" s="120"/>
      <c r="AN263" s="120"/>
      <c r="AO263" s="120"/>
      <c r="AP263" s="120"/>
      <c r="AQ263" s="120"/>
      <c r="AR263" s="120"/>
    </row>
    <row r="264" spans="1:44" ht="30" x14ac:dyDescent="0.25">
      <c r="A264" s="734"/>
      <c r="B264" s="736"/>
      <c r="C264" s="739"/>
      <c r="D264" s="742"/>
      <c r="E264" s="742"/>
      <c r="F264" s="739"/>
      <c r="G264" s="745"/>
      <c r="H264" s="753"/>
      <c r="I264" s="755"/>
      <c r="J264" s="782"/>
      <c r="K264" s="755"/>
      <c r="L264" s="755"/>
      <c r="M264" s="755"/>
      <c r="N264" s="703"/>
      <c r="O264" s="703"/>
      <c r="P264" s="149"/>
      <c r="Q264" s="135"/>
      <c r="R264" s="135"/>
      <c r="S264" s="193"/>
      <c r="T264" s="703"/>
      <c r="U264" s="703"/>
      <c r="V264" s="703"/>
      <c r="W264" s="703"/>
      <c r="X264" s="703"/>
      <c r="Y264" s="703"/>
      <c r="Z264" s="703"/>
      <c r="AA264" s="703"/>
      <c r="AB264" s="782"/>
      <c r="AC264" s="703"/>
      <c r="AD264" s="755"/>
      <c r="AE264" s="801"/>
      <c r="AF264" s="801"/>
      <c r="AG264" s="734"/>
      <c r="AH264" s="128" t="s">
        <v>250</v>
      </c>
      <c r="AI264" s="108">
        <v>10</v>
      </c>
      <c r="AJ264" s="108" t="s">
        <v>251</v>
      </c>
      <c r="AK264" s="153">
        <v>1000</v>
      </c>
      <c r="AL264" s="120"/>
      <c r="AM264" s="120"/>
      <c r="AN264" s="120"/>
      <c r="AO264" s="120"/>
      <c r="AP264" s="120"/>
      <c r="AQ264" s="120"/>
      <c r="AR264" s="120"/>
    </row>
    <row r="265" spans="1:44" ht="45" x14ac:dyDescent="0.25">
      <c r="A265" s="707"/>
      <c r="B265" s="737"/>
      <c r="C265" s="740"/>
      <c r="D265" s="743"/>
      <c r="E265" s="743"/>
      <c r="F265" s="740"/>
      <c r="G265" s="746"/>
      <c r="H265" s="753"/>
      <c r="I265" s="755"/>
      <c r="J265" s="782"/>
      <c r="K265" s="755"/>
      <c r="L265" s="755"/>
      <c r="M265" s="755"/>
      <c r="N265" s="703"/>
      <c r="O265" s="703"/>
      <c r="P265" s="176"/>
      <c r="Q265" s="135"/>
      <c r="R265" s="119"/>
      <c r="S265" s="193"/>
      <c r="T265" s="703"/>
      <c r="U265" s="703"/>
      <c r="V265" s="703"/>
      <c r="W265" s="703"/>
      <c r="X265" s="703"/>
      <c r="Y265" s="703"/>
      <c r="Z265" s="703"/>
      <c r="AA265" s="703"/>
      <c r="AB265" s="782"/>
      <c r="AC265" s="703"/>
      <c r="AD265" s="755"/>
      <c r="AE265" s="801"/>
      <c r="AF265" s="802"/>
      <c r="AG265" s="707"/>
      <c r="AH265" s="67" t="s">
        <v>15</v>
      </c>
      <c r="AI265" s="108">
        <v>1100</v>
      </c>
      <c r="AJ265" s="67" t="s">
        <v>16</v>
      </c>
      <c r="AK265" s="153">
        <v>5000</v>
      </c>
      <c r="AL265" s="120"/>
      <c r="AM265" s="120"/>
      <c r="AN265" s="120"/>
      <c r="AO265" s="120"/>
      <c r="AP265" s="120"/>
      <c r="AQ265" s="120"/>
      <c r="AR265" s="120"/>
    </row>
    <row r="266" spans="1:44" x14ac:dyDescent="0.25">
      <c r="A266" s="766">
        <v>51</v>
      </c>
      <c r="B266" s="735">
        <v>2228605</v>
      </c>
      <c r="C266" s="769" t="s">
        <v>354</v>
      </c>
      <c r="D266" s="741">
        <f>F266</f>
        <v>1.37</v>
      </c>
      <c r="E266" s="741">
        <f>G266</f>
        <v>21920</v>
      </c>
      <c r="F266" s="738">
        <v>1.37</v>
      </c>
      <c r="G266" s="758">
        <v>21920</v>
      </c>
      <c r="H266" s="96"/>
      <c r="I266" s="97"/>
      <c r="J266" s="98"/>
      <c r="K266" s="97"/>
      <c r="L266" s="97"/>
      <c r="M266" s="97"/>
      <c r="N266" s="97"/>
      <c r="O266" s="97"/>
      <c r="P266" s="97"/>
      <c r="Q266" s="97"/>
      <c r="R266" s="97"/>
      <c r="S266" s="183"/>
      <c r="T266" s="94"/>
      <c r="U266" s="94"/>
      <c r="V266" s="94"/>
      <c r="W266" s="94"/>
      <c r="X266" s="94"/>
      <c r="Y266" s="94"/>
      <c r="Z266" s="702"/>
      <c r="AA266" s="702"/>
      <c r="AB266" s="781"/>
      <c r="AC266" s="702"/>
      <c r="AD266" s="762"/>
      <c r="AE266" s="800"/>
      <c r="AF266" s="763" t="s">
        <v>355</v>
      </c>
      <c r="AG266" s="750" t="s">
        <v>356</v>
      </c>
      <c r="AH266" s="710" t="s">
        <v>11</v>
      </c>
      <c r="AI266" s="117">
        <v>1.37</v>
      </c>
      <c r="AJ266" s="67" t="s">
        <v>5</v>
      </c>
      <c r="AK266" s="818">
        <f>AI267*1.22</f>
        <v>26742.399999999998</v>
      </c>
      <c r="AL266" s="120"/>
      <c r="AM266" s="120"/>
      <c r="AN266" s="120"/>
      <c r="AO266" s="120"/>
      <c r="AP266" s="120"/>
      <c r="AQ266" s="120"/>
      <c r="AR266" s="120"/>
    </row>
    <row r="267" spans="1:44" x14ac:dyDescent="0.25">
      <c r="A267" s="767"/>
      <c r="B267" s="736"/>
      <c r="C267" s="770"/>
      <c r="D267" s="742"/>
      <c r="E267" s="742"/>
      <c r="F267" s="739"/>
      <c r="G267" s="759"/>
      <c r="H267" s="103"/>
      <c r="I267" s="135"/>
      <c r="J267" s="149"/>
      <c r="K267" s="135"/>
      <c r="L267" s="135"/>
      <c r="M267" s="135"/>
      <c r="N267" s="135"/>
      <c r="O267" s="135"/>
      <c r="P267" s="135"/>
      <c r="Q267" s="135"/>
      <c r="R267" s="135"/>
      <c r="S267" s="136"/>
      <c r="T267" s="119"/>
      <c r="U267" s="119"/>
      <c r="V267" s="119"/>
      <c r="W267" s="119"/>
      <c r="X267" s="119"/>
      <c r="Y267" s="119"/>
      <c r="Z267" s="703"/>
      <c r="AA267" s="703"/>
      <c r="AB267" s="782"/>
      <c r="AC267" s="703"/>
      <c r="AD267" s="755"/>
      <c r="AE267" s="801"/>
      <c r="AF267" s="764"/>
      <c r="AG267" s="751"/>
      <c r="AH267" s="710"/>
      <c r="AI267" s="133">
        <v>21920</v>
      </c>
      <c r="AJ267" s="67" t="s">
        <v>8</v>
      </c>
      <c r="AK267" s="819"/>
      <c r="AL267" s="120"/>
      <c r="AM267" s="120"/>
      <c r="AN267" s="120"/>
      <c r="AO267" s="120"/>
      <c r="AP267" s="120"/>
      <c r="AQ267" s="120"/>
      <c r="AR267" s="120"/>
    </row>
    <row r="268" spans="1:44" x14ac:dyDescent="0.25">
      <c r="A268" s="768"/>
      <c r="B268" s="737"/>
      <c r="C268" s="771"/>
      <c r="D268" s="743"/>
      <c r="E268" s="743"/>
      <c r="F268" s="740"/>
      <c r="G268" s="760"/>
      <c r="H268" s="103"/>
      <c r="I268" s="135"/>
      <c r="J268" s="149"/>
      <c r="K268" s="135"/>
      <c r="L268" s="135"/>
      <c r="M268" s="135"/>
      <c r="N268" s="135"/>
      <c r="O268" s="135"/>
      <c r="P268" s="135"/>
      <c r="Q268" s="135"/>
      <c r="R268" s="135"/>
      <c r="S268" s="136"/>
      <c r="T268" s="119"/>
      <c r="U268" s="119"/>
      <c r="V268" s="119"/>
      <c r="W268" s="119"/>
      <c r="X268" s="119"/>
      <c r="Y268" s="119"/>
      <c r="Z268" s="703"/>
      <c r="AA268" s="703"/>
      <c r="AB268" s="782"/>
      <c r="AC268" s="703"/>
      <c r="AD268" s="755"/>
      <c r="AE268" s="801"/>
      <c r="AF268" s="765"/>
      <c r="AG268" s="752"/>
      <c r="AH268" s="67" t="s">
        <v>17</v>
      </c>
      <c r="AI268" s="108">
        <v>8220</v>
      </c>
      <c r="AJ268" s="67" t="s">
        <v>8</v>
      </c>
      <c r="AK268" s="125">
        <f>17691.4*0.67</f>
        <v>11853.238000000001</v>
      </c>
      <c r="AL268" s="120"/>
      <c r="AM268" s="120"/>
      <c r="AN268" s="120"/>
      <c r="AO268" s="120"/>
      <c r="AP268" s="120"/>
      <c r="AQ268" s="120"/>
      <c r="AR268" s="120"/>
    </row>
    <row r="269" spans="1:44" x14ac:dyDescent="0.25">
      <c r="A269" s="766">
        <v>52</v>
      </c>
      <c r="B269" s="735">
        <v>2229174</v>
      </c>
      <c r="C269" s="769" t="s">
        <v>357</v>
      </c>
      <c r="D269" s="741">
        <f t="shared" ref="D269:E269" si="6">F269</f>
        <v>1.27</v>
      </c>
      <c r="E269" s="741">
        <f t="shared" si="6"/>
        <v>10160</v>
      </c>
      <c r="F269" s="738">
        <v>1.27</v>
      </c>
      <c r="G269" s="758">
        <v>10160</v>
      </c>
      <c r="H269" s="96"/>
      <c r="I269" s="97"/>
      <c r="J269" s="98"/>
      <c r="K269" s="97"/>
      <c r="L269" s="97"/>
      <c r="M269" s="97"/>
      <c r="N269" s="97"/>
      <c r="O269" s="97"/>
      <c r="P269" s="97"/>
      <c r="Q269" s="97"/>
      <c r="R269" s="97"/>
      <c r="S269" s="183"/>
      <c r="T269" s="94"/>
      <c r="U269" s="94"/>
      <c r="V269" s="94"/>
      <c r="W269" s="94"/>
      <c r="X269" s="94"/>
      <c r="Y269" s="94"/>
      <c r="Z269" s="94"/>
      <c r="AA269" s="94"/>
      <c r="AB269" s="781"/>
      <c r="AC269" s="94"/>
      <c r="AD269" s="762"/>
      <c r="AE269" s="800"/>
      <c r="AF269" s="763" t="s">
        <v>276</v>
      </c>
      <c r="AG269" s="750" t="s">
        <v>358</v>
      </c>
      <c r="AH269" s="710" t="s">
        <v>11</v>
      </c>
      <c r="AI269" s="117">
        <v>1.27</v>
      </c>
      <c r="AJ269" s="67" t="s">
        <v>5</v>
      </c>
      <c r="AK269" s="818">
        <f>AI270*1.22</f>
        <v>12395.199999999999</v>
      </c>
      <c r="AL269" s="120"/>
      <c r="AM269" s="120"/>
      <c r="AN269" s="120"/>
      <c r="AO269" s="120"/>
      <c r="AP269" s="120"/>
      <c r="AQ269" s="120"/>
      <c r="AR269" s="120"/>
    </row>
    <row r="270" spans="1:44" x14ac:dyDescent="0.25">
      <c r="A270" s="767"/>
      <c r="B270" s="736"/>
      <c r="C270" s="770"/>
      <c r="D270" s="742"/>
      <c r="E270" s="742"/>
      <c r="F270" s="739"/>
      <c r="G270" s="759"/>
      <c r="H270" s="103"/>
      <c r="I270" s="135"/>
      <c r="J270" s="149"/>
      <c r="K270" s="135"/>
      <c r="L270" s="135"/>
      <c r="M270" s="135"/>
      <c r="N270" s="135"/>
      <c r="O270" s="135"/>
      <c r="P270" s="135"/>
      <c r="Q270" s="135"/>
      <c r="R270" s="135"/>
      <c r="S270" s="136"/>
      <c r="T270" s="119"/>
      <c r="U270" s="119"/>
      <c r="V270" s="119"/>
      <c r="W270" s="119"/>
      <c r="X270" s="119"/>
      <c r="Y270" s="119"/>
      <c r="Z270" s="119"/>
      <c r="AA270" s="119"/>
      <c r="AB270" s="782"/>
      <c r="AC270" s="119"/>
      <c r="AD270" s="755"/>
      <c r="AE270" s="801"/>
      <c r="AF270" s="764"/>
      <c r="AG270" s="751"/>
      <c r="AH270" s="710"/>
      <c r="AI270" s="133">
        <v>10160</v>
      </c>
      <c r="AJ270" s="67" t="s">
        <v>8</v>
      </c>
      <c r="AK270" s="819"/>
      <c r="AL270" s="120"/>
      <c r="AM270" s="120"/>
      <c r="AN270" s="120"/>
      <c r="AO270" s="120"/>
      <c r="AP270" s="120"/>
      <c r="AQ270" s="120"/>
      <c r="AR270" s="120"/>
    </row>
    <row r="271" spans="1:44" x14ac:dyDescent="0.25">
      <c r="A271" s="768"/>
      <c r="B271" s="737"/>
      <c r="C271" s="771"/>
      <c r="D271" s="743"/>
      <c r="E271" s="743"/>
      <c r="F271" s="740"/>
      <c r="G271" s="760"/>
      <c r="H271" s="103"/>
      <c r="I271" s="135"/>
      <c r="J271" s="149"/>
      <c r="K271" s="135"/>
      <c r="L271" s="135"/>
      <c r="M271" s="135"/>
      <c r="N271" s="135"/>
      <c r="O271" s="135"/>
      <c r="P271" s="135"/>
      <c r="Q271" s="135"/>
      <c r="R271" s="135"/>
      <c r="S271" s="136"/>
      <c r="T271" s="119"/>
      <c r="U271" s="119"/>
      <c r="V271" s="119"/>
      <c r="W271" s="119"/>
      <c r="X271" s="119"/>
      <c r="Y271" s="119"/>
      <c r="Z271" s="119"/>
      <c r="AA271" s="119"/>
      <c r="AB271" s="782"/>
      <c r="AC271" s="119"/>
      <c r="AD271" s="755"/>
      <c r="AE271" s="801"/>
      <c r="AF271" s="765"/>
      <c r="AG271" s="752"/>
      <c r="AH271" s="67" t="s">
        <v>17</v>
      </c>
      <c r="AI271" s="108">
        <v>3810</v>
      </c>
      <c r="AJ271" s="67" t="s">
        <v>8</v>
      </c>
      <c r="AK271" s="125">
        <f>8200*0.67</f>
        <v>5494</v>
      </c>
      <c r="AL271" s="120"/>
      <c r="AM271" s="120"/>
      <c r="AN271" s="120"/>
      <c r="AO271" s="120"/>
      <c r="AP271" s="120"/>
      <c r="AQ271" s="120"/>
      <c r="AR271" s="120"/>
    </row>
    <row r="272" spans="1:44" x14ac:dyDescent="0.25">
      <c r="A272" s="766">
        <v>53</v>
      </c>
      <c r="B272" s="735">
        <v>2228801</v>
      </c>
      <c r="C272" s="769" t="s">
        <v>359</v>
      </c>
      <c r="D272" s="741">
        <f t="shared" ref="D272:E272" si="7">F272</f>
        <v>1.0349999999999999</v>
      </c>
      <c r="E272" s="741">
        <f t="shared" si="7"/>
        <v>8280</v>
      </c>
      <c r="F272" s="738">
        <v>1.0349999999999999</v>
      </c>
      <c r="G272" s="758">
        <v>8280</v>
      </c>
      <c r="H272" s="96"/>
      <c r="I272" s="97"/>
      <c r="J272" s="98"/>
      <c r="K272" s="97"/>
      <c r="L272" s="97"/>
      <c r="M272" s="97"/>
      <c r="N272" s="97"/>
      <c r="O272" s="97"/>
      <c r="P272" s="97"/>
      <c r="Q272" s="97"/>
      <c r="R272" s="97"/>
      <c r="S272" s="183"/>
      <c r="T272" s="94"/>
      <c r="U272" s="94"/>
      <c r="V272" s="94"/>
      <c r="W272" s="94"/>
      <c r="X272" s="94"/>
      <c r="Y272" s="94"/>
      <c r="Z272" s="94"/>
      <c r="AA272" s="94"/>
      <c r="AB272" s="98"/>
      <c r="AC272" s="94"/>
      <c r="AD272" s="97"/>
      <c r="AE272" s="95"/>
      <c r="AF272" s="763" t="s">
        <v>274</v>
      </c>
      <c r="AG272" s="750" t="s">
        <v>360</v>
      </c>
      <c r="AH272" s="710" t="s">
        <v>11</v>
      </c>
      <c r="AI272" s="117">
        <v>1.0349999999999999</v>
      </c>
      <c r="AJ272" s="67" t="s">
        <v>5</v>
      </c>
      <c r="AK272" s="818">
        <f>AI273*1.22</f>
        <v>10101.6</v>
      </c>
      <c r="AL272" s="120"/>
      <c r="AM272" s="120"/>
      <c r="AN272" s="120"/>
      <c r="AO272" s="120"/>
      <c r="AP272" s="120"/>
      <c r="AQ272" s="120"/>
      <c r="AR272" s="120"/>
    </row>
    <row r="273" spans="1:44" x14ac:dyDescent="0.25">
      <c r="A273" s="767"/>
      <c r="B273" s="736"/>
      <c r="C273" s="770"/>
      <c r="D273" s="742"/>
      <c r="E273" s="742"/>
      <c r="F273" s="739"/>
      <c r="G273" s="759"/>
      <c r="H273" s="103"/>
      <c r="I273" s="135"/>
      <c r="J273" s="149"/>
      <c r="K273" s="135"/>
      <c r="L273" s="135"/>
      <c r="M273" s="135"/>
      <c r="N273" s="135"/>
      <c r="O273" s="135"/>
      <c r="P273" s="135"/>
      <c r="Q273" s="135"/>
      <c r="R273" s="135"/>
      <c r="S273" s="136"/>
      <c r="T273" s="119"/>
      <c r="U273" s="119"/>
      <c r="V273" s="119"/>
      <c r="W273" s="119"/>
      <c r="X273" s="119"/>
      <c r="Y273" s="119"/>
      <c r="Z273" s="119"/>
      <c r="AA273" s="119"/>
      <c r="AB273" s="149"/>
      <c r="AC273" s="119"/>
      <c r="AD273" s="135"/>
      <c r="AE273" s="111"/>
      <c r="AF273" s="764"/>
      <c r="AG273" s="751"/>
      <c r="AH273" s="710"/>
      <c r="AI273" s="133">
        <v>8280</v>
      </c>
      <c r="AJ273" s="67" t="s">
        <v>8</v>
      </c>
      <c r="AK273" s="819"/>
      <c r="AL273" s="120"/>
      <c r="AM273" s="120"/>
      <c r="AN273" s="120"/>
      <c r="AO273" s="120"/>
      <c r="AP273" s="120"/>
      <c r="AQ273" s="120"/>
      <c r="AR273" s="120"/>
    </row>
    <row r="274" spans="1:44" x14ac:dyDescent="0.25">
      <c r="A274" s="768"/>
      <c r="B274" s="737"/>
      <c r="C274" s="771"/>
      <c r="D274" s="743"/>
      <c r="E274" s="743"/>
      <c r="F274" s="740"/>
      <c r="G274" s="760"/>
      <c r="H274" s="103"/>
      <c r="I274" s="135"/>
      <c r="J274" s="149"/>
      <c r="K274" s="135"/>
      <c r="L274" s="135"/>
      <c r="M274" s="135"/>
      <c r="N274" s="135"/>
      <c r="O274" s="135"/>
      <c r="P274" s="135"/>
      <c r="Q274" s="135"/>
      <c r="R274" s="135"/>
      <c r="S274" s="136"/>
      <c r="T274" s="119"/>
      <c r="U274" s="119"/>
      <c r="V274" s="119"/>
      <c r="W274" s="119"/>
      <c r="X274" s="119"/>
      <c r="Y274" s="119"/>
      <c r="Z274" s="119"/>
      <c r="AA274" s="119"/>
      <c r="AB274" s="149"/>
      <c r="AC274" s="119"/>
      <c r="AD274" s="135"/>
      <c r="AE274" s="111"/>
      <c r="AF274" s="765"/>
      <c r="AG274" s="752"/>
      <c r="AH274" s="67" t="s">
        <v>17</v>
      </c>
      <c r="AI274" s="108">
        <v>3105</v>
      </c>
      <c r="AJ274" s="67" t="s">
        <v>8</v>
      </c>
      <c r="AK274" s="125">
        <f>6682.7*0.67</f>
        <v>4477.4090000000006</v>
      </c>
      <c r="AL274" s="120"/>
      <c r="AM274" s="120"/>
      <c r="AN274" s="120"/>
      <c r="AO274" s="120"/>
      <c r="AP274" s="120"/>
      <c r="AQ274" s="120"/>
      <c r="AR274" s="120"/>
    </row>
    <row r="275" spans="1:44" x14ac:dyDescent="0.25">
      <c r="A275" s="766">
        <v>54</v>
      </c>
      <c r="B275" s="735">
        <v>2227796</v>
      </c>
      <c r="C275" s="769" t="s">
        <v>361</v>
      </c>
      <c r="D275" s="741">
        <f t="shared" ref="D275:E275" si="8">F275</f>
        <v>1.4159999999999999</v>
      </c>
      <c r="E275" s="741">
        <f t="shared" si="8"/>
        <v>14160</v>
      </c>
      <c r="F275" s="738">
        <v>1.4159999999999999</v>
      </c>
      <c r="G275" s="758">
        <v>14160</v>
      </c>
      <c r="H275" s="96"/>
      <c r="I275" s="97"/>
      <c r="J275" s="98"/>
      <c r="K275" s="97"/>
      <c r="L275" s="97"/>
      <c r="M275" s="97"/>
      <c r="N275" s="97"/>
      <c r="O275" s="97"/>
      <c r="P275" s="97"/>
      <c r="Q275" s="97"/>
      <c r="R275" s="97"/>
      <c r="S275" s="183"/>
      <c r="T275" s="94"/>
      <c r="U275" s="94"/>
      <c r="V275" s="94"/>
      <c r="W275" s="94"/>
      <c r="X275" s="94"/>
      <c r="Y275" s="94"/>
      <c r="Z275" s="94"/>
      <c r="AA275" s="94"/>
      <c r="AB275" s="98"/>
      <c r="AC275" s="94"/>
      <c r="AD275" s="97"/>
      <c r="AE275" s="95"/>
      <c r="AF275" s="763" t="s">
        <v>324</v>
      </c>
      <c r="AG275" s="750" t="s">
        <v>362</v>
      </c>
      <c r="AH275" s="710" t="s">
        <v>11</v>
      </c>
      <c r="AI275" s="117">
        <v>1.4159999999999999</v>
      </c>
      <c r="AJ275" s="67" t="s">
        <v>5</v>
      </c>
      <c r="AK275" s="818">
        <f>AI276*1.22</f>
        <v>20130</v>
      </c>
      <c r="AL275" s="120"/>
      <c r="AM275" s="120"/>
      <c r="AN275" s="120"/>
      <c r="AO275" s="120"/>
      <c r="AP275" s="120"/>
      <c r="AQ275" s="120"/>
      <c r="AR275" s="120"/>
    </row>
    <row r="276" spans="1:44" x14ac:dyDescent="0.25">
      <c r="A276" s="767"/>
      <c r="B276" s="736"/>
      <c r="C276" s="770"/>
      <c r="D276" s="742"/>
      <c r="E276" s="742"/>
      <c r="F276" s="739"/>
      <c r="G276" s="759"/>
      <c r="H276" s="103"/>
      <c r="I276" s="135"/>
      <c r="J276" s="149"/>
      <c r="K276" s="135"/>
      <c r="L276" s="135"/>
      <c r="M276" s="135"/>
      <c r="N276" s="135"/>
      <c r="O276" s="135"/>
      <c r="P276" s="135"/>
      <c r="Q276" s="135"/>
      <c r="R276" s="135"/>
      <c r="S276" s="136"/>
      <c r="T276" s="119"/>
      <c r="U276" s="119"/>
      <c r="V276" s="119"/>
      <c r="W276" s="119"/>
      <c r="X276" s="119"/>
      <c r="Y276" s="119"/>
      <c r="Z276" s="119"/>
      <c r="AA276" s="119"/>
      <c r="AB276" s="149"/>
      <c r="AC276" s="119"/>
      <c r="AD276" s="135"/>
      <c r="AE276" s="111"/>
      <c r="AF276" s="764"/>
      <c r="AG276" s="751"/>
      <c r="AH276" s="710"/>
      <c r="AI276" s="133">
        <v>16500</v>
      </c>
      <c r="AJ276" s="67" t="s">
        <v>8</v>
      </c>
      <c r="AK276" s="819"/>
      <c r="AL276" s="120"/>
      <c r="AM276" s="120"/>
      <c r="AN276" s="120"/>
      <c r="AO276" s="120"/>
      <c r="AP276" s="120"/>
      <c r="AQ276" s="120"/>
      <c r="AR276" s="120"/>
    </row>
    <row r="277" spans="1:44" x14ac:dyDescent="0.25">
      <c r="A277" s="768"/>
      <c r="B277" s="737"/>
      <c r="C277" s="771"/>
      <c r="D277" s="743"/>
      <c r="E277" s="743"/>
      <c r="F277" s="740"/>
      <c r="G277" s="760"/>
      <c r="H277" s="103"/>
      <c r="I277" s="135"/>
      <c r="J277" s="149"/>
      <c r="K277" s="135"/>
      <c r="L277" s="135"/>
      <c r="M277" s="135"/>
      <c r="N277" s="135"/>
      <c r="O277" s="135"/>
      <c r="P277" s="135"/>
      <c r="Q277" s="135"/>
      <c r="R277" s="135"/>
      <c r="S277" s="136"/>
      <c r="T277" s="119"/>
      <c r="U277" s="119"/>
      <c r="V277" s="119"/>
      <c r="W277" s="119"/>
      <c r="X277" s="119"/>
      <c r="Y277" s="119"/>
      <c r="Z277" s="119"/>
      <c r="AA277" s="119"/>
      <c r="AB277" s="149"/>
      <c r="AC277" s="119"/>
      <c r="AD277" s="135"/>
      <c r="AE277" s="111"/>
      <c r="AF277" s="765"/>
      <c r="AG277" s="752"/>
      <c r="AH277" s="67" t="s">
        <v>17</v>
      </c>
      <c r="AI277" s="108">
        <v>8496</v>
      </c>
      <c r="AJ277" s="67" t="s">
        <v>8</v>
      </c>
      <c r="AK277" s="125">
        <f>15752.8*0.67</f>
        <v>10554.376</v>
      </c>
      <c r="AL277" s="120"/>
      <c r="AM277" s="120"/>
      <c r="AN277" s="120"/>
      <c r="AO277" s="120"/>
      <c r="AP277" s="120"/>
      <c r="AQ277" s="120"/>
      <c r="AR277" s="120"/>
    </row>
    <row r="278" spans="1:44" x14ac:dyDescent="0.25">
      <c r="A278" s="766">
        <v>55</v>
      </c>
      <c r="B278" s="735">
        <v>2228574</v>
      </c>
      <c r="C278" s="769" t="s">
        <v>363</v>
      </c>
      <c r="D278" s="741">
        <f t="shared" ref="D278:E278" si="9">F278</f>
        <v>2.34</v>
      </c>
      <c r="E278" s="741">
        <f t="shared" si="9"/>
        <v>28080</v>
      </c>
      <c r="F278" s="738">
        <v>2.34</v>
      </c>
      <c r="G278" s="758">
        <v>28080</v>
      </c>
      <c r="H278" s="96"/>
      <c r="I278" s="97"/>
      <c r="J278" s="98"/>
      <c r="K278" s="97"/>
      <c r="L278" s="97"/>
      <c r="M278" s="97"/>
      <c r="N278" s="97"/>
      <c r="O278" s="97"/>
      <c r="P278" s="97"/>
      <c r="Q278" s="97"/>
      <c r="R278" s="97"/>
      <c r="S278" s="183"/>
      <c r="T278" s="94"/>
      <c r="U278" s="94"/>
      <c r="V278" s="94"/>
      <c r="W278" s="94"/>
      <c r="X278" s="94"/>
      <c r="Y278" s="94"/>
      <c r="Z278" s="94"/>
      <c r="AA278" s="94"/>
      <c r="AB278" s="98"/>
      <c r="AC278" s="94"/>
      <c r="AD278" s="97"/>
      <c r="AE278" s="95"/>
      <c r="AF278" s="763" t="s">
        <v>364</v>
      </c>
      <c r="AG278" s="750" t="s">
        <v>365</v>
      </c>
      <c r="AH278" s="710" t="s">
        <v>11</v>
      </c>
      <c r="AI278" s="117">
        <v>2.34</v>
      </c>
      <c r="AJ278" s="67" t="s">
        <v>5</v>
      </c>
      <c r="AK278" s="818">
        <f>AI279*1.22</f>
        <v>34257.599999999999</v>
      </c>
      <c r="AL278" s="120"/>
      <c r="AM278" s="120"/>
      <c r="AN278" s="120"/>
      <c r="AO278" s="120"/>
      <c r="AP278" s="120"/>
      <c r="AQ278" s="120"/>
      <c r="AR278" s="120"/>
    </row>
    <row r="279" spans="1:44" x14ac:dyDescent="0.25">
      <c r="A279" s="767"/>
      <c r="B279" s="736"/>
      <c r="C279" s="770"/>
      <c r="D279" s="742"/>
      <c r="E279" s="742"/>
      <c r="F279" s="739"/>
      <c r="G279" s="759"/>
      <c r="H279" s="103"/>
      <c r="I279" s="135"/>
      <c r="J279" s="149"/>
      <c r="K279" s="135"/>
      <c r="L279" s="135"/>
      <c r="M279" s="135"/>
      <c r="N279" s="135"/>
      <c r="O279" s="135"/>
      <c r="P279" s="135"/>
      <c r="Q279" s="135"/>
      <c r="R279" s="135"/>
      <c r="S279" s="136"/>
      <c r="T279" s="119"/>
      <c r="U279" s="119"/>
      <c r="V279" s="119"/>
      <c r="W279" s="119"/>
      <c r="X279" s="119"/>
      <c r="Y279" s="119"/>
      <c r="Z279" s="119"/>
      <c r="AA279" s="119"/>
      <c r="AB279" s="149"/>
      <c r="AC279" s="119"/>
      <c r="AD279" s="135"/>
      <c r="AE279" s="111"/>
      <c r="AF279" s="764"/>
      <c r="AG279" s="751"/>
      <c r="AH279" s="710"/>
      <c r="AI279" s="133">
        <v>28080</v>
      </c>
      <c r="AJ279" s="67" t="s">
        <v>8</v>
      </c>
      <c r="AK279" s="819"/>
      <c r="AL279" s="120"/>
      <c r="AM279" s="120"/>
      <c r="AN279" s="120"/>
      <c r="AO279" s="120"/>
      <c r="AP279" s="120"/>
      <c r="AQ279" s="120"/>
      <c r="AR279" s="120"/>
    </row>
    <row r="280" spans="1:44" x14ac:dyDescent="0.25">
      <c r="A280" s="768"/>
      <c r="B280" s="737"/>
      <c r="C280" s="771"/>
      <c r="D280" s="743"/>
      <c r="E280" s="743"/>
      <c r="F280" s="740"/>
      <c r="G280" s="760"/>
      <c r="H280" s="103"/>
      <c r="I280" s="135"/>
      <c r="J280" s="149"/>
      <c r="K280" s="135"/>
      <c r="L280" s="135"/>
      <c r="M280" s="135"/>
      <c r="N280" s="135"/>
      <c r="O280" s="135"/>
      <c r="P280" s="135"/>
      <c r="Q280" s="135"/>
      <c r="R280" s="135"/>
      <c r="S280" s="136"/>
      <c r="T280" s="119"/>
      <c r="U280" s="119"/>
      <c r="V280" s="119"/>
      <c r="W280" s="119"/>
      <c r="X280" s="119"/>
      <c r="Y280" s="119"/>
      <c r="Z280" s="119"/>
      <c r="AA280" s="119"/>
      <c r="AB280" s="149"/>
      <c r="AC280" s="119"/>
      <c r="AD280" s="135"/>
      <c r="AE280" s="111"/>
      <c r="AF280" s="765"/>
      <c r="AG280" s="752"/>
      <c r="AH280" s="67" t="s">
        <v>17</v>
      </c>
      <c r="AI280" s="108">
        <v>14040</v>
      </c>
      <c r="AJ280" s="67" t="s">
        <v>8</v>
      </c>
      <c r="AK280" s="125">
        <f>21542.5*0.67</f>
        <v>14433.475</v>
      </c>
      <c r="AL280" s="120"/>
      <c r="AM280" s="120"/>
      <c r="AN280" s="120"/>
      <c r="AO280" s="120"/>
      <c r="AP280" s="120"/>
      <c r="AQ280" s="120"/>
      <c r="AR280" s="120"/>
    </row>
    <row r="281" spans="1:44" x14ac:dyDescent="0.25">
      <c r="A281" s="766">
        <v>56</v>
      </c>
      <c r="B281" s="735">
        <v>2225207</v>
      </c>
      <c r="C281" s="769" t="s">
        <v>348</v>
      </c>
      <c r="D281" s="741">
        <f t="shared" ref="D281:E281" si="10">F281</f>
        <v>2.1</v>
      </c>
      <c r="E281" s="741">
        <f t="shared" si="10"/>
        <v>25200</v>
      </c>
      <c r="F281" s="738">
        <v>2.1</v>
      </c>
      <c r="G281" s="758">
        <v>25200</v>
      </c>
      <c r="H281" s="96"/>
      <c r="I281" s="97"/>
      <c r="J281" s="98"/>
      <c r="K281" s="97"/>
      <c r="L281" s="97"/>
      <c r="M281" s="97"/>
      <c r="N281" s="97"/>
      <c r="O281" s="97"/>
      <c r="P281" s="97"/>
      <c r="Q281" s="97"/>
      <c r="R281" s="97"/>
      <c r="S281" s="183"/>
      <c r="T281" s="94"/>
      <c r="U281" s="94"/>
      <c r="V281" s="94"/>
      <c r="W281" s="94"/>
      <c r="X281" s="94"/>
      <c r="Y281" s="94"/>
      <c r="Z281" s="94"/>
      <c r="AA281" s="94"/>
      <c r="AB281" s="98"/>
      <c r="AC281" s="94"/>
      <c r="AD281" s="97"/>
      <c r="AE281" s="95"/>
      <c r="AF281" s="763" t="s">
        <v>366</v>
      </c>
      <c r="AG281" s="750" t="s">
        <v>367</v>
      </c>
      <c r="AH281" s="710" t="s">
        <v>11</v>
      </c>
      <c r="AI281" s="117">
        <v>2.1</v>
      </c>
      <c r="AJ281" s="67" t="s">
        <v>5</v>
      </c>
      <c r="AK281" s="818">
        <f>AI282*1.22</f>
        <v>30744</v>
      </c>
      <c r="AL281" s="120"/>
      <c r="AM281" s="120"/>
      <c r="AN281" s="120"/>
      <c r="AO281" s="120"/>
      <c r="AP281" s="120"/>
      <c r="AQ281" s="120"/>
      <c r="AR281" s="120"/>
    </row>
    <row r="282" spans="1:44" x14ac:dyDescent="0.25">
      <c r="A282" s="767"/>
      <c r="B282" s="736"/>
      <c r="C282" s="770"/>
      <c r="D282" s="742"/>
      <c r="E282" s="742"/>
      <c r="F282" s="739"/>
      <c r="G282" s="759"/>
      <c r="H282" s="103"/>
      <c r="I282" s="135"/>
      <c r="J282" s="149"/>
      <c r="K282" s="135"/>
      <c r="L282" s="135"/>
      <c r="M282" s="135"/>
      <c r="N282" s="135"/>
      <c r="O282" s="135"/>
      <c r="P282" s="135"/>
      <c r="Q282" s="135"/>
      <c r="R282" s="135"/>
      <c r="S282" s="136"/>
      <c r="T282" s="119"/>
      <c r="U282" s="119"/>
      <c r="V282" s="119"/>
      <c r="W282" s="119"/>
      <c r="X282" s="119"/>
      <c r="Y282" s="119"/>
      <c r="Z282" s="119"/>
      <c r="AA282" s="119"/>
      <c r="AB282" s="149"/>
      <c r="AC282" s="119"/>
      <c r="AD282" s="135"/>
      <c r="AE282" s="111"/>
      <c r="AF282" s="764"/>
      <c r="AG282" s="751"/>
      <c r="AH282" s="710"/>
      <c r="AI282" s="133">
        <v>25200</v>
      </c>
      <c r="AJ282" s="67" t="s">
        <v>8</v>
      </c>
      <c r="AK282" s="819"/>
      <c r="AL282" s="120"/>
      <c r="AM282" s="120"/>
      <c r="AN282" s="120"/>
      <c r="AO282" s="120"/>
      <c r="AP282" s="120"/>
      <c r="AQ282" s="120"/>
      <c r="AR282" s="120"/>
    </row>
    <row r="283" spans="1:44" x14ac:dyDescent="0.25">
      <c r="A283" s="768"/>
      <c r="B283" s="737"/>
      <c r="C283" s="771"/>
      <c r="D283" s="743"/>
      <c r="E283" s="743"/>
      <c r="F283" s="740"/>
      <c r="G283" s="760"/>
      <c r="H283" s="103"/>
      <c r="I283" s="135"/>
      <c r="J283" s="149"/>
      <c r="K283" s="135"/>
      <c r="L283" s="135"/>
      <c r="M283" s="135"/>
      <c r="N283" s="135"/>
      <c r="O283" s="135"/>
      <c r="P283" s="135"/>
      <c r="Q283" s="135"/>
      <c r="R283" s="135"/>
      <c r="S283" s="136"/>
      <c r="T283" s="119"/>
      <c r="U283" s="119"/>
      <c r="V283" s="119"/>
      <c r="W283" s="119"/>
      <c r="X283" s="119"/>
      <c r="Y283" s="119"/>
      <c r="Z283" s="119"/>
      <c r="AA283" s="119"/>
      <c r="AB283" s="149"/>
      <c r="AC283" s="119"/>
      <c r="AD283" s="135"/>
      <c r="AE283" s="111"/>
      <c r="AF283" s="765"/>
      <c r="AG283" s="752"/>
      <c r="AH283" s="67" t="s">
        <v>17</v>
      </c>
      <c r="AI283" s="108">
        <v>12600</v>
      </c>
      <c r="AJ283" s="67" t="s">
        <v>8</v>
      </c>
      <c r="AK283" s="125">
        <f>20038.7*0.67</f>
        <v>13425.929000000002</v>
      </c>
      <c r="AL283" s="120"/>
      <c r="AM283" s="120"/>
      <c r="AN283" s="120"/>
      <c r="AO283" s="120"/>
      <c r="AP283" s="120"/>
      <c r="AQ283" s="120"/>
      <c r="AR283" s="120"/>
    </row>
    <row r="284" spans="1:44" x14ac:dyDescent="0.25">
      <c r="A284" s="766">
        <v>57</v>
      </c>
      <c r="B284" s="735">
        <v>2229400</v>
      </c>
      <c r="C284" s="769" t="s">
        <v>368</v>
      </c>
      <c r="D284" s="741">
        <f t="shared" ref="D284:E284" si="11">F284</f>
        <v>3.29</v>
      </c>
      <c r="E284" s="741">
        <f t="shared" si="11"/>
        <v>46060</v>
      </c>
      <c r="F284" s="738">
        <v>3.29</v>
      </c>
      <c r="G284" s="758">
        <v>46060</v>
      </c>
      <c r="H284" s="96"/>
      <c r="I284" s="97"/>
      <c r="J284" s="98"/>
      <c r="K284" s="97"/>
      <c r="L284" s="97"/>
      <c r="M284" s="97"/>
      <c r="N284" s="97"/>
      <c r="O284" s="97"/>
      <c r="P284" s="97"/>
      <c r="Q284" s="97"/>
      <c r="R284" s="97"/>
      <c r="S284" s="183"/>
      <c r="T284" s="94"/>
      <c r="U284" s="94"/>
      <c r="V284" s="94"/>
      <c r="W284" s="94"/>
      <c r="X284" s="94"/>
      <c r="Y284" s="94"/>
      <c r="Z284" s="94"/>
      <c r="AA284" s="94"/>
      <c r="AB284" s="98"/>
      <c r="AC284" s="94"/>
      <c r="AD284" s="97"/>
      <c r="AE284" s="95"/>
      <c r="AF284" s="763" t="s">
        <v>369</v>
      </c>
      <c r="AG284" s="750" t="s">
        <v>271</v>
      </c>
      <c r="AH284" s="710" t="s">
        <v>11</v>
      </c>
      <c r="AI284" s="117">
        <v>3.29</v>
      </c>
      <c r="AJ284" s="67" t="s">
        <v>5</v>
      </c>
      <c r="AK284" s="818">
        <f>AI285*1.22</f>
        <v>56193.2</v>
      </c>
      <c r="AL284" s="120"/>
      <c r="AM284" s="120"/>
      <c r="AN284" s="120"/>
      <c r="AO284" s="120"/>
      <c r="AP284" s="120"/>
      <c r="AQ284" s="120"/>
      <c r="AR284" s="120"/>
    </row>
    <row r="285" spans="1:44" x14ac:dyDescent="0.25">
      <c r="A285" s="767"/>
      <c r="B285" s="736"/>
      <c r="C285" s="770"/>
      <c r="D285" s="742"/>
      <c r="E285" s="742"/>
      <c r="F285" s="739"/>
      <c r="G285" s="759"/>
      <c r="H285" s="103"/>
      <c r="I285" s="135"/>
      <c r="J285" s="149"/>
      <c r="K285" s="135"/>
      <c r="L285" s="135"/>
      <c r="M285" s="135"/>
      <c r="N285" s="135"/>
      <c r="O285" s="135"/>
      <c r="P285" s="135"/>
      <c r="Q285" s="135"/>
      <c r="R285" s="135"/>
      <c r="S285" s="136"/>
      <c r="T285" s="119"/>
      <c r="U285" s="119"/>
      <c r="V285" s="119"/>
      <c r="W285" s="119"/>
      <c r="X285" s="119"/>
      <c r="Y285" s="119"/>
      <c r="Z285" s="119"/>
      <c r="AA285" s="119"/>
      <c r="AB285" s="149"/>
      <c r="AC285" s="119"/>
      <c r="AD285" s="135"/>
      <c r="AE285" s="111"/>
      <c r="AF285" s="764"/>
      <c r="AG285" s="751"/>
      <c r="AH285" s="710"/>
      <c r="AI285" s="133">
        <v>46060</v>
      </c>
      <c r="AJ285" s="67" t="s">
        <v>8</v>
      </c>
      <c r="AK285" s="819"/>
      <c r="AL285" s="120"/>
      <c r="AM285" s="120"/>
      <c r="AN285" s="120"/>
      <c r="AO285" s="120"/>
      <c r="AP285" s="120"/>
      <c r="AQ285" s="120"/>
      <c r="AR285" s="120"/>
    </row>
    <row r="286" spans="1:44" x14ac:dyDescent="0.25">
      <c r="A286" s="768"/>
      <c r="B286" s="737"/>
      <c r="C286" s="771"/>
      <c r="D286" s="743"/>
      <c r="E286" s="743"/>
      <c r="F286" s="740"/>
      <c r="G286" s="760"/>
      <c r="H286" s="113"/>
      <c r="I286" s="138"/>
      <c r="J286" s="157"/>
      <c r="K286" s="138"/>
      <c r="L286" s="138"/>
      <c r="M286" s="138"/>
      <c r="N286" s="138"/>
      <c r="O286" s="138"/>
      <c r="P286" s="138"/>
      <c r="Q286" s="138"/>
      <c r="R286" s="138"/>
      <c r="S286" s="190"/>
      <c r="T286" s="137"/>
      <c r="U286" s="137"/>
      <c r="V286" s="137"/>
      <c r="W286" s="137"/>
      <c r="X286" s="137"/>
      <c r="Y286" s="137"/>
      <c r="Z286" s="137"/>
      <c r="AA286" s="137"/>
      <c r="AB286" s="157"/>
      <c r="AC286" s="137"/>
      <c r="AD286" s="138"/>
      <c r="AE286" s="105"/>
      <c r="AF286" s="764"/>
      <c r="AG286" s="751"/>
      <c r="AH286" s="112" t="s">
        <v>17</v>
      </c>
      <c r="AI286" s="134">
        <v>9560</v>
      </c>
      <c r="AJ286" s="112" t="s">
        <v>8</v>
      </c>
      <c r="AK286" s="151">
        <f>17927.5*0.67</f>
        <v>12011.425000000001</v>
      </c>
      <c r="AL286" s="120"/>
      <c r="AM286" s="120"/>
      <c r="AN286" s="120"/>
      <c r="AO286" s="120"/>
      <c r="AP286" s="120"/>
      <c r="AQ286" s="120"/>
      <c r="AR286" s="120"/>
    </row>
    <row r="287" spans="1:44" x14ac:dyDescent="0.25">
      <c r="A287" s="706">
        <v>58</v>
      </c>
      <c r="B287" s="706">
        <v>2224682</v>
      </c>
      <c r="C287" s="741" t="s">
        <v>321</v>
      </c>
      <c r="D287" s="741">
        <f>F287</f>
        <v>1.43</v>
      </c>
      <c r="E287" s="741">
        <f>G287</f>
        <v>28600</v>
      </c>
      <c r="F287" s="738">
        <v>1.43</v>
      </c>
      <c r="G287" s="747">
        <f>1430*20</f>
        <v>28600</v>
      </c>
      <c r="H287" s="160"/>
      <c r="I287" s="109"/>
      <c r="J287" s="109"/>
      <c r="K287" s="109"/>
      <c r="L287" s="109"/>
      <c r="M287" s="109"/>
      <c r="N287" s="97"/>
      <c r="O287" s="97"/>
      <c r="P287" s="97"/>
      <c r="Q287" s="97"/>
      <c r="R287" s="97"/>
      <c r="S287" s="183"/>
      <c r="T287" s="94"/>
      <c r="U287" s="94"/>
      <c r="V287" s="94"/>
      <c r="W287" s="94"/>
      <c r="X287" s="94"/>
      <c r="Y287" s="94"/>
      <c r="Z287" s="94"/>
      <c r="AA287" s="94"/>
      <c r="AB287" s="98"/>
      <c r="AC287" s="94"/>
      <c r="AD287" s="97"/>
      <c r="AE287" s="95"/>
      <c r="AF287" s="750" t="s">
        <v>339</v>
      </c>
      <c r="AG287" s="750" t="s">
        <v>370</v>
      </c>
      <c r="AH287" s="706" t="s">
        <v>11</v>
      </c>
      <c r="AI287" s="144">
        <v>1.43</v>
      </c>
      <c r="AJ287" s="67" t="s">
        <v>5</v>
      </c>
      <c r="AK287" s="818">
        <f>AI288*1.22</f>
        <v>34892</v>
      </c>
      <c r="AL287" s="87"/>
      <c r="AM287" s="162"/>
      <c r="AN287" s="120"/>
      <c r="AO287" s="120"/>
      <c r="AP287" s="120"/>
      <c r="AQ287" s="162"/>
      <c r="AR287" s="120"/>
    </row>
    <row r="288" spans="1:44" x14ac:dyDescent="0.25">
      <c r="A288" s="734"/>
      <c r="B288" s="734"/>
      <c r="C288" s="742"/>
      <c r="D288" s="742"/>
      <c r="E288" s="742"/>
      <c r="F288" s="739"/>
      <c r="G288" s="748"/>
      <c r="H288" s="163"/>
      <c r="I288" s="78"/>
      <c r="J288" s="78"/>
      <c r="K288" s="78"/>
      <c r="L288" s="78"/>
      <c r="M288" s="78"/>
      <c r="N288" s="135"/>
      <c r="O288" s="135"/>
      <c r="P288" s="135"/>
      <c r="Q288" s="135"/>
      <c r="R288" s="135"/>
      <c r="S288" s="136"/>
      <c r="T288" s="119"/>
      <c r="U288" s="119"/>
      <c r="V288" s="119"/>
      <c r="W288" s="119"/>
      <c r="X288" s="119"/>
      <c r="Y288" s="119"/>
      <c r="Z288" s="119"/>
      <c r="AA288" s="119"/>
      <c r="AB288" s="149"/>
      <c r="AC288" s="119"/>
      <c r="AD288" s="135"/>
      <c r="AE288" s="111"/>
      <c r="AF288" s="751"/>
      <c r="AG288" s="751"/>
      <c r="AH288" s="707"/>
      <c r="AI288" s="146">
        <v>28600</v>
      </c>
      <c r="AJ288" s="67" t="s">
        <v>8</v>
      </c>
      <c r="AK288" s="819"/>
      <c r="AL288" s="87"/>
      <c r="AM288" s="162"/>
      <c r="AN288" s="120"/>
      <c r="AO288" s="120"/>
      <c r="AP288" s="120"/>
      <c r="AQ288" s="162"/>
      <c r="AR288" s="120"/>
    </row>
    <row r="289" spans="1:44" x14ac:dyDescent="0.25">
      <c r="A289" s="734"/>
      <c r="B289" s="734"/>
      <c r="C289" s="742"/>
      <c r="D289" s="742"/>
      <c r="E289" s="742"/>
      <c r="F289" s="739"/>
      <c r="G289" s="748"/>
      <c r="H289" s="163"/>
      <c r="I289" s="78"/>
      <c r="J289" s="78"/>
      <c r="K289" s="78"/>
      <c r="L289" s="78"/>
      <c r="M289" s="78"/>
      <c r="N289" s="135"/>
      <c r="O289" s="135"/>
      <c r="P289" s="135"/>
      <c r="Q289" s="135"/>
      <c r="R289" s="135"/>
      <c r="S289" s="136"/>
      <c r="T289" s="119"/>
      <c r="U289" s="119"/>
      <c r="V289" s="119"/>
      <c r="W289" s="119"/>
      <c r="X289" s="119"/>
      <c r="Y289" s="119"/>
      <c r="Z289" s="119"/>
      <c r="AA289" s="119"/>
      <c r="AB289" s="149"/>
      <c r="AC289" s="119"/>
      <c r="AD289" s="135"/>
      <c r="AE289" s="111"/>
      <c r="AF289" s="751"/>
      <c r="AG289" s="751"/>
      <c r="AH289" s="67" t="s">
        <v>17</v>
      </c>
      <c r="AI289" s="146">
        <f>1430*6</f>
        <v>8580</v>
      </c>
      <c r="AJ289" s="67" t="s">
        <v>8</v>
      </c>
      <c r="AK289" s="148">
        <f>13713.3*0.67</f>
        <v>9187.9110000000001</v>
      </c>
      <c r="AL289" s="87"/>
      <c r="AM289" s="162"/>
      <c r="AN289" s="120"/>
      <c r="AO289" s="120"/>
      <c r="AP289" s="120"/>
      <c r="AQ289" s="162"/>
      <c r="AR289" s="120"/>
    </row>
    <row r="290" spans="1:44" ht="45" x14ac:dyDescent="0.25">
      <c r="A290" s="707"/>
      <c r="B290" s="707"/>
      <c r="C290" s="743"/>
      <c r="D290" s="743"/>
      <c r="E290" s="743"/>
      <c r="F290" s="740"/>
      <c r="G290" s="749"/>
      <c r="H290" s="163"/>
      <c r="I290" s="78"/>
      <c r="J290" s="78"/>
      <c r="K290" s="78"/>
      <c r="L290" s="78"/>
      <c r="M290" s="78"/>
      <c r="N290" s="135"/>
      <c r="O290" s="135"/>
      <c r="P290" s="135"/>
      <c r="Q290" s="135"/>
      <c r="R290" s="135"/>
      <c r="S290" s="136"/>
      <c r="T290" s="119"/>
      <c r="U290" s="119"/>
      <c r="V290" s="119"/>
      <c r="W290" s="119"/>
      <c r="X290" s="119"/>
      <c r="Y290" s="119"/>
      <c r="Z290" s="119"/>
      <c r="AA290" s="119"/>
      <c r="AB290" s="149"/>
      <c r="AC290" s="119"/>
      <c r="AD290" s="135"/>
      <c r="AE290" s="111"/>
      <c r="AF290" s="752"/>
      <c r="AG290" s="752"/>
      <c r="AH290" s="67" t="s">
        <v>46</v>
      </c>
      <c r="AI290" s="146">
        <v>600</v>
      </c>
      <c r="AJ290" s="67" t="s">
        <v>16</v>
      </c>
      <c r="AK290" s="148">
        <f>300*2.5</f>
        <v>750</v>
      </c>
      <c r="AL290" s="87"/>
      <c r="AM290" s="162"/>
      <c r="AN290" s="120"/>
      <c r="AO290" s="120"/>
      <c r="AP290" s="120"/>
      <c r="AQ290" s="162"/>
      <c r="AR290" s="120"/>
    </row>
    <row r="291" spans="1:44" x14ac:dyDescent="0.25">
      <c r="A291" s="710">
        <v>59</v>
      </c>
      <c r="B291" s="710">
        <v>2226803</v>
      </c>
      <c r="C291" s="730" t="s">
        <v>277</v>
      </c>
      <c r="D291" s="730">
        <v>5.3</v>
      </c>
      <c r="E291" s="730">
        <f>G291</f>
        <v>51400</v>
      </c>
      <c r="F291" s="731">
        <v>5.3</v>
      </c>
      <c r="G291" s="824">
        <f>33000+18400</f>
        <v>51400</v>
      </c>
      <c r="H291" s="160"/>
      <c r="I291" s="109"/>
      <c r="J291" s="109"/>
      <c r="K291" s="109"/>
      <c r="L291" s="109"/>
      <c r="M291" s="109"/>
      <c r="N291" s="97"/>
      <c r="O291" s="97"/>
      <c r="P291" s="98"/>
      <c r="Q291" s="97"/>
      <c r="R291" s="97"/>
      <c r="S291" s="143"/>
      <c r="T291" s="109"/>
      <c r="U291" s="109"/>
      <c r="V291" s="109"/>
      <c r="W291" s="109"/>
      <c r="X291" s="109"/>
      <c r="Y291" s="109"/>
      <c r="Z291" s="86"/>
      <c r="AA291" s="86"/>
      <c r="AB291" s="86"/>
      <c r="AC291" s="86"/>
      <c r="AD291" s="86"/>
      <c r="AE291" s="87"/>
      <c r="AF291" s="825" t="s">
        <v>276</v>
      </c>
      <c r="AG291" s="733" t="s">
        <v>371</v>
      </c>
      <c r="AH291" s="710" t="s">
        <v>11</v>
      </c>
      <c r="AI291" s="117">
        <v>3</v>
      </c>
      <c r="AJ291" s="67" t="s">
        <v>5</v>
      </c>
      <c r="AK291" s="818">
        <f>AI292*1.22</f>
        <v>40260</v>
      </c>
      <c r="AL291" s="120"/>
      <c r="AM291" s="120"/>
      <c r="AN291" s="120"/>
      <c r="AO291" s="120"/>
      <c r="AP291" s="120"/>
      <c r="AQ291" s="120"/>
      <c r="AR291" s="120"/>
    </row>
    <row r="292" spans="1:44" x14ac:dyDescent="0.25">
      <c r="A292" s="710"/>
      <c r="B292" s="710"/>
      <c r="C292" s="730"/>
      <c r="D292" s="730"/>
      <c r="E292" s="730"/>
      <c r="F292" s="731"/>
      <c r="G292" s="824"/>
      <c r="H292" s="163"/>
      <c r="I292" s="78"/>
      <c r="J292" s="78"/>
      <c r="K292" s="78"/>
      <c r="L292" s="78"/>
      <c r="M292" s="78"/>
      <c r="N292" s="135"/>
      <c r="O292" s="135"/>
      <c r="P292" s="149"/>
      <c r="Q292" s="135"/>
      <c r="R292" s="135"/>
      <c r="S292" s="145"/>
      <c r="T292" s="78"/>
      <c r="U292" s="78"/>
      <c r="V292" s="78"/>
      <c r="W292" s="78"/>
      <c r="X292" s="78"/>
      <c r="Y292" s="78"/>
      <c r="Z292" s="122"/>
      <c r="AA292" s="122"/>
      <c r="AB292" s="122"/>
      <c r="AC292" s="122"/>
      <c r="AD292" s="122"/>
      <c r="AE292" s="127"/>
      <c r="AF292" s="825"/>
      <c r="AG292" s="733"/>
      <c r="AH292" s="710"/>
      <c r="AI292" s="133">
        <v>33000</v>
      </c>
      <c r="AJ292" s="67" t="s">
        <v>8</v>
      </c>
      <c r="AK292" s="819"/>
      <c r="AL292" s="120"/>
      <c r="AM292" s="120"/>
      <c r="AN292" s="120"/>
      <c r="AO292" s="120"/>
      <c r="AP292" s="120"/>
      <c r="AQ292" s="120"/>
      <c r="AR292" s="120"/>
    </row>
    <row r="293" spans="1:44" ht="30" x14ac:dyDescent="0.25">
      <c r="A293" s="710"/>
      <c r="B293" s="710"/>
      <c r="C293" s="730"/>
      <c r="D293" s="730"/>
      <c r="E293" s="730"/>
      <c r="F293" s="731"/>
      <c r="G293" s="824"/>
      <c r="H293" s="163"/>
      <c r="I293" s="78"/>
      <c r="J293" s="78"/>
      <c r="K293" s="78"/>
      <c r="L293" s="78"/>
      <c r="M293" s="78"/>
      <c r="N293" s="135"/>
      <c r="O293" s="135"/>
      <c r="P293" s="149"/>
      <c r="Q293" s="135"/>
      <c r="R293" s="135"/>
      <c r="S293" s="145"/>
      <c r="T293" s="78"/>
      <c r="U293" s="78"/>
      <c r="V293" s="78"/>
      <c r="W293" s="78"/>
      <c r="X293" s="78"/>
      <c r="Y293" s="78"/>
      <c r="Z293" s="122"/>
      <c r="AA293" s="122"/>
      <c r="AB293" s="122"/>
      <c r="AC293" s="122"/>
      <c r="AD293" s="122"/>
      <c r="AE293" s="127"/>
      <c r="AF293" s="825"/>
      <c r="AG293" s="733"/>
      <c r="AH293" s="128" t="s">
        <v>250</v>
      </c>
      <c r="AI293" s="108">
        <v>6</v>
      </c>
      <c r="AJ293" s="108" t="s">
        <v>251</v>
      </c>
      <c r="AK293" s="125">
        <v>600</v>
      </c>
      <c r="AL293" s="120"/>
      <c r="AM293" s="120"/>
      <c r="AN293" s="120"/>
      <c r="AO293" s="120"/>
      <c r="AP293" s="120"/>
      <c r="AQ293" s="120"/>
      <c r="AR293" s="120"/>
    </row>
    <row r="294" spans="1:44" x14ac:dyDescent="0.25">
      <c r="A294" s="710"/>
      <c r="B294" s="710"/>
      <c r="C294" s="730"/>
      <c r="D294" s="730"/>
      <c r="E294" s="730"/>
      <c r="F294" s="731"/>
      <c r="G294" s="824"/>
      <c r="H294" s="163"/>
      <c r="I294" s="78"/>
      <c r="J294" s="78"/>
      <c r="K294" s="78"/>
      <c r="L294" s="78"/>
      <c r="M294" s="78"/>
      <c r="N294" s="135"/>
      <c r="O294" s="135"/>
      <c r="P294" s="149"/>
      <c r="Q294" s="135"/>
      <c r="R294" s="135"/>
      <c r="S294" s="145"/>
      <c r="T294" s="78"/>
      <c r="U294" s="78"/>
      <c r="V294" s="78"/>
      <c r="W294" s="78"/>
      <c r="X294" s="78"/>
      <c r="Y294" s="78"/>
      <c r="Z294" s="122"/>
      <c r="AA294" s="122"/>
      <c r="AB294" s="122"/>
      <c r="AC294" s="122"/>
      <c r="AD294" s="122"/>
      <c r="AE294" s="127"/>
      <c r="AF294" s="825"/>
      <c r="AG294" s="733"/>
      <c r="AH294" s="67" t="s">
        <v>17</v>
      </c>
      <c r="AI294" s="108">
        <v>18000</v>
      </c>
      <c r="AJ294" s="67" t="s">
        <v>8</v>
      </c>
      <c r="AK294" s="125">
        <f>38740.4*0.67</f>
        <v>25956.068000000003</v>
      </c>
      <c r="AL294" s="120"/>
      <c r="AM294" s="120"/>
      <c r="AN294" s="120"/>
      <c r="AO294" s="120"/>
      <c r="AP294" s="120"/>
      <c r="AQ294" s="120"/>
      <c r="AR294" s="120"/>
    </row>
    <row r="295" spans="1:44" ht="45" x14ac:dyDescent="0.25">
      <c r="A295" s="710"/>
      <c r="B295" s="710"/>
      <c r="C295" s="730"/>
      <c r="D295" s="730"/>
      <c r="E295" s="730"/>
      <c r="F295" s="731"/>
      <c r="G295" s="824"/>
      <c r="H295" s="168"/>
      <c r="I295" s="169"/>
      <c r="J295" s="169"/>
      <c r="K295" s="169"/>
      <c r="L295" s="169"/>
      <c r="M295" s="169"/>
      <c r="N295" s="138"/>
      <c r="O295" s="138"/>
      <c r="P295" s="157"/>
      <c r="Q295" s="138"/>
      <c r="R295" s="138"/>
      <c r="S295" s="188"/>
      <c r="T295" s="169"/>
      <c r="U295" s="169"/>
      <c r="V295" s="169"/>
      <c r="W295" s="169"/>
      <c r="X295" s="169"/>
      <c r="Y295" s="169"/>
      <c r="Z295" s="141"/>
      <c r="AA295" s="141"/>
      <c r="AB295" s="141"/>
      <c r="AC295" s="141"/>
      <c r="AD295" s="141"/>
      <c r="AE295" s="142"/>
      <c r="AF295" s="825"/>
      <c r="AG295" s="733"/>
      <c r="AH295" s="67" t="s">
        <v>46</v>
      </c>
      <c r="AI295" s="108">
        <v>500</v>
      </c>
      <c r="AJ295" s="67" t="s">
        <v>16</v>
      </c>
      <c r="AK295" s="125">
        <v>625</v>
      </c>
      <c r="AL295" s="120"/>
      <c r="AM295" s="120"/>
      <c r="AN295" s="120"/>
      <c r="AO295" s="120"/>
      <c r="AP295" s="120"/>
      <c r="AQ295" s="120"/>
      <c r="AR295" s="120"/>
    </row>
    <row r="296" spans="1:44" x14ac:dyDescent="0.25">
      <c r="A296" s="767">
        <v>60</v>
      </c>
      <c r="B296" s="736">
        <v>2225980</v>
      </c>
      <c r="C296" s="770" t="s">
        <v>349</v>
      </c>
      <c r="D296" s="742">
        <f t="shared" ref="D296:E296" si="12">F296</f>
        <v>1.216</v>
      </c>
      <c r="E296" s="742">
        <f t="shared" si="12"/>
        <v>18240</v>
      </c>
      <c r="F296" s="739">
        <v>1.216</v>
      </c>
      <c r="G296" s="759">
        <v>18240</v>
      </c>
      <c r="H296" s="103"/>
      <c r="I296" s="135"/>
      <c r="J296" s="149"/>
      <c r="K296" s="135"/>
      <c r="L296" s="135"/>
      <c r="M296" s="135"/>
      <c r="N296" s="135"/>
      <c r="O296" s="135"/>
      <c r="P296" s="135"/>
      <c r="Q296" s="135"/>
      <c r="R296" s="135"/>
      <c r="S296" s="136"/>
      <c r="T296" s="119"/>
      <c r="U296" s="119"/>
      <c r="V296" s="119"/>
      <c r="W296" s="119"/>
      <c r="X296" s="119"/>
      <c r="Y296" s="119"/>
      <c r="Z296" s="119"/>
      <c r="AA296" s="119"/>
      <c r="AB296" s="149"/>
      <c r="AC296" s="119"/>
      <c r="AD296" s="135"/>
      <c r="AE296" s="119"/>
      <c r="AF296" s="755"/>
      <c r="AG296" s="755"/>
      <c r="AH296" s="703"/>
      <c r="AI296" s="135"/>
      <c r="AJ296" s="119"/>
      <c r="AK296" s="757"/>
      <c r="AL296" s="763" t="s">
        <v>271</v>
      </c>
      <c r="AM296" s="750" t="s">
        <v>286</v>
      </c>
      <c r="AN296" s="710" t="s">
        <v>11</v>
      </c>
      <c r="AO296" s="117">
        <v>1.216</v>
      </c>
      <c r="AP296" s="67" t="s">
        <v>5</v>
      </c>
      <c r="AQ296" s="826">
        <f>AO297*1.99</f>
        <v>36297.599999999999</v>
      </c>
      <c r="AR296" s="120"/>
    </row>
    <row r="297" spans="1:44" x14ac:dyDescent="0.25">
      <c r="A297" s="767"/>
      <c r="B297" s="736"/>
      <c r="C297" s="770"/>
      <c r="D297" s="742"/>
      <c r="E297" s="742"/>
      <c r="F297" s="739"/>
      <c r="G297" s="759"/>
      <c r="H297" s="103"/>
      <c r="I297" s="135"/>
      <c r="J297" s="149"/>
      <c r="K297" s="135"/>
      <c r="L297" s="135"/>
      <c r="M297" s="135"/>
      <c r="N297" s="135"/>
      <c r="O297" s="135"/>
      <c r="P297" s="135"/>
      <c r="Q297" s="135"/>
      <c r="R297" s="135"/>
      <c r="S297" s="136"/>
      <c r="T297" s="119"/>
      <c r="U297" s="119"/>
      <c r="V297" s="119"/>
      <c r="W297" s="119"/>
      <c r="X297" s="119"/>
      <c r="Y297" s="119"/>
      <c r="Z297" s="119"/>
      <c r="AA297" s="119"/>
      <c r="AB297" s="149"/>
      <c r="AC297" s="119"/>
      <c r="AD297" s="135"/>
      <c r="AE297" s="119"/>
      <c r="AF297" s="755"/>
      <c r="AG297" s="755"/>
      <c r="AH297" s="703"/>
      <c r="AI297" s="136"/>
      <c r="AJ297" s="119"/>
      <c r="AK297" s="757"/>
      <c r="AL297" s="764"/>
      <c r="AM297" s="751"/>
      <c r="AN297" s="710"/>
      <c r="AO297" s="133">
        <v>18240</v>
      </c>
      <c r="AP297" s="67" t="s">
        <v>8</v>
      </c>
      <c r="AQ297" s="827"/>
      <c r="AR297" s="120"/>
    </row>
    <row r="298" spans="1:44" x14ac:dyDescent="0.25">
      <c r="A298" s="768"/>
      <c r="B298" s="737"/>
      <c r="C298" s="771"/>
      <c r="D298" s="743"/>
      <c r="E298" s="743"/>
      <c r="F298" s="740"/>
      <c r="G298" s="760"/>
      <c r="H298" s="103"/>
      <c r="I298" s="135"/>
      <c r="J298" s="149"/>
      <c r="K298" s="135"/>
      <c r="L298" s="135"/>
      <c r="M298" s="135"/>
      <c r="N298" s="135"/>
      <c r="O298" s="135"/>
      <c r="P298" s="135"/>
      <c r="Q298" s="135"/>
      <c r="R298" s="135"/>
      <c r="S298" s="136"/>
      <c r="T298" s="119"/>
      <c r="U298" s="119"/>
      <c r="V298" s="119"/>
      <c r="W298" s="119"/>
      <c r="X298" s="119"/>
      <c r="Y298" s="119"/>
      <c r="Z298" s="119"/>
      <c r="AA298" s="119"/>
      <c r="AB298" s="149"/>
      <c r="AC298" s="119"/>
      <c r="AD298" s="135"/>
      <c r="AE298" s="119"/>
      <c r="AF298" s="755"/>
      <c r="AG298" s="755"/>
      <c r="AH298" s="119"/>
      <c r="AI298" s="135"/>
      <c r="AJ298" s="119"/>
      <c r="AK298" s="194"/>
      <c r="AL298" s="765"/>
      <c r="AM298" s="752"/>
      <c r="AN298" s="67" t="s">
        <v>17</v>
      </c>
      <c r="AO298" s="108">
        <v>7296</v>
      </c>
      <c r="AP298" s="67" t="s">
        <v>8</v>
      </c>
      <c r="AQ298" s="125">
        <f>15702.8*0.85</f>
        <v>13347.38</v>
      </c>
      <c r="AR298" s="120"/>
    </row>
    <row r="299" spans="1:44" x14ac:dyDescent="0.25">
      <c r="A299" s="766">
        <v>61</v>
      </c>
      <c r="B299" s="735">
        <v>2224247</v>
      </c>
      <c r="C299" s="769" t="s">
        <v>264</v>
      </c>
      <c r="D299" s="741">
        <f t="shared" ref="D299:E299" si="13">F299</f>
        <v>0.71399999999999997</v>
      </c>
      <c r="E299" s="741">
        <f t="shared" si="13"/>
        <v>22400</v>
      </c>
      <c r="F299" s="738">
        <v>0.71399999999999997</v>
      </c>
      <c r="G299" s="758">
        <v>22400</v>
      </c>
      <c r="H299" s="96"/>
      <c r="I299" s="97"/>
      <c r="J299" s="98"/>
      <c r="K299" s="97"/>
      <c r="L299" s="97"/>
      <c r="M299" s="97"/>
      <c r="N299" s="97"/>
      <c r="O299" s="97"/>
      <c r="P299" s="97"/>
      <c r="Q299" s="97"/>
      <c r="R299" s="97"/>
      <c r="S299" s="183"/>
      <c r="T299" s="94"/>
      <c r="U299" s="94"/>
      <c r="V299" s="94"/>
      <c r="W299" s="94"/>
      <c r="X299" s="94"/>
      <c r="Y299" s="94"/>
      <c r="Z299" s="94"/>
      <c r="AA299" s="94"/>
      <c r="AB299" s="98"/>
      <c r="AC299" s="94"/>
      <c r="AD299" s="97"/>
      <c r="AE299" s="94"/>
      <c r="AF299" s="97"/>
      <c r="AG299" s="97"/>
      <c r="AH299" s="94"/>
      <c r="AI299" s="97"/>
      <c r="AJ299" s="94"/>
      <c r="AK299" s="195"/>
      <c r="AL299" s="763" t="s">
        <v>372</v>
      </c>
      <c r="AM299" s="750" t="s">
        <v>373</v>
      </c>
      <c r="AN299" s="710" t="s">
        <v>11</v>
      </c>
      <c r="AO299" s="117">
        <v>0.71399999999999997</v>
      </c>
      <c r="AP299" s="67" t="s">
        <v>5</v>
      </c>
      <c r="AQ299" s="826">
        <f>AO300*1.99</f>
        <v>22288</v>
      </c>
      <c r="AR299" s="120"/>
    </row>
    <row r="300" spans="1:44" x14ac:dyDescent="0.25">
      <c r="A300" s="767"/>
      <c r="B300" s="736"/>
      <c r="C300" s="770"/>
      <c r="D300" s="742"/>
      <c r="E300" s="742"/>
      <c r="F300" s="739"/>
      <c r="G300" s="759"/>
      <c r="H300" s="103"/>
      <c r="I300" s="135"/>
      <c r="J300" s="149"/>
      <c r="K300" s="135"/>
      <c r="L300" s="135"/>
      <c r="M300" s="135"/>
      <c r="N300" s="135"/>
      <c r="O300" s="135"/>
      <c r="P300" s="135"/>
      <c r="Q300" s="135"/>
      <c r="R300" s="135"/>
      <c r="S300" s="136"/>
      <c r="T300" s="119"/>
      <c r="U300" s="119"/>
      <c r="V300" s="119"/>
      <c r="W300" s="119"/>
      <c r="X300" s="119"/>
      <c r="Y300" s="119"/>
      <c r="Z300" s="119"/>
      <c r="AA300" s="119"/>
      <c r="AB300" s="149"/>
      <c r="AC300" s="119"/>
      <c r="AD300" s="135"/>
      <c r="AE300" s="119"/>
      <c r="AF300" s="135"/>
      <c r="AG300" s="135"/>
      <c r="AH300" s="119"/>
      <c r="AI300" s="135"/>
      <c r="AJ300" s="119"/>
      <c r="AK300" s="194"/>
      <c r="AL300" s="764"/>
      <c r="AM300" s="751"/>
      <c r="AN300" s="710"/>
      <c r="AO300" s="133">
        <v>11200</v>
      </c>
      <c r="AP300" s="67" t="s">
        <v>8</v>
      </c>
      <c r="AQ300" s="827"/>
      <c r="AR300" s="120"/>
    </row>
    <row r="301" spans="1:44" x14ac:dyDescent="0.25">
      <c r="A301" s="768"/>
      <c r="B301" s="737"/>
      <c r="C301" s="771"/>
      <c r="D301" s="743"/>
      <c r="E301" s="743"/>
      <c r="F301" s="740"/>
      <c r="G301" s="760"/>
      <c r="H301" s="103"/>
      <c r="I301" s="135"/>
      <c r="J301" s="149"/>
      <c r="K301" s="135"/>
      <c r="L301" s="135"/>
      <c r="M301" s="135"/>
      <c r="N301" s="135"/>
      <c r="O301" s="135"/>
      <c r="P301" s="135"/>
      <c r="Q301" s="135"/>
      <c r="R301" s="135"/>
      <c r="S301" s="136"/>
      <c r="T301" s="119"/>
      <c r="U301" s="119"/>
      <c r="V301" s="119"/>
      <c r="W301" s="119"/>
      <c r="X301" s="119"/>
      <c r="Y301" s="119"/>
      <c r="Z301" s="119"/>
      <c r="AA301" s="119"/>
      <c r="AB301" s="149"/>
      <c r="AC301" s="119"/>
      <c r="AD301" s="135"/>
      <c r="AE301" s="119"/>
      <c r="AF301" s="135"/>
      <c r="AG301" s="135"/>
      <c r="AH301" s="119"/>
      <c r="AI301" s="135"/>
      <c r="AJ301" s="119"/>
      <c r="AK301" s="194"/>
      <c r="AL301" s="765"/>
      <c r="AM301" s="752"/>
      <c r="AN301" s="67" t="s">
        <v>17</v>
      </c>
      <c r="AO301" s="108">
        <v>9600</v>
      </c>
      <c r="AP301" s="67" t="s">
        <v>8</v>
      </c>
      <c r="AQ301" s="125">
        <f>25513.1*0.85</f>
        <v>21686.134999999998</v>
      </c>
      <c r="AR301" s="120"/>
    </row>
    <row r="302" spans="1:44" x14ac:dyDescent="0.25">
      <c r="A302" s="766">
        <v>62</v>
      </c>
      <c r="B302" s="735">
        <v>2219828</v>
      </c>
      <c r="C302" s="769" t="s">
        <v>364</v>
      </c>
      <c r="D302" s="741">
        <f t="shared" ref="D302:E302" si="14">F302</f>
        <v>1.2230000000000001</v>
      </c>
      <c r="E302" s="741">
        <f t="shared" si="14"/>
        <v>13453</v>
      </c>
      <c r="F302" s="738">
        <v>1.2230000000000001</v>
      </c>
      <c r="G302" s="758">
        <v>13453</v>
      </c>
      <c r="H302" s="96"/>
      <c r="I302" s="97"/>
      <c r="J302" s="98"/>
      <c r="K302" s="97"/>
      <c r="L302" s="97"/>
      <c r="M302" s="97"/>
      <c r="N302" s="97"/>
      <c r="O302" s="97"/>
      <c r="P302" s="97"/>
      <c r="Q302" s="97"/>
      <c r="R302" s="97"/>
      <c r="S302" s="183"/>
      <c r="T302" s="94"/>
      <c r="U302" s="94"/>
      <c r="V302" s="94"/>
      <c r="W302" s="94"/>
      <c r="X302" s="94"/>
      <c r="Y302" s="94"/>
      <c r="Z302" s="94"/>
      <c r="AA302" s="94"/>
      <c r="AB302" s="98"/>
      <c r="AC302" s="94"/>
      <c r="AD302" s="97"/>
      <c r="AE302" s="94"/>
      <c r="AF302" s="97"/>
      <c r="AG302" s="97"/>
      <c r="AH302" s="94"/>
      <c r="AI302" s="97"/>
      <c r="AJ302" s="94"/>
      <c r="AK302" s="195"/>
      <c r="AL302" s="763" t="s">
        <v>374</v>
      </c>
      <c r="AM302" s="750" t="s">
        <v>375</v>
      </c>
      <c r="AN302" s="710" t="s">
        <v>11</v>
      </c>
      <c r="AO302" s="117">
        <v>1.2230000000000001</v>
      </c>
      <c r="AP302" s="67" t="s">
        <v>5</v>
      </c>
      <c r="AQ302" s="826">
        <f>AO303*1.99</f>
        <v>26765.5</v>
      </c>
      <c r="AR302" s="120"/>
    </row>
    <row r="303" spans="1:44" x14ac:dyDescent="0.25">
      <c r="A303" s="767"/>
      <c r="B303" s="736"/>
      <c r="C303" s="770"/>
      <c r="D303" s="742"/>
      <c r="E303" s="742"/>
      <c r="F303" s="739"/>
      <c r="G303" s="759"/>
      <c r="H303" s="103"/>
      <c r="I303" s="135"/>
      <c r="J303" s="149"/>
      <c r="K303" s="135"/>
      <c r="L303" s="135"/>
      <c r="M303" s="135"/>
      <c r="N303" s="135"/>
      <c r="O303" s="135"/>
      <c r="P303" s="135"/>
      <c r="Q303" s="135"/>
      <c r="R303" s="135"/>
      <c r="S303" s="136"/>
      <c r="T303" s="119"/>
      <c r="U303" s="119"/>
      <c r="V303" s="119"/>
      <c r="W303" s="119"/>
      <c r="X303" s="119"/>
      <c r="Y303" s="119"/>
      <c r="Z303" s="119"/>
      <c r="AA303" s="119"/>
      <c r="AB303" s="149"/>
      <c r="AC303" s="119"/>
      <c r="AD303" s="135"/>
      <c r="AE303" s="119"/>
      <c r="AF303" s="135"/>
      <c r="AG303" s="135"/>
      <c r="AH303" s="119"/>
      <c r="AI303" s="135"/>
      <c r="AJ303" s="119"/>
      <c r="AK303" s="194"/>
      <c r="AL303" s="764"/>
      <c r="AM303" s="751"/>
      <c r="AN303" s="710"/>
      <c r="AO303" s="133">
        <v>13450</v>
      </c>
      <c r="AP303" s="67" t="s">
        <v>8</v>
      </c>
      <c r="AQ303" s="827"/>
      <c r="AR303" s="120"/>
    </row>
    <row r="304" spans="1:44" x14ac:dyDescent="0.25">
      <c r="A304" s="768"/>
      <c r="B304" s="737"/>
      <c r="C304" s="771"/>
      <c r="D304" s="743"/>
      <c r="E304" s="743"/>
      <c r="F304" s="740"/>
      <c r="G304" s="760"/>
      <c r="H304" s="103"/>
      <c r="I304" s="135"/>
      <c r="J304" s="149"/>
      <c r="K304" s="135"/>
      <c r="L304" s="135"/>
      <c r="M304" s="135"/>
      <c r="N304" s="135"/>
      <c r="O304" s="135"/>
      <c r="P304" s="135"/>
      <c r="Q304" s="135"/>
      <c r="R304" s="135"/>
      <c r="S304" s="136"/>
      <c r="T304" s="119"/>
      <c r="U304" s="119"/>
      <c r="V304" s="119"/>
      <c r="W304" s="119"/>
      <c r="X304" s="119"/>
      <c r="Y304" s="119"/>
      <c r="Z304" s="119"/>
      <c r="AA304" s="119"/>
      <c r="AB304" s="149"/>
      <c r="AC304" s="119"/>
      <c r="AD304" s="135"/>
      <c r="AE304" s="119"/>
      <c r="AF304" s="135"/>
      <c r="AG304" s="135"/>
      <c r="AH304" s="119"/>
      <c r="AI304" s="135"/>
      <c r="AJ304" s="119"/>
      <c r="AK304" s="194"/>
      <c r="AL304" s="765"/>
      <c r="AM304" s="752"/>
      <c r="AN304" s="67" t="s">
        <v>17</v>
      </c>
      <c r="AO304" s="108">
        <v>7338</v>
      </c>
      <c r="AP304" s="67" t="s">
        <v>8</v>
      </c>
      <c r="AQ304" s="125">
        <f>23550.8*0.85</f>
        <v>20018.18</v>
      </c>
      <c r="AR304" s="120"/>
    </row>
    <row r="305" spans="1:44" x14ac:dyDescent="0.25">
      <c r="A305" s="766">
        <v>63</v>
      </c>
      <c r="B305" s="735">
        <v>2222592</v>
      </c>
      <c r="C305" s="769" t="s">
        <v>376</v>
      </c>
      <c r="D305" s="741">
        <f t="shared" ref="D305:E305" si="15">F305</f>
        <v>1.8</v>
      </c>
      <c r="E305" s="741">
        <f t="shared" si="15"/>
        <v>25200</v>
      </c>
      <c r="F305" s="738">
        <v>1.8</v>
      </c>
      <c r="G305" s="758">
        <v>25200</v>
      </c>
      <c r="H305" s="96"/>
      <c r="I305" s="97"/>
      <c r="J305" s="98"/>
      <c r="K305" s="97"/>
      <c r="L305" s="97"/>
      <c r="M305" s="97"/>
      <c r="N305" s="97"/>
      <c r="O305" s="97"/>
      <c r="P305" s="97"/>
      <c r="Q305" s="97"/>
      <c r="R305" s="97"/>
      <c r="S305" s="183"/>
      <c r="T305" s="94"/>
      <c r="U305" s="94"/>
      <c r="V305" s="94"/>
      <c r="W305" s="94"/>
      <c r="X305" s="94"/>
      <c r="Y305" s="94"/>
      <c r="Z305" s="94"/>
      <c r="AA305" s="94"/>
      <c r="AB305" s="98"/>
      <c r="AC305" s="94"/>
      <c r="AD305" s="97"/>
      <c r="AE305" s="94"/>
      <c r="AF305" s="97"/>
      <c r="AG305" s="97"/>
      <c r="AH305" s="94"/>
      <c r="AI305" s="97"/>
      <c r="AJ305" s="94"/>
      <c r="AK305" s="195"/>
      <c r="AL305" s="763" t="s">
        <v>377</v>
      </c>
      <c r="AM305" s="750" t="s">
        <v>378</v>
      </c>
      <c r="AN305" s="710" t="s">
        <v>11</v>
      </c>
      <c r="AO305" s="117">
        <v>1.8</v>
      </c>
      <c r="AP305" s="67" t="s">
        <v>5</v>
      </c>
      <c r="AQ305" s="826">
        <f>AO306*1.99</f>
        <v>50148</v>
      </c>
      <c r="AR305" s="120"/>
    </row>
    <row r="306" spans="1:44" x14ac:dyDescent="0.25">
      <c r="A306" s="767"/>
      <c r="B306" s="736"/>
      <c r="C306" s="770"/>
      <c r="D306" s="742"/>
      <c r="E306" s="742"/>
      <c r="F306" s="739"/>
      <c r="G306" s="759"/>
      <c r="H306" s="103"/>
      <c r="I306" s="135"/>
      <c r="J306" s="149"/>
      <c r="K306" s="135"/>
      <c r="L306" s="135"/>
      <c r="M306" s="135"/>
      <c r="N306" s="135"/>
      <c r="O306" s="135"/>
      <c r="P306" s="135"/>
      <c r="Q306" s="135"/>
      <c r="R306" s="135"/>
      <c r="S306" s="136"/>
      <c r="T306" s="119"/>
      <c r="U306" s="119"/>
      <c r="V306" s="119"/>
      <c r="W306" s="119"/>
      <c r="X306" s="119"/>
      <c r="Y306" s="119"/>
      <c r="Z306" s="119"/>
      <c r="AA306" s="119"/>
      <c r="AB306" s="149"/>
      <c r="AC306" s="119"/>
      <c r="AD306" s="135"/>
      <c r="AE306" s="119"/>
      <c r="AF306" s="135"/>
      <c r="AG306" s="135"/>
      <c r="AH306" s="119"/>
      <c r="AI306" s="135"/>
      <c r="AJ306" s="119"/>
      <c r="AK306" s="194"/>
      <c r="AL306" s="764"/>
      <c r="AM306" s="751"/>
      <c r="AN306" s="710"/>
      <c r="AO306" s="133">
        <v>25200</v>
      </c>
      <c r="AP306" s="67" t="s">
        <v>8</v>
      </c>
      <c r="AQ306" s="827"/>
      <c r="AR306" s="120"/>
    </row>
    <row r="307" spans="1:44" x14ac:dyDescent="0.25">
      <c r="A307" s="768"/>
      <c r="B307" s="737"/>
      <c r="C307" s="771"/>
      <c r="D307" s="743"/>
      <c r="E307" s="743"/>
      <c r="F307" s="740"/>
      <c r="G307" s="760"/>
      <c r="H307" s="103"/>
      <c r="I307" s="135"/>
      <c r="J307" s="149"/>
      <c r="K307" s="135"/>
      <c r="L307" s="135"/>
      <c r="M307" s="135"/>
      <c r="N307" s="135"/>
      <c r="O307" s="135"/>
      <c r="P307" s="135"/>
      <c r="Q307" s="135"/>
      <c r="R307" s="135"/>
      <c r="S307" s="136"/>
      <c r="T307" s="119"/>
      <c r="U307" s="119"/>
      <c r="V307" s="119"/>
      <c r="W307" s="119"/>
      <c r="X307" s="119"/>
      <c r="Y307" s="119"/>
      <c r="Z307" s="119"/>
      <c r="AA307" s="119"/>
      <c r="AB307" s="149"/>
      <c r="AC307" s="119"/>
      <c r="AD307" s="135"/>
      <c r="AE307" s="119"/>
      <c r="AF307" s="135"/>
      <c r="AG307" s="135"/>
      <c r="AH307" s="119"/>
      <c r="AI307" s="135"/>
      <c r="AJ307" s="119"/>
      <c r="AK307" s="194"/>
      <c r="AL307" s="765"/>
      <c r="AM307" s="752"/>
      <c r="AN307" s="67" t="s">
        <v>17</v>
      </c>
      <c r="AO307" s="108">
        <v>10800</v>
      </c>
      <c r="AP307" s="67" t="s">
        <v>8</v>
      </c>
      <c r="AQ307" s="125">
        <f>23244.2*0.85</f>
        <v>19757.57</v>
      </c>
      <c r="AR307" s="120"/>
    </row>
    <row r="308" spans="1:44" x14ac:dyDescent="0.25">
      <c r="A308" s="766">
        <v>64</v>
      </c>
      <c r="B308" s="735">
        <v>2221607</v>
      </c>
      <c r="C308" s="769" t="s">
        <v>303</v>
      </c>
      <c r="D308" s="741">
        <f t="shared" ref="D308:E308" si="16">F308</f>
        <v>1.502</v>
      </c>
      <c r="E308" s="741">
        <f t="shared" si="16"/>
        <v>21028</v>
      </c>
      <c r="F308" s="738">
        <v>1.502</v>
      </c>
      <c r="G308" s="758">
        <v>21028</v>
      </c>
      <c r="H308" s="96"/>
      <c r="I308" s="97"/>
      <c r="J308" s="98"/>
      <c r="K308" s="97"/>
      <c r="L308" s="97"/>
      <c r="M308" s="97"/>
      <c r="N308" s="97"/>
      <c r="O308" s="97"/>
      <c r="P308" s="97"/>
      <c r="Q308" s="97"/>
      <c r="R308" s="97"/>
      <c r="S308" s="183"/>
      <c r="T308" s="94"/>
      <c r="U308" s="94"/>
      <c r="V308" s="94"/>
      <c r="W308" s="94"/>
      <c r="X308" s="94"/>
      <c r="Y308" s="94"/>
      <c r="Z308" s="94"/>
      <c r="AA308" s="94"/>
      <c r="AB308" s="98"/>
      <c r="AC308" s="94"/>
      <c r="AD308" s="97"/>
      <c r="AE308" s="94"/>
      <c r="AF308" s="97"/>
      <c r="AG308" s="97"/>
      <c r="AH308" s="94"/>
      <c r="AI308" s="97"/>
      <c r="AJ308" s="94"/>
      <c r="AK308" s="195"/>
      <c r="AL308" s="763" t="s">
        <v>378</v>
      </c>
      <c r="AM308" s="750" t="s">
        <v>379</v>
      </c>
      <c r="AN308" s="710" t="s">
        <v>11</v>
      </c>
      <c r="AO308" s="117">
        <v>1.502</v>
      </c>
      <c r="AP308" s="67" t="s">
        <v>5</v>
      </c>
      <c r="AQ308" s="826">
        <f>AO309*1.99</f>
        <v>41790</v>
      </c>
      <c r="AR308" s="120"/>
    </row>
    <row r="309" spans="1:44" x14ac:dyDescent="0.25">
      <c r="A309" s="767"/>
      <c r="B309" s="736"/>
      <c r="C309" s="770"/>
      <c r="D309" s="742"/>
      <c r="E309" s="742"/>
      <c r="F309" s="739"/>
      <c r="G309" s="759"/>
      <c r="H309" s="103"/>
      <c r="I309" s="135"/>
      <c r="J309" s="149"/>
      <c r="K309" s="135"/>
      <c r="L309" s="135"/>
      <c r="M309" s="135"/>
      <c r="N309" s="135"/>
      <c r="O309" s="135"/>
      <c r="P309" s="135"/>
      <c r="Q309" s="135"/>
      <c r="R309" s="135"/>
      <c r="S309" s="136"/>
      <c r="T309" s="119"/>
      <c r="U309" s="119"/>
      <c r="V309" s="119"/>
      <c r="W309" s="119"/>
      <c r="X309" s="119"/>
      <c r="Y309" s="119"/>
      <c r="Z309" s="119"/>
      <c r="AA309" s="119"/>
      <c r="AB309" s="149"/>
      <c r="AC309" s="119"/>
      <c r="AD309" s="135"/>
      <c r="AE309" s="119"/>
      <c r="AF309" s="135"/>
      <c r="AG309" s="135"/>
      <c r="AH309" s="119"/>
      <c r="AI309" s="135"/>
      <c r="AJ309" s="119"/>
      <c r="AK309" s="194"/>
      <c r="AL309" s="764"/>
      <c r="AM309" s="751"/>
      <c r="AN309" s="710"/>
      <c r="AO309" s="133">
        <v>21000</v>
      </c>
      <c r="AP309" s="67" t="s">
        <v>8</v>
      </c>
      <c r="AQ309" s="827"/>
      <c r="AR309" s="120"/>
    </row>
    <row r="310" spans="1:44" x14ac:dyDescent="0.25">
      <c r="A310" s="768"/>
      <c r="B310" s="737"/>
      <c r="C310" s="771"/>
      <c r="D310" s="743"/>
      <c r="E310" s="743"/>
      <c r="F310" s="740"/>
      <c r="G310" s="760"/>
      <c r="H310" s="103"/>
      <c r="I310" s="135"/>
      <c r="J310" s="149"/>
      <c r="K310" s="135"/>
      <c r="L310" s="135"/>
      <c r="M310" s="135"/>
      <c r="N310" s="135"/>
      <c r="O310" s="135"/>
      <c r="P310" s="135"/>
      <c r="Q310" s="135"/>
      <c r="R310" s="135"/>
      <c r="S310" s="136"/>
      <c r="T310" s="119"/>
      <c r="U310" s="119"/>
      <c r="V310" s="119"/>
      <c r="W310" s="119"/>
      <c r="X310" s="119"/>
      <c r="Y310" s="119"/>
      <c r="Z310" s="119"/>
      <c r="AA310" s="119"/>
      <c r="AB310" s="149"/>
      <c r="AC310" s="119"/>
      <c r="AD310" s="135"/>
      <c r="AE310" s="119"/>
      <c r="AF310" s="135"/>
      <c r="AG310" s="135"/>
      <c r="AH310" s="119"/>
      <c r="AI310" s="135"/>
      <c r="AJ310" s="119"/>
      <c r="AK310" s="194"/>
      <c r="AL310" s="765"/>
      <c r="AM310" s="752"/>
      <c r="AN310" s="67" t="s">
        <v>17</v>
      </c>
      <c r="AO310" s="108">
        <v>9012</v>
      </c>
      <c r="AP310" s="67" t="s">
        <v>8</v>
      </c>
      <c r="AQ310" s="125">
        <f>19396*0.85</f>
        <v>16486.599999999999</v>
      </c>
      <c r="AR310" s="120"/>
    </row>
    <row r="311" spans="1:44" x14ac:dyDescent="0.25">
      <c r="A311" s="766">
        <v>65</v>
      </c>
      <c r="B311" s="735">
        <v>2225081</v>
      </c>
      <c r="C311" s="769" t="s">
        <v>257</v>
      </c>
      <c r="D311" s="741">
        <v>2.97</v>
      </c>
      <c r="E311" s="741">
        <f t="shared" ref="E311" si="17">G311</f>
        <v>58590</v>
      </c>
      <c r="F311" s="738">
        <v>1.675</v>
      </c>
      <c r="G311" s="758">
        <v>58590</v>
      </c>
      <c r="H311" s="96"/>
      <c r="I311" s="97"/>
      <c r="J311" s="98"/>
      <c r="K311" s="97"/>
      <c r="L311" s="97"/>
      <c r="M311" s="97"/>
      <c r="N311" s="97"/>
      <c r="O311" s="97"/>
      <c r="P311" s="97"/>
      <c r="Q311" s="97"/>
      <c r="R311" s="97"/>
      <c r="S311" s="183"/>
      <c r="T311" s="94"/>
      <c r="U311" s="94"/>
      <c r="V311" s="94"/>
      <c r="W311" s="94"/>
      <c r="X311" s="94"/>
      <c r="Y311" s="94"/>
      <c r="Z311" s="94"/>
      <c r="AA311" s="94"/>
      <c r="AB311" s="98"/>
      <c r="AC311" s="94"/>
      <c r="AD311" s="97"/>
      <c r="AE311" s="94"/>
      <c r="AF311" s="97"/>
      <c r="AG311" s="97"/>
      <c r="AH311" s="94"/>
      <c r="AI311" s="97"/>
      <c r="AJ311" s="94"/>
      <c r="AK311" s="195"/>
      <c r="AL311" s="763"/>
      <c r="AM311" s="750"/>
      <c r="AN311" s="710" t="s">
        <v>11</v>
      </c>
      <c r="AO311" s="117">
        <v>1.675</v>
      </c>
      <c r="AP311" s="67" t="s">
        <v>5</v>
      </c>
      <c r="AQ311" s="826">
        <f>AO312*1.99</f>
        <v>44775</v>
      </c>
      <c r="AR311" s="120"/>
    </row>
    <row r="312" spans="1:44" x14ac:dyDescent="0.25">
      <c r="A312" s="767"/>
      <c r="B312" s="736"/>
      <c r="C312" s="770"/>
      <c r="D312" s="742"/>
      <c r="E312" s="742"/>
      <c r="F312" s="739"/>
      <c r="G312" s="759"/>
      <c r="H312" s="103"/>
      <c r="I312" s="135"/>
      <c r="J312" s="149"/>
      <c r="K312" s="135"/>
      <c r="L312" s="135"/>
      <c r="M312" s="135"/>
      <c r="N312" s="135"/>
      <c r="O312" s="135"/>
      <c r="P312" s="135"/>
      <c r="Q312" s="135"/>
      <c r="R312" s="135"/>
      <c r="S312" s="136"/>
      <c r="T312" s="119"/>
      <c r="U312" s="119"/>
      <c r="V312" s="119"/>
      <c r="W312" s="119"/>
      <c r="X312" s="119"/>
      <c r="Y312" s="119"/>
      <c r="Z312" s="119"/>
      <c r="AA312" s="119"/>
      <c r="AB312" s="149"/>
      <c r="AC312" s="119"/>
      <c r="AD312" s="135"/>
      <c r="AE312" s="119"/>
      <c r="AF312" s="135"/>
      <c r="AG312" s="135"/>
      <c r="AH312" s="119"/>
      <c r="AI312" s="135"/>
      <c r="AJ312" s="119"/>
      <c r="AK312" s="194"/>
      <c r="AL312" s="764"/>
      <c r="AM312" s="751"/>
      <c r="AN312" s="710"/>
      <c r="AO312" s="133">
        <v>22500</v>
      </c>
      <c r="AP312" s="67" t="s">
        <v>8</v>
      </c>
      <c r="AQ312" s="827"/>
      <c r="AR312" s="120"/>
    </row>
    <row r="313" spans="1:44" x14ac:dyDescent="0.25">
      <c r="A313" s="768"/>
      <c r="B313" s="737"/>
      <c r="C313" s="771"/>
      <c r="D313" s="743"/>
      <c r="E313" s="743"/>
      <c r="F313" s="740"/>
      <c r="G313" s="760"/>
      <c r="H313" s="103"/>
      <c r="I313" s="135"/>
      <c r="J313" s="149"/>
      <c r="K313" s="135"/>
      <c r="L313" s="135"/>
      <c r="M313" s="135"/>
      <c r="N313" s="135"/>
      <c r="O313" s="135"/>
      <c r="P313" s="135"/>
      <c r="Q313" s="135"/>
      <c r="R313" s="135"/>
      <c r="S313" s="136"/>
      <c r="T313" s="119"/>
      <c r="U313" s="119"/>
      <c r="V313" s="119"/>
      <c r="W313" s="119"/>
      <c r="X313" s="119"/>
      <c r="Y313" s="119"/>
      <c r="Z313" s="119"/>
      <c r="AA313" s="119"/>
      <c r="AB313" s="149"/>
      <c r="AC313" s="119"/>
      <c r="AD313" s="135"/>
      <c r="AE313" s="119"/>
      <c r="AF313" s="135"/>
      <c r="AG313" s="135"/>
      <c r="AH313" s="119"/>
      <c r="AI313" s="135"/>
      <c r="AJ313" s="119"/>
      <c r="AK313" s="194"/>
      <c r="AL313" s="765"/>
      <c r="AM313" s="752"/>
      <c r="AN313" s="67" t="s">
        <v>17</v>
      </c>
      <c r="AO313" s="108">
        <v>13020</v>
      </c>
      <c r="AP313" s="67" t="s">
        <v>8</v>
      </c>
      <c r="AQ313" s="125">
        <f>35237.8*0.85</f>
        <v>29952.13</v>
      </c>
      <c r="AR313" s="120"/>
    </row>
    <row r="314" spans="1:44" x14ac:dyDescent="0.25">
      <c r="A314" s="766">
        <v>66</v>
      </c>
      <c r="B314" s="735">
        <v>2224267</v>
      </c>
      <c r="C314" s="769" t="s">
        <v>380</v>
      </c>
      <c r="D314" s="741">
        <f t="shared" ref="D314:E314" si="18">F314</f>
        <v>1.837</v>
      </c>
      <c r="E314" s="741">
        <f t="shared" si="18"/>
        <v>16533</v>
      </c>
      <c r="F314" s="738">
        <v>1.837</v>
      </c>
      <c r="G314" s="758">
        <v>16533</v>
      </c>
      <c r="H314" s="96"/>
      <c r="I314" s="97"/>
      <c r="J314" s="98"/>
      <c r="K314" s="97"/>
      <c r="L314" s="97"/>
      <c r="M314" s="97"/>
      <c r="N314" s="97"/>
      <c r="O314" s="97"/>
      <c r="P314" s="97"/>
      <c r="Q314" s="97"/>
      <c r="R314" s="97"/>
      <c r="S314" s="183"/>
      <c r="T314" s="94"/>
      <c r="U314" s="94"/>
      <c r="V314" s="94"/>
      <c r="W314" s="94"/>
      <c r="X314" s="94"/>
      <c r="Y314" s="94"/>
      <c r="Z314" s="94"/>
      <c r="AA314" s="94"/>
      <c r="AB314" s="98"/>
      <c r="AC314" s="94"/>
      <c r="AD314" s="97"/>
      <c r="AE314" s="94"/>
      <c r="AF314" s="97"/>
      <c r="AG314" s="97"/>
      <c r="AH314" s="94"/>
      <c r="AI314" s="97"/>
      <c r="AJ314" s="94"/>
      <c r="AK314" s="195"/>
      <c r="AL314" s="763" t="s">
        <v>381</v>
      </c>
      <c r="AM314" s="750" t="s">
        <v>382</v>
      </c>
      <c r="AN314" s="710" t="s">
        <v>11</v>
      </c>
      <c r="AO314" s="117">
        <v>1.837</v>
      </c>
      <c r="AP314" s="67" t="s">
        <v>5</v>
      </c>
      <c r="AQ314" s="826">
        <f>AO315*1.99</f>
        <v>32835</v>
      </c>
      <c r="AR314" s="120"/>
    </row>
    <row r="315" spans="1:44" x14ac:dyDescent="0.25">
      <c r="A315" s="767"/>
      <c r="B315" s="736"/>
      <c r="C315" s="770"/>
      <c r="D315" s="742"/>
      <c r="E315" s="742"/>
      <c r="F315" s="739"/>
      <c r="G315" s="759"/>
      <c r="H315" s="103"/>
      <c r="I315" s="135"/>
      <c r="J315" s="149"/>
      <c r="K315" s="135"/>
      <c r="L315" s="135"/>
      <c r="M315" s="135"/>
      <c r="N315" s="135"/>
      <c r="O315" s="135"/>
      <c r="P315" s="135"/>
      <c r="Q315" s="135"/>
      <c r="R315" s="135"/>
      <c r="S315" s="136"/>
      <c r="T315" s="119"/>
      <c r="U315" s="119"/>
      <c r="V315" s="119"/>
      <c r="W315" s="119"/>
      <c r="X315" s="119"/>
      <c r="Y315" s="119"/>
      <c r="Z315" s="119"/>
      <c r="AA315" s="119"/>
      <c r="AB315" s="149"/>
      <c r="AC315" s="119"/>
      <c r="AD315" s="135"/>
      <c r="AE315" s="119"/>
      <c r="AF315" s="135"/>
      <c r="AG315" s="135"/>
      <c r="AH315" s="119"/>
      <c r="AI315" s="135"/>
      <c r="AJ315" s="119"/>
      <c r="AK315" s="194"/>
      <c r="AL315" s="764"/>
      <c r="AM315" s="751"/>
      <c r="AN315" s="710"/>
      <c r="AO315" s="133">
        <v>16500</v>
      </c>
      <c r="AP315" s="67" t="s">
        <v>8</v>
      </c>
      <c r="AQ315" s="827"/>
      <c r="AR315" s="120"/>
    </row>
    <row r="316" spans="1:44" x14ac:dyDescent="0.25">
      <c r="A316" s="768"/>
      <c r="B316" s="737"/>
      <c r="C316" s="771"/>
      <c r="D316" s="743"/>
      <c r="E316" s="743"/>
      <c r="F316" s="740"/>
      <c r="G316" s="760"/>
      <c r="H316" s="103"/>
      <c r="I316" s="135"/>
      <c r="J316" s="149"/>
      <c r="K316" s="135"/>
      <c r="L316" s="135"/>
      <c r="M316" s="135"/>
      <c r="N316" s="135"/>
      <c r="O316" s="135"/>
      <c r="P316" s="135"/>
      <c r="Q316" s="135"/>
      <c r="R316" s="135"/>
      <c r="S316" s="136"/>
      <c r="T316" s="119"/>
      <c r="U316" s="119"/>
      <c r="V316" s="119"/>
      <c r="W316" s="119"/>
      <c r="X316" s="119"/>
      <c r="Y316" s="119"/>
      <c r="Z316" s="119"/>
      <c r="AA316" s="119"/>
      <c r="AB316" s="149"/>
      <c r="AC316" s="119"/>
      <c r="AD316" s="135"/>
      <c r="AE316" s="119"/>
      <c r="AF316" s="135"/>
      <c r="AG316" s="135"/>
      <c r="AH316" s="119"/>
      <c r="AI316" s="135"/>
      <c r="AJ316" s="119"/>
      <c r="AK316" s="194"/>
      <c r="AL316" s="765"/>
      <c r="AM316" s="752"/>
      <c r="AN316" s="67" t="s">
        <v>17</v>
      </c>
      <c r="AO316" s="108">
        <v>7348</v>
      </c>
      <c r="AP316" s="67" t="s">
        <v>8</v>
      </c>
      <c r="AQ316" s="125">
        <f>19885.2*0.85</f>
        <v>16902.420000000002</v>
      </c>
      <c r="AR316" s="120"/>
    </row>
    <row r="317" spans="1:44" x14ac:dyDescent="0.25">
      <c r="A317" s="766">
        <v>67</v>
      </c>
      <c r="B317" s="735">
        <v>2219833</v>
      </c>
      <c r="C317" s="769" t="s">
        <v>383</v>
      </c>
      <c r="D317" s="741">
        <f t="shared" ref="D317:E317" si="19">F317</f>
        <v>3.55</v>
      </c>
      <c r="E317" s="741">
        <f t="shared" si="19"/>
        <v>42300</v>
      </c>
      <c r="F317" s="738">
        <v>3.55</v>
      </c>
      <c r="G317" s="758">
        <v>42300</v>
      </c>
      <c r="H317" s="96"/>
      <c r="I317" s="97"/>
      <c r="J317" s="98"/>
      <c r="K317" s="97"/>
      <c r="L317" s="97"/>
      <c r="M317" s="97"/>
      <c r="N317" s="97"/>
      <c r="O317" s="97"/>
      <c r="P317" s="97"/>
      <c r="Q317" s="97"/>
      <c r="R317" s="97"/>
      <c r="S317" s="183"/>
      <c r="T317" s="94"/>
      <c r="U317" s="94"/>
      <c r="V317" s="94"/>
      <c r="W317" s="94"/>
      <c r="X317" s="94"/>
      <c r="Y317" s="94"/>
      <c r="Z317" s="94"/>
      <c r="AA317" s="94"/>
      <c r="AB317" s="98"/>
      <c r="AC317" s="94"/>
      <c r="AD317" s="97"/>
      <c r="AE317" s="94"/>
      <c r="AF317" s="97"/>
      <c r="AG317" s="97"/>
      <c r="AH317" s="94"/>
      <c r="AI317" s="97"/>
      <c r="AJ317" s="94"/>
      <c r="AK317" s="195"/>
      <c r="AL317" s="763" t="s">
        <v>384</v>
      </c>
      <c r="AM317" s="750" t="s">
        <v>385</v>
      </c>
      <c r="AN317" s="710" t="s">
        <v>11</v>
      </c>
      <c r="AO317" s="117">
        <v>3.55</v>
      </c>
      <c r="AP317" s="67" t="s">
        <v>5</v>
      </c>
      <c r="AQ317" s="826">
        <f>AO318*1.99</f>
        <v>70645</v>
      </c>
      <c r="AR317" s="120"/>
    </row>
    <row r="318" spans="1:44" x14ac:dyDescent="0.25">
      <c r="A318" s="767"/>
      <c r="B318" s="736"/>
      <c r="C318" s="770"/>
      <c r="D318" s="742"/>
      <c r="E318" s="742"/>
      <c r="F318" s="739"/>
      <c r="G318" s="759"/>
      <c r="H318" s="103"/>
      <c r="I318" s="135"/>
      <c r="J318" s="149"/>
      <c r="K318" s="135"/>
      <c r="L318" s="135"/>
      <c r="M318" s="135"/>
      <c r="N318" s="135"/>
      <c r="O318" s="135"/>
      <c r="P318" s="135"/>
      <c r="Q318" s="135"/>
      <c r="R318" s="135"/>
      <c r="S318" s="136"/>
      <c r="T318" s="119"/>
      <c r="U318" s="119"/>
      <c r="V318" s="119"/>
      <c r="W318" s="119"/>
      <c r="X318" s="119"/>
      <c r="Y318" s="119"/>
      <c r="Z318" s="119"/>
      <c r="AA318" s="119"/>
      <c r="AB318" s="149"/>
      <c r="AC318" s="119"/>
      <c r="AD318" s="135"/>
      <c r="AE318" s="119"/>
      <c r="AF318" s="135"/>
      <c r="AG318" s="135"/>
      <c r="AH318" s="119"/>
      <c r="AI318" s="135"/>
      <c r="AJ318" s="119"/>
      <c r="AK318" s="194"/>
      <c r="AL318" s="764"/>
      <c r="AM318" s="751"/>
      <c r="AN318" s="710"/>
      <c r="AO318" s="133">
        <v>35500</v>
      </c>
      <c r="AP318" s="67" t="s">
        <v>8</v>
      </c>
      <c r="AQ318" s="827"/>
      <c r="AR318" s="120"/>
    </row>
    <row r="319" spans="1:44" x14ac:dyDescent="0.25">
      <c r="A319" s="768"/>
      <c r="B319" s="737"/>
      <c r="C319" s="771"/>
      <c r="D319" s="743"/>
      <c r="E319" s="743"/>
      <c r="F319" s="740"/>
      <c r="G319" s="760"/>
      <c r="H319" s="103"/>
      <c r="I319" s="135"/>
      <c r="J319" s="149"/>
      <c r="K319" s="135"/>
      <c r="L319" s="135"/>
      <c r="M319" s="135"/>
      <c r="N319" s="135"/>
      <c r="O319" s="135"/>
      <c r="P319" s="135"/>
      <c r="Q319" s="135"/>
      <c r="R319" s="135"/>
      <c r="S319" s="136"/>
      <c r="T319" s="119"/>
      <c r="U319" s="119"/>
      <c r="V319" s="119"/>
      <c r="W319" s="119"/>
      <c r="X319" s="119"/>
      <c r="Y319" s="119"/>
      <c r="Z319" s="119"/>
      <c r="AA319" s="119"/>
      <c r="AB319" s="149"/>
      <c r="AC319" s="119"/>
      <c r="AD319" s="135"/>
      <c r="AE319" s="119"/>
      <c r="AF319" s="135"/>
      <c r="AG319" s="135"/>
      <c r="AH319" s="119"/>
      <c r="AI319" s="135"/>
      <c r="AJ319" s="119"/>
      <c r="AK319" s="194"/>
      <c r="AL319" s="765"/>
      <c r="AM319" s="752"/>
      <c r="AN319" s="67" t="s">
        <v>17</v>
      </c>
      <c r="AO319" s="108">
        <v>9400</v>
      </c>
      <c r="AP319" s="67" t="s">
        <v>8</v>
      </c>
      <c r="AQ319" s="125">
        <f>25438.3*0.85</f>
        <v>21622.555</v>
      </c>
      <c r="AR319" s="120"/>
    </row>
    <row r="320" spans="1:44" x14ac:dyDescent="0.25">
      <c r="A320" s="766">
        <v>68</v>
      </c>
      <c r="B320" s="735">
        <v>2224658</v>
      </c>
      <c r="C320" s="769" t="s">
        <v>386</v>
      </c>
      <c r="D320" s="741">
        <f t="shared" ref="D320:E320" si="20">F320</f>
        <v>0.94099999999999995</v>
      </c>
      <c r="E320" s="741">
        <f t="shared" si="20"/>
        <v>8469</v>
      </c>
      <c r="F320" s="738">
        <v>0.94099999999999995</v>
      </c>
      <c r="G320" s="758">
        <v>8469</v>
      </c>
      <c r="H320" s="96"/>
      <c r="I320" s="97"/>
      <c r="J320" s="98"/>
      <c r="K320" s="97"/>
      <c r="L320" s="97"/>
      <c r="M320" s="97"/>
      <c r="N320" s="97"/>
      <c r="O320" s="97"/>
      <c r="P320" s="97"/>
      <c r="Q320" s="97"/>
      <c r="R320" s="97"/>
      <c r="S320" s="183"/>
      <c r="T320" s="94"/>
      <c r="U320" s="94"/>
      <c r="V320" s="94"/>
      <c r="W320" s="94"/>
      <c r="X320" s="94"/>
      <c r="Y320" s="94"/>
      <c r="Z320" s="94"/>
      <c r="AA320" s="94"/>
      <c r="AB320" s="98"/>
      <c r="AC320" s="94"/>
      <c r="AD320" s="97"/>
      <c r="AE320" s="94"/>
      <c r="AF320" s="97"/>
      <c r="AG320" s="97"/>
      <c r="AH320" s="94"/>
      <c r="AI320" s="97"/>
      <c r="AJ320" s="94"/>
      <c r="AK320" s="195"/>
      <c r="AL320" s="763" t="s">
        <v>387</v>
      </c>
      <c r="AM320" s="750" t="s">
        <v>388</v>
      </c>
      <c r="AN320" s="710" t="s">
        <v>11</v>
      </c>
      <c r="AO320" s="117">
        <v>0.94099999999999995</v>
      </c>
      <c r="AP320" s="67" t="s">
        <v>5</v>
      </c>
      <c r="AQ320" s="826">
        <f>AO321*1.99</f>
        <v>16915</v>
      </c>
      <c r="AR320" s="120"/>
    </row>
    <row r="321" spans="1:86" x14ac:dyDescent="0.25">
      <c r="A321" s="767"/>
      <c r="B321" s="736"/>
      <c r="C321" s="770"/>
      <c r="D321" s="742"/>
      <c r="E321" s="742"/>
      <c r="F321" s="739"/>
      <c r="G321" s="759"/>
      <c r="H321" s="103"/>
      <c r="I321" s="135"/>
      <c r="J321" s="149"/>
      <c r="K321" s="135"/>
      <c r="L321" s="135"/>
      <c r="M321" s="135"/>
      <c r="N321" s="135"/>
      <c r="O321" s="135"/>
      <c r="P321" s="135"/>
      <c r="Q321" s="135"/>
      <c r="R321" s="135"/>
      <c r="S321" s="136"/>
      <c r="T321" s="119"/>
      <c r="U321" s="119"/>
      <c r="V321" s="119"/>
      <c r="W321" s="119"/>
      <c r="X321" s="119"/>
      <c r="Y321" s="119"/>
      <c r="Z321" s="119"/>
      <c r="AA321" s="119"/>
      <c r="AB321" s="149"/>
      <c r="AC321" s="119"/>
      <c r="AD321" s="135"/>
      <c r="AE321" s="119"/>
      <c r="AF321" s="135"/>
      <c r="AG321" s="135"/>
      <c r="AH321" s="119"/>
      <c r="AI321" s="135"/>
      <c r="AJ321" s="119"/>
      <c r="AK321" s="194"/>
      <c r="AL321" s="764"/>
      <c r="AM321" s="751"/>
      <c r="AN321" s="710"/>
      <c r="AO321" s="133">
        <v>8500</v>
      </c>
      <c r="AP321" s="67" t="s">
        <v>8</v>
      </c>
      <c r="AQ321" s="827"/>
      <c r="AR321" s="120"/>
    </row>
    <row r="322" spans="1:86" x14ac:dyDescent="0.25">
      <c r="A322" s="768"/>
      <c r="B322" s="737"/>
      <c r="C322" s="771"/>
      <c r="D322" s="743"/>
      <c r="E322" s="743"/>
      <c r="F322" s="740"/>
      <c r="G322" s="760"/>
      <c r="H322" s="103"/>
      <c r="I322" s="135"/>
      <c r="J322" s="149"/>
      <c r="K322" s="135"/>
      <c r="L322" s="135"/>
      <c r="M322" s="135"/>
      <c r="N322" s="135"/>
      <c r="O322" s="135"/>
      <c r="P322" s="135"/>
      <c r="Q322" s="135"/>
      <c r="R322" s="135"/>
      <c r="S322" s="136"/>
      <c r="T322" s="119"/>
      <c r="U322" s="119"/>
      <c r="V322" s="119"/>
      <c r="W322" s="119"/>
      <c r="X322" s="119"/>
      <c r="Y322" s="119"/>
      <c r="Z322" s="119"/>
      <c r="AA322" s="119"/>
      <c r="AB322" s="149"/>
      <c r="AC322" s="119"/>
      <c r="AD322" s="135"/>
      <c r="AE322" s="119"/>
      <c r="AF322" s="135"/>
      <c r="AG322" s="135"/>
      <c r="AH322" s="119"/>
      <c r="AI322" s="135"/>
      <c r="AJ322" s="119"/>
      <c r="AK322" s="194"/>
      <c r="AL322" s="765"/>
      <c r="AM322" s="752"/>
      <c r="AN322" s="67" t="s">
        <v>17</v>
      </c>
      <c r="AO322" s="108">
        <v>3764</v>
      </c>
      <c r="AP322" s="67" t="s">
        <v>8</v>
      </c>
      <c r="AQ322" s="125">
        <f>10186.2*0.85</f>
        <v>8658.27</v>
      </c>
      <c r="AR322" s="120"/>
    </row>
    <row r="323" spans="1:86" x14ac:dyDescent="0.25">
      <c r="A323" s="766">
        <v>69</v>
      </c>
      <c r="B323" s="735">
        <v>2223385</v>
      </c>
      <c r="C323" s="769" t="s">
        <v>389</v>
      </c>
      <c r="D323" s="741">
        <f t="shared" ref="D323:E323" si="21">F323</f>
        <v>0.47</v>
      </c>
      <c r="E323" s="741">
        <f t="shared" si="21"/>
        <v>5940</v>
      </c>
      <c r="F323" s="738">
        <v>0.47</v>
      </c>
      <c r="G323" s="758">
        <v>5940</v>
      </c>
      <c r="H323" s="96"/>
      <c r="I323" s="97"/>
      <c r="J323" s="98"/>
      <c r="K323" s="97"/>
      <c r="L323" s="97"/>
      <c r="M323" s="97"/>
      <c r="N323" s="97"/>
      <c r="O323" s="97"/>
      <c r="P323" s="97"/>
      <c r="Q323" s="97"/>
      <c r="R323" s="97"/>
      <c r="S323" s="183"/>
      <c r="T323" s="94"/>
      <c r="U323" s="94"/>
      <c r="V323" s="94"/>
      <c r="W323" s="94"/>
      <c r="X323" s="94"/>
      <c r="Y323" s="94"/>
      <c r="Z323" s="94"/>
      <c r="AA323" s="94"/>
      <c r="AB323" s="98"/>
      <c r="AC323" s="94"/>
      <c r="AD323" s="97"/>
      <c r="AE323" s="94"/>
      <c r="AF323" s="97"/>
      <c r="AG323" s="97"/>
      <c r="AH323" s="94"/>
      <c r="AI323" s="97"/>
      <c r="AJ323" s="94"/>
      <c r="AK323" s="195"/>
      <c r="AL323" s="772" t="s">
        <v>390</v>
      </c>
      <c r="AM323" s="750" t="s">
        <v>296</v>
      </c>
      <c r="AN323" s="710" t="s">
        <v>11</v>
      </c>
      <c r="AO323" s="117">
        <v>0.47</v>
      </c>
      <c r="AP323" s="67" t="s">
        <v>5</v>
      </c>
      <c r="AQ323" s="826">
        <f>AO324*1.99</f>
        <v>9950</v>
      </c>
      <c r="AR323" s="120"/>
    </row>
    <row r="324" spans="1:86" x14ac:dyDescent="0.25">
      <c r="A324" s="767"/>
      <c r="B324" s="736"/>
      <c r="C324" s="770"/>
      <c r="D324" s="742"/>
      <c r="E324" s="742"/>
      <c r="F324" s="739"/>
      <c r="G324" s="759"/>
      <c r="H324" s="103"/>
      <c r="I324" s="135"/>
      <c r="J324" s="149"/>
      <c r="K324" s="135"/>
      <c r="L324" s="135"/>
      <c r="M324" s="135"/>
      <c r="N324" s="135"/>
      <c r="O324" s="135"/>
      <c r="P324" s="135"/>
      <c r="Q324" s="135"/>
      <c r="R324" s="135"/>
      <c r="S324" s="136"/>
      <c r="T324" s="119"/>
      <c r="U324" s="119"/>
      <c r="V324" s="119"/>
      <c r="W324" s="119"/>
      <c r="X324" s="119"/>
      <c r="Y324" s="119"/>
      <c r="Z324" s="119"/>
      <c r="AA324" s="119"/>
      <c r="AB324" s="149"/>
      <c r="AC324" s="119"/>
      <c r="AD324" s="135"/>
      <c r="AE324" s="119"/>
      <c r="AF324" s="135"/>
      <c r="AG324" s="135"/>
      <c r="AH324" s="119"/>
      <c r="AI324" s="135"/>
      <c r="AJ324" s="119"/>
      <c r="AK324" s="194"/>
      <c r="AL324" s="773"/>
      <c r="AM324" s="751"/>
      <c r="AN324" s="710"/>
      <c r="AO324" s="133">
        <v>5000</v>
      </c>
      <c r="AP324" s="67" t="s">
        <v>8</v>
      </c>
      <c r="AQ324" s="827"/>
      <c r="AR324" s="120"/>
    </row>
    <row r="325" spans="1:86" x14ac:dyDescent="0.25">
      <c r="A325" s="768"/>
      <c r="B325" s="737"/>
      <c r="C325" s="771"/>
      <c r="D325" s="743"/>
      <c r="E325" s="743"/>
      <c r="F325" s="740"/>
      <c r="G325" s="760"/>
      <c r="H325" s="103"/>
      <c r="I325" s="135"/>
      <c r="J325" s="149"/>
      <c r="K325" s="135"/>
      <c r="L325" s="135"/>
      <c r="M325" s="135"/>
      <c r="N325" s="135"/>
      <c r="O325" s="135"/>
      <c r="P325" s="135"/>
      <c r="Q325" s="135"/>
      <c r="R325" s="135"/>
      <c r="S325" s="136"/>
      <c r="T325" s="119"/>
      <c r="U325" s="119"/>
      <c r="V325" s="119"/>
      <c r="W325" s="119"/>
      <c r="X325" s="119"/>
      <c r="Y325" s="119"/>
      <c r="Z325" s="119"/>
      <c r="AA325" s="119"/>
      <c r="AB325" s="149"/>
      <c r="AC325" s="119"/>
      <c r="AD325" s="135"/>
      <c r="AE325" s="119"/>
      <c r="AF325" s="135"/>
      <c r="AG325" s="135"/>
      <c r="AH325" s="176"/>
      <c r="AI325" s="135"/>
      <c r="AJ325" s="119"/>
      <c r="AK325" s="194"/>
      <c r="AL325" s="774"/>
      <c r="AM325" s="752"/>
      <c r="AN325" s="67" t="s">
        <v>17</v>
      </c>
      <c r="AO325" s="108">
        <v>2640</v>
      </c>
      <c r="AP325" s="67" t="s">
        <v>8</v>
      </c>
      <c r="AQ325" s="125">
        <f>7144.4*0.85</f>
        <v>6072.74</v>
      </c>
      <c r="AR325" s="120"/>
    </row>
    <row r="326" spans="1:86" x14ac:dyDescent="0.25">
      <c r="A326" s="766">
        <v>70</v>
      </c>
      <c r="B326" s="735">
        <v>2227459</v>
      </c>
      <c r="C326" s="769" t="s">
        <v>391</v>
      </c>
      <c r="D326" s="741">
        <f t="shared" ref="D326:E326" si="22">F326</f>
        <v>2.2090000000000001</v>
      </c>
      <c r="E326" s="741">
        <f t="shared" si="22"/>
        <v>20000</v>
      </c>
      <c r="F326" s="738">
        <v>2.2090000000000001</v>
      </c>
      <c r="G326" s="758">
        <v>20000</v>
      </c>
      <c r="H326" s="96"/>
      <c r="I326" s="97"/>
      <c r="J326" s="98"/>
      <c r="K326" s="97"/>
      <c r="L326" s="97"/>
      <c r="M326" s="97"/>
      <c r="N326" s="97"/>
      <c r="O326" s="97"/>
      <c r="P326" s="97"/>
      <c r="Q326" s="97"/>
      <c r="R326" s="97"/>
      <c r="S326" s="183"/>
      <c r="T326" s="94"/>
      <c r="U326" s="94"/>
      <c r="V326" s="94"/>
      <c r="W326" s="94"/>
      <c r="X326" s="94"/>
      <c r="Y326" s="94"/>
      <c r="Z326" s="94"/>
      <c r="AA326" s="94"/>
      <c r="AB326" s="98"/>
      <c r="AC326" s="94"/>
      <c r="AD326" s="97"/>
      <c r="AE326" s="94"/>
      <c r="AF326" s="97"/>
      <c r="AG326" s="97"/>
      <c r="AH326" s="174"/>
      <c r="AI326" s="97"/>
      <c r="AJ326" s="94"/>
      <c r="AK326" s="195"/>
      <c r="AL326" s="772" t="s">
        <v>346</v>
      </c>
      <c r="AM326" s="750" t="s">
        <v>290</v>
      </c>
      <c r="AN326" s="710" t="s">
        <v>11</v>
      </c>
      <c r="AO326" s="117">
        <v>2.2090000000000001</v>
      </c>
      <c r="AP326" s="67" t="s">
        <v>5</v>
      </c>
      <c r="AQ326" s="826">
        <f>AO327*1.99</f>
        <v>39800</v>
      </c>
      <c r="AR326" s="120"/>
    </row>
    <row r="327" spans="1:86" x14ac:dyDescent="0.25">
      <c r="A327" s="767"/>
      <c r="B327" s="736"/>
      <c r="C327" s="770"/>
      <c r="D327" s="742"/>
      <c r="E327" s="742"/>
      <c r="F327" s="739"/>
      <c r="G327" s="759"/>
      <c r="H327" s="103"/>
      <c r="I327" s="135"/>
      <c r="J327" s="149"/>
      <c r="K327" s="135"/>
      <c r="L327" s="135"/>
      <c r="M327" s="135"/>
      <c r="N327" s="135"/>
      <c r="O327" s="135"/>
      <c r="P327" s="135"/>
      <c r="Q327" s="135"/>
      <c r="R327" s="135"/>
      <c r="S327" s="136"/>
      <c r="T327" s="119"/>
      <c r="U327" s="119"/>
      <c r="V327" s="119"/>
      <c r="W327" s="119"/>
      <c r="X327" s="119"/>
      <c r="Y327" s="119"/>
      <c r="Z327" s="119"/>
      <c r="AA327" s="119"/>
      <c r="AB327" s="149"/>
      <c r="AC327" s="119"/>
      <c r="AD327" s="135"/>
      <c r="AE327" s="119"/>
      <c r="AF327" s="135"/>
      <c r="AG327" s="135"/>
      <c r="AH327" s="176"/>
      <c r="AI327" s="135"/>
      <c r="AJ327" s="119"/>
      <c r="AK327" s="194"/>
      <c r="AL327" s="773"/>
      <c r="AM327" s="751"/>
      <c r="AN327" s="710"/>
      <c r="AO327" s="133">
        <v>20000</v>
      </c>
      <c r="AP327" s="67" t="s">
        <v>8</v>
      </c>
      <c r="AQ327" s="827"/>
      <c r="AR327" s="120"/>
    </row>
    <row r="328" spans="1:86" x14ac:dyDescent="0.25">
      <c r="A328" s="768"/>
      <c r="B328" s="737"/>
      <c r="C328" s="771"/>
      <c r="D328" s="743"/>
      <c r="E328" s="743"/>
      <c r="F328" s="740"/>
      <c r="G328" s="760"/>
      <c r="H328" s="113"/>
      <c r="I328" s="138"/>
      <c r="J328" s="157"/>
      <c r="K328" s="138"/>
      <c r="L328" s="138"/>
      <c r="M328" s="138"/>
      <c r="N328" s="138"/>
      <c r="O328" s="138"/>
      <c r="P328" s="138"/>
      <c r="Q328" s="138"/>
      <c r="R328" s="138"/>
      <c r="S328" s="190"/>
      <c r="T328" s="137"/>
      <c r="U328" s="137"/>
      <c r="V328" s="137"/>
      <c r="W328" s="137"/>
      <c r="X328" s="137"/>
      <c r="Y328" s="137"/>
      <c r="Z328" s="137"/>
      <c r="AA328" s="137"/>
      <c r="AB328" s="157"/>
      <c r="AC328" s="137"/>
      <c r="AD328" s="138"/>
      <c r="AE328" s="137"/>
      <c r="AF328" s="138"/>
      <c r="AG328" s="138"/>
      <c r="AH328" s="196"/>
      <c r="AI328" s="138"/>
      <c r="AJ328" s="137"/>
      <c r="AK328" s="139"/>
      <c r="AL328" s="774"/>
      <c r="AM328" s="752"/>
      <c r="AN328" s="67" t="s">
        <v>17</v>
      </c>
      <c r="AO328" s="108">
        <v>13254</v>
      </c>
      <c r="AP328" s="67" t="s">
        <v>8</v>
      </c>
      <c r="AQ328" s="125">
        <f>21183.7*0.85</f>
        <v>18006.145</v>
      </c>
      <c r="AR328" s="120"/>
    </row>
    <row r="329" spans="1:86" x14ac:dyDescent="0.25">
      <c r="A329" s="710">
        <v>71</v>
      </c>
      <c r="B329" s="710">
        <v>2226803</v>
      </c>
      <c r="C329" s="730" t="s">
        <v>277</v>
      </c>
      <c r="D329" s="730">
        <f>F329</f>
        <v>2.2999999999999998</v>
      </c>
      <c r="E329" s="730">
        <f>G329</f>
        <v>51400</v>
      </c>
      <c r="F329" s="731">
        <v>2.2999999999999998</v>
      </c>
      <c r="G329" s="732">
        <f>33000+18400</f>
        <v>51400</v>
      </c>
      <c r="H329" s="109"/>
      <c r="I329" s="109"/>
      <c r="J329" s="109"/>
      <c r="K329" s="109"/>
      <c r="L329" s="109"/>
      <c r="M329" s="109"/>
      <c r="N329" s="97"/>
      <c r="O329" s="97"/>
      <c r="P329" s="97"/>
      <c r="Q329" s="97"/>
      <c r="R329" s="97"/>
      <c r="S329" s="183"/>
      <c r="T329" s="94"/>
      <c r="U329" s="94"/>
      <c r="V329" s="94"/>
      <c r="W329" s="94"/>
      <c r="X329" s="94"/>
      <c r="Y329" s="94"/>
      <c r="Z329" s="94"/>
      <c r="AA329" s="94"/>
      <c r="AB329" s="98"/>
      <c r="AC329" s="94"/>
      <c r="AD329" s="97"/>
      <c r="AE329" s="94"/>
      <c r="AF329" s="109"/>
      <c r="AG329" s="109"/>
      <c r="AH329" s="109"/>
      <c r="AI329" s="109"/>
      <c r="AJ329" s="109"/>
      <c r="AK329" s="109"/>
      <c r="AL329" s="733" t="s">
        <v>276</v>
      </c>
      <c r="AM329" s="733" t="s">
        <v>371</v>
      </c>
      <c r="AN329" s="710" t="s">
        <v>11</v>
      </c>
      <c r="AO329" s="117">
        <v>2.2999999999999998</v>
      </c>
      <c r="AP329" s="67" t="s">
        <v>5</v>
      </c>
      <c r="AQ329" s="826">
        <f>AO330*1.99</f>
        <v>36616.00995</v>
      </c>
      <c r="AR329" s="120"/>
    </row>
    <row r="330" spans="1:86" x14ac:dyDescent="0.25">
      <c r="A330" s="710"/>
      <c r="B330" s="710"/>
      <c r="C330" s="730"/>
      <c r="D330" s="730"/>
      <c r="E330" s="730"/>
      <c r="F330" s="731"/>
      <c r="G330" s="732"/>
      <c r="H330" s="78"/>
      <c r="I330" s="78"/>
      <c r="J330" s="78"/>
      <c r="K330" s="78"/>
      <c r="L330" s="78"/>
      <c r="M330" s="78"/>
      <c r="N330" s="135"/>
      <c r="O330" s="135"/>
      <c r="P330" s="135"/>
      <c r="Q330" s="135"/>
      <c r="R330" s="135"/>
      <c r="S330" s="136"/>
      <c r="T330" s="119"/>
      <c r="U330" s="119"/>
      <c r="V330" s="119"/>
      <c r="W330" s="119"/>
      <c r="X330" s="119"/>
      <c r="Y330" s="119"/>
      <c r="Z330" s="119"/>
      <c r="AA330" s="119"/>
      <c r="AB330" s="149"/>
      <c r="AC330" s="119"/>
      <c r="AD330" s="135"/>
      <c r="AE330" s="119"/>
      <c r="AF330" s="78"/>
      <c r="AG330" s="78"/>
      <c r="AH330" s="78"/>
      <c r="AI330" s="78"/>
      <c r="AJ330" s="78"/>
      <c r="AK330" s="78"/>
      <c r="AL330" s="733"/>
      <c r="AM330" s="733"/>
      <c r="AN330" s="710"/>
      <c r="AO330" s="133">
        <v>18400.005000000001</v>
      </c>
      <c r="AP330" s="67" t="s">
        <v>8</v>
      </c>
      <c r="AQ330" s="827"/>
      <c r="AR330" s="120"/>
    </row>
    <row r="331" spans="1:86" ht="30" x14ac:dyDescent="0.25">
      <c r="A331" s="710"/>
      <c r="B331" s="710"/>
      <c r="C331" s="730"/>
      <c r="D331" s="730"/>
      <c r="E331" s="730"/>
      <c r="F331" s="731"/>
      <c r="G331" s="732"/>
      <c r="H331" s="78"/>
      <c r="I331" s="78"/>
      <c r="J331" s="78"/>
      <c r="K331" s="78"/>
      <c r="L331" s="78"/>
      <c r="M331" s="78"/>
      <c r="N331" s="135"/>
      <c r="O331" s="135"/>
      <c r="P331" s="135"/>
      <c r="Q331" s="135"/>
      <c r="R331" s="135"/>
      <c r="S331" s="136"/>
      <c r="T331" s="119"/>
      <c r="U331" s="119"/>
      <c r="V331" s="119"/>
      <c r="W331" s="119"/>
      <c r="X331" s="119"/>
      <c r="Y331" s="119"/>
      <c r="Z331" s="119"/>
      <c r="AA331" s="119"/>
      <c r="AB331" s="149"/>
      <c r="AC331" s="119"/>
      <c r="AD331" s="135"/>
      <c r="AE331" s="119"/>
      <c r="AF331" s="78"/>
      <c r="AG331" s="78"/>
      <c r="AH331" s="78"/>
      <c r="AI331" s="78"/>
      <c r="AJ331" s="78"/>
      <c r="AK331" s="78"/>
      <c r="AL331" s="733"/>
      <c r="AM331" s="733"/>
      <c r="AN331" s="128" t="s">
        <v>250</v>
      </c>
      <c r="AO331" s="108">
        <v>6</v>
      </c>
      <c r="AP331" s="108" t="s">
        <v>251</v>
      </c>
      <c r="AQ331" s="125">
        <v>600</v>
      </c>
      <c r="AR331" s="120"/>
    </row>
    <row r="332" spans="1:86" x14ac:dyDescent="0.25">
      <c r="A332" s="710"/>
      <c r="B332" s="710"/>
      <c r="C332" s="730"/>
      <c r="D332" s="730"/>
      <c r="E332" s="730"/>
      <c r="F332" s="731"/>
      <c r="G332" s="732"/>
      <c r="H332" s="78"/>
      <c r="I332" s="78"/>
      <c r="J332" s="78"/>
      <c r="K332" s="78"/>
      <c r="L332" s="78"/>
      <c r="M332" s="78"/>
      <c r="N332" s="135"/>
      <c r="O332" s="135"/>
      <c r="P332" s="135"/>
      <c r="Q332" s="135"/>
      <c r="R332" s="135"/>
      <c r="S332" s="136"/>
      <c r="T332" s="119"/>
      <c r="U332" s="119"/>
      <c r="V332" s="119"/>
      <c r="W332" s="119"/>
      <c r="X332" s="119"/>
      <c r="Y332" s="119"/>
      <c r="Z332" s="119"/>
      <c r="AA332" s="119"/>
      <c r="AB332" s="149"/>
      <c r="AC332" s="119"/>
      <c r="AD332" s="135"/>
      <c r="AE332" s="119"/>
      <c r="AF332" s="78"/>
      <c r="AG332" s="78"/>
      <c r="AH332" s="78"/>
      <c r="AI332" s="78"/>
      <c r="AJ332" s="78"/>
      <c r="AK332" s="78"/>
      <c r="AL332" s="733"/>
      <c r="AM332" s="733"/>
      <c r="AN332" s="67" t="s">
        <v>17</v>
      </c>
      <c r="AO332" s="108">
        <v>18000</v>
      </c>
      <c r="AP332" s="67" t="s">
        <v>8</v>
      </c>
      <c r="AQ332" s="125">
        <f>38740.4*0.67</f>
        <v>25956.068000000003</v>
      </c>
      <c r="AR332" s="120"/>
    </row>
    <row r="333" spans="1:86" ht="45" x14ac:dyDescent="0.25">
      <c r="A333" s="710"/>
      <c r="B333" s="710"/>
      <c r="C333" s="730"/>
      <c r="D333" s="730"/>
      <c r="E333" s="730"/>
      <c r="F333" s="731"/>
      <c r="G333" s="732"/>
      <c r="H333" s="169"/>
      <c r="I333" s="169"/>
      <c r="J333" s="169"/>
      <c r="K333" s="169"/>
      <c r="L333" s="169"/>
      <c r="M333" s="169"/>
      <c r="N333" s="138"/>
      <c r="O333" s="138"/>
      <c r="P333" s="138"/>
      <c r="Q333" s="138"/>
      <c r="R333" s="138"/>
      <c r="S333" s="190"/>
      <c r="T333" s="137"/>
      <c r="U333" s="137"/>
      <c r="V333" s="137"/>
      <c r="W333" s="137"/>
      <c r="X333" s="137"/>
      <c r="Y333" s="137"/>
      <c r="Z333" s="137"/>
      <c r="AA333" s="137"/>
      <c r="AB333" s="157"/>
      <c r="AC333" s="137"/>
      <c r="AD333" s="138"/>
      <c r="AE333" s="137"/>
      <c r="AF333" s="169"/>
      <c r="AG333" s="169"/>
      <c r="AH333" s="169"/>
      <c r="AI333" s="169"/>
      <c r="AJ333" s="169"/>
      <c r="AK333" s="169"/>
      <c r="AL333" s="733"/>
      <c r="AM333" s="733"/>
      <c r="AN333" s="67" t="s">
        <v>46</v>
      </c>
      <c r="AO333" s="108">
        <v>500</v>
      </c>
      <c r="AP333" s="67" t="s">
        <v>16</v>
      </c>
      <c r="AQ333" s="125">
        <v>625</v>
      </c>
      <c r="AR333" s="120"/>
    </row>
    <row r="334" spans="1:86" s="512" customFormat="1" ht="38.25" customHeight="1" x14ac:dyDescent="0.25">
      <c r="A334" s="830" t="s">
        <v>392</v>
      </c>
      <c r="B334" s="831"/>
      <c r="C334" s="831"/>
      <c r="D334" s="831"/>
      <c r="E334" s="832"/>
      <c r="F334" s="509">
        <f>SUM(F34:F333)</f>
        <v>138.64400000000001</v>
      </c>
      <c r="G334" s="503"/>
      <c r="H334" s="503"/>
      <c r="I334" s="503"/>
      <c r="J334" s="503"/>
      <c r="K334" s="504">
        <f>K34+K39+K44+K49+K55+K59+K62+K65+K70+K74+K80+K85+K90+K95+K98+K103+0.98+1.905</f>
        <v>28.704000000000004</v>
      </c>
      <c r="L334" s="505" t="s">
        <v>5</v>
      </c>
      <c r="M334" s="545">
        <f>SUM(M34:M105)</f>
        <v>703810.89084751986</v>
      </c>
      <c r="N334" s="503"/>
      <c r="O334" s="503"/>
      <c r="P334" s="503"/>
      <c r="Q334" s="506">
        <f>Q106+Q111+Q116+Q122+Q127+Q131+Q137+Q142+Q145+Q148</f>
        <v>22.932000000000002</v>
      </c>
      <c r="R334" s="505" t="s">
        <v>5</v>
      </c>
      <c r="S334" s="507">
        <f>SUM(S106:S152)</f>
        <v>476105.5837839999</v>
      </c>
      <c r="T334" s="503"/>
      <c r="U334" s="503"/>
      <c r="V334" s="503"/>
      <c r="W334" s="504">
        <f>W153+W157+W163+W169+W173+W178+W182+W187</f>
        <v>18.990000000000002</v>
      </c>
      <c r="X334" s="505" t="s">
        <v>5</v>
      </c>
      <c r="Y334" s="545">
        <f>SUM(Y153:Y192)</f>
        <v>388954.94799999997</v>
      </c>
      <c r="Z334" s="503"/>
      <c r="AA334" s="503"/>
      <c r="AB334" s="503"/>
      <c r="AC334" s="508">
        <f>AC193+AC198+AC203+AC208+AC213+AC218+AC224+AC229+AC234+AC240+AC244</f>
        <v>23.573999999999998</v>
      </c>
      <c r="AD334" s="505" t="s">
        <v>5</v>
      </c>
      <c r="AE334" s="583">
        <f>SUM(AE193:AE248)</f>
        <v>564076.54999999993</v>
      </c>
      <c r="AF334" s="503"/>
      <c r="AG334" s="503"/>
      <c r="AH334" s="503"/>
      <c r="AI334" s="509">
        <f>AI249+AI255+AI260+AI266+AI269+AI272+AI275+AI278+AI281+AI284+AI287+AI291</f>
        <v>22.707000000000001</v>
      </c>
      <c r="AJ334" s="505" t="s">
        <v>5</v>
      </c>
      <c r="AK334" s="545">
        <f>SUM(AK249:AK295)</f>
        <v>553062.85</v>
      </c>
      <c r="AL334" s="503"/>
      <c r="AM334" s="503"/>
      <c r="AN334" s="503"/>
      <c r="AO334" s="509">
        <f>AO296+AO299+AO302+AO305+AO308+AO311+AO314+AO317+AO320+AO323+AO326+AO329</f>
        <v>19.437000000000001</v>
      </c>
      <c r="AP334" s="505" t="s">
        <v>5</v>
      </c>
      <c r="AQ334" s="545">
        <f>SUM(AQ296:AQ333)</f>
        <v>648516.30294999992</v>
      </c>
      <c r="AR334" s="510"/>
      <c r="AS334" s="511"/>
      <c r="AT334" s="511"/>
      <c r="AU334" s="511"/>
      <c r="AV334" s="511"/>
      <c r="AW334" s="511"/>
      <c r="AX334" s="511"/>
      <c r="AY334" s="511"/>
      <c r="AZ334" s="511"/>
      <c r="BA334" s="511"/>
      <c r="BB334" s="511"/>
      <c r="BC334" s="511"/>
      <c r="BD334" s="511"/>
      <c r="BE334" s="511"/>
      <c r="BF334" s="511"/>
      <c r="BG334" s="511"/>
      <c r="BH334" s="511"/>
      <c r="BI334" s="511"/>
      <c r="BJ334" s="511"/>
      <c r="BK334" s="511"/>
      <c r="BL334" s="511"/>
      <c r="BM334" s="511"/>
      <c r="BN334" s="511"/>
      <c r="BO334" s="511"/>
      <c r="BP334" s="511"/>
      <c r="BQ334" s="511"/>
      <c r="BR334" s="511"/>
      <c r="BS334" s="511"/>
      <c r="BT334" s="511"/>
      <c r="BU334" s="511"/>
      <c r="BV334" s="511"/>
      <c r="BW334" s="511"/>
      <c r="BX334" s="511"/>
      <c r="BY334" s="511"/>
      <c r="BZ334" s="511"/>
      <c r="CA334" s="511"/>
      <c r="CB334" s="511"/>
      <c r="CC334" s="511"/>
      <c r="CD334" s="511"/>
      <c r="CE334" s="511"/>
      <c r="CF334" s="511"/>
      <c r="CG334" s="511"/>
      <c r="CH334" s="511"/>
    </row>
    <row r="335" spans="1:86" ht="25.5" customHeight="1" x14ac:dyDescent="0.25">
      <c r="A335" s="198"/>
      <c r="B335" s="199"/>
      <c r="C335" s="447" t="s">
        <v>393</v>
      </c>
      <c r="D335" s="199"/>
      <c r="E335" s="199"/>
      <c r="F335" s="200"/>
      <c r="G335" s="200"/>
      <c r="H335" s="174"/>
      <c r="I335" s="174"/>
      <c r="J335" s="174"/>
      <c r="K335" s="174"/>
      <c r="L335" s="174"/>
      <c r="M335" s="201"/>
      <c r="N335" s="174"/>
      <c r="O335" s="174"/>
      <c r="P335" s="174"/>
      <c r="Q335" s="174"/>
      <c r="R335" s="174"/>
      <c r="S335" s="183"/>
      <c r="T335" s="174"/>
      <c r="U335" s="174"/>
      <c r="V335" s="174"/>
      <c r="W335" s="174"/>
      <c r="X335" s="174"/>
      <c r="Y335" s="201"/>
      <c r="Z335" s="174"/>
      <c r="AA335" s="174"/>
      <c r="AB335" s="174"/>
      <c r="AC335" s="174"/>
      <c r="AD335" s="174"/>
      <c r="AE335" s="201"/>
      <c r="AF335" s="200"/>
      <c r="AG335" s="200"/>
      <c r="AH335" s="200"/>
      <c r="AI335" s="200"/>
      <c r="AJ335" s="200"/>
      <c r="AK335" s="202"/>
      <c r="AL335" s="174"/>
      <c r="AM335" s="174"/>
      <c r="AN335" s="174"/>
      <c r="AO335" s="174"/>
      <c r="AP335" s="174"/>
      <c r="AQ335" s="201"/>
      <c r="AR335" s="203"/>
    </row>
    <row r="336" spans="1:86" x14ac:dyDescent="0.25">
      <c r="A336" s="204">
        <v>1</v>
      </c>
      <c r="B336" s="205"/>
      <c r="C336" s="130" t="s">
        <v>394</v>
      </c>
      <c r="D336" s="130"/>
      <c r="E336" s="130"/>
      <c r="F336" s="130">
        <v>1.05</v>
      </c>
      <c r="G336" s="206">
        <f>F336*8000</f>
        <v>8400</v>
      </c>
      <c r="H336" s="90"/>
      <c r="I336" s="91"/>
      <c r="J336" s="92"/>
      <c r="K336" s="91"/>
      <c r="L336" s="91"/>
      <c r="M336" s="91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91"/>
      <c r="AA336" s="91"/>
      <c r="AB336" s="91"/>
      <c r="AC336" s="91"/>
      <c r="AD336" s="91"/>
      <c r="AE336" s="207"/>
      <c r="AF336" s="158"/>
      <c r="AG336" s="116"/>
      <c r="AH336" s="116" t="s">
        <v>105</v>
      </c>
      <c r="AI336" s="184">
        <v>1.05</v>
      </c>
      <c r="AJ336" s="116" t="s">
        <v>5</v>
      </c>
      <c r="AK336" s="208">
        <f>AI336*20.36*1000</f>
        <v>21378</v>
      </c>
      <c r="AL336" s="107"/>
      <c r="AM336" s="94"/>
      <c r="AN336" s="94"/>
      <c r="AO336" s="94"/>
      <c r="AP336" s="94"/>
      <c r="AQ336" s="94"/>
      <c r="AR336" s="203"/>
    </row>
    <row r="337" spans="1:86" ht="60" x14ac:dyDescent="0.25">
      <c r="A337" s="204">
        <v>2</v>
      </c>
      <c r="B337" s="205" t="s">
        <v>395</v>
      </c>
      <c r="C337" s="130" t="s">
        <v>396</v>
      </c>
      <c r="D337" s="130"/>
      <c r="E337" s="130"/>
      <c r="F337" s="130">
        <v>4.7</v>
      </c>
      <c r="G337" s="206">
        <f>F337*8000</f>
        <v>37600</v>
      </c>
      <c r="H337" s="103"/>
      <c r="I337" s="135"/>
      <c r="J337" s="149"/>
      <c r="K337" s="135"/>
      <c r="L337" s="135"/>
      <c r="M337" s="135"/>
      <c r="N337" s="78"/>
      <c r="O337" s="78"/>
      <c r="P337" s="78"/>
      <c r="Q337" s="78"/>
      <c r="R337" s="78"/>
      <c r="S337" s="78"/>
      <c r="T337" s="169"/>
      <c r="U337" s="169"/>
      <c r="V337" s="169"/>
      <c r="W337" s="169"/>
      <c r="X337" s="169"/>
      <c r="Y337" s="169"/>
      <c r="Z337" s="78"/>
      <c r="AA337" s="78"/>
      <c r="AB337" s="78"/>
      <c r="AC337" s="78"/>
      <c r="AD337" s="78"/>
      <c r="AE337" s="164"/>
      <c r="AF337" s="100" t="s">
        <v>397</v>
      </c>
      <c r="AG337" s="101" t="s">
        <v>398</v>
      </c>
      <c r="AH337" s="101" t="s">
        <v>105</v>
      </c>
      <c r="AI337" s="197">
        <v>4.55</v>
      </c>
      <c r="AJ337" s="101" t="s">
        <v>5</v>
      </c>
      <c r="AK337" s="209">
        <v>88929.15</v>
      </c>
      <c r="AL337" s="210"/>
      <c r="AM337" s="93"/>
      <c r="AN337" s="93"/>
      <c r="AO337" s="93"/>
      <c r="AP337" s="93"/>
      <c r="AQ337" s="93"/>
      <c r="AR337" s="114"/>
    </row>
    <row r="338" spans="1:86" ht="38.25" x14ac:dyDescent="0.25">
      <c r="A338" s="211">
        <v>3</v>
      </c>
      <c r="B338" s="212" t="s">
        <v>399</v>
      </c>
      <c r="C338" s="65" t="s">
        <v>400</v>
      </c>
      <c r="D338" s="66"/>
      <c r="E338" s="66"/>
      <c r="F338" s="66">
        <v>0.4</v>
      </c>
      <c r="G338" s="213">
        <f t="shared" ref="G338:G346" si="23">F338*8000</f>
        <v>3200</v>
      </c>
      <c r="H338" s="96"/>
      <c r="I338" s="97"/>
      <c r="J338" s="98"/>
      <c r="K338" s="97"/>
      <c r="L338" s="97"/>
      <c r="M338" s="97"/>
      <c r="N338" s="91"/>
      <c r="O338" s="91"/>
      <c r="P338" s="91"/>
      <c r="Q338" s="91"/>
      <c r="R338" s="91"/>
      <c r="S338" s="114"/>
      <c r="T338" s="192"/>
      <c r="U338" s="192"/>
      <c r="V338" s="192"/>
      <c r="W338" s="192"/>
      <c r="X338" s="192"/>
      <c r="Y338" s="192"/>
      <c r="Z338" s="214"/>
      <c r="AA338" s="104"/>
      <c r="AB338" s="104"/>
      <c r="AC338" s="104"/>
      <c r="AD338" s="104"/>
      <c r="AE338" s="104"/>
      <c r="AF338" s="93"/>
      <c r="AG338" s="93"/>
      <c r="AH338" s="93"/>
      <c r="AI338" s="93"/>
      <c r="AJ338" s="93"/>
      <c r="AK338" s="93"/>
      <c r="AL338" s="215" t="s">
        <v>401</v>
      </c>
      <c r="AM338" s="215" t="s">
        <v>402</v>
      </c>
      <c r="AN338" s="108" t="s">
        <v>105</v>
      </c>
      <c r="AO338" s="117">
        <v>0.45</v>
      </c>
      <c r="AP338" s="108" t="s">
        <v>5</v>
      </c>
      <c r="AQ338" s="216">
        <f>AO338*25.32*1000</f>
        <v>11394</v>
      </c>
      <c r="AR338" s="105"/>
    </row>
    <row r="339" spans="1:86" x14ac:dyDescent="0.25">
      <c r="A339" s="211">
        <v>4</v>
      </c>
      <c r="B339" s="212" t="s">
        <v>403</v>
      </c>
      <c r="C339" s="65" t="s">
        <v>404</v>
      </c>
      <c r="D339" s="66"/>
      <c r="E339" s="66"/>
      <c r="F339" s="66">
        <v>0.95</v>
      </c>
      <c r="G339" s="213">
        <f t="shared" si="23"/>
        <v>7600</v>
      </c>
      <c r="H339" s="96"/>
      <c r="I339" s="97"/>
      <c r="J339" s="98"/>
      <c r="K339" s="97"/>
      <c r="L339" s="97"/>
      <c r="M339" s="99"/>
      <c r="N339" s="217"/>
      <c r="O339" s="102"/>
      <c r="P339" s="101" t="s">
        <v>105</v>
      </c>
      <c r="Q339" s="197">
        <v>0.95</v>
      </c>
      <c r="R339" s="101" t="s">
        <v>5</v>
      </c>
      <c r="S339" s="208">
        <f>Q339*19.5*1000</f>
        <v>18525</v>
      </c>
      <c r="T339" s="214"/>
      <c r="U339" s="104"/>
      <c r="V339" s="104"/>
      <c r="W339" s="104"/>
      <c r="X339" s="104"/>
      <c r="Y339" s="104"/>
      <c r="Z339" s="137"/>
      <c r="AA339" s="137"/>
      <c r="AB339" s="137"/>
      <c r="AC339" s="137"/>
      <c r="AD339" s="137"/>
      <c r="AE339" s="137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218"/>
      <c r="AR339" s="111"/>
    </row>
    <row r="340" spans="1:86" ht="51" x14ac:dyDescent="0.25">
      <c r="A340" s="211">
        <v>5</v>
      </c>
      <c r="B340" s="212" t="s">
        <v>405</v>
      </c>
      <c r="C340" s="65" t="s">
        <v>406</v>
      </c>
      <c r="D340" s="66"/>
      <c r="E340" s="66"/>
      <c r="F340" s="66">
        <v>0.41699999999999998</v>
      </c>
      <c r="G340" s="213">
        <f t="shared" si="23"/>
        <v>3336</v>
      </c>
      <c r="H340" s="96"/>
      <c r="I340" s="97"/>
      <c r="J340" s="98"/>
      <c r="K340" s="97"/>
      <c r="L340" s="97"/>
      <c r="M340" s="97"/>
      <c r="N340" s="97"/>
      <c r="O340" s="97"/>
      <c r="P340" s="97"/>
      <c r="Q340" s="97"/>
      <c r="R340" s="97"/>
      <c r="S340" s="219"/>
      <c r="T340" s="78"/>
      <c r="U340" s="78"/>
      <c r="V340" s="78"/>
      <c r="W340" s="78"/>
      <c r="X340" s="78"/>
      <c r="Y340" s="164"/>
      <c r="Z340" s="220" t="s">
        <v>407</v>
      </c>
      <c r="AA340" s="221" t="s">
        <v>408</v>
      </c>
      <c r="AB340" s="101" t="s">
        <v>105</v>
      </c>
      <c r="AC340" s="197">
        <v>0.25</v>
      </c>
      <c r="AD340" s="101" t="s">
        <v>5</v>
      </c>
      <c r="AE340" s="209">
        <f>AC340*20.36*1000</f>
        <v>5090</v>
      </c>
      <c r="AF340" s="210"/>
      <c r="AG340" s="93"/>
      <c r="AH340" s="93"/>
      <c r="AI340" s="93"/>
      <c r="AJ340" s="93"/>
      <c r="AK340" s="93"/>
      <c r="AL340" s="94"/>
      <c r="AM340" s="94"/>
      <c r="AN340" s="94"/>
      <c r="AO340" s="94"/>
      <c r="AP340" s="94"/>
      <c r="AQ340" s="222"/>
      <c r="AR340" s="95"/>
    </row>
    <row r="341" spans="1:86" ht="51" x14ac:dyDescent="0.25">
      <c r="A341" s="211">
        <v>6</v>
      </c>
      <c r="B341" s="212" t="s">
        <v>409</v>
      </c>
      <c r="C341" s="65" t="s">
        <v>410</v>
      </c>
      <c r="D341" s="66"/>
      <c r="E341" s="66"/>
      <c r="F341" s="66">
        <v>0.4</v>
      </c>
      <c r="G341" s="213">
        <f t="shared" si="23"/>
        <v>3200</v>
      </c>
      <c r="H341" s="96"/>
      <c r="I341" s="97"/>
      <c r="J341" s="98"/>
      <c r="K341" s="97"/>
      <c r="L341" s="97"/>
      <c r="M341" s="97"/>
      <c r="N341" s="97"/>
      <c r="O341" s="97"/>
      <c r="P341" s="97"/>
      <c r="Q341" s="97"/>
      <c r="R341" s="97"/>
      <c r="S341" s="219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5"/>
      <c r="AF341" s="192"/>
      <c r="AG341" s="192"/>
      <c r="AH341" s="192"/>
      <c r="AI341" s="192"/>
      <c r="AJ341" s="192"/>
      <c r="AK341" s="192"/>
      <c r="AL341" s="215" t="s">
        <v>411</v>
      </c>
      <c r="AM341" s="215" t="s">
        <v>412</v>
      </c>
      <c r="AN341" s="108" t="s">
        <v>105</v>
      </c>
      <c r="AO341" s="117">
        <v>0.8</v>
      </c>
      <c r="AP341" s="108" t="s">
        <v>5</v>
      </c>
      <c r="AQ341" s="216">
        <v>21955.38</v>
      </c>
      <c r="AR341" s="114"/>
    </row>
    <row r="342" spans="1:86" ht="51" x14ac:dyDescent="0.25">
      <c r="A342" s="211">
        <v>7</v>
      </c>
      <c r="B342" s="212" t="s">
        <v>413</v>
      </c>
      <c r="C342" s="65" t="s">
        <v>414</v>
      </c>
      <c r="D342" s="66"/>
      <c r="E342" s="66"/>
      <c r="F342" s="66">
        <v>0.3</v>
      </c>
      <c r="G342" s="213">
        <f t="shared" si="23"/>
        <v>2400</v>
      </c>
      <c r="H342" s="96"/>
      <c r="I342" s="97"/>
      <c r="J342" s="98"/>
      <c r="K342" s="97"/>
      <c r="L342" s="97"/>
      <c r="M342" s="97"/>
      <c r="N342" s="97"/>
      <c r="O342" s="97"/>
      <c r="P342" s="97"/>
      <c r="Q342" s="97"/>
      <c r="R342" s="97"/>
      <c r="S342" s="219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3"/>
      <c r="AG342" s="93"/>
      <c r="AH342" s="93"/>
      <c r="AI342" s="93"/>
      <c r="AJ342" s="93"/>
      <c r="AK342" s="114"/>
      <c r="AL342" s="223" t="s">
        <v>415</v>
      </c>
      <c r="AM342" s="224" t="s">
        <v>416</v>
      </c>
      <c r="AN342" s="116" t="s">
        <v>105</v>
      </c>
      <c r="AO342" s="184">
        <v>0.5</v>
      </c>
      <c r="AP342" s="116" t="s">
        <v>5</v>
      </c>
      <c r="AQ342" s="219">
        <f>AO342*25.32*1000</f>
        <v>12660</v>
      </c>
      <c r="AR342" s="106"/>
    </row>
    <row r="343" spans="1:86" x14ac:dyDescent="0.25">
      <c r="A343" s="211">
        <v>8</v>
      </c>
      <c r="B343" s="212"/>
      <c r="C343" s="65" t="s">
        <v>417</v>
      </c>
      <c r="D343" s="66"/>
      <c r="E343" s="66"/>
      <c r="F343" s="66">
        <v>1.8</v>
      </c>
      <c r="G343" s="213">
        <f t="shared" si="23"/>
        <v>14400</v>
      </c>
      <c r="H343" s="96"/>
      <c r="I343" s="97"/>
      <c r="J343" s="98"/>
      <c r="K343" s="97"/>
      <c r="L343" s="97"/>
      <c r="M343" s="97"/>
      <c r="N343" s="97"/>
      <c r="O343" s="97"/>
      <c r="P343" s="97"/>
      <c r="Q343" s="97"/>
      <c r="R343" s="97"/>
      <c r="S343" s="219"/>
      <c r="T343" s="93"/>
      <c r="U343" s="93"/>
      <c r="V343" s="93"/>
      <c r="W343" s="93"/>
      <c r="X343" s="93"/>
      <c r="Y343" s="93"/>
      <c r="Z343" s="94"/>
      <c r="AA343" s="94"/>
      <c r="AB343" s="94"/>
      <c r="AC343" s="94"/>
      <c r="AD343" s="94"/>
      <c r="AE343" s="95"/>
      <c r="AF343" s="111"/>
      <c r="AG343" s="102"/>
      <c r="AH343" s="102" t="s">
        <v>105</v>
      </c>
      <c r="AI343" s="197">
        <v>1.8</v>
      </c>
      <c r="AJ343" s="101" t="s">
        <v>5</v>
      </c>
      <c r="AK343" s="225">
        <f>AI343*20.35*1000</f>
        <v>36630</v>
      </c>
      <c r="AL343" s="192"/>
      <c r="AM343" s="192"/>
      <c r="AN343" s="192"/>
      <c r="AO343" s="192"/>
      <c r="AP343" s="192"/>
      <c r="AQ343" s="226"/>
      <c r="AR343" s="112"/>
    </row>
    <row r="344" spans="1:86" ht="38.25" x14ac:dyDescent="0.25">
      <c r="A344" s="211">
        <v>9</v>
      </c>
      <c r="B344" s="212"/>
      <c r="C344" s="65" t="s">
        <v>418</v>
      </c>
      <c r="D344" s="66"/>
      <c r="E344" s="66"/>
      <c r="F344" s="227">
        <v>7.1349999999999998</v>
      </c>
      <c r="G344" s="213">
        <f t="shared" si="23"/>
        <v>57080</v>
      </c>
      <c r="H344" s="96"/>
      <c r="I344" s="97"/>
      <c r="J344" s="98"/>
      <c r="K344" s="97"/>
      <c r="L344" s="97"/>
      <c r="M344" s="97"/>
      <c r="N344" s="97"/>
      <c r="O344" s="97"/>
      <c r="P344" s="97"/>
      <c r="Q344" s="97"/>
      <c r="R344" s="97"/>
      <c r="S344" s="219"/>
      <c r="T344" s="220" t="s">
        <v>419</v>
      </c>
      <c r="U344" s="221" t="s">
        <v>420</v>
      </c>
      <c r="V344" s="101" t="s">
        <v>105</v>
      </c>
      <c r="W344" s="102">
        <v>7.1349999999999998</v>
      </c>
      <c r="X344" s="102" t="s">
        <v>5</v>
      </c>
      <c r="Y344" s="209">
        <v>132626.18</v>
      </c>
      <c r="Z344" s="210"/>
      <c r="AA344" s="93"/>
      <c r="AB344" s="93"/>
      <c r="AC344" s="93"/>
      <c r="AD344" s="93"/>
      <c r="AE344" s="93"/>
      <c r="AF344" s="104"/>
      <c r="AG344" s="104"/>
      <c r="AH344" s="104"/>
      <c r="AI344" s="104"/>
      <c r="AJ344" s="104"/>
      <c r="AK344" s="104"/>
      <c r="AL344" s="93"/>
      <c r="AM344" s="93"/>
      <c r="AN344" s="93"/>
      <c r="AO344" s="93"/>
      <c r="AP344" s="93"/>
      <c r="AQ344" s="228"/>
      <c r="AR344" s="114"/>
    </row>
    <row r="345" spans="1:86" ht="38.25" x14ac:dyDescent="0.25">
      <c r="A345" s="211">
        <v>10</v>
      </c>
      <c r="B345" s="229"/>
      <c r="C345" s="65" t="s">
        <v>421</v>
      </c>
      <c r="D345" s="66"/>
      <c r="E345" s="66"/>
      <c r="F345" s="66">
        <v>0.4</v>
      </c>
      <c r="G345" s="213">
        <f t="shared" si="23"/>
        <v>3200</v>
      </c>
      <c r="H345" s="96"/>
      <c r="I345" s="97"/>
      <c r="J345" s="98"/>
      <c r="K345" s="97"/>
      <c r="L345" s="97"/>
      <c r="M345" s="97"/>
      <c r="N345" s="91"/>
      <c r="O345" s="91"/>
      <c r="P345" s="91"/>
      <c r="Q345" s="91"/>
      <c r="R345" s="91"/>
      <c r="S345" s="219"/>
      <c r="T345" s="94"/>
      <c r="U345" s="94"/>
      <c r="V345" s="94"/>
      <c r="W345" s="94"/>
      <c r="X345" s="94"/>
      <c r="Y345" s="94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1"/>
      <c r="AL345" s="220" t="s">
        <v>422</v>
      </c>
      <c r="AM345" s="221" t="s">
        <v>423</v>
      </c>
      <c r="AN345" s="101" t="s">
        <v>105</v>
      </c>
      <c r="AO345" s="197">
        <v>0.4</v>
      </c>
      <c r="AP345" s="101" t="s">
        <v>5</v>
      </c>
      <c r="AQ345" s="225">
        <f>AO345*25.32*1000</f>
        <v>10128</v>
      </c>
      <c r="AR345" s="102"/>
    </row>
    <row r="346" spans="1:86" x14ac:dyDescent="0.25">
      <c r="A346" s="211">
        <v>11</v>
      </c>
      <c r="B346" s="212"/>
      <c r="C346" s="65" t="s">
        <v>424</v>
      </c>
      <c r="D346" s="66"/>
      <c r="E346" s="66"/>
      <c r="F346" s="66">
        <v>1.5</v>
      </c>
      <c r="G346" s="213">
        <f t="shared" si="23"/>
        <v>12000</v>
      </c>
      <c r="H346" s="90"/>
      <c r="I346" s="91"/>
      <c r="J346" s="92"/>
      <c r="K346" s="91"/>
      <c r="L346" s="91"/>
      <c r="M346" s="230"/>
      <c r="N346" s="231"/>
      <c r="O346" s="106"/>
      <c r="P346" s="116" t="s">
        <v>105</v>
      </c>
      <c r="Q346" s="106">
        <v>1.5</v>
      </c>
      <c r="R346" s="116" t="s">
        <v>5</v>
      </c>
      <c r="S346" s="208">
        <v>27387.53</v>
      </c>
      <c r="T346" s="232"/>
      <c r="U346" s="233"/>
      <c r="V346" s="91"/>
      <c r="W346" s="93"/>
      <c r="X346" s="91"/>
      <c r="Y346" s="234"/>
      <c r="Z346" s="104"/>
      <c r="AA346" s="104"/>
      <c r="AB346" s="104"/>
      <c r="AC346" s="104"/>
      <c r="AD346" s="104"/>
      <c r="AE346" s="104"/>
      <c r="AF346" s="93"/>
      <c r="AG346" s="93"/>
      <c r="AH346" s="93"/>
      <c r="AI346" s="93"/>
      <c r="AJ346" s="93"/>
      <c r="AK346" s="93"/>
      <c r="AL346" s="93"/>
      <c r="AM346" s="93"/>
      <c r="AN346" s="93"/>
      <c r="AO346" s="93"/>
      <c r="AP346" s="93"/>
      <c r="AQ346" s="93"/>
      <c r="AR346" s="114"/>
    </row>
    <row r="347" spans="1:86" s="524" customFormat="1" ht="36" customHeight="1" x14ac:dyDescent="0.25">
      <c r="A347" s="833" t="s">
        <v>425</v>
      </c>
      <c r="B347" s="834"/>
      <c r="C347" s="834"/>
      <c r="D347" s="834"/>
      <c r="E347" s="834"/>
      <c r="F347" s="515">
        <f>SUM(F336:F346)</f>
        <v>19.052</v>
      </c>
      <c r="G347" s="515">
        <f>SUM(G336:G346)</f>
        <v>152416</v>
      </c>
      <c r="H347" s="516"/>
      <c r="I347" s="516"/>
      <c r="J347" s="516"/>
      <c r="K347" s="516"/>
      <c r="L347" s="516"/>
      <c r="M347" s="516"/>
      <c r="N347" s="515"/>
      <c r="O347" s="515"/>
      <c r="P347" s="515"/>
      <c r="Q347" s="517">
        <f>SUM(Q336:Q346)</f>
        <v>2.4500000000000002</v>
      </c>
      <c r="R347" s="518" t="s">
        <v>5</v>
      </c>
      <c r="S347" s="519">
        <f>SUM(S336:S346)</f>
        <v>45912.53</v>
      </c>
      <c r="T347" s="516"/>
      <c r="U347" s="516"/>
      <c r="V347" s="516"/>
      <c r="W347" s="520">
        <f>W344</f>
        <v>7.1349999999999998</v>
      </c>
      <c r="X347" s="516" t="s">
        <v>5</v>
      </c>
      <c r="Y347" s="521">
        <f>Y344</f>
        <v>132626.18</v>
      </c>
      <c r="Z347" s="516"/>
      <c r="AA347" s="516"/>
      <c r="AB347" s="516"/>
      <c r="AC347" s="520">
        <f>SUM(AC336:AC346)</f>
        <v>0.25</v>
      </c>
      <c r="AD347" s="516" t="s">
        <v>5</v>
      </c>
      <c r="AE347" s="516">
        <f>SUM(AE336:AE346)</f>
        <v>5090</v>
      </c>
      <c r="AF347" s="516"/>
      <c r="AG347" s="516"/>
      <c r="AH347" s="516"/>
      <c r="AI347" s="520">
        <f>AI336+AI337+AI343</f>
        <v>7.3999999999999995</v>
      </c>
      <c r="AJ347" s="516" t="s">
        <v>5</v>
      </c>
      <c r="AK347" s="516">
        <f>AK336+AK337+AK343</f>
        <v>146937.15</v>
      </c>
      <c r="AL347" s="516"/>
      <c r="AM347" s="516"/>
      <c r="AN347" s="516"/>
      <c r="AO347" s="520">
        <f>AO338+AO341+AO342+AO345</f>
        <v>2.15</v>
      </c>
      <c r="AP347" s="516" t="s">
        <v>5</v>
      </c>
      <c r="AQ347" s="521">
        <f>AQ338+AQ341+AQ342+AQ345</f>
        <v>56137.380000000005</v>
      </c>
      <c r="AR347" s="522"/>
      <c r="AS347" s="523"/>
      <c r="AT347" s="523"/>
      <c r="AU347" s="523"/>
      <c r="AV347" s="523"/>
      <c r="AW347" s="523"/>
      <c r="AX347" s="523"/>
      <c r="AY347" s="523"/>
      <c r="AZ347" s="523"/>
      <c r="BA347" s="523"/>
      <c r="BB347" s="523"/>
      <c r="BC347" s="523"/>
      <c r="BD347" s="523"/>
      <c r="BE347" s="523"/>
      <c r="BF347" s="523"/>
      <c r="BG347" s="523"/>
      <c r="BH347" s="523"/>
      <c r="BI347" s="523"/>
      <c r="BJ347" s="523"/>
      <c r="BK347" s="523"/>
      <c r="BL347" s="523"/>
      <c r="BM347" s="523"/>
      <c r="BN347" s="523"/>
      <c r="BO347" s="523"/>
      <c r="BP347" s="523"/>
      <c r="BQ347" s="523"/>
      <c r="BR347" s="523"/>
      <c r="BS347" s="523"/>
      <c r="BT347" s="523"/>
      <c r="BU347" s="523"/>
      <c r="BV347" s="523"/>
      <c r="BW347" s="523"/>
      <c r="BX347" s="523"/>
      <c r="BY347" s="523"/>
      <c r="BZ347" s="523"/>
      <c r="CA347" s="523"/>
      <c r="CB347" s="523"/>
      <c r="CC347" s="523"/>
      <c r="CD347" s="523"/>
      <c r="CE347" s="523"/>
      <c r="CF347" s="523"/>
      <c r="CG347" s="523"/>
      <c r="CH347" s="523"/>
    </row>
    <row r="348" spans="1:86" s="514" customFormat="1" ht="37.5" customHeight="1" x14ac:dyDescent="0.25">
      <c r="A348" s="446"/>
      <c r="B348" s="447"/>
      <c r="C348" s="447" t="s">
        <v>426</v>
      </c>
      <c r="D348" s="447"/>
      <c r="E348" s="447"/>
      <c r="F348" s="525"/>
      <c r="G348" s="525"/>
      <c r="H348" s="525"/>
      <c r="I348" s="525"/>
      <c r="J348" s="525"/>
      <c r="K348" s="525"/>
      <c r="L348" s="525"/>
      <c r="M348" s="526"/>
      <c r="N348" s="525"/>
      <c r="O348" s="525"/>
      <c r="P348" s="525"/>
      <c r="Q348" s="525"/>
      <c r="R348" s="525"/>
      <c r="S348" s="527"/>
      <c r="T348" s="528"/>
      <c r="U348" s="528"/>
      <c r="V348" s="528"/>
      <c r="W348" s="528"/>
      <c r="X348" s="528"/>
      <c r="Y348" s="529"/>
      <c r="Z348" s="528"/>
      <c r="AA348" s="528"/>
      <c r="AB348" s="528"/>
      <c r="AC348" s="528"/>
      <c r="AD348" s="528"/>
      <c r="AE348" s="530"/>
      <c r="AF348" s="528"/>
      <c r="AG348" s="528"/>
      <c r="AH348" s="528"/>
      <c r="AI348" s="528"/>
      <c r="AJ348" s="528"/>
      <c r="AK348" s="530"/>
      <c r="AL348" s="528"/>
      <c r="AM348" s="528"/>
      <c r="AN348" s="528"/>
      <c r="AO348" s="528"/>
      <c r="AP348" s="528"/>
      <c r="AQ348" s="530"/>
      <c r="AR348" s="531"/>
      <c r="AS348" s="513"/>
      <c r="AT348" s="513"/>
      <c r="AU348" s="513"/>
      <c r="AV348" s="513"/>
      <c r="AW348" s="513"/>
      <c r="AX348" s="513"/>
      <c r="AY348" s="513"/>
      <c r="AZ348" s="513"/>
      <c r="BA348" s="513"/>
      <c r="BB348" s="513"/>
      <c r="BC348" s="513"/>
      <c r="BD348" s="513"/>
      <c r="BE348" s="513"/>
      <c r="BF348" s="513"/>
      <c r="BG348" s="513"/>
      <c r="BH348" s="513"/>
      <c r="BI348" s="513"/>
      <c r="BJ348" s="513"/>
      <c r="BK348" s="513"/>
      <c r="BL348" s="513"/>
      <c r="BM348" s="513"/>
      <c r="BN348" s="513"/>
      <c r="BO348" s="513"/>
      <c r="BP348" s="513"/>
      <c r="BQ348" s="513"/>
      <c r="BR348" s="513"/>
      <c r="BS348" s="513"/>
      <c r="BT348" s="513"/>
      <c r="BU348" s="513"/>
      <c r="BV348" s="513"/>
      <c r="BW348" s="513"/>
      <c r="BX348" s="513"/>
      <c r="BY348" s="513"/>
      <c r="BZ348" s="513"/>
      <c r="CA348" s="513"/>
      <c r="CB348" s="513"/>
      <c r="CC348" s="513"/>
      <c r="CD348" s="513"/>
      <c r="CE348" s="513"/>
      <c r="CF348" s="513"/>
      <c r="CG348" s="513"/>
      <c r="CH348" s="513"/>
    </row>
    <row r="349" spans="1:86" ht="45" x14ac:dyDescent="0.25">
      <c r="A349" s="204">
        <v>81</v>
      </c>
      <c r="B349" s="204"/>
      <c r="C349" s="106" t="s">
        <v>427</v>
      </c>
      <c r="D349" s="106">
        <v>6.25</v>
      </c>
      <c r="E349" s="106">
        <f>D349*7000</f>
        <v>43750</v>
      </c>
      <c r="F349" s="106">
        <v>6.25</v>
      </c>
      <c r="G349" s="235">
        <f>F349*7000</f>
        <v>43750</v>
      </c>
      <c r="H349" s="236"/>
      <c r="I349" s="196"/>
      <c r="J349" s="196"/>
      <c r="K349" s="196"/>
      <c r="L349" s="196"/>
      <c r="M349" s="237"/>
      <c r="N349" s="105" t="s">
        <v>217</v>
      </c>
      <c r="O349" s="106" t="s">
        <v>428</v>
      </c>
      <c r="P349" s="106" t="s">
        <v>105</v>
      </c>
      <c r="Q349" s="106">
        <v>6.25</v>
      </c>
      <c r="R349" s="106" t="s">
        <v>5</v>
      </c>
      <c r="S349" s="238">
        <f>Q349*16.65*1000</f>
        <v>104062.49999999999</v>
      </c>
      <c r="T349" s="239"/>
      <c r="U349" s="200"/>
      <c r="V349" s="200"/>
      <c r="W349" s="200"/>
      <c r="X349" s="200"/>
      <c r="Y349" s="202"/>
      <c r="Z349" s="200"/>
      <c r="AA349" s="200"/>
      <c r="AB349" s="200"/>
      <c r="AC349" s="200"/>
      <c r="AD349" s="200"/>
      <c r="AE349" s="202"/>
      <c r="AF349" s="200"/>
      <c r="AG349" s="200"/>
      <c r="AH349" s="200"/>
      <c r="AI349" s="200"/>
      <c r="AJ349" s="200"/>
      <c r="AK349" s="202"/>
      <c r="AL349" s="200"/>
      <c r="AM349" s="200"/>
      <c r="AN349" s="200"/>
      <c r="AO349" s="200"/>
      <c r="AP349" s="200"/>
      <c r="AQ349" s="240"/>
      <c r="AR349" s="241"/>
    </row>
    <row r="350" spans="1:86" s="524" customFormat="1" ht="35.25" customHeight="1" x14ac:dyDescent="0.25">
      <c r="A350" s="835" t="s">
        <v>429</v>
      </c>
      <c r="B350" s="836"/>
      <c r="C350" s="836"/>
      <c r="D350" s="836"/>
      <c r="E350" s="836"/>
      <c r="F350" s="532">
        <f>F349</f>
        <v>6.25</v>
      </c>
      <c r="G350" s="532">
        <f>G349</f>
        <v>43750</v>
      </c>
      <c r="H350" s="533"/>
      <c r="I350" s="533"/>
      <c r="J350" s="533"/>
      <c r="K350" s="533"/>
      <c r="L350" s="533"/>
      <c r="M350" s="534"/>
      <c r="N350" s="535"/>
      <c r="O350" s="535"/>
      <c r="P350" s="535"/>
      <c r="Q350" s="535">
        <f>Q349</f>
        <v>6.25</v>
      </c>
      <c r="R350" s="535" t="s">
        <v>5</v>
      </c>
      <c r="S350" s="532">
        <f>S349</f>
        <v>104062.49999999999</v>
      </c>
      <c r="T350" s="533"/>
      <c r="U350" s="533"/>
      <c r="V350" s="533"/>
      <c r="W350" s="533"/>
      <c r="X350" s="533"/>
      <c r="Y350" s="534"/>
      <c r="Z350" s="533"/>
      <c r="AA350" s="533"/>
      <c r="AB350" s="533"/>
      <c r="AC350" s="536"/>
      <c r="AD350" s="537"/>
      <c r="AE350" s="534"/>
      <c r="AF350" s="533"/>
      <c r="AG350" s="533"/>
      <c r="AH350" s="533"/>
      <c r="AI350" s="533"/>
      <c r="AJ350" s="533"/>
      <c r="AK350" s="534"/>
      <c r="AL350" s="533"/>
      <c r="AM350" s="533"/>
      <c r="AN350" s="533"/>
      <c r="AO350" s="538"/>
      <c r="AP350" s="539"/>
      <c r="AQ350" s="534"/>
      <c r="AR350" s="540"/>
      <c r="AS350" s="523"/>
      <c r="AT350" s="523"/>
      <c r="AU350" s="523"/>
      <c r="AV350" s="523"/>
      <c r="AW350" s="523"/>
      <c r="AX350" s="523"/>
      <c r="AY350" s="523"/>
      <c r="AZ350" s="523"/>
      <c r="BA350" s="523"/>
      <c r="BB350" s="523"/>
      <c r="BC350" s="523"/>
      <c r="BD350" s="523"/>
      <c r="BE350" s="523"/>
      <c r="BF350" s="523"/>
      <c r="BG350" s="523"/>
      <c r="BH350" s="523"/>
      <c r="BI350" s="523"/>
      <c r="BJ350" s="523"/>
      <c r="BK350" s="523"/>
      <c r="BL350" s="523"/>
      <c r="BM350" s="523"/>
      <c r="BN350" s="523"/>
      <c r="BO350" s="523"/>
      <c r="BP350" s="523"/>
      <c r="BQ350" s="523"/>
      <c r="BR350" s="523"/>
      <c r="BS350" s="523"/>
      <c r="BT350" s="523"/>
      <c r="BU350" s="523"/>
      <c r="BV350" s="523"/>
      <c r="BW350" s="523"/>
      <c r="BX350" s="523"/>
      <c r="BY350" s="523"/>
      <c r="BZ350" s="523"/>
      <c r="CA350" s="523"/>
      <c r="CB350" s="523"/>
      <c r="CC350" s="523"/>
      <c r="CD350" s="523"/>
      <c r="CE350" s="523"/>
      <c r="CF350" s="523"/>
      <c r="CG350" s="523"/>
      <c r="CH350" s="523"/>
    </row>
    <row r="351" spans="1:86" s="494" customFormat="1" ht="27.75" customHeight="1" x14ac:dyDescent="0.2">
      <c r="A351" s="837" t="s">
        <v>430</v>
      </c>
      <c r="B351" s="838"/>
      <c r="C351" s="838"/>
      <c r="D351" s="838"/>
      <c r="E351" s="838"/>
      <c r="F351" s="541">
        <f>F350+F347+F334</f>
        <v>163.946</v>
      </c>
      <c r="G351" s="542">
        <f>G334+G347+G349</f>
        <v>196166</v>
      </c>
      <c r="H351" s="543"/>
      <c r="I351" s="543"/>
      <c r="J351" s="543"/>
      <c r="K351" s="490">
        <f>K350+K347+K334</f>
        <v>28.704000000000004</v>
      </c>
      <c r="L351" s="490"/>
      <c r="M351" s="462">
        <f t="shared" ref="M351:AQ351" si="24">M350+M347+M334</f>
        <v>703810.89084751986</v>
      </c>
      <c r="N351" s="490"/>
      <c r="O351" s="490"/>
      <c r="P351" s="490"/>
      <c r="Q351" s="490">
        <f t="shared" si="24"/>
        <v>31.632000000000001</v>
      </c>
      <c r="R351" s="490"/>
      <c r="S351" s="462">
        <f t="shared" si="24"/>
        <v>626080.61378399981</v>
      </c>
      <c r="T351" s="490"/>
      <c r="U351" s="490"/>
      <c r="V351" s="490"/>
      <c r="W351" s="490">
        <f t="shared" si="24"/>
        <v>26.125</v>
      </c>
      <c r="X351" s="490"/>
      <c r="Y351" s="462">
        <f t="shared" si="24"/>
        <v>521581.12799999997</v>
      </c>
      <c r="Z351" s="490"/>
      <c r="AA351" s="490"/>
      <c r="AB351" s="490"/>
      <c r="AC351" s="490">
        <f t="shared" si="24"/>
        <v>23.823999999999998</v>
      </c>
      <c r="AD351" s="490"/>
      <c r="AE351" s="462">
        <f t="shared" si="24"/>
        <v>569166.54999999993</v>
      </c>
      <c r="AF351" s="490"/>
      <c r="AG351" s="490"/>
      <c r="AH351" s="490"/>
      <c r="AI351" s="490">
        <f t="shared" si="24"/>
        <v>30.106999999999999</v>
      </c>
      <c r="AJ351" s="490"/>
      <c r="AK351" s="462">
        <f t="shared" si="24"/>
        <v>700000</v>
      </c>
      <c r="AL351" s="490"/>
      <c r="AM351" s="490"/>
      <c r="AN351" s="490"/>
      <c r="AO351" s="490">
        <f t="shared" si="24"/>
        <v>21.587</v>
      </c>
      <c r="AP351" s="490"/>
      <c r="AQ351" s="462">
        <f t="shared" si="24"/>
        <v>704653.68294999993</v>
      </c>
      <c r="AR351" s="544"/>
      <c r="AS351" s="493"/>
      <c r="AT351" s="493"/>
      <c r="AU351" s="493"/>
      <c r="AV351" s="493"/>
      <c r="AW351" s="493"/>
      <c r="AX351" s="493"/>
      <c r="AY351" s="493"/>
      <c r="AZ351" s="493"/>
      <c r="BA351" s="493"/>
      <c r="BB351" s="493"/>
      <c r="BC351" s="493"/>
      <c r="BD351" s="493"/>
      <c r="BE351" s="493"/>
      <c r="BF351" s="493"/>
      <c r="BG351" s="493"/>
      <c r="BH351" s="493"/>
      <c r="BI351" s="493"/>
      <c r="BJ351" s="493"/>
      <c r="BK351" s="493"/>
      <c r="BL351" s="493"/>
      <c r="BM351" s="493"/>
      <c r="BN351" s="493"/>
      <c r="BO351" s="493"/>
      <c r="BP351" s="493"/>
      <c r="BQ351" s="493"/>
      <c r="BR351" s="493"/>
      <c r="BS351" s="493"/>
      <c r="BT351" s="493"/>
      <c r="BU351" s="493"/>
      <c r="BV351" s="493"/>
      <c r="BW351" s="493"/>
      <c r="BX351" s="493"/>
      <c r="BY351" s="493"/>
      <c r="BZ351" s="493"/>
      <c r="CA351" s="493"/>
      <c r="CB351" s="493"/>
      <c r="CC351" s="493"/>
      <c r="CD351" s="493"/>
      <c r="CE351" s="493"/>
      <c r="CF351" s="493"/>
      <c r="CG351" s="493"/>
      <c r="CH351" s="493"/>
    </row>
    <row r="352" spans="1:86" x14ac:dyDescent="0.25">
      <c r="A352" s="839" t="s">
        <v>24</v>
      </c>
      <c r="B352" s="840"/>
      <c r="C352" s="840"/>
      <c r="D352" s="840"/>
      <c r="E352" s="840"/>
      <c r="F352" s="840"/>
      <c r="G352" s="840"/>
      <c r="H352" s="840"/>
      <c r="I352" s="841"/>
      <c r="J352" s="698" t="s">
        <v>11</v>
      </c>
      <c r="K352" s="497">
        <v>26.8</v>
      </c>
      <c r="L352" s="408" t="s">
        <v>5</v>
      </c>
      <c r="M352" s="848">
        <f>M103+M98+M95+M90+M85+M80+M74+M70+M65+M62+M59+M55+M49+M44+M39+M34</f>
        <v>291153.95671231992</v>
      </c>
      <c r="N352" s="495"/>
      <c r="O352" s="496"/>
      <c r="P352" s="698" t="s">
        <v>11</v>
      </c>
      <c r="Q352" s="497">
        <f>Q351</f>
        <v>31.632000000000001</v>
      </c>
      <c r="R352" s="408" t="s">
        <v>5</v>
      </c>
      <c r="S352" s="828">
        <f>S349+S346+S339+S148+S142+S137+S131+S122+S127+S116+S111+S106+S145</f>
        <v>471286.766</v>
      </c>
      <c r="T352" s="495"/>
      <c r="U352" s="496"/>
      <c r="V352" s="698" t="s">
        <v>11</v>
      </c>
      <c r="W352" s="497">
        <f>W344+W187+W182+W178+W173+W169+W163+W157+W153</f>
        <v>26.125</v>
      </c>
      <c r="X352" s="408" t="s">
        <v>5</v>
      </c>
      <c r="Y352" s="828">
        <f>Y344+Y187+Y182+Y178+Y173+Y169+Y163+Y157+Y153</f>
        <v>395906.18999999994</v>
      </c>
      <c r="Z352" s="495"/>
      <c r="AA352" s="496"/>
      <c r="AB352" s="698" t="s">
        <v>11</v>
      </c>
      <c r="AC352" s="497">
        <f>AC244+AC240+AC234+AC229+AC224+AC218+AC213+AC208+AC203+AC198+AC193</f>
        <v>23.574000000000002</v>
      </c>
      <c r="AD352" s="408" t="s">
        <v>5</v>
      </c>
      <c r="AE352" s="828">
        <f>AE340+AE244+AE240+AE234+AE229+AE224+AE218+AE213+AE208+AE203+AE198+AE193</f>
        <v>371802.65</v>
      </c>
      <c r="AF352" s="495"/>
      <c r="AG352" s="496"/>
      <c r="AH352" s="698" t="s">
        <v>11</v>
      </c>
      <c r="AI352" s="497">
        <v>30.11</v>
      </c>
      <c r="AJ352" s="408" t="s">
        <v>5</v>
      </c>
      <c r="AK352" s="828">
        <f>AK291+AK287+AK284+AK281+AK278+AK275+AK272+AK269+AK260+AK266+AK255+AK249+AK343+AK337+AK336</f>
        <v>537947.15</v>
      </c>
      <c r="AL352" s="495"/>
      <c r="AM352" s="496"/>
      <c r="AN352" s="698" t="s">
        <v>11</v>
      </c>
      <c r="AO352" s="497">
        <v>21.59</v>
      </c>
      <c r="AP352" s="408" t="s">
        <v>5</v>
      </c>
      <c r="AQ352" s="828">
        <f>AQ345+AQ342+AQ341+AQ338+AQ329+AQ326+AQ323+AQ320+AQ317+AQ314+AQ311+AQ308+AQ305+AQ302+AQ299+AQ296</f>
        <v>484962.48994999996</v>
      </c>
      <c r="AR352" s="633"/>
    </row>
    <row r="353" spans="1:44" x14ac:dyDescent="0.25">
      <c r="A353" s="842"/>
      <c r="B353" s="843"/>
      <c r="C353" s="843"/>
      <c r="D353" s="843"/>
      <c r="E353" s="843"/>
      <c r="F353" s="843"/>
      <c r="G353" s="843"/>
      <c r="H353" s="843"/>
      <c r="I353" s="844"/>
      <c r="J353" s="699"/>
      <c r="K353" s="497">
        <f>K104+K99+K96+K91+K86+K81+K75+K71+K66+K63+K60+K56+K50+K45+K40+K35</f>
        <v>373149</v>
      </c>
      <c r="L353" s="408" t="s">
        <v>8</v>
      </c>
      <c r="M353" s="727"/>
      <c r="N353" s="499"/>
      <c r="O353" s="500"/>
      <c r="P353" s="699"/>
      <c r="Q353" s="497">
        <f>Q149+Q146+Q143+Q138+Q132+Q128+Q123+Q117+Q112+Q107</f>
        <v>352315.5</v>
      </c>
      <c r="R353" s="408" t="s">
        <v>8</v>
      </c>
      <c r="S353" s="829"/>
      <c r="T353" s="499"/>
      <c r="U353" s="500"/>
      <c r="V353" s="699"/>
      <c r="W353" s="497">
        <f>W188+W183+W179+W174+W170+W164+W158+W154</f>
        <v>275397.5</v>
      </c>
      <c r="X353" s="408" t="s">
        <v>8</v>
      </c>
      <c r="Y353" s="829"/>
      <c r="Z353" s="499"/>
      <c r="AA353" s="500"/>
      <c r="AB353" s="699"/>
      <c r="AC353" s="497">
        <f>AC245+AC241+AC235+AC230+AC225+AC219+AC214+AC209+AC204+AC199+AC194</f>
        <v>271639</v>
      </c>
      <c r="AD353" s="408" t="s">
        <v>8</v>
      </c>
      <c r="AE353" s="829"/>
      <c r="AF353" s="499"/>
      <c r="AG353" s="500"/>
      <c r="AH353" s="699"/>
      <c r="AI353" s="497">
        <f>AI292+AI288+AI285+AI282+AI279+AI276+AI273+AI270+AI267+AI261+AI256+AI250</f>
        <v>320500</v>
      </c>
      <c r="AJ353" s="408" t="s">
        <v>8</v>
      </c>
      <c r="AK353" s="829"/>
      <c r="AL353" s="499"/>
      <c r="AM353" s="500"/>
      <c r="AN353" s="699"/>
      <c r="AO353" s="497">
        <f>AO330+AO327+AO324+AO321+AO318+AO315+AO312+AO309+AO306+AO303+AO300+AO297</f>
        <v>215490.005</v>
      </c>
      <c r="AP353" s="408" t="s">
        <v>8</v>
      </c>
      <c r="AQ353" s="829"/>
      <c r="AR353" s="408"/>
    </row>
    <row r="354" spans="1:44" x14ac:dyDescent="0.25">
      <c r="A354" s="842"/>
      <c r="B354" s="843"/>
      <c r="C354" s="843"/>
      <c r="D354" s="843"/>
      <c r="E354" s="843"/>
      <c r="F354" s="843"/>
      <c r="G354" s="843"/>
      <c r="H354" s="843"/>
      <c r="I354" s="844"/>
      <c r="J354" s="698" t="s">
        <v>41</v>
      </c>
      <c r="K354" s="408" t="s">
        <v>431</v>
      </c>
      <c r="L354" s="408" t="s">
        <v>5</v>
      </c>
      <c r="M354" s="408" t="s">
        <v>431</v>
      </c>
      <c r="N354" s="499"/>
      <c r="O354" s="500"/>
      <c r="P354" s="698" t="s">
        <v>41</v>
      </c>
      <c r="Q354" s="408" t="s">
        <v>431</v>
      </c>
      <c r="R354" s="408" t="s">
        <v>5</v>
      </c>
      <c r="S354" s="634" t="s">
        <v>431</v>
      </c>
      <c r="T354" s="499"/>
      <c r="U354" s="500"/>
      <c r="V354" s="698" t="s">
        <v>41</v>
      </c>
      <c r="W354" s="408" t="s">
        <v>431</v>
      </c>
      <c r="X354" s="408" t="s">
        <v>5</v>
      </c>
      <c r="Y354" s="408" t="s">
        <v>431</v>
      </c>
      <c r="Z354" s="499"/>
      <c r="AA354" s="500"/>
      <c r="AB354" s="698" t="s">
        <v>41</v>
      </c>
      <c r="AC354" s="497" t="s">
        <v>431</v>
      </c>
      <c r="AD354" s="408" t="s">
        <v>5</v>
      </c>
      <c r="AE354" s="497" t="s">
        <v>431</v>
      </c>
      <c r="AF354" s="499"/>
      <c r="AG354" s="500"/>
      <c r="AH354" s="698" t="s">
        <v>41</v>
      </c>
      <c r="AI354" s="408" t="s">
        <v>431</v>
      </c>
      <c r="AJ354" s="408" t="s">
        <v>5</v>
      </c>
      <c r="AK354" s="408" t="s">
        <v>431</v>
      </c>
      <c r="AL354" s="499"/>
      <c r="AM354" s="500"/>
      <c r="AN354" s="698" t="s">
        <v>41</v>
      </c>
      <c r="AO354" s="408" t="s">
        <v>431</v>
      </c>
      <c r="AP354" s="408" t="s">
        <v>5</v>
      </c>
      <c r="AQ354" s="408" t="s">
        <v>431</v>
      </c>
      <c r="AR354" s="408"/>
    </row>
    <row r="355" spans="1:44" x14ac:dyDescent="0.25">
      <c r="A355" s="842"/>
      <c r="B355" s="843"/>
      <c r="C355" s="843"/>
      <c r="D355" s="843"/>
      <c r="E355" s="843"/>
      <c r="F355" s="843"/>
      <c r="G355" s="843"/>
      <c r="H355" s="843"/>
      <c r="I355" s="844"/>
      <c r="J355" s="699"/>
      <c r="K355" s="408" t="s">
        <v>431</v>
      </c>
      <c r="L355" s="408" t="s">
        <v>8</v>
      </c>
      <c r="M355" s="408" t="s">
        <v>431</v>
      </c>
      <c r="N355" s="499"/>
      <c r="O355" s="500"/>
      <c r="P355" s="699"/>
      <c r="Q355" s="408" t="s">
        <v>431</v>
      </c>
      <c r="R355" s="408" t="s">
        <v>8</v>
      </c>
      <c r="S355" s="634" t="s">
        <v>431</v>
      </c>
      <c r="T355" s="499"/>
      <c r="U355" s="500"/>
      <c r="V355" s="699"/>
      <c r="W355" s="408" t="s">
        <v>431</v>
      </c>
      <c r="X355" s="408" t="s">
        <v>8</v>
      </c>
      <c r="Y355" s="408" t="s">
        <v>431</v>
      </c>
      <c r="Z355" s="499"/>
      <c r="AA355" s="500"/>
      <c r="AB355" s="699"/>
      <c r="AC355" s="497" t="s">
        <v>431</v>
      </c>
      <c r="AD355" s="408" t="s">
        <v>8</v>
      </c>
      <c r="AE355" s="497" t="s">
        <v>431</v>
      </c>
      <c r="AF355" s="499"/>
      <c r="AG355" s="500"/>
      <c r="AH355" s="699"/>
      <c r="AI355" s="408" t="s">
        <v>431</v>
      </c>
      <c r="AJ355" s="408" t="s">
        <v>8</v>
      </c>
      <c r="AK355" s="408" t="s">
        <v>431</v>
      </c>
      <c r="AL355" s="499"/>
      <c r="AM355" s="500"/>
      <c r="AN355" s="699"/>
      <c r="AO355" s="408" t="s">
        <v>431</v>
      </c>
      <c r="AP355" s="408" t="s">
        <v>8</v>
      </c>
      <c r="AQ355" s="408" t="s">
        <v>431</v>
      </c>
      <c r="AR355" s="408"/>
    </row>
    <row r="356" spans="1:44" x14ac:dyDescent="0.25">
      <c r="A356" s="842"/>
      <c r="B356" s="843"/>
      <c r="C356" s="843"/>
      <c r="D356" s="843"/>
      <c r="E356" s="843"/>
      <c r="F356" s="843"/>
      <c r="G356" s="843"/>
      <c r="H356" s="843"/>
      <c r="I356" s="844"/>
      <c r="J356" s="698" t="s">
        <v>42</v>
      </c>
      <c r="K356" s="408" t="s">
        <v>431</v>
      </c>
      <c r="L356" s="408" t="s">
        <v>5</v>
      </c>
      <c r="M356" s="408" t="s">
        <v>431</v>
      </c>
      <c r="N356" s="499"/>
      <c r="O356" s="500"/>
      <c r="P356" s="698" t="s">
        <v>42</v>
      </c>
      <c r="Q356" s="408" t="s">
        <v>431</v>
      </c>
      <c r="R356" s="408" t="s">
        <v>5</v>
      </c>
      <c r="S356" s="849" t="s">
        <v>431</v>
      </c>
      <c r="T356" s="499"/>
      <c r="U356" s="500"/>
      <c r="V356" s="698" t="s">
        <v>42</v>
      </c>
      <c r="W356" s="408" t="s">
        <v>431</v>
      </c>
      <c r="X356" s="408" t="s">
        <v>5</v>
      </c>
      <c r="Y356" s="851" t="s">
        <v>431</v>
      </c>
      <c r="Z356" s="499"/>
      <c r="AA356" s="500"/>
      <c r="AB356" s="698" t="s">
        <v>42</v>
      </c>
      <c r="AC356" s="497" t="s">
        <v>431</v>
      </c>
      <c r="AD356" s="408" t="s">
        <v>5</v>
      </c>
      <c r="AE356" s="851" t="s">
        <v>431</v>
      </c>
      <c r="AF356" s="499"/>
      <c r="AG356" s="500"/>
      <c r="AH356" s="698" t="s">
        <v>42</v>
      </c>
      <c r="AI356" s="408" t="s">
        <v>431</v>
      </c>
      <c r="AJ356" s="408" t="s">
        <v>5</v>
      </c>
      <c r="AK356" s="408" t="s">
        <v>431</v>
      </c>
      <c r="AL356" s="499"/>
      <c r="AM356" s="500"/>
      <c r="AN356" s="698" t="s">
        <v>42</v>
      </c>
      <c r="AO356" s="408" t="s">
        <v>431</v>
      </c>
      <c r="AP356" s="408" t="s">
        <v>5</v>
      </c>
      <c r="AQ356" s="408" t="s">
        <v>431</v>
      </c>
      <c r="AR356" s="408"/>
    </row>
    <row r="357" spans="1:44" x14ac:dyDescent="0.25">
      <c r="A357" s="842"/>
      <c r="B357" s="843"/>
      <c r="C357" s="843"/>
      <c r="D357" s="843"/>
      <c r="E357" s="843"/>
      <c r="F357" s="843"/>
      <c r="G357" s="843"/>
      <c r="H357" s="843"/>
      <c r="I357" s="844"/>
      <c r="J357" s="699"/>
      <c r="K357" s="408" t="s">
        <v>431</v>
      </c>
      <c r="L357" s="408" t="s">
        <v>8</v>
      </c>
      <c r="M357" s="408" t="s">
        <v>431</v>
      </c>
      <c r="N357" s="499"/>
      <c r="O357" s="500"/>
      <c r="P357" s="699"/>
      <c r="Q357" s="497" t="s">
        <v>431</v>
      </c>
      <c r="R357" s="408" t="s">
        <v>8</v>
      </c>
      <c r="S357" s="850"/>
      <c r="T357" s="499"/>
      <c r="U357" s="500"/>
      <c r="V357" s="699"/>
      <c r="W357" s="408" t="s">
        <v>431</v>
      </c>
      <c r="X357" s="408" t="s">
        <v>8</v>
      </c>
      <c r="Y357" s="727"/>
      <c r="Z357" s="499"/>
      <c r="AA357" s="500"/>
      <c r="AB357" s="699"/>
      <c r="AC357" s="497" t="s">
        <v>431</v>
      </c>
      <c r="AD357" s="408" t="s">
        <v>8</v>
      </c>
      <c r="AE357" s="852"/>
      <c r="AF357" s="499"/>
      <c r="AG357" s="500"/>
      <c r="AH357" s="699"/>
      <c r="AI357" s="408" t="s">
        <v>431</v>
      </c>
      <c r="AJ357" s="408" t="s">
        <v>8</v>
      </c>
      <c r="AK357" s="408" t="s">
        <v>431</v>
      </c>
      <c r="AL357" s="499"/>
      <c r="AM357" s="500"/>
      <c r="AN357" s="699"/>
      <c r="AO357" s="408" t="s">
        <v>431</v>
      </c>
      <c r="AP357" s="408" t="s">
        <v>8</v>
      </c>
      <c r="AQ357" s="408" t="s">
        <v>431</v>
      </c>
      <c r="AR357" s="408"/>
    </row>
    <row r="358" spans="1:44" x14ac:dyDescent="0.25">
      <c r="A358" s="842"/>
      <c r="B358" s="843"/>
      <c r="C358" s="843"/>
      <c r="D358" s="843"/>
      <c r="E358" s="843"/>
      <c r="F358" s="843"/>
      <c r="G358" s="843"/>
      <c r="H358" s="843"/>
      <c r="I358" s="844"/>
      <c r="J358" s="698" t="s">
        <v>43</v>
      </c>
      <c r="K358" s="408">
        <v>1.9</v>
      </c>
      <c r="L358" s="408" t="s">
        <v>5</v>
      </c>
      <c r="M358" s="848">
        <f>M54+M84</f>
        <v>204965.1</v>
      </c>
      <c r="N358" s="499"/>
      <c r="O358" s="500"/>
      <c r="P358" s="698" t="s">
        <v>43</v>
      </c>
      <c r="Q358" s="408" t="s">
        <v>431</v>
      </c>
      <c r="R358" s="408" t="s">
        <v>5</v>
      </c>
      <c r="S358" s="853" t="s">
        <v>431</v>
      </c>
      <c r="T358" s="499"/>
      <c r="U358" s="500"/>
      <c r="V358" s="698" t="s">
        <v>43</v>
      </c>
      <c r="W358" s="408" t="s">
        <v>431</v>
      </c>
      <c r="X358" s="408" t="s">
        <v>5</v>
      </c>
      <c r="Y358" s="408" t="s">
        <v>431</v>
      </c>
      <c r="Z358" s="499"/>
      <c r="AA358" s="500"/>
      <c r="AB358" s="698" t="s">
        <v>43</v>
      </c>
      <c r="AC358" s="497" t="s">
        <v>431</v>
      </c>
      <c r="AD358" s="408" t="s">
        <v>5</v>
      </c>
      <c r="AE358" s="497" t="s">
        <v>431</v>
      </c>
      <c r="AF358" s="499"/>
      <c r="AG358" s="500"/>
      <c r="AH358" s="698" t="s">
        <v>43</v>
      </c>
      <c r="AI358" s="408" t="s">
        <v>431</v>
      </c>
      <c r="AJ358" s="408" t="s">
        <v>5</v>
      </c>
      <c r="AK358" s="408" t="s">
        <v>431</v>
      </c>
      <c r="AL358" s="499"/>
      <c r="AM358" s="500"/>
      <c r="AN358" s="698" t="s">
        <v>43</v>
      </c>
      <c r="AO358" s="408" t="s">
        <v>431</v>
      </c>
      <c r="AP358" s="408" t="s">
        <v>5</v>
      </c>
      <c r="AQ358" s="408" t="s">
        <v>431</v>
      </c>
      <c r="AR358" s="408"/>
    </row>
    <row r="359" spans="1:44" x14ac:dyDescent="0.25">
      <c r="A359" s="842"/>
      <c r="B359" s="843"/>
      <c r="C359" s="843"/>
      <c r="D359" s="843"/>
      <c r="E359" s="843"/>
      <c r="F359" s="843"/>
      <c r="G359" s="843"/>
      <c r="H359" s="843"/>
      <c r="I359" s="844"/>
      <c r="J359" s="699"/>
      <c r="K359" s="497">
        <f>K54+K84</f>
        <v>24150</v>
      </c>
      <c r="L359" s="408" t="s">
        <v>8</v>
      </c>
      <c r="M359" s="727"/>
      <c r="N359" s="499"/>
      <c r="O359" s="500"/>
      <c r="P359" s="699"/>
      <c r="Q359" s="497" t="s">
        <v>431</v>
      </c>
      <c r="R359" s="408" t="s">
        <v>8</v>
      </c>
      <c r="S359" s="850"/>
      <c r="T359" s="499"/>
      <c r="U359" s="500"/>
      <c r="V359" s="699"/>
      <c r="W359" s="408" t="s">
        <v>431</v>
      </c>
      <c r="X359" s="408" t="s">
        <v>8</v>
      </c>
      <c r="Y359" s="408" t="s">
        <v>431</v>
      </c>
      <c r="Z359" s="499"/>
      <c r="AA359" s="500"/>
      <c r="AB359" s="699"/>
      <c r="AC359" s="497" t="s">
        <v>431</v>
      </c>
      <c r="AD359" s="408" t="s">
        <v>8</v>
      </c>
      <c r="AE359" s="497" t="s">
        <v>431</v>
      </c>
      <c r="AF359" s="499"/>
      <c r="AG359" s="500"/>
      <c r="AH359" s="699"/>
      <c r="AI359" s="408" t="s">
        <v>431</v>
      </c>
      <c r="AJ359" s="408" t="s">
        <v>8</v>
      </c>
      <c r="AK359" s="408" t="s">
        <v>431</v>
      </c>
      <c r="AL359" s="499"/>
      <c r="AM359" s="500"/>
      <c r="AN359" s="699"/>
      <c r="AO359" s="408" t="s">
        <v>431</v>
      </c>
      <c r="AP359" s="408" t="s">
        <v>8</v>
      </c>
      <c r="AQ359" s="497" t="s">
        <v>431</v>
      </c>
      <c r="AR359" s="408"/>
    </row>
    <row r="360" spans="1:44" x14ac:dyDescent="0.25">
      <c r="A360" s="842"/>
      <c r="B360" s="843"/>
      <c r="C360" s="843"/>
      <c r="D360" s="843"/>
      <c r="E360" s="843"/>
      <c r="F360" s="843"/>
      <c r="G360" s="843"/>
      <c r="H360" s="843"/>
      <c r="I360" s="844"/>
      <c r="J360" s="698" t="s">
        <v>12</v>
      </c>
      <c r="K360" s="408" t="s">
        <v>431</v>
      </c>
      <c r="L360" s="408" t="s">
        <v>8</v>
      </c>
      <c r="M360" s="726" t="s">
        <v>431</v>
      </c>
      <c r="N360" s="499"/>
      <c r="O360" s="500"/>
      <c r="P360" s="698" t="s">
        <v>12</v>
      </c>
      <c r="Q360" s="408" t="s">
        <v>431</v>
      </c>
      <c r="R360" s="408" t="s">
        <v>8</v>
      </c>
      <c r="S360" s="849" t="s">
        <v>431</v>
      </c>
      <c r="T360" s="499"/>
      <c r="U360" s="500"/>
      <c r="V360" s="698" t="s">
        <v>12</v>
      </c>
      <c r="W360" s="408" t="s">
        <v>431</v>
      </c>
      <c r="X360" s="408" t="s">
        <v>8</v>
      </c>
      <c r="Y360" s="726" t="s">
        <v>431</v>
      </c>
      <c r="Z360" s="499"/>
      <c r="AA360" s="500"/>
      <c r="AB360" s="698" t="s">
        <v>12</v>
      </c>
      <c r="AC360" s="497" t="s">
        <v>431</v>
      </c>
      <c r="AD360" s="408" t="s">
        <v>8</v>
      </c>
      <c r="AE360" s="851" t="s">
        <v>431</v>
      </c>
      <c r="AF360" s="499"/>
      <c r="AG360" s="500"/>
      <c r="AH360" s="698" t="s">
        <v>12</v>
      </c>
      <c r="AI360" s="408" t="s">
        <v>431</v>
      </c>
      <c r="AJ360" s="408" t="s">
        <v>8</v>
      </c>
      <c r="AK360" s="726" t="s">
        <v>431</v>
      </c>
      <c r="AL360" s="499"/>
      <c r="AM360" s="500"/>
      <c r="AN360" s="698" t="s">
        <v>12</v>
      </c>
      <c r="AO360" s="408" t="s">
        <v>431</v>
      </c>
      <c r="AP360" s="408" t="s">
        <v>8</v>
      </c>
      <c r="AQ360" s="726" t="s">
        <v>431</v>
      </c>
      <c r="AR360" s="726"/>
    </row>
    <row r="361" spans="1:44" x14ac:dyDescent="0.25">
      <c r="A361" s="842"/>
      <c r="B361" s="843"/>
      <c r="C361" s="843"/>
      <c r="D361" s="843"/>
      <c r="E361" s="843"/>
      <c r="F361" s="843"/>
      <c r="G361" s="843"/>
      <c r="H361" s="843"/>
      <c r="I361" s="844"/>
      <c r="J361" s="699"/>
      <c r="K361" s="408" t="s">
        <v>431</v>
      </c>
      <c r="L361" s="408" t="s">
        <v>5</v>
      </c>
      <c r="M361" s="727"/>
      <c r="N361" s="499"/>
      <c r="O361" s="500"/>
      <c r="P361" s="699"/>
      <c r="Q361" s="408" t="s">
        <v>431</v>
      </c>
      <c r="R361" s="408" t="s">
        <v>5</v>
      </c>
      <c r="S361" s="850"/>
      <c r="T361" s="499"/>
      <c r="U361" s="500"/>
      <c r="V361" s="699"/>
      <c r="W361" s="408" t="s">
        <v>431</v>
      </c>
      <c r="X361" s="408" t="s">
        <v>5</v>
      </c>
      <c r="Y361" s="727"/>
      <c r="Z361" s="499"/>
      <c r="AA361" s="500"/>
      <c r="AB361" s="699"/>
      <c r="AC361" s="497" t="s">
        <v>431</v>
      </c>
      <c r="AD361" s="408" t="s">
        <v>5</v>
      </c>
      <c r="AE361" s="852"/>
      <c r="AF361" s="499"/>
      <c r="AG361" s="500"/>
      <c r="AH361" s="699"/>
      <c r="AI361" s="408" t="s">
        <v>431</v>
      </c>
      <c r="AJ361" s="408" t="s">
        <v>5</v>
      </c>
      <c r="AK361" s="727"/>
      <c r="AL361" s="499"/>
      <c r="AM361" s="500"/>
      <c r="AN361" s="699"/>
      <c r="AO361" s="408" t="s">
        <v>431</v>
      </c>
      <c r="AP361" s="408" t="s">
        <v>5</v>
      </c>
      <c r="AQ361" s="727"/>
      <c r="AR361" s="727"/>
    </row>
    <row r="362" spans="1:44" ht="42.75" x14ac:dyDescent="0.25">
      <c r="A362" s="842"/>
      <c r="B362" s="843"/>
      <c r="C362" s="843"/>
      <c r="D362" s="843"/>
      <c r="E362" s="843"/>
      <c r="F362" s="843"/>
      <c r="G362" s="843"/>
      <c r="H362" s="843"/>
      <c r="I362" s="844"/>
      <c r="J362" s="501" t="s">
        <v>13</v>
      </c>
      <c r="K362" s="497">
        <f>K58</f>
        <v>8</v>
      </c>
      <c r="L362" s="408" t="s">
        <v>14</v>
      </c>
      <c r="M362" s="497">
        <f>M58</f>
        <v>2000</v>
      </c>
      <c r="N362" s="499"/>
      <c r="O362" s="500"/>
      <c r="P362" s="501" t="s">
        <v>13</v>
      </c>
      <c r="Q362" s="497">
        <f>K58</f>
        <v>8</v>
      </c>
      <c r="R362" s="497" t="str">
        <f>L58</f>
        <v>шт</v>
      </c>
      <c r="S362" s="58">
        <f>M58</f>
        <v>2000</v>
      </c>
      <c r="T362" s="499"/>
      <c r="U362" s="500"/>
      <c r="V362" s="501" t="s">
        <v>13</v>
      </c>
      <c r="W362" s="497">
        <f>W168+W192</f>
        <v>54</v>
      </c>
      <c r="X362" s="408" t="s">
        <v>14</v>
      </c>
      <c r="Y362" s="58">
        <f>Y168+Y192</f>
        <v>13500</v>
      </c>
      <c r="Z362" s="499"/>
      <c r="AA362" s="500"/>
      <c r="AB362" s="501" t="s">
        <v>13</v>
      </c>
      <c r="AC362" s="497">
        <f>AC228</f>
        <v>34</v>
      </c>
      <c r="AD362" s="408" t="s">
        <v>14</v>
      </c>
      <c r="AE362" s="58">
        <f>AE228</f>
        <v>8500</v>
      </c>
      <c r="AF362" s="499"/>
      <c r="AG362" s="500"/>
      <c r="AH362" s="501" t="s">
        <v>13</v>
      </c>
      <c r="AI362" s="408" t="s">
        <v>431</v>
      </c>
      <c r="AJ362" s="408" t="s">
        <v>14</v>
      </c>
      <c r="AK362" s="408" t="s">
        <v>431</v>
      </c>
      <c r="AL362" s="499"/>
      <c r="AM362" s="500"/>
      <c r="AN362" s="501" t="s">
        <v>13</v>
      </c>
      <c r="AO362" s="408" t="s">
        <v>431</v>
      </c>
      <c r="AP362" s="408" t="s">
        <v>14</v>
      </c>
      <c r="AQ362" s="408" t="s">
        <v>431</v>
      </c>
      <c r="AR362" s="408"/>
    </row>
    <row r="363" spans="1:44" ht="28.5" x14ac:dyDescent="0.25">
      <c r="A363" s="842"/>
      <c r="B363" s="843"/>
      <c r="C363" s="843"/>
      <c r="D363" s="843"/>
      <c r="E363" s="843"/>
      <c r="F363" s="843"/>
      <c r="G363" s="843"/>
      <c r="H363" s="843"/>
      <c r="I363" s="844"/>
      <c r="J363" s="501" t="s">
        <v>44</v>
      </c>
      <c r="K363" s="408" t="s">
        <v>431</v>
      </c>
      <c r="L363" s="408" t="s">
        <v>14</v>
      </c>
      <c r="M363" s="408" t="s">
        <v>431</v>
      </c>
      <c r="N363" s="499"/>
      <c r="O363" s="500"/>
      <c r="P363" s="501" t="s">
        <v>44</v>
      </c>
      <c r="Q363" s="408" t="s">
        <v>431</v>
      </c>
      <c r="R363" s="408" t="s">
        <v>14</v>
      </c>
      <c r="S363" s="634" t="s">
        <v>431</v>
      </c>
      <c r="T363" s="499"/>
      <c r="U363" s="500"/>
      <c r="V363" s="501" t="s">
        <v>44</v>
      </c>
      <c r="W363" s="408" t="s">
        <v>431</v>
      </c>
      <c r="X363" s="408" t="s">
        <v>14</v>
      </c>
      <c r="Y363" s="408" t="s">
        <v>431</v>
      </c>
      <c r="Z363" s="499"/>
      <c r="AA363" s="500"/>
      <c r="AB363" s="501" t="s">
        <v>44</v>
      </c>
      <c r="AC363" s="497" t="s">
        <v>431</v>
      </c>
      <c r="AD363" s="408" t="s">
        <v>14</v>
      </c>
      <c r="AE363" s="497" t="s">
        <v>431</v>
      </c>
      <c r="AF363" s="499"/>
      <c r="AG363" s="500"/>
      <c r="AH363" s="501" t="s">
        <v>44</v>
      </c>
      <c r="AI363" s="408" t="s">
        <v>431</v>
      </c>
      <c r="AJ363" s="408" t="s">
        <v>14</v>
      </c>
      <c r="AK363" s="408" t="s">
        <v>431</v>
      </c>
      <c r="AL363" s="499"/>
      <c r="AM363" s="500"/>
      <c r="AN363" s="501" t="s">
        <v>44</v>
      </c>
      <c r="AO363" s="408" t="s">
        <v>431</v>
      </c>
      <c r="AP363" s="408" t="s">
        <v>14</v>
      </c>
      <c r="AQ363" s="408" t="s">
        <v>431</v>
      </c>
      <c r="AR363" s="408"/>
    </row>
    <row r="364" spans="1:44" ht="42.75" x14ac:dyDescent="0.25">
      <c r="A364" s="842"/>
      <c r="B364" s="843"/>
      <c r="C364" s="843"/>
      <c r="D364" s="843"/>
      <c r="E364" s="843"/>
      <c r="F364" s="843"/>
      <c r="G364" s="843"/>
      <c r="H364" s="843"/>
      <c r="I364" s="844"/>
      <c r="J364" s="501" t="s">
        <v>15</v>
      </c>
      <c r="K364" s="497">
        <f>K79</f>
        <v>80</v>
      </c>
      <c r="L364" s="408" t="s">
        <v>16</v>
      </c>
      <c r="M364" s="497">
        <f>M79</f>
        <v>400</v>
      </c>
      <c r="N364" s="499"/>
      <c r="O364" s="500"/>
      <c r="P364" s="501" t="s">
        <v>15</v>
      </c>
      <c r="Q364" s="497">
        <f>Q151+Q121</f>
        <v>1456</v>
      </c>
      <c r="R364" s="497" t="s">
        <v>1204</v>
      </c>
      <c r="S364" s="58">
        <f>S151+S121</f>
        <v>14861</v>
      </c>
      <c r="T364" s="499"/>
      <c r="U364" s="500"/>
      <c r="V364" s="501" t="s">
        <v>15</v>
      </c>
      <c r="W364" s="408">
        <f>W162+W156</f>
        <v>300</v>
      </c>
      <c r="X364" s="408" t="s">
        <v>16</v>
      </c>
      <c r="Y364" s="58">
        <f>Y162+Y156</f>
        <v>1500</v>
      </c>
      <c r="Z364" s="499"/>
      <c r="AA364" s="500"/>
      <c r="AB364" s="501" t="s">
        <v>15</v>
      </c>
      <c r="AC364" s="497" t="s">
        <v>431</v>
      </c>
      <c r="AD364" s="408" t="s">
        <v>16</v>
      </c>
      <c r="AE364" s="497" t="s">
        <v>431</v>
      </c>
      <c r="AF364" s="499"/>
      <c r="AG364" s="500"/>
      <c r="AH364" s="501" t="s">
        <v>15</v>
      </c>
      <c r="AI364" s="497">
        <f>AI265+AI254</f>
        <v>1460</v>
      </c>
      <c r="AJ364" s="408" t="s">
        <v>16</v>
      </c>
      <c r="AK364" s="58">
        <f>AK265+AK254</f>
        <v>6800</v>
      </c>
      <c r="AL364" s="499"/>
      <c r="AM364" s="500"/>
      <c r="AN364" s="501" t="s">
        <v>15</v>
      </c>
      <c r="AO364" s="497"/>
      <c r="AP364" s="408" t="s">
        <v>16</v>
      </c>
      <c r="AQ364" s="497"/>
      <c r="AR364" s="408"/>
    </row>
    <row r="365" spans="1:44" x14ac:dyDescent="0.25">
      <c r="A365" s="842"/>
      <c r="B365" s="843"/>
      <c r="C365" s="843"/>
      <c r="D365" s="843"/>
      <c r="E365" s="843"/>
      <c r="F365" s="843"/>
      <c r="G365" s="843"/>
      <c r="H365" s="843"/>
      <c r="I365" s="844"/>
      <c r="J365" s="501" t="s">
        <v>17</v>
      </c>
      <c r="K365" s="497">
        <f>K105+K100+K97+K92+K87+K82+K76+K72+K67+K64+K61+K57+K51+K46+K42+K37</f>
        <v>134678</v>
      </c>
      <c r="L365" s="408" t="s">
        <v>8</v>
      </c>
      <c r="M365" s="497">
        <f>M105+M100+M97+M92+M87+M82+M76+M72+M67+M64+M61+M57+M51+M46+M42+M37</f>
        <v>188201.23413520001</v>
      </c>
      <c r="N365" s="499"/>
      <c r="O365" s="500"/>
      <c r="P365" s="501" t="s">
        <v>17</v>
      </c>
      <c r="Q365" s="635">
        <f>Q150+Q147+Q144+Q140+Q134+Q130+Q125+Q119+Q113+Q108</f>
        <v>95290</v>
      </c>
      <c r="R365" s="408" t="s">
        <v>8</v>
      </c>
      <c r="S365" s="635">
        <f>S150+S147+S144+S140+S134+S130+S125+S119+S113+S108</f>
        <v>126692.44778399999</v>
      </c>
      <c r="T365" s="499"/>
      <c r="U365" s="500"/>
      <c r="V365" s="501" t="s">
        <v>17</v>
      </c>
      <c r="W365" s="497">
        <f>W189+W184+W180+W175+W171+W165+W160+W155</f>
        <v>75590</v>
      </c>
      <c r="X365" s="408" t="s">
        <v>8</v>
      </c>
      <c r="Y365" s="58">
        <f>Y189+Y184+Y180+Y175+Y171+Y165+Y160+Y155</f>
        <v>98531.037999999986</v>
      </c>
      <c r="Z365" s="499"/>
      <c r="AA365" s="500"/>
      <c r="AB365" s="501" t="s">
        <v>17</v>
      </c>
      <c r="AC365" s="497">
        <f>AC246+AC242+AC237+AC232+AC226+AC220+AC216+AC211+AC206+AC201+AC196</f>
        <v>102646</v>
      </c>
      <c r="AD365" s="408" t="s">
        <v>8</v>
      </c>
      <c r="AE365" s="58">
        <f>AE246+AE242+AE237+AE232+AE226+AE220+AE216+AE211+AE206+AE201+AE196</f>
        <v>160362.29999999999</v>
      </c>
      <c r="AF365" s="499"/>
      <c r="AG365" s="500"/>
      <c r="AH365" s="501" t="s">
        <v>17</v>
      </c>
      <c r="AI365" s="497">
        <f>AI294+AI289+AI286+AI283+AI280+AI277+AI274+AI271+AI268+AI262+AI257+AI251</f>
        <v>119111</v>
      </c>
      <c r="AJ365" s="408" t="s">
        <v>8</v>
      </c>
      <c r="AK365" s="58">
        <f>AK294+AK289+AK286+AK283+AK280+AK277+AK274+AK271+AK268+AK262+AK257+AK251</f>
        <v>149386.55000000002</v>
      </c>
      <c r="AL365" s="499"/>
      <c r="AM365" s="500"/>
      <c r="AN365" s="501" t="s">
        <v>17</v>
      </c>
      <c r="AO365" s="497">
        <f>AO332+AO328+AO325+AO322+AO319+AO316+AO313+AO310+AO307+AO304+AO301+AO298</f>
        <v>111472</v>
      </c>
      <c r="AP365" s="408" t="s">
        <v>8</v>
      </c>
      <c r="AQ365" s="58">
        <f>AQ332+AQ328+AQ325+AQ322+AQ319+AQ316+AQ313+AQ310+AQ307+AQ304+AQ301+AQ298</f>
        <v>218466.193</v>
      </c>
      <c r="AR365" s="408"/>
    </row>
    <row r="366" spans="1:44" ht="28.5" x14ac:dyDescent="0.25">
      <c r="A366" s="842"/>
      <c r="B366" s="843"/>
      <c r="C366" s="843"/>
      <c r="D366" s="843"/>
      <c r="E366" s="843"/>
      <c r="F366" s="843"/>
      <c r="G366" s="843"/>
      <c r="H366" s="843"/>
      <c r="I366" s="844"/>
      <c r="J366" s="501" t="s">
        <v>18</v>
      </c>
      <c r="K366" s="497">
        <f>K89</f>
        <v>1.5</v>
      </c>
      <c r="L366" s="497" t="str">
        <f>L89</f>
        <v>км</v>
      </c>
      <c r="M366" s="497">
        <f>M89</f>
        <v>5550</v>
      </c>
      <c r="N366" s="499"/>
      <c r="O366" s="500"/>
      <c r="P366" s="501" t="s">
        <v>18</v>
      </c>
      <c r="Q366" s="497">
        <f>Q136</f>
        <v>1.87</v>
      </c>
      <c r="R366" s="497" t="s">
        <v>5</v>
      </c>
      <c r="S366" s="58">
        <f>S136</f>
        <v>6919</v>
      </c>
      <c r="T366" s="499"/>
      <c r="U366" s="500"/>
      <c r="V366" s="501" t="s">
        <v>18</v>
      </c>
      <c r="W366" s="497" t="s">
        <v>431</v>
      </c>
      <c r="X366" s="497" t="s">
        <v>431</v>
      </c>
      <c r="Y366" s="497" t="s">
        <v>431</v>
      </c>
      <c r="Z366" s="499"/>
      <c r="AA366" s="500"/>
      <c r="AB366" s="501" t="s">
        <v>18</v>
      </c>
      <c r="AC366" s="497">
        <f>AC239+AC221+AC217</f>
        <v>4.92</v>
      </c>
      <c r="AD366" s="497" t="s">
        <v>5</v>
      </c>
      <c r="AE366" s="58">
        <f>AE239+AE221+AE217</f>
        <v>18204</v>
      </c>
      <c r="AF366" s="499"/>
      <c r="AG366" s="500"/>
      <c r="AH366" s="501" t="s">
        <v>18</v>
      </c>
      <c r="AI366" s="408" t="s">
        <v>431</v>
      </c>
      <c r="AJ366" s="408" t="s">
        <v>431</v>
      </c>
      <c r="AK366" s="408" t="s">
        <v>431</v>
      </c>
      <c r="AL366" s="499"/>
      <c r="AM366" s="500"/>
      <c r="AN366" s="501" t="s">
        <v>18</v>
      </c>
      <c r="AO366" s="497"/>
      <c r="AP366" s="497" t="s">
        <v>431</v>
      </c>
      <c r="AQ366" s="497"/>
      <c r="AR366" s="408"/>
    </row>
    <row r="367" spans="1:44" ht="42.75" x14ac:dyDescent="0.25">
      <c r="A367" s="842"/>
      <c r="B367" s="843"/>
      <c r="C367" s="843"/>
      <c r="D367" s="843"/>
      <c r="E367" s="843"/>
      <c r="F367" s="843"/>
      <c r="G367" s="843"/>
      <c r="H367" s="843"/>
      <c r="I367" s="844"/>
      <c r="J367" s="501" t="s">
        <v>46</v>
      </c>
      <c r="K367" s="497">
        <f>K101+K93+K83+K77+K73+K68+K47+K43+K36</f>
        <v>6674</v>
      </c>
      <c r="L367" s="408" t="s">
        <v>16</v>
      </c>
      <c r="M367" s="58">
        <f>M101+M93+M83+M77+M73+M68+M47+M43+M36</f>
        <v>8340.6</v>
      </c>
      <c r="N367" s="499"/>
      <c r="O367" s="502"/>
      <c r="P367" s="501" t="s">
        <v>46</v>
      </c>
      <c r="Q367" s="497">
        <f>Q139+Q135+Q129+Q126+Q120+Q115+Q109</f>
        <v>2735</v>
      </c>
      <c r="R367" s="408" t="s">
        <v>16</v>
      </c>
      <c r="S367" s="58">
        <f>S139+S135+S129+S126+S120+S115+S109</f>
        <v>3421.3999999999996</v>
      </c>
      <c r="T367" s="499"/>
      <c r="U367" s="502"/>
      <c r="V367" s="501" t="s">
        <v>46</v>
      </c>
      <c r="W367" s="497">
        <f>W190+W185+W181+W176+W172+W166+W161</f>
        <v>6915</v>
      </c>
      <c r="X367" s="408" t="s">
        <v>16</v>
      </c>
      <c r="Y367" s="58">
        <f>Y190+Y185+Y181+Y176+Y172+Y166+Y161</f>
        <v>8643.9</v>
      </c>
      <c r="Z367" s="499"/>
      <c r="AA367" s="502"/>
      <c r="AB367" s="501" t="s">
        <v>46</v>
      </c>
      <c r="AC367" s="497">
        <f>AC247+AC243+AC238+AC233+AC227+AC223+AC212+AC207+AC202+AC197</f>
        <v>5198</v>
      </c>
      <c r="AD367" s="408" t="s">
        <v>16</v>
      </c>
      <c r="AE367" s="58">
        <f>AE247+AE243+AE238+AE233+AE227+AE223+AE212+AE207+AE202+AE197</f>
        <v>6497.6</v>
      </c>
      <c r="AF367" s="499"/>
      <c r="AG367" s="502"/>
      <c r="AH367" s="501" t="s">
        <v>46</v>
      </c>
      <c r="AI367" s="497">
        <f>AI295+AI290+AI263+AI258+AI252</f>
        <v>2533</v>
      </c>
      <c r="AJ367" s="408" t="s">
        <v>16</v>
      </c>
      <c r="AK367" s="58">
        <f>AK295+AK290+AK263+AK258+AK252</f>
        <v>3166.3</v>
      </c>
      <c r="AL367" s="499"/>
      <c r="AM367" s="502"/>
      <c r="AN367" s="501" t="s">
        <v>46</v>
      </c>
      <c r="AO367" s="497">
        <f>AO333</f>
        <v>500</v>
      </c>
      <c r="AP367" s="408" t="s">
        <v>16</v>
      </c>
      <c r="AQ367" s="497">
        <f>AQ333</f>
        <v>625</v>
      </c>
      <c r="AR367" s="408"/>
    </row>
    <row r="368" spans="1:44" ht="42.75" x14ac:dyDescent="0.25">
      <c r="A368" s="845"/>
      <c r="B368" s="846"/>
      <c r="C368" s="846"/>
      <c r="D368" s="846"/>
      <c r="E368" s="846"/>
      <c r="F368" s="846"/>
      <c r="G368" s="846"/>
      <c r="H368" s="846"/>
      <c r="I368" s="847"/>
      <c r="J368" s="501" t="s">
        <v>432</v>
      </c>
      <c r="K368" s="497">
        <f>K102+K94+K88+K78+K69+K48+K41+K38</f>
        <v>32</v>
      </c>
      <c r="L368" s="497" t="s">
        <v>14</v>
      </c>
      <c r="M368" s="497">
        <f>M102+M94+M88+M78+M69+M48+M41+M38</f>
        <v>3200</v>
      </c>
      <c r="N368" s="499"/>
      <c r="O368" s="502"/>
      <c r="P368" s="501" t="s">
        <v>432</v>
      </c>
      <c r="Q368" s="497">
        <f>Q152+Q141+Q133+Q124+Q118+Q114+Q110</f>
        <v>29</v>
      </c>
      <c r="R368" s="497" t="s">
        <v>14</v>
      </c>
      <c r="S368" s="58">
        <f>S152+S141+S133+S124+S118+S114+S110</f>
        <v>2900</v>
      </c>
      <c r="T368" s="499"/>
      <c r="U368" s="502"/>
      <c r="V368" s="501" t="s">
        <v>432</v>
      </c>
      <c r="W368" s="497">
        <f>W191+W186+W177+W167+W159</f>
        <v>35</v>
      </c>
      <c r="X368" s="497" t="s">
        <v>14</v>
      </c>
      <c r="Y368" s="497">
        <f>Y191+Y186+Y177+Y167+Y159</f>
        <v>3500</v>
      </c>
      <c r="Z368" s="499"/>
      <c r="AA368" s="502"/>
      <c r="AB368" s="501" t="s">
        <v>432</v>
      </c>
      <c r="AC368" s="497">
        <f>AC248+AC236+AC231+AC222+AC215+AC210+AC205+AC200+AC195</f>
        <v>38</v>
      </c>
      <c r="AD368" s="497" t="s">
        <v>14</v>
      </c>
      <c r="AE368" s="58">
        <f>AE248+AE236+AE231+AE222+AE215+AE210+AE205+AE200+AE195</f>
        <v>3800</v>
      </c>
      <c r="AF368" s="499"/>
      <c r="AG368" s="502"/>
      <c r="AH368" s="501" t="s">
        <v>432</v>
      </c>
      <c r="AI368" s="497">
        <f>AI293+AI264+AI259+AI253</f>
        <v>27</v>
      </c>
      <c r="AJ368" s="497" t="s">
        <v>14</v>
      </c>
      <c r="AK368" s="58">
        <f>AK293+AK264+AK259+AK253</f>
        <v>2700</v>
      </c>
      <c r="AL368" s="499"/>
      <c r="AM368" s="502"/>
      <c r="AN368" s="501" t="s">
        <v>432</v>
      </c>
      <c r="AO368" s="497">
        <f>AO331</f>
        <v>6</v>
      </c>
      <c r="AP368" s="497" t="s">
        <v>14</v>
      </c>
      <c r="AQ368" s="497">
        <f>AQ331</f>
        <v>600</v>
      </c>
      <c r="AR368" s="408"/>
    </row>
    <row r="369" spans="1:86" ht="15.75" x14ac:dyDescent="0.25">
      <c r="A369" s="243" t="s">
        <v>19</v>
      </c>
      <c r="B369" s="244"/>
      <c r="C369" s="244"/>
      <c r="D369" s="244"/>
      <c r="E369" s="244"/>
      <c r="F369" s="244"/>
      <c r="G369" s="244"/>
      <c r="H369" s="244"/>
      <c r="I369" s="244"/>
      <c r="J369" s="244"/>
      <c r="K369" s="244"/>
      <c r="L369" s="244"/>
      <c r="M369" s="245"/>
      <c r="N369" s="244"/>
      <c r="O369" s="244"/>
      <c r="P369" s="244"/>
      <c r="Q369" s="244"/>
      <c r="R369" s="244"/>
      <c r="S369" s="246"/>
      <c r="T369" s="243"/>
      <c r="U369" s="243"/>
      <c r="V369" s="243"/>
      <c r="W369" s="243"/>
      <c r="X369" s="243"/>
      <c r="Y369" s="247"/>
      <c r="Z369" s="243"/>
      <c r="AA369" s="243"/>
      <c r="AB369" s="243"/>
      <c r="AC369" s="243"/>
      <c r="AD369" s="67"/>
      <c r="AE369" s="108"/>
      <c r="AF369" s="67"/>
      <c r="AG369" s="248"/>
      <c r="AH369" s="248"/>
      <c r="AI369" s="248"/>
      <c r="AJ369" s="248"/>
      <c r="AK369" s="249"/>
      <c r="AL369" s="248"/>
      <c r="AM369" s="248"/>
      <c r="AN369" s="248"/>
      <c r="AO369" s="248"/>
      <c r="AP369" s="248"/>
      <c r="AQ369" s="249"/>
      <c r="AR369" s="248"/>
    </row>
    <row r="370" spans="1:86" x14ac:dyDescent="0.25">
      <c r="A370" s="856" t="s">
        <v>433</v>
      </c>
      <c r="B370" s="857"/>
      <c r="C370" s="857"/>
      <c r="D370" s="857"/>
      <c r="E370" s="857"/>
      <c r="F370" s="857"/>
      <c r="G370" s="857"/>
      <c r="H370" s="857"/>
      <c r="I370" s="857"/>
      <c r="J370" s="857"/>
      <c r="K370" s="857"/>
      <c r="L370" s="857"/>
      <c r="M370" s="857"/>
      <c r="N370" s="857"/>
      <c r="O370" s="857"/>
      <c r="P370" s="857"/>
      <c r="Q370" s="857"/>
      <c r="R370" s="857"/>
      <c r="S370" s="85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</row>
    <row r="371" spans="1:86" ht="45" x14ac:dyDescent="0.25">
      <c r="A371" s="603">
        <v>7</v>
      </c>
      <c r="B371" s="603"/>
      <c r="C371" s="603" t="s">
        <v>434</v>
      </c>
      <c r="D371" s="603"/>
      <c r="E371" s="603"/>
      <c r="F371" s="603">
        <v>45.368000000000002</v>
      </c>
      <c r="G371" s="603">
        <v>362944</v>
      </c>
      <c r="H371" s="603"/>
      <c r="I371" s="603"/>
      <c r="J371" s="603"/>
      <c r="K371" s="603"/>
      <c r="L371" s="603"/>
      <c r="M371" s="603"/>
      <c r="N371" s="603"/>
      <c r="O371" s="603"/>
      <c r="P371" s="603"/>
      <c r="Q371" s="603"/>
      <c r="R371" s="603"/>
      <c r="S371" s="603"/>
      <c r="T371" s="603"/>
      <c r="U371" s="603"/>
      <c r="V371" s="603"/>
      <c r="W371" s="603"/>
      <c r="X371" s="603"/>
      <c r="Y371" s="603"/>
      <c r="Z371" s="603"/>
      <c r="AA371" s="603"/>
      <c r="AB371" s="603"/>
      <c r="AC371" s="603"/>
      <c r="AD371" s="603"/>
      <c r="AE371" s="603"/>
      <c r="AF371" s="603"/>
      <c r="AG371" s="603"/>
      <c r="AH371" s="603"/>
      <c r="AI371" s="603"/>
      <c r="AJ371" s="603"/>
      <c r="AK371" s="603"/>
      <c r="AL371" s="603"/>
      <c r="AM371" s="603"/>
      <c r="AN371" s="603"/>
      <c r="AO371" s="603"/>
      <c r="AP371" s="603"/>
      <c r="AQ371" s="603"/>
      <c r="AR371" s="603"/>
    </row>
    <row r="372" spans="1:86" x14ac:dyDescent="0.25">
      <c r="A372" s="603"/>
      <c r="B372" s="603"/>
      <c r="C372" s="603"/>
      <c r="D372" s="603"/>
      <c r="E372" s="603"/>
      <c r="F372" s="603"/>
      <c r="G372" s="603"/>
      <c r="H372" s="603"/>
      <c r="I372" s="603"/>
      <c r="J372" s="603"/>
      <c r="K372" s="603"/>
      <c r="L372" s="603"/>
      <c r="M372" s="603"/>
      <c r="N372" s="603"/>
      <c r="O372" s="603"/>
      <c r="P372" s="603"/>
      <c r="Q372" s="603"/>
      <c r="R372" s="603"/>
      <c r="S372" s="603"/>
      <c r="T372" s="611" t="s">
        <v>435</v>
      </c>
      <c r="U372" s="603" t="s">
        <v>436</v>
      </c>
      <c r="V372" s="603" t="s">
        <v>41</v>
      </c>
      <c r="W372" s="603">
        <v>4.3666999999999998</v>
      </c>
      <c r="X372" s="603" t="s">
        <v>5</v>
      </c>
      <c r="Y372" s="603">
        <v>233183.62899999999</v>
      </c>
      <c r="Z372" s="603"/>
      <c r="AA372" s="603"/>
      <c r="AB372" s="603"/>
      <c r="AC372" s="603"/>
      <c r="AD372" s="603"/>
      <c r="AE372" s="603"/>
      <c r="AF372" s="603"/>
      <c r="AG372" s="603"/>
      <c r="AH372" s="603"/>
      <c r="AI372" s="603"/>
      <c r="AJ372" s="603"/>
      <c r="AK372" s="603"/>
      <c r="AL372" s="603"/>
      <c r="AM372" s="603"/>
      <c r="AN372" s="603"/>
      <c r="AO372" s="603"/>
      <c r="AP372" s="603"/>
      <c r="AQ372" s="603"/>
      <c r="AR372" s="603"/>
    </row>
    <row r="373" spans="1:86" x14ac:dyDescent="0.25">
      <c r="A373" s="603"/>
      <c r="B373" s="603"/>
      <c r="C373" s="603"/>
      <c r="D373" s="603"/>
      <c r="E373" s="603"/>
      <c r="F373" s="603"/>
      <c r="G373" s="603"/>
      <c r="H373" s="603"/>
      <c r="I373" s="603"/>
      <c r="J373" s="603"/>
      <c r="K373" s="603"/>
      <c r="L373" s="603"/>
      <c r="M373" s="603"/>
      <c r="N373" s="603"/>
      <c r="O373" s="603"/>
      <c r="P373" s="603"/>
      <c r="Q373" s="603"/>
      <c r="R373" s="603"/>
      <c r="S373" s="603"/>
      <c r="T373" s="611" t="s">
        <v>437</v>
      </c>
      <c r="U373" s="603" t="s">
        <v>435</v>
      </c>
      <c r="V373" s="603" t="s">
        <v>41</v>
      </c>
      <c r="W373" s="603">
        <v>2</v>
      </c>
      <c r="X373" s="603" t="s">
        <v>5</v>
      </c>
      <c r="Y373" s="603">
        <v>47827.644</v>
      </c>
      <c r="Z373" s="603"/>
      <c r="AA373" s="603"/>
      <c r="AB373" s="603"/>
      <c r="AC373" s="603"/>
      <c r="AD373" s="603"/>
      <c r="AE373" s="603"/>
      <c r="AF373" s="603"/>
      <c r="AG373" s="603"/>
      <c r="AH373" s="603"/>
      <c r="AI373" s="603"/>
      <c r="AJ373" s="603"/>
      <c r="AK373" s="603"/>
      <c r="AL373" s="603"/>
      <c r="AM373" s="603"/>
      <c r="AN373" s="603"/>
      <c r="AO373" s="603"/>
      <c r="AP373" s="603"/>
      <c r="AQ373" s="603"/>
      <c r="AR373" s="603"/>
    </row>
    <row r="374" spans="1:86" ht="30" x14ac:dyDescent="0.25">
      <c r="A374" s="603"/>
      <c r="B374" s="603"/>
      <c r="C374" s="603"/>
      <c r="D374" s="603"/>
      <c r="E374" s="603"/>
      <c r="F374" s="603"/>
      <c r="G374" s="603"/>
      <c r="H374" s="603" t="s">
        <v>438</v>
      </c>
      <c r="I374" s="603" t="s">
        <v>439</v>
      </c>
      <c r="J374" s="603" t="s">
        <v>440</v>
      </c>
      <c r="K374" s="603" t="s">
        <v>441</v>
      </c>
      <c r="L374" s="603" t="s">
        <v>442</v>
      </c>
      <c r="M374" s="603">
        <v>5235.3900000000003</v>
      </c>
      <c r="N374" s="603" t="s">
        <v>438</v>
      </c>
      <c r="O374" s="603" t="s">
        <v>439</v>
      </c>
      <c r="P374" s="603" t="s">
        <v>440</v>
      </c>
      <c r="Q374" s="603" t="s">
        <v>441</v>
      </c>
      <c r="R374" s="603" t="s">
        <v>442</v>
      </c>
      <c r="S374" s="603">
        <v>5460.5069999999996</v>
      </c>
      <c r="T374" s="603"/>
      <c r="U374" s="603"/>
      <c r="V374" s="603"/>
      <c r="W374" s="603"/>
      <c r="X374" s="603"/>
      <c r="Y374" s="603"/>
      <c r="Z374" s="603"/>
      <c r="AA374" s="603"/>
      <c r="AB374" s="603"/>
      <c r="AC374" s="603"/>
      <c r="AD374" s="603"/>
      <c r="AE374" s="603"/>
      <c r="AF374" s="603"/>
      <c r="AG374" s="603"/>
      <c r="AH374" s="603"/>
      <c r="AI374" s="603"/>
      <c r="AJ374" s="603"/>
      <c r="AK374" s="603"/>
      <c r="AL374" s="603"/>
      <c r="AM374" s="603"/>
      <c r="AN374" s="603"/>
      <c r="AO374" s="603"/>
      <c r="AP374" s="603"/>
      <c r="AQ374" s="603"/>
      <c r="AR374" s="603"/>
    </row>
    <row r="375" spans="1:86" ht="45" x14ac:dyDescent="0.25">
      <c r="A375" s="603">
        <v>8</v>
      </c>
      <c r="B375" s="603"/>
      <c r="C375" s="603" t="s">
        <v>443</v>
      </c>
      <c r="D375" s="603"/>
      <c r="E375" s="603"/>
      <c r="F375" s="603">
        <v>9.5</v>
      </c>
      <c r="G375" s="603">
        <v>76000</v>
      </c>
      <c r="H375" s="603"/>
      <c r="I375" s="603"/>
      <c r="J375" s="603"/>
      <c r="K375" s="603"/>
      <c r="L375" s="603"/>
      <c r="M375" s="603"/>
      <c r="N375" s="603"/>
      <c r="O375" s="603"/>
      <c r="P375" s="603"/>
      <c r="Q375" s="603"/>
      <c r="R375" s="603"/>
      <c r="S375" s="603"/>
      <c r="T375" s="603"/>
      <c r="U375" s="603"/>
      <c r="V375" s="603"/>
      <c r="W375" s="603"/>
      <c r="X375" s="603"/>
      <c r="Y375" s="603"/>
      <c r="Z375" s="603"/>
      <c r="AA375" s="603"/>
      <c r="AB375" s="603"/>
      <c r="AC375" s="603"/>
      <c r="AD375" s="603"/>
      <c r="AE375" s="603"/>
      <c r="AF375" s="603"/>
      <c r="AG375" s="603"/>
      <c r="AH375" s="603"/>
      <c r="AI375" s="603"/>
      <c r="AJ375" s="603"/>
      <c r="AK375" s="603"/>
      <c r="AL375" s="603"/>
      <c r="AM375" s="603"/>
      <c r="AN375" s="603"/>
      <c r="AO375" s="603"/>
      <c r="AP375" s="603"/>
      <c r="AQ375" s="603"/>
      <c r="AR375" s="603"/>
    </row>
    <row r="376" spans="1:86" x14ac:dyDescent="0.25">
      <c r="A376" s="603"/>
      <c r="B376" s="603"/>
      <c r="C376" s="603"/>
      <c r="D376" s="603"/>
      <c r="E376" s="603"/>
      <c r="F376" s="603"/>
      <c r="G376" s="603"/>
      <c r="H376" s="603" t="s">
        <v>444</v>
      </c>
      <c r="I376" s="603" t="s">
        <v>445</v>
      </c>
      <c r="J376" s="603" t="s">
        <v>440</v>
      </c>
      <c r="K376" s="603" t="s">
        <v>441</v>
      </c>
      <c r="L376" s="603" t="s">
        <v>446</v>
      </c>
      <c r="M376" s="603">
        <v>1235.6590000000001</v>
      </c>
      <c r="N376" s="603" t="s">
        <v>444</v>
      </c>
      <c r="O376" s="603" t="s">
        <v>445</v>
      </c>
      <c r="P376" s="603" t="s">
        <v>440</v>
      </c>
      <c r="Q376" s="603" t="s">
        <v>441</v>
      </c>
      <c r="R376" s="603" t="s">
        <v>446</v>
      </c>
      <c r="S376" s="603">
        <v>1233.3399999999999</v>
      </c>
      <c r="T376" s="603"/>
      <c r="U376" s="603"/>
      <c r="V376" s="603"/>
      <c r="W376" s="603"/>
      <c r="X376" s="603"/>
      <c r="Y376" s="603"/>
      <c r="Z376" s="603"/>
      <c r="AA376" s="603"/>
      <c r="AB376" s="603"/>
      <c r="AC376" s="603"/>
      <c r="AD376" s="603"/>
      <c r="AE376" s="603"/>
      <c r="AF376" s="603"/>
      <c r="AG376" s="603"/>
      <c r="AH376" s="603"/>
      <c r="AI376" s="603"/>
      <c r="AJ376" s="603"/>
      <c r="AK376" s="603"/>
      <c r="AL376" s="603"/>
      <c r="AM376" s="603"/>
      <c r="AN376" s="603"/>
      <c r="AO376" s="603"/>
      <c r="AP376" s="603"/>
      <c r="AQ376" s="603"/>
      <c r="AR376" s="603"/>
    </row>
    <row r="377" spans="1:86" x14ac:dyDescent="0.25">
      <c r="A377" s="603"/>
      <c r="B377" s="603"/>
      <c r="C377" s="603"/>
      <c r="D377" s="603"/>
      <c r="E377" s="603"/>
      <c r="F377" s="603"/>
      <c r="G377" s="603"/>
      <c r="H377" s="603"/>
      <c r="I377" s="603"/>
      <c r="J377" s="603"/>
      <c r="K377" s="603"/>
      <c r="L377" s="603"/>
      <c r="M377" s="603"/>
      <c r="N377" s="603"/>
      <c r="O377" s="603"/>
      <c r="P377" s="603"/>
      <c r="Q377" s="603"/>
      <c r="R377" s="603"/>
      <c r="S377" s="603"/>
      <c r="T377" s="603"/>
      <c r="U377" s="603"/>
      <c r="V377" s="603"/>
      <c r="W377" s="603"/>
      <c r="X377" s="603"/>
      <c r="Y377" s="603"/>
      <c r="Z377" s="603"/>
      <c r="AA377" s="603"/>
      <c r="AB377" s="603"/>
      <c r="AC377" s="603"/>
      <c r="AD377" s="603"/>
      <c r="AE377" s="603"/>
      <c r="AF377" s="603"/>
      <c r="AG377" s="603"/>
      <c r="AH377" s="603"/>
      <c r="AI377" s="603"/>
      <c r="AJ377" s="603"/>
      <c r="AK377" s="603"/>
      <c r="AL377" s="603"/>
      <c r="AM377" s="603"/>
      <c r="AN377" s="603"/>
      <c r="AO377" s="603"/>
      <c r="AP377" s="603"/>
      <c r="AQ377" s="603"/>
      <c r="AR377" s="603"/>
    </row>
    <row r="378" spans="1:86" x14ac:dyDescent="0.25">
      <c r="A378" s="603"/>
      <c r="B378" s="603"/>
      <c r="C378" s="603"/>
      <c r="D378" s="603"/>
      <c r="E378" s="603"/>
      <c r="F378" s="603"/>
      <c r="G378" s="603"/>
      <c r="H378" s="603"/>
      <c r="I378" s="603"/>
      <c r="J378" s="603"/>
      <c r="K378" s="603"/>
      <c r="L378" s="603"/>
      <c r="M378" s="603"/>
      <c r="N378" s="603"/>
      <c r="O378" s="603"/>
      <c r="P378" s="603"/>
      <c r="Q378" s="603"/>
      <c r="R378" s="603"/>
      <c r="S378" s="603"/>
      <c r="T378" s="603"/>
      <c r="U378" s="603"/>
      <c r="V378" s="603"/>
      <c r="W378" s="603"/>
      <c r="X378" s="603"/>
      <c r="Y378" s="603"/>
      <c r="Z378" s="603"/>
      <c r="AA378" s="603"/>
      <c r="AB378" s="603"/>
      <c r="AC378" s="603"/>
      <c r="AD378" s="603"/>
      <c r="AE378" s="603"/>
      <c r="AF378" s="603"/>
      <c r="AG378" s="603"/>
      <c r="AH378" s="603"/>
      <c r="AI378" s="603"/>
      <c r="AJ378" s="603"/>
      <c r="AK378" s="603"/>
      <c r="AL378" s="603"/>
      <c r="AM378" s="603"/>
      <c r="AN378" s="603"/>
      <c r="AO378" s="603"/>
      <c r="AP378" s="603"/>
      <c r="AQ378" s="603"/>
      <c r="AR378" s="603"/>
    </row>
    <row r="379" spans="1:86" ht="45" x14ac:dyDescent="0.25">
      <c r="A379" s="603">
        <v>9</v>
      </c>
      <c r="B379" s="603"/>
      <c r="C379" s="603" t="s">
        <v>447</v>
      </c>
      <c r="D379" s="603"/>
      <c r="E379" s="603"/>
      <c r="F379" s="603">
        <v>13.8</v>
      </c>
      <c r="G379" s="603">
        <v>110400</v>
      </c>
      <c r="H379" s="603"/>
      <c r="I379" s="603"/>
      <c r="J379" s="603"/>
      <c r="K379" s="603"/>
      <c r="L379" s="603"/>
      <c r="M379" s="603"/>
      <c r="N379" s="603"/>
      <c r="O379" s="603"/>
      <c r="P379" s="603"/>
      <c r="Q379" s="603"/>
      <c r="R379" s="603"/>
      <c r="S379" s="603"/>
      <c r="T379" s="603"/>
      <c r="U379" s="603"/>
      <c r="V379" s="603"/>
      <c r="W379" s="603"/>
      <c r="X379" s="603"/>
      <c r="Y379" s="603"/>
      <c r="Z379" s="603"/>
      <c r="AA379" s="603"/>
      <c r="AB379" s="603"/>
      <c r="AC379" s="603"/>
      <c r="AD379" s="603"/>
      <c r="AE379" s="603"/>
      <c r="AF379" s="603"/>
      <c r="AG379" s="603"/>
      <c r="AH379" s="603"/>
      <c r="AI379" s="603"/>
      <c r="AJ379" s="603"/>
      <c r="AK379" s="603"/>
      <c r="AL379" s="603"/>
      <c r="AM379" s="603"/>
      <c r="AN379" s="603"/>
      <c r="AO379" s="603"/>
      <c r="AP379" s="603"/>
      <c r="AQ379" s="603"/>
      <c r="AR379" s="603"/>
    </row>
    <row r="380" spans="1:86" x14ac:dyDescent="0.25">
      <c r="A380" s="603"/>
      <c r="B380" s="603"/>
      <c r="C380" s="603"/>
      <c r="D380" s="603"/>
      <c r="E380" s="603"/>
      <c r="F380" s="603"/>
      <c r="G380" s="603"/>
      <c r="H380" s="603" t="s">
        <v>109</v>
      </c>
      <c r="I380" s="603" t="s">
        <v>448</v>
      </c>
      <c r="J380" s="603" t="s">
        <v>440</v>
      </c>
      <c r="K380" s="603" t="s">
        <v>441</v>
      </c>
      <c r="L380" s="603" t="s">
        <v>449</v>
      </c>
      <c r="M380" s="603">
        <v>1717.7270000000001</v>
      </c>
      <c r="N380" s="603" t="s">
        <v>109</v>
      </c>
      <c r="O380" s="603" t="s">
        <v>448</v>
      </c>
      <c r="P380" s="603" t="s">
        <v>440</v>
      </c>
      <c r="Q380" s="603" t="s">
        <v>441</v>
      </c>
      <c r="R380" s="603" t="s">
        <v>449</v>
      </c>
      <c r="S380" s="603">
        <v>1872.14</v>
      </c>
      <c r="T380" s="603"/>
      <c r="U380" s="603"/>
      <c r="V380" s="603"/>
      <c r="W380" s="603"/>
      <c r="X380" s="603"/>
      <c r="Y380" s="603"/>
      <c r="Z380" s="603"/>
      <c r="AA380" s="603"/>
      <c r="AB380" s="603"/>
      <c r="AC380" s="603"/>
      <c r="AD380" s="603"/>
      <c r="AE380" s="603"/>
      <c r="AF380" s="603"/>
      <c r="AG380" s="603"/>
      <c r="AH380" s="603"/>
      <c r="AI380" s="603"/>
      <c r="AJ380" s="603"/>
      <c r="AK380" s="603"/>
      <c r="AL380" s="603"/>
      <c r="AM380" s="603"/>
      <c r="AN380" s="603"/>
      <c r="AO380" s="603"/>
      <c r="AP380" s="603"/>
      <c r="AQ380" s="603"/>
      <c r="AR380" s="603"/>
    </row>
    <row r="381" spans="1:86" x14ac:dyDescent="0.25">
      <c r="A381" s="603"/>
      <c r="B381" s="603"/>
      <c r="C381" s="603"/>
      <c r="D381" s="603"/>
      <c r="E381" s="603"/>
      <c r="F381" s="603"/>
      <c r="G381" s="603"/>
      <c r="H381" s="603"/>
      <c r="I381" s="603"/>
      <c r="J381" s="603"/>
      <c r="K381" s="603"/>
      <c r="L381" s="603"/>
      <c r="M381" s="603"/>
      <c r="N381" s="603"/>
      <c r="O381" s="603"/>
      <c r="P381" s="603"/>
      <c r="Q381" s="603"/>
      <c r="R381" s="603"/>
      <c r="S381" s="603"/>
      <c r="T381" s="603"/>
      <c r="U381" s="603"/>
      <c r="V381" s="603"/>
      <c r="W381" s="603"/>
      <c r="X381" s="603"/>
      <c r="Y381" s="603"/>
      <c r="Z381" s="603"/>
      <c r="AA381" s="603"/>
      <c r="AB381" s="603"/>
      <c r="AC381" s="603"/>
      <c r="AD381" s="603"/>
      <c r="AE381" s="603"/>
      <c r="AF381" s="603"/>
      <c r="AG381" s="603"/>
      <c r="AH381" s="603"/>
      <c r="AI381" s="603"/>
      <c r="AJ381" s="603"/>
      <c r="AK381" s="603"/>
      <c r="AL381" s="603"/>
      <c r="AM381" s="603"/>
      <c r="AN381" s="603"/>
      <c r="AO381" s="603"/>
      <c r="AP381" s="603"/>
      <c r="AQ381" s="603"/>
      <c r="AR381" s="603"/>
    </row>
    <row r="382" spans="1:86" x14ac:dyDescent="0.25">
      <c r="A382" s="603"/>
      <c r="B382" s="603"/>
      <c r="C382" s="603"/>
      <c r="D382" s="603"/>
      <c r="E382" s="603"/>
      <c r="F382" s="603"/>
      <c r="G382" s="603"/>
      <c r="H382" s="603"/>
      <c r="I382" s="603"/>
      <c r="J382" s="603"/>
      <c r="K382" s="603"/>
      <c r="L382" s="603"/>
      <c r="M382" s="603"/>
      <c r="N382" s="603"/>
      <c r="O382" s="603"/>
      <c r="P382" s="603"/>
      <c r="Q382" s="603"/>
      <c r="R382" s="603"/>
      <c r="S382" s="603"/>
      <c r="T382" s="603"/>
      <c r="U382" s="603"/>
      <c r="V382" s="603"/>
      <c r="W382" s="603"/>
      <c r="X382" s="603"/>
      <c r="Y382" s="603"/>
      <c r="Z382" s="603"/>
      <c r="AA382" s="603"/>
      <c r="AB382" s="603"/>
      <c r="AC382" s="603"/>
      <c r="AD382" s="603"/>
      <c r="AE382" s="603"/>
      <c r="AF382" s="603"/>
      <c r="AG382" s="603"/>
      <c r="AH382" s="603"/>
      <c r="AI382" s="603"/>
      <c r="AJ382" s="603"/>
      <c r="AK382" s="603"/>
      <c r="AL382" s="603"/>
      <c r="AM382" s="603"/>
      <c r="AN382" s="603"/>
      <c r="AO382" s="603"/>
      <c r="AP382" s="603"/>
      <c r="AQ382" s="603"/>
      <c r="AR382" s="603"/>
    </row>
    <row r="383" spans="1:86" x14ac:dyDescent="0.25">
      <c r="A383" s="604"/>
      <c r="B383" s="605"/>
      <c r="C383" s="605"/>
      <c r="D383" s="603"/>
      <c r="E383" s="603"/>
      <c r="F383" s="603"/>
      <c r="G383" s="603"/>
      <c r="H383" s="250"/>
      <c r="I383" s="250"/>
      <c r="J383" s="250"/>
      <c r="K383" s="250"/>
      <c r="L383" s="250"/>
      <c r="M383" s="250"/>
      <c r="N383" s="250"/>
      <c r="O383" s="250"/>
      <c r="P383" s="250"/>
      <c r="Q383" s="250"/>
      <c r="R383" s="250"/>
      <c r="S383" s="250"/>
      <c r="T383" s="250"/>
      <c r="U383" s="250"/>
      <c r="V383" s="250"/>
      <c r="W383" s="250"/>
      <c r="X383" s="250"/>
      <c r="Y383" s="250"/>
      <c r="Z383" s="250"/>
      <c r="AA383" s="250"/>
      <c r="AB383" s="250"/>
      <c r="AC383" s="603"/>
      <c r="AD383" s="603"/>
      <c r="AE383" s="603"/>
      <c r="AF383" s="603"/>
      <c r="AG383" s="603"/>
      <c r="AH383" s="603"/>
      <c r="AI383" s="603"/>
      <c r="AJ383" s="603"/>
      <c r="AK383" s="603"/>
      <c r="AL383" s="603"/>
      <c r="AM383" s="603"/>
      <c r="AN383" s="603"/>
      <c r="AO383" s="603"/>
      <c r="AP383" s="603"/>
      <c r="AQ383" s="603"/>
      <c r="AR383" s="603"/>
    </row>
    <row r="384" spans="1:86" s="494" customFormat="1" ht="14.25" x14ac:dyDescent="0.2">
      <c r="A384" s="686" t="s">
        <v>92</v>
      </c>
      <c r="B384" s="687"/>
      <c r="C384" s="687"/>
      <c r="D384" s="543"/>
      <c r="E384" s="543"/>
      <c r="F384" s="543"/>
      <c r="G384" s="543"/>
      <c r="H384" s="547"/>
      <c r="I384" s="547"/>
      <c r="J384" s="547"/>
      <c r="K384" s="547"/>
      <c r="L384" s="547"/>
      <c r="M384" s="547"/>
      <c r="N384" s="547"/>
      <c r="O384" s="547"/>
      <c r="P384" s="543"/>
      <c r="Q384" s="543"/>
      <c r="R384" s="543"/>
      <c r="S384" s="543"/>
      <c r="T384" s="543"/>
      <c r="U384" s="543"/>
      <c r="V384" s="543"/>
      <c r="W384" s="543"/>
      <c r="X384" s="543"/>
      <c r="Y384" s="543"/>
      <c r="Z384" s="543"/>
      <c r="AA384" s="543"/>
      <c r="AB384" s="543"/>
      <c r="AC384" s="543"/>
      <c r="AD384" s="543"/>
      <c r="AE384" s="543"/>
      <c r="AF384" s="543"/>
      <c r="AG384" s="543"/>
      <c r="AH384" s="543"/>
      <c r="AI384" s="543"/>
      <c r="AJ384" s="543"/>
      <c r="AK384" s="543"/>
      <c r="AL384" s="543"/>
      <c r="AM384" s="543"/>
      <c r="AN384" s="543"/>
      <c r="AO384" s="543"/>
      <c r="AP384" s="543"/>
      <c r="AQ384" s="543"/>
      <c r="AR384" s="543"/>
      <c r="AS384" s="493"/>
      <c r="AT384" s="493"/>
      <c r="AU384" s="493"/>
      <c r="AV384" s="493"/>
      <c r="AW384" s="493"/>
      <c r="AX384" s="493"/>
      <c r="AY384" s="493"/>
      <c r="AZ384" s="493"/>
      <c r="BA384" s="493"/>
      <c r="BB384" s="493"/>
      <c r="BC384" s="493"/>
      <c r="BD384" s="493"/>
      <c r="BE384" s="493"/>
      <c r="BF384" s="493"/>
      <c r="BG384" s="493"/>
      <c r="BH384" s="493"/>
      <c r="BI384" s="493"/>
      <c r="BJ384" s="493"/>
      <c r="BK384" s="493"/>
      <c r="BL384" s="493"/>
      <c r="BM384" s="493"/>
      <c r="BN384" s="493"/>
      <c r="BO384" s="493"/>
      <c r="BP384" s="493"/>
      <c r="BQ384" s="493"/>
      <c r="BR384" s="493"/>
      <c r="BS384" s="493"/>
      <c r="BT384" s="493"/>
      <c r="BU384" s="493"/>
      <c r="BV384" s="493"/>
      <c r="BW384" s="493"/>
      <c r="BX384" s="493"/>
      <c r="BY384" s="493"/>
      <c r="BZ384" s="493"/>
      <c r="CA384" s="493"/>
      <c r="CB384" s="493"/>
      <c r="CC384" s="493"/>
      <c r="CD384" s="493"/>
      <c r="CE384" s="493"/>
      <c r="CF384" s="493"/>
      <c r="CG384" s="493"/>
      <c r="CH384" s="493"/>
    </row>
    <row r="385" spans="1:44" x14ac:dyDescent="0.25">
      <c r="A385" s="859" t="s">
        <v>90</v>
      </c>
      <c r="B385" s="860"/>
      <c r="C385" s="860"/>
      <c r="D385" s="860"/>
      <c r="E385" s="860"/>
      <c r="F385" s="860"/>
      <c r="G385" s="860"/>
      <c r="H385" s="860"/>
      <c r="I385" s="861"/>
      <c r="J385" s="868" t="s">
        <v>11</v>
      </c>
      <c r="K385" s="548"/>
      <c r="L385" s="548" t="s">
        <v>5</v>
      </c>
      <c r="M385" s="548"/>
      <c r="N385" s="549"/>
      <c r="O385" s="550"/>
      <c r="P385" s="868" t="s">
        <v>11</v>
      </c>
      <c r="Q385" s="548"/>
      <c r="R385" s="548" t="s">
        <v>5</v>
      </c>
      <c r="S385" s="548"/>
      <c r="T385" s="549"/>
      <c r="U385" s="550"/>
      <c r="V385" s="868" t="s">
        <v>11</v>
      </c>
      <c r="W385" s="548"/>
      <c r="X385" s="548" t="s">
        <v>5</v>
      </c>
      <c r="Y385" s="548"/>
      <c r="Z385" s="549"/>
      <c r="AA385" s="550"/>
      <c r="AB385" s="868" t="s">
        <v>11</v>
      </c>
      <c r="AC385" s="548"/>
      <c r="AD385" s="548" t="s">
        <v>5</v>
      </c>
      <c r="AE385" s="548"/>
      <c r="AF385" s="549"/>
      <c r="AG385" s="550"/>
      <c r="AH385" s="868" t="s">
        <v>11</v>
      </c>
      <c r="AI385" s="548"/>
      <c r="AJ385" s="548" t="s">
        <v>5</v>
      </c>
      <c r="AK385" s="548"/>
      <c r="AL385" s="549"/>
      <c r="AM385" s="550"/>
      <c r="AN385" s="868" t="s">
        <v>11</v>
      </c>
      <c r="AO385" s="548"/>
      <c r="AP385" s="548" t="s">
        <v>5</v>
      </c>
      <c r="AQ385" s="548"/>
      <c r="AR385" s="548"/>
    </row>
    <row r="386" spans="1:44" x14ac:dyDescent="0.25">
      <c r="A386" s="862"/>
      <c r="B386" s="863"/>
      <c r="C386" s="863"/>
      <c r="D386" s="863"/>
      <c r="E386" s="863"/>
      <c r="F386" s="863"/>
      <c r="G386" s="863"/>
      <c r="H386" s="863"/>
      <c r="I386" s="864"/>
      <c r="J386" s="869"/>
      <c r="K386" s="548"/>
      <c r="L386" s="548" t="s">
        <v>8</v>
      </c>
      <c r="M386" s="548"/>
      <c r="N386" s="551"/>
      <c r="O386" s="552"/>
      <c r="P386" s="869"/>
      <c r="Q386" s="548"/>
      <c r="R386" s="548" t="s">
        <v>8</v>
      </c>
      <c r="S386" s="548"/>
      <c r="T386" s="551"/>
      <c r="U386" s="552"/>
      <c r="V386" s="869"/>
      <c r="W386" s="548"/>
      <c r="X386" s="548" t="s">
        <v>8</v>
      </c>
      <c r="Y386" s="548"/>
      <c r="Z386" s="551"/>
      <c r="AA386" s="552"/>
      <c r="AB386" s="869"/>
      <c r="AC386" s="548"/>
      <c r="AD386" s="548" t="s">
        <v>8</v>
      </c>
      <c r="AE386" s="548"/>
      <c r="AF386" s="551"/>
      <c r="AG386" s="552"/>
      <c r="AH386" s="869"/>
      <c r="AI386" s="548"/>
      <c r="AJ386" s="548" t="s">
        <v>8</v>
      </c>
      <c r="AK386" s="548"/>
      <c r="AL386" s="551"/>
      <c r="AM386" s="552"/>
      <c r="AN386" s="869"/>
      <c r="AO386" s="548"/>
      <c r="AP386" s="548" t="s">
        <v>8</v>
      </c>
      <c r="AQ386" s="548"/>
      <c r="AR386" s="548"/>
    </row>
    <row r="387" spans="1:44" x14ac:dyDescent="0.25">
      <c r="A387" s="862"/>
      <c r="B387" s="863"/>
      <c r="C387" s="863"/>
      <c r="D387" s="863"/>
      <c r="E387" s="863"/>
      <c r="F387" s="863"/>
      <c r="G387" s="863"/>
      <c r="H387" s="863"/>
      <c r="I387" s="864"/>
      <c r="J387" s="868" t="s">
        <v>41</v>
      </c>
      <c r="K387" s="548"/>
      <c r="L387" s="548" t="s">
        <v>5</v>
      </c>
      <c r="M387" s="548"/>
      <c r="N387" s="551"/>
      <c r="O387" s="552"/>
      <c r="P387" s="868" t="s">
        <v>41</v>
      </c>
      <c r="Q387" s="548"/>
      <c r="R387" s="548" t="s">
        <v>5</v>
      </c>
      <c r="S387" s="548"/>
      <c r="T387" s="551"/>
      <c r="U387" s="552"/>
      <c r="V387" s="868" t="s">
        <v>41</v>
      </c>
      <c r="W387" s="548">
        <f>W372+W373</f>
        <v>6.3666999999999998</v>
      </c>
      <c r="X387" s="548" t="s">
        <v>5</v>
      </c>
      <c r="Y387" s="548">
        <f>Y372+Y373</f>
        <v>281011.27299999999</v>
      </c>
      <c r="Z387" s="551"/>
      <c r="AA387" s="552"/>
      <c r="AB387" s="868" t="s">
        <v>41</v>
      </c>
      <c r="AC387" s="548"/>
      <c r="AD387" s="548" t="s">
        <v>5</v>
      </c>
      <c r="AE387" s="548"/>
      <c r="AF387" s="551"/>
      <c r="AG387" s="552"/>
      <c r="AH387" s="868" t="s">
        <v>41</v>
      </c>
      <c r="AI387" s="548"/>
      <c r="AJ387" s="548" t="s">
        <v>5</v>
      </c>
      <c r="AK387" s="548"/>
      <c r="AL387" s="551"/>
      <c r="AM387" s="552"/>
      <c r="AN387" s="868" t="s">
        <v>41</v>
      </c>
      <c r="AO387" s="548"/>
      <c r="AP387" s="548" t="s">
        <v>5</v>
      </c>
      <c r="AQ387" s="548"/>
      <c r="AR387" s="548"/>
    </row>
    <row r="388" spans="1:44" x14ac:dyDescent="0.25">
      <c r="A388" s="862"/>
      <c r="B388" s="863"/>
      <c r="C388" s="863"/>
      <c r="D388" s="863"/>
      <c r="E388" s="863"/>
      <c r="F388" s="863"/>
      <c r="G388" s="863"/>
      <c r="H388" s="863"/>
      <c r="I388" s="864"/>
      <c r="J388" s="869"/>
      <c r="K388" s="548"/>
      <c r="L388" s="548" t="s">
        <v>8</v>
      </c>
      <c r="M388" s="548"/>
      <c r="N388" s="551"/>
      <c r="O388" s="552"/>
      <c r="P388" s="869"/>
      <c r="Q388" s="548"/>
      <c r="R388" s="548" t="s">
        <v>8</v>
      </c>
      <c r="S388" s="548"/>
      <c r="T388" s="551"/>
      <c r="U388" s="552"/>
      <c r="V388" s="869"/>
      <c r="W388" s="548">
        <v>50933.599999999999</v>
      </c>
      <c r="X388" s="548" t="s">
        <v>8</v>
      </c>
      <c r="Y388" s="548"/>
      <c r="Z388" s="551"/>
      <c r="AA388" s="552"/>
      <c r="AB388" s="869"/>
      <c r="AC388" s="548"/>
      <c r="AD388" s="548" t="s">
        <v>8</v>
      </c>
      <c r="AE388" s="548"/>
      <c r="AF388" s="551"/>
      <c r="AG388" s="552"/>
      <c r="AH388" s="869"/>
      <c r="AI388" s="548"/>
      <c r="AJ388" s="548" t="s">
        <v>8</v>
      </c>
      <c r="AK388" s="548"/>
      <c r="AL388" s="551"/>
      <c r="AM388" s="552"/>
      <c r="AN388" s="869"/>
      <c r="AO388" s="548"/>
      <c r="AP388" s="548" t="s">
        <v>8</v>
      </c>
      <c r="AQ388" s="548"/>
      <c r="AR388" s="548"/>
    </row>
    <row r="389" spans="1:44" x14ac:dyDescent="0.25">
      <c r="A389" s="862"/>
      <c r="B389" s="863"/>
      <c r="C389" s="863"/>
      <c r="D389" s="863"/>
      <c r="E389" s="863"/>
      <c r="F389" s="863"/>
      <c r="G389" s="863"/>
      <c r="H389" s="863"/>
      <c r="I389" s="864"/>
      <c r="J389" s="868" t="s">
        <v>42</v>
      </c>
      <c r="K389" s="548"/>
      <c r="L389" s="548" t="s">
        <v>5</v>
      </c>
      <c r="M389" s="548"/>
      <c r="N389" s="551"/>
      <c r="O389" s="552"/>
      <c r="P389" s="868" t="s">
        <v>42</v>
      </c>
      <c r="Q389" s="548"/>
      <c r="R389" s="548" t="s">
        <v>5</v>
      </c>
      <c r="S389" s="548"/>
      <c r="T389" s="551"/>
      <c r="U389" s="552"/>
      <c r="V389" s="868" t="s">
        <v>42</v>
      </c>
      <c r="W389" s="548"/>
      <c r="X389" s="548" t="s">
        <v>5</v>
      </c>
      <c r="Y389" s="548"/>
      <c r="Z389" s="551"/>
      <c r="AA389" s="552"/>
      <c r="AB389" s="868" t="s">
        <v>42</v>
      </c>
      <c r="AC389" s="548"/>
      <c r="AD389" s="548" t="s">
        <v>5</v>
      </c>
      <c r="AE389" s="548"/>
      <c r="AF389" s="551"/>
      <c r="AG389" s="552"/>
      <c r="AH389" s="868" t="s">
        <v>42</v>
      </c>
      <c r="AI389" s="548"/>
      <c r="AJ389" s="548" t="s">
        <v>5</v>
      </c>
      <c r="AK389" s="548"/>
      <c r="AL389" s="551"/>
      <c r="AM389" s="552"/>
      <c r="AN389" s="868" t="s">
        <v>42</v>
      </c>
      <c r="AO389" s="548"/>
      <c r="AP389" s="548" t="s">
        <v>5</v>
      </c>
      <c r="AQ389" s="548"/>
      <c r="AR389" s="548"/>
    </row>
    <row r="390" spans="1:44" x14ac:dyDescent="0.25">
      <c r="A390" s="862"/>
      <c r="B390" s="863"/>
      <c r="C390" s="863"/>
      <c r="D390" s="863"/>
      <c r="E390" s="863"/>
      <c r="F390" s="863"/>
      <c r="G390" s="863"/>
      <c r="H390" s="863"/>
      <c r="I390" s="864"/>
      <c r="J390" s="869"/>
      <c r="K390" s="548"/>
      <c r="L390" s="548" t="s">
        <v>8</v>
      </c>
      <c r="M390" s="548"/>
      <c r="N390" s="551"/>
      <c r="O390" s="552"/>
      <c r="P390" s="869"/>
      <c r="Q390" s="548"/>
      <c r="R390" s="548" t="s">
        <v>8</v>
      </c>
      <c r="S390" s="548"/>
      <c r="T390" s="551"/>
      <c r="U390" s="552"/>
      <c r="V390" s="869"/>
      <c r="W390" s="548"/>
      <c r="X390" s="548" t="s">
        <v>8</v>
      </c>
      <c r="Y390" s="548"/>
      <c r="Z390" s="551"/>
      <c r="AA390" s="552"/>
      <c r="AB390" s="869"/>
      <c r="AC390" s="548"/>
      <c r="AD390" s="548" t="s">
        <v>8</v>
      </c>
      <c r="AE390" s="548"/>
      <c r="AF390" s="551"/>
      <c r="AG390" s="552"/>
      <c r="AH390" s="869"/>
      <c r="AI390" s="548"/>
      <c r="AJ390" s="548" t="s">
        <v>8</v>
      </c>
      <c r="AK390" s="548"/>
      <c r="AL390" s="551"/>
      <c r="AM390" s="552"/>
      <c r="AN390" s="869"/>
      <c r="AO390" s="548"/>
      <c r="AP390" s="548" t="s">
        <v>8</v>
      </c>
      <c r="AQ390" s="548"/>
      <c r="AR390" s="548"/>
    </row>
    <row r="391" spans="1:44" x14ac:dyDescent="0.25">
      <c r="A391" s="862"/>
      <c r="B391" s="863"/>
      <c r="C391" s="863"/>
      <c r="D391" s="863"/>
      <c r="E391" s="863"/>
      <c r="F391" s="863"/>
      <c r="G391" s="863"/>
      <c r="H391" s="863"/>
      <c r="I391" s="864"/>
      <c r="J391" s="868" t="s">
        <v>43</v>
      </c>
      <c r="K391" s="548"/>
      <c r="L391" s="548" t="s">
        <v>5</v>
      </c>
      <c r="M391" s="548"/>
      <c r="N391" s="551"/>
      <c r="O391" s="552"/>
      <c r="P391" s="868" t="s">
        <v>43</v>
      </c>
      <c r="Q391" s="548"/>
      <c r="R391" s="548" t="s">
        <v>5</v>
      </c>
      <c r="S391" s="548"/>
      <c r="T391" s="551"/>
      <c r="U391" s="552"/>
      <c r="V391" s="868" t="s">
        <v>43</v>
      </c>
      <c r="W391" s="548"/>
      <c r="X391" s="548" t="s">
        <v>5</v>
      </c>
      <c r="Y391" s="548"/>
      <c r="Z391" s="551"/>
      <c r="AA391" s="552"/>
      <c r="AB391" s="868" t="s">
        <v>43</v>
      </c>
      <c r="AC391" s="548"/>
      <c r="AD391" s="548" t="s">
        <v>5</v>
      </c>
      <c r="AE391" s="548"/>
      <c r="AF391" s="551"/>
      <c r="AG391" s="552"/>
      <c r="AH391" s="868" t="s">
        <v>43</v>
      </c>
      <c r="AI391" s="548"/>
      <c r="AJ391" s="548" t="s">
        <v>5</v>
      </c>
      <c r="AK391" s="548"/>
      <c r="AL391" s="551"/>
      <c r="AM391" s="552"/>
      <c r="AN391" s="868" t="s">
        <v>43</v>
      </c>
      <c r="AO391" s="548"/>
      <c r="AP391" s="548" t="s">
        <v>5</v>
      </c>
      <c r="AQ391" s="548"/>
      <c r="AR391" s="548"/>
    </row>
    <row r="392" spans="1:44" x14ac:dyDescent="0.25">
      <c r="A392" s="862"/>
      <c r="B392" s="863"/>
      <c r="C392" s="863"/>
      <c r="D392" s="863"/>
      <c r="E392" s="863"/>
      <c r="F392" s="863"/>
      <c r="G392" s="863"/>
      <c r="H392" s="863"/>
      <c r="I392" s="864"/>
      <c r="J392" s="869"/>
      <c r="K392" s="548"/>
      <c r="L392" s="548" t="s">
        <v>8</v>
      </c>
      <c r="M392" s="548"/>
      <c r="N392" s="551"/>
      <c r="O392" s="552"/>
      <c r="P392" s="869"/>
      <c r="Q392" s="548"/>
      <c r="R392" s="548" t="s">
        <v>8</v>
      </c>
      <c r="S392" s="548"/>
      <c r="T392" s="551"/>
      <c r="U392" s="552"/>
      <c r="V392" s="869"/>
      <c r="W392" s="548"/>
      <c r="X392" s="548" t="s">
        <v>8</v>
      </c>
      <c r="Y392" s="548"/>
      <c r="Z392" s="551"/>
      <c r="AA392" s="552"/>
      <c r="AB392" s="869"/>
      <c r="AC392" s="548"/>
      <c r="AD392" s="548" t="s">
        <v>8</v>
      </c>
      <c r="AE392" s="548"/>
      <c r="AF392" s="551"/>
      <c r="AG392" s="552"/>
      <c r="AH392" s="869"/>
      <c r="AI392" s="548"/>
      <c r="AJ392" s="548" t="s">
        <v>8</v>
      </c>
      <c r="AK392" s="548"/>
      <c r="AL392" s="551"/>
      <c r="AM392" s="552"/>
      <c r="AN392" s="869"/>
      <c r="AO392" s="548"/>
      <c r="AP392" s="548" t="s">
        <v>8</v>
      </c>
      <c r="AQ392" s="548"/>
      <c r="AR392" s="548"/>
    </row>
    <row r="393" spans="1:44" x14ac:dyDescent="0.25">
      <c r="A393" s="862"/>
      <c r="B393" s="863"/>
      <c r="C393" s="863"/>
      <c r="D393" s="863"/>
      <c r="E393" s="863"/>
      <c r="F393" s="863"/>
      <c r="G393" s="863"/>
      <c r="H393" s="863"/>
      <c r="I393" s="864"/>
      <c r="J393" s="854" t="s">
        <v>12</v>
      </c>
      <c r="K393" s="548">
        <v>27122</v>
      </c>
      <c r="L393" s="548" t="s">
        <v>8</v>
      </c>
      <c r="M393" s="854">
        <f>M374+M376+M380</f>
        <v>8188.7760000000007</v>
      </c>
      <c r="N393" s="551"/>
      <c r="O393" s="552"/>
      <c r="P393" s="854" t="s">
        <v>12</v>
      </c>
      <c r="Q393" s="548">
        <v>27122</v>
      </c>
      <c r="R393" s="548" t="s">
        <v>8</v>
      </c>
      <c r="S393" s="854">
        <f>S374+S376+S380</f>
        <v>8565.9869999999992</v>
      </c>
      <c r="T393" s="551"/>
      <c r="U393" s="552"/>
      <c r="V393" s="868" t="s">
        <v>12</v>
      </c>
      <c r="W393" s="548"/>
      <c r="X393" s="548" t="s">
        <v>8</v>
      </c>
      <c r="Y393" s="854"/>
      <c r="Z393" s="551"/>
      <c r="AA393" s="552"/>
      <c r="AB393" s="854" t="s">
        <v>12</v>
      </c>
      <c r="AC393" s="548"/>
      <c r="AD393" s="548" t="s">
        <v>8</v>
      </c>
      <c r="AE393" s="854"/>
      <c r="AF393" s="551"/>
      <c r="AG393" s="552"/>
      <c r="AH393" s="854" t="s">
        <v>12</v>
      </c>
      <c r="AI393" s="548"/>
      <c r="AJ393" s="548" t="s">
        <v>8</v>
      </c>
      <c r="AK393" s="854"/>
      <c r="AL393" s="551"/>
      <c r="AM393" s="552"/>
      <c r="AN393" s="854" t="s">
        <v>12</v>
      </c>
      <c r="AO393" s="548"/>
      <c r="AP393" s="548" t="s">
        <v>8</v>
      </c>
      <c r="AQ393" s="854"/>
      <c r="AR393" s="854"/>
    </row>
    <row r="394" spans="1:44" x14ac:dyDescent="0.25">
      <c r="A394" s="862"/>
      <c r="B394" s="863"/>
      <c r="C394" s="863"/>
      <c r="D394" s="863"/>
      <c r="E394" s="863"/>
      <c r="F394" s="863"/>
      <c r="G394" s="863"/>
      <c r="H394" s="863"/>
      <c r="I394" s="864"/>
      <c r="J394" s="855"/>
      <c r="K394" s="548">
        <v>68.668000000000006</v>
      </c>
      <c r="L394" s="548" t="s">
        <v>5</v>
      </c>
      <c r="M394" s="855"/>
      <c r="N394" s="551"/>
      <c r="O394" s="552"/>
      <c r="P394" s="855"/>
      <c r="Q394" s="548">
        <v>68.668000000000006</v>
      </c>
      <c r="R394" s="548" t="s">
        <v>5</v>
      </c>
      <c r="S394" s="855"/>
      <c r="T394" s="551"/>
      <c r="U394" s="552"/>
      <c r="V394" s="869"/>
      <c r="W394" s="548"/>
      <c r="X394" s="548" t="s">
        <v>5</v>
      </c>
      <c r="Y394" s="855"/>
      <c r="Z394" s="551"/>
      <c r="AA394" s="552"/>
      <c r="AB394" s="855"/>
      <c r="AC394" s="548"/>
      <c r="AD394" s="548" t="s">
        <v>5</v>
      </c>
      <c r="AE394" s="855"/>
      <c r="AF394" s="551"/>
      <c r="AG394" s="552"/>
      <c r="AH394" s="855"/>
      <c r="AI394" s="548"/>
      <c r="AJ394" s="548" t="s">
        <v>5</v>
      </c>
      <c r="AK394" s="855"/>
      <c r="AL394" s="551"/>
      <c r="AM394" s="552"/>
      <c r="AN394" s="855"/>
      <c r="AO394" s="548"/>
      <c r="AP394" s="548" t="s">
        <v>5</v>
      </c>
      <c r="AQ394" s="855"/>
      <c r="AR394" s="855"/>
    </row>
    <row r="395" spans="1:44" ht="42.75" x14ac:dyDescent="0.25">
      <c r="A395" s="862"/>
      <c r="B395" s="863"/>
      <c r="C395" s="863"/>
      <c r="D395" s="863"/>
      <c r="E395" s="863"/>
      <c r="F395" s="863"/>
      <c r="G395" s="863"/>
      <c r="H395" s="863"/>
      <c r="I395" s="864"/>
      <c r="J395" s="553" t="s">
        <v>13</v>
      </c>
      <c r="K395" s="548"/>
      <c r="L395" s="548" t="s">
        <v>14</v>
      </c>
      <c r="M395" s="548"/>
      <c r="N395" s="551"/>
      <c r="O395" s="552"/>
      <c r="P395" s="553" t="s">
        <v>13</v>
      </c>
      <c r="Q395" s="548"/>
      <c r="R395" s="548" t="s">
        <v>14</v>
      </c>
      <c r="S395" s="548"/>
      <c r="T395" s="551"/>
      <c r="U395" s="552"/>
      <c r="V395" s="553" t="s">
        <v>13</v>
      </c>
      <c r="W395" s="548"/>
      <c r="X395" s="548" t="s">
        <v>14</v>
      </c>
      <c r="Y395" s="548"/>
      <c r="Z395" s="551"/>
      <c r="AA395" s="552"/>
      <c r="AB395" s="553" t="s">
        <v>13</v>
      </c>
      <c r="AC395" s="548"/>
      <c r="AD395" s="548" t="s">
        <v>14</v>
      </c>
      <c r="AE395" s="548"/>
      <c r="AF395" s="551"/>
      <c r="AG395" s="552"/>
      <c r="AH395" s="553" t="s">
        <v>13</v>
      </c>
      <c r="AI395" s="548"/>
      <c r="AJ395" s="548" t="s">
        <v>14</v>
      </c>
      <c r="AK395" s="548"/>
      <c r="AL395" s="551"/>
      <c r="AM395" s="552"/>
      <c r="AN395" s="553" t="s">
        <v>13</v>
      </c>
      <c r="AO395" s="548"/>
      <c r="AP395" s="548" t="s">
        <v>14</v>
      </c>
      <c r="AQ395" s="548"/>
      <c r="AR395" s="548"/>
    </row>
    <row r="396" spans="1:44" ht="28.5" x14ac:dyDescent="0.25">
      <c r="A396" s="862"/>
      <c r="B396" s="863"/>
      <c r="C396" s="863"/>
      <c r="D396" s="863"/>
      <c r="E396" s="863"/>
      <c r="F396" s="863"/>
      <c r="G396" s="863"/>
      <c r="H396" s="863"/>
      <c r="I396" s="864"/>
      <c r="J396" s="553" t="s">
        <v>44</v>
      </c>
      <c r="K396" s="548"/>
      <c r="L396" s="548" t="s">
        <v>14</v>
      </c>
      <c r="M396" s="548"/>
      <c r="N396" s="551"/>
      <c r="O396" s="552"/>
      <c r="P396" s="553" t="s">
        <v>44</v>
      </c>
      <c r="Q396" s="548"/>
      <c r="R396" s="548" t="s">
        <v>14</v>
      </c>
      <c r="S396" s="548"/>
      <c r="T396" s="551"/>
      <c r="U396" s="552"/>
      <c r="V396" s="553" t="s">
        <v>44</v>
      </c>
      <c r="W396" s="548"/>
      <c r="X396" s="548" t="s">
        <v>14</v>
      </c>
      <c r="Y396" s="548"/>
      <c r="Z396" s="551"/>
      <c r="AA396" s="552"/>
      <c r="AB396" s="553" t="s">
        <v>44</v>
      </c>
      <c r="AC396" s="548"/>
      <c r="AD396" s="548" t="s">
        <v>14</v>
      </c>
      <c r="AE396" s="548"/>
      <c r="AF396" s="551"/>
      <c r="AG396" s="552"/>
      <c r="AH396" s="553" t="s">
        <v>44</v>
      </c>
      <c r="AI396" s="548"/>
      <c r="AJ396" s="548" t="s">
        <v>14</v>
      </c>
      <c r="AK396" s="548"/>
      <c r="AL396" s="551"/>
      <c r="AM396" s="552"/>
      <c r="AN396" s="553" t="s">
        <v>44</v>
      </c>
      <c r="AO396" s="548"/>
      <c r="AP396" s="548" t="s">
        <v>14</v>
      </c>
      <c r="AQ396" s="548"/>
      <c r="AR396" s="548"/>
    </row>
    <row r="397" spans="1:44" ht="42.75" x14ac:dyDescent="0.25">
      <c r="A397" s="862"/>
      <c r="B397" s="863"/>
      <c r="C397" s="863"/>
      <c r="D397" s="863"/>
      <c r="E397" s="863"/>
      <c r="F397" s="863"/>
      <c r="G397" s="863"/>
      <c r="H397" s="863"/>
      <c r="I397" s="864"/>
      <c r="J397" s="553" t="s">
        <v>15</v>
      </c>
      <c r="K397" s="548"/>
      <c r="L397" s="548" t="s">
        <v>16</v>
      </c>
      <c r="M397" s="548"/>
      <c r="N397" s="551"/>
      <c r="O397" s="552"/>
      <c r="P397" s="553" t="s">
        <v>15</v>
      </c>
      <c r="Q397" s="548"/>
      <c r="R397" s="548" t="s">
        <v>16</v>
      </c>
      <c r="S397" s="548"/>
      <c r="T397" s="551"/>
      <c r="U397" s="552"/>
      <c r="V397" s="553" t="s">
        <v>15</v>
      </c>
      <c r="W397" s="548"/>
      <c r="X397" s="548" t="s">
        <v>16</v>
      </c>
      <c r="Y397" s="548"/>
      <c r="Z397" s="551"/>
      <c r="AA397" s="552"/>
      <c r="AB397" s="553" t="s">
        <v>15</v>
      </c>
      <c r="AC397" s="548"/>
      <c r="AD397" s="548" t="s">
        <v>16</v>
      </c>
      <c r="AE397" s="548"/>
      <c r="AF397" s="551"/>
      <c r="AG397" s="552"/>
      <c r="AH397" s="553" t="s">
        <v>15</v>
      </c>
      <c r="AI397" s="548"/>
      <c r="AJ397" s="548" t="s">
        <v>16</v>
      </c>
      <c r="AK397" s="548"/>
      <c r="AL397" s="551"/>
      <c r="AM397" s="552"/>
      <c r="AN397" s="553" t="s">
        <v>15</v>
      </c>
      <c r="AO397" s="548"/>
      <c r="AP397" s="548" t="s">
        <v>16</v>
      </c>
      <c r="AQ397" s="548"/>
      <c r="AR397" s="548"/>
    </row>
    <row r="398" spans="1:44" x14ac:dyDescent="0.25">
      <c r="A398" s="862"/>
      <c r="B398" s="863"/>
      <c r="C398" s="863"/>
      <c r="D398" s="863"/>
      <c r="E398" s="863"/>
      <c r="F398" s="863"/>
      <c r="G398" s="863"/>
      <c r="H398" s="863"/>
      <c r="I398" s="864"/>
      <c r="J398" s="553" t="s">
        <v>17</v>
      </c>
      <c r="K398" s="548"/>
      <c r="L398" s="548" t="s">
        <v>8</v>
      </c>
      <c r="M398" s="548"/>
      <c r="N398" s="551"/>
      <c r="O398" s="552"/>
      <c r="P398" s="553" t="s">
        <v>17</v>
      </c>
      <c r="Q398" s="548"/>
      <c r="R398" s="548" t="s">
        <v>8</v>
      </c>
      <c r="S398" s="548"/>
      <c r="T398" s="551"/>
      <c r="U398" s="552"/>
      <c r="V398" s="553" t="s">
        <v>17</v>
      </c>
      <c r="W398" s="548"/>
      <c r="X398" s="548" t="s">
        <v>8</v>
      </c>
      <c r="Y398" s="548"/>
      <c r="Z398" s="551"/>
      <c r="AA398" s="552"/>
      <c r="AB398" s="553" t="s">
        <v>17</v>
      </c>
      <c r="AC398" s="548"/>
      <c r="AD398" s="548" t="s">
        <v>8</v>
      </c>
      <c r="AE398" s="548"/>
      <c r="AF398" s="551"/>
      <c r="AG398" s="552"/>
      <c r="AH398" s="553" t="s">
        <v>17</v>
      </c>
      <c r="AI398" s="548"/>
      <c r="AJ398" s="548" t="s">
        <v>8</v>
      </c>
      <c r="AK398" s="548"/>
      <c r="AL398" s="551"/>
      <c r="AM398" s="552"/>
      <c r="AN398" s="553" t="s">
        <v>17</v>
      </c>
      <c r="AO398" s="548"/>
      <c r="AP398" s="548" t="s">
        <v>8</v>
      </c>
      <c r="AQ398" s="548"/>
      <c r="AR398" s="548"/>
    </row>
    <row r="399" spans="1:44" ht="28.5" x14ac:dyDescent="0.25">
      <c r="A399" s="862"/>
      <c r="B399" s="863"/>
      <c r="C399" s="863"/>
      <c r="D399" s="863"/>
      <c r="E399" s="863"/>
      <c r="F399" s="863"/>
      <c r="G399" s="863"/>
      <c r="H399" s="863"/>
      <c r="I399" s="864"/>
      <c r="J399" s="553" t="s">
        <v>18</v>
      </c>
      <c r="K399" s="548"/>
      <c r="L399" s="548"/>
      <c r="M399" s="548"/>
      <c r="N399" s="551"/>
      <c r="O399" s="552"/>
      <c r="P399" s="553" t="s">
        <v>18</v>
      </c>
      <c r="Q399" s="548"/>
      <c r="R399" s="548"/>
      <c r="S399" s="548"/>
      <c r="T399" s="551"/>
      <c r="U399" s="552"/>
      <c r="V399" s="553" t="s">
        <v>18</v>
      </c>
      <c r="W399" s="548"/>
      <c r="X399" s="548"/>
      <c r="Y399" s="548"/>
      <c r="Z399" s="551"/>
      <c r="AA399" s="552"/>
      <c r="AB399" s="553" t="s">
        <v>18</v>
      </c>
      <c r="AC399" s="548"/>
      <c r="AD399" s="548"/>
      <c r="AE399" s="548"/>
      <c r="AF399" s="551"/>
      <c r="AG399" s="552"/>
      <c r="AH399" s="553" t="s">
        <v>18</v>
      </c>
      <c r="AI399" s="548"/>
      <c r="AJ399" s="548"/>
      <c r="AK399" s="548"/>
      <c r="AL399" s="551"/>
      <c r="AM399" s="552"/>
      <c r="AN399" s="553" t="s">
        <v>18</v>
      </c>
      <c r="AO399" s="548"/>
      <c r="AP399" s="548"/>
      <c r="AQ399" s="548"/>
      <c r="AR399" s="548"/>
    </row>
    <row r="400" spans="1:44" ht="42.75" x14ac:dyDescent="0.25">
      <c r="A400" s="862"/>
      <c r="B400" s="863"/>
      <c r="C400" s="863"/>
      <c r="D400" s="863"/>
      <c r="E400" s="863"/>
      <c r="F400" s="863"/>
      <c r="G400" s="863"/>
      <c r="H400" s="863"/>
      <c r="I400" s="864"/>
      <c r="J400" s="553" t="s">
        <v>46</v>
      </c>
      <c r="K400" s="548"/>
      <c r="L400" s="548" t="s">
        <v>16</v>
      </c>
      <c r="M400" s="548"/>
      <c r="N400" s="551"/>
      <c r="O400" s="554"/>
      <c r="P400" s="553" t="s">
        <v>46</v>
      </c>
      <c r="Q400" s="548"/>
      <c r="R400" s="548" t="s">
        <v>16</v>
      </c>
      <c r="S400" s="548"/>
      <c r="T400" s="551"/>
      <c r="U400" s="554"/>
      <c r="V400" s="553" t="s">
        <v>46</v>
      </c>
      <c r="W400" s="548"/>
      <c r="X400" s="548" t="s">
        <v>16</v>
      </c>
      <c r="Y400" s="548"/>
      <c r="Z400" s="551"/>
      <c r="AA400" s="554"/>
      <c r="AB400" s="553" t="s">
        <v>46</v>
      </c>
      <c r="AC400" s="548"/>
      <c r="AD400" s="548" t="s">
        <v>16</v>
      </c>
      <c r="AE400" s="548"/>
      <c r="AF400" s="551"/>
      <c r="AG400" s="554"/>
      <c r="AH400" s="553" t="s">
        <v>46</v>
      </c>
      <c r="AI400" s="548"/>
      <c r="AJ400" s="548" t="s">
        <v>16</v>
      </c>
      <c r="AK400" s="548"/>
      <c r="AL400" s="551"/>
      <c r="AM400" s="554"/>
      <c r="AN400" s="553" t="s">
        <v>46</v>
      </c>
      <c r="AO400" s="548"/>
      <c r="AP400" s="548" t="s">
        <v>16</v>
      </c>
      <c r="AQ400" s="548"/>
      <c r="AR400" s="548"/>
    </row>
    <row r="401" spans="1:86" x14ac:dyDescent="0.25">
      <c r="A401" s="865"/>
      <c r="B401" s="866"/>
      <c r="C401" s="866"/>
      <c r="D401" s="866"/>
      <c r="E401" s="866"/>
      <c r="F401" s="866"/>
      <c r="G401" s="866"/>
      <c r="H401" s="866"/>
      <c r="I401" s="867"/>
      <c r="J401" s="553" t="s">
        <v>45</v>
      </c>
      <c r="K401" s="548"/>
      <c r="L401" s="548"/>
      <c r="M401" s="548"/>
      <c r="N401" s="551"/>
      <c r="O401" s="554"/>
      <c r="P401" s="553" t="s">
        <v>45</v>
      </c>
      <c r="Q401" s="548"/>
      <c r="R401" s="548"/>
      <c r="S401" s="548"/>
      <c r="T401" s="551"/>
      <c r="U401" s="554"/>
      <c r="V401" s="553" t="s">
        <v>45</v>
      </c>
      <c r="W401" s="548"/>
      <c r="X401" s="548"/>
      <c r="Y401" s="548"/>
      <c r="Z401" s="551"/>
      <c r="AA401" s="554"/>
      <c r="AB401" s="553" t="s">
        <v>45</v>
      </c>
      <c r="AC401" s="548"/>
      <c r="AD401" s="548"/>
      <c r="AE401" s="548"/>
      <c r="AF401" s="551"/>
      <c r="AG401" s="554"/>
      <c r="AH401" s="553" t="s">
        <v>45</v>
      </c>
      <c r="AI401" s="548"/>
      <c r="AJ401" s="548"/>
      <c r="AK401" s="548"/>
      <c r="AL401" s="551"/>
      <c r="AM401" s="554"/>
      <c r="AN401" s="553" t="s">
        <v>45</v>
      </c>
      <c r="AO401" s="548"/>
      <c r="AP401" s="548"/>
      <c r="AQ401" s="548"/>
      <c r="AR401" s="548"/>
    </row>
    <row r="402" spans="1:86" x14ac:dyDescent="0.25">
      <c r="A402" s="856" t="s">
        <v>1247</v>
      </c>
      <c r="B402" s="857"/>
      <c r="C402" s="857"/>
      <c r="D402" s="857"/>
      <c r="E402" s="857"/>
      <c r="F402" s="857"/>
      <c r="G402" s="857"/>
      <c r="H402" s="857"/>
      <c r="I402" s="857"/>
      <c r="J402" s="857"/>
      <c r="K402" s="857"/>
      <c r="L402" s="857"/>
      <c r="M402" s="857"/>
      <c r="N402" s="857"/>
      <c r="O402" s="857"/>
      <c r="P402" s="857"/>
      <c r="Q402" s="857"/>
      <c r="R402" s="858"/>
      <c r="S402" s="133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</row>
    <row r="403" spans="1:86" s="556" customFormat="1" ht="33" customHeight="1" x14ac:dyDescent="0.2">
      <c r="A403" s="686" t="s">
        <v>1248</v>
      </c>
      <c r="B403" s="687"/>
      <c r="C403" s="688"/>
      <c r="D403" s="402"/>
      <c r="E403" s="402"/>
      <c r="F403" s="402"/>
      <c r="G403" s="402"/>
      <c r="H403" s="402"/>
      <c r="I403" s="402"/>
      <c r="J403" s="402"/>
      <c r="K403" s="402"/>
      <c r="L403" s="402"/>
      <c r="M403" s="462">
        <v>140000</v>
      </c>
      <c r="N403" s="402"/>
      <c r="O403" s="402"/>
      <c r="P403" s="402"/>
      <c r="Q403" s="402"/>
      <c r="R403" s="402" t="s">
        <v>5</v>
      </c>
      <c r="S403" s="462">
        <v>140000</v>
      </c>
      <c r="T403" s="402"/>
      <c r="U403" s="402"/>
      <c r="V403" s="402"/>
      <c r="W403" s="402"/>
      <c r="X403" s="402" t="s">
        <v>5</v>
      </c>
      <c r="Y403" s="402">
        <v>140000</v>
      </c>
      <c r="Z403" s="402"/>
      <c r="AA403" s="402"/>
      <c r="AB403" s="402"/>
      <c r="AC403" s="402"/>
      <c r="AD403" s="402" t="s">
        <v>5</v>
      </c>
      <c r="AE403" s="462">
        <v>140000</v>
      </c>
      <c r="AF403" s="402"/>
      <c r="AG403" s="402"/>
      <c r="AH403" s="402"/>
      <c r="AI403" s="402"/>
      <c r="AJ403" s="402" t="s">
        <v>5</v>
      </c>
      <c r="AK403" s="462">
        <v>140000</v>
      </c>
      <c r="AL403" s="402"/>
      <c r="AM403" s="402"/>
      <c r="AN403" s="402"/>
      <c r="AO403" s="402"/>
      <c r="AP403" s="402"/>
      <c r="AQ403" s="462">
        <v>140000</v>
      </c>
      <c r="AR403" s="402"/>
      <c r="AS403" s="555"/>
      <c r="AT403" s="555"/>
      <c r="AU403" s="555"/>
      <c r="AV403" s="555"/>
      <c r="AW403" s="555"/>
      <c r="AX403" s="555"/>
      <c r="AY403" s="555"/>
      <c r="AZ403" s="555"/>
      <c r="BA403" s="555"/>
      <c r="BB403" s="555"/>
      <c r="BC403" s="555"/>
      <c r="BD403" s="555"/>
      <c r="BE403" s="555"/>
      <c r="BF403" s="555"/>
      <c r="BG403" s="555"/>
      <c r="BH403" s="555"/>
      <c r="BI403" s="555"/>
      <c r="BJ403" s="555"/>
      <c r="BK403" s="555"/>
      <c r="BL403" s="555"/>
      <c r="BM403" s="555"/>
      <c r="BN403" s="555"/>
      <c r="BO403" s="555"/>
      <c r="BP403" s="555"/>
      <c r="BQ403" s="555"/>
      <c r="BR403" s="555"/>
      <c r="BS403" s="555"/>
      <c r="BT403" s="555"/>
      <c r="BU403" s="555"/>
      <c r="BV403" s="555"/>
      <c r="BW403" s="555"/>
      <c r="BX403" s="555"/>
      <c r="BY403" s="555"/>
      <c r="BZ403" s="555"/>
      <c r="CA403" s="555"/>
      <c r="CB403" s="555"/>
      <c r="CC403" s="555"/>
      <c r="CD403" s="555"/>
      <c r="CE403" s="555"/>
      <c r="CF403" s="555"/>
      <c r="CG403" s="555"/>
      <c r="CH403" s="555"/>
    </row>
    <row r="404" spans="1:86" x14ac:dyDescent="0.25">
      <c r="A404" s="870" t="s">
        <v>20</v>
      </c>
      <c r="B404" s="871"/>
      <c r="C404" s="871"/>
      <c r="D404" s="871"/>
      <c r="E404" s="871"/>
      <c r="F404" s="871"/>
      <c r="G404" s="871"/>
      <c r="H404" s="871"/>
      <c r="I404" s="872"/>
      <c r="J404" s="879" t="s">
        <v>11</v>
      </c>
      <c r="K404" s="557"/>
      <c r="L404" s="557" t="s">
        <v>5</v>
      </c>
      <c r="M404" s="557"/>
      <c r="N404" s="558"/>
      <c r="O404" s="559"/>
      <c r="P404" s="879" t="s">
        <v>11</v>
      </c>
      <c r="Q404" s="557"/>
      <c r="R404" s="557" t="s">
        <v>5</v>
      </c>
      <c r="S404" s="560"/>
      <c r="T404" s="558"/>
      <c r="U404" s="559"/>
      <c r="V404" s="879" t="s">
        <v>11</v>
      </c>
      <c r="W404" s="557"/>
      <c r="X404" s="557" t="s">
        <v>5</v>
      </c>
      <c r="Y404" s="557"/>
      <c r="Z404" s="558"/>
      <c r="AA404" s="559"/>
      <c r="AB404" s="879" t="s">
        <v>11</v>
      </c>
      <c r="AC404" s="557"/>
      <c r="AD404" s="557" t="s">
        <v>5</v>
      </c>
      <c r="AE404" s="557"/>
      <c r="AF404" s="558"/>
      <c r="AG404" s="559"/>
      <c r="AH404" s="879" t="s">
        <v>11</v>
      </c>
      <c r="AI404" s="557"/>
      <c r="AJ404" s="557" t="s">
        <v>5</v>
      </c>
      <c r="AK404" s="557"/>
      <c r="AL404" s="558"/>
      <c r="AM404" s="559"/>
      <c r="AN404" s="879" t="s">
        <v>11</v>
      </c>
      <c r="AO404" s="557"/>
      <c r="AP404" s="557" t="s">
        <v>5</v>
      </c>
      <c r="AQ404" s="557"/>
      <c r="AR404" s="557"/>
    </row>
    <row r="405" spans="1:86" x14ac:dyDescent="0.25">
      <c r="A405" s="873"/>
      <c r="B405" s="874"/>
      <c r="C405" s="874"/>
      <c r="D405" s="874"/>
      <c r="E405" s="874"/>
      <c r="F405" s="874"/>
      <c r="G405" s="874"/>
      <c r="H405" s="874"/>
      <c r="I405" s="875"/>
      <c r="J405" s="880"/>
      <c r="K405" s="557">
        <v>17220</v>
      </c>
      <c r="L405" s="557" t="s">
        <v>8</v>
      </c>
      <c r="M405" s="557"/>
      <c r="N405" s="561"/>
      <c r="O405" s="562"/>
      <c r="P405" s="880"/>
      <c r="Q405" s="557">
        <v>18516</v>
      </c>
      <c r="R405" s="557" t="s">
        <v>8</v>
      </c>
      <c r="S405" s="560"/>
      <c r="T405" s="561"/>
      <c r="U405" s="562"/>
      <c r="V405" s="880"/>
      <c r="W405" s="557">
        <v>20235</v>
      </c>
      <c r="X405" s="557" t="s">
        <v>8</v>
      </c>
      <c r="Y405" s="557"/>
      <c r="Z405" s="561"/>
      <c r="AA405" s="562"/>
      <c r="AB405" s="880"/>
      <c r="AC405" s="557">
        <v>25635</v>
      </c>
      <c r="AD405" s="557" t="s">
        <v>8</v>
      </c>
      <c r="AE405" s="557"/>
      <c r="AF405" s="561"/>
      <c r="AG405" s="562"/>
      <c r="AH405" s="880"/>
      <c r="AI405" s="557">
        <v>95402</v>
      </c>
      <c r="AJ405" s="557" t="s">
        <v>8</v>
      </c>
      <c r="AK405" s="557"/>
      <c r="AL405" s="561"/>
      <c r="AM405" s="562"/>
      <c r="AN405" s="880"/>
      <c r="AO405" s="557">
        <v>91020</v>
      </c>
      <c r="AP405" s="557" t="s">
        <v>8</v>
      </c>
      <c r="AQ405" s="557"/>
      <c r="AR405" s="557"/>
    </row>
    <row r="406" spans="1:86" x14ac:dyDescent="0.25">
      <c r="A406" s="873"/>
      <c r="B406" s="874"/>
      <c r="C406" s="874"/>
      <c r="D406" s="874"/>
      <c r="E406" s="874"/>
      <c r="F406" s="874"/>
      <c r="G406" s="874"/>
      <c r="H406" s="874"/>
      <c r="I406" s="875"/>
      <c r="J406" s="879" t="s">
        <v>41</v>
      </c>
      <c r="K406" s="557"/>
      <c r="L406" s="557" t="s">
        <v>5</v>
      </c>
      <c r="M406" s="557"/>
      <c r="N406" s="561"/>
      <c r="O406" s="562"/>
      <c r="P406" s="879" t="s">
        <v>41</v>
      </c>
      <c r="Q406" s="557"/>
      <c r="R406" s="557" t="s">
        <v>5</v>
      </c>
      <c r="S406" s="560"/>
      <c r="T406" s="561"/>
      <c r="U406" s="562"/>
      <c r="V406" s="879" t="s">
        <v>41</v>
      </c>
      <c r="W406" s="557"/>
      <c r="X406" s="557" t="s">
        <v>5</v>
      </c>
      <c r="Y406" s="557"/>
      <c r="Z406" s="561"/>
      <c r="AA406" s="562"/>
      <c r="AB406" s="879" t="s">
        <v>41</v>
      </c>
      <c r="AC406" s="557"/>
      <c r="AD406" s="557" t="s">
        <v>5</v>
      </c>
      <c r="AE406" s="557"/>
      <c r="AF406" s="561"/>
      <c r="AG406" s="562"/>
      <c r="AH406" s="879" t="s">
        <v>41</v>
      </c>
      <c r="AI406" s="557"/>
      <c r="AJ406" s="557" t="s">
        <v>5</v>
      </c>
      <c r="AK406" s="557"/>
      <c r="AL406" s="561"/>
      <c r="AM406" s="562"/>
      <c r="AN406" s="879" t="s">
        <v>41</v>
      </c>
      <c r="AO406" s="557"/>
      <c r="AP406" s="557" t="s">
        <v>5</v>
      </c>
      <c r="AQ406" s="557"/>
      <c r="AR406" s="557"/>
    </row>
    <row r="407" spans="1:86" x14ac:dyDescent="0.25">
      <c r="A407" s="873"/>
      <c r="B407" s="874"/>
      <c r="C407" s="874"/>
      <c r="D407" s="874"/>
      <c r="E407" s="874"/>
      <c r="F407" s="874"/>
      <c r="G407" s="874"/>
      <c r="H407" s="874"/>
      <c r="I407" s="875"/>
      <c r="J407" s="880"/>
      <c r="K407" s="557"/>
      <c r="L407" s="557" t="s">
        <v>8</v>
      </c>
      <c r="M407" s="557"/>
      <c r="N407" s="561"/>
      <c r="O407" s="562"/>
      <c r="P407" s="880"/>
      <c r="Q407" s="557"/>
      <c r="R407" s="557" t="s">
        <v>8</v>
      </c>
      <c r="S407" s="560"/>
      <c r="T407" s="561"/>
      <c r="U407" s="562"/>
      <c r="V407" s="880"/>
      <c r="W407" s="557"/>
      <c r="X407" s="557" t="s">
        <v>8</v>
      </c>
      <c r="Y407" s="557"/>
      <c r="Z407" s="561"/>
      <c r="AA407" s="562"/>
      <c r="AB407" s="880"/>
      <c r="AC407" s="557"/>
      <c r="AD407" s="557" t="s">
        <v>8</v>
      </c>
      <c r="AE407" s="557"/>
      <c r="AF407" s="561"/>
      <c r="AG407" s="562"/>
      <c r="AH407" s="880"/>
      <c r="AI407" s="557"/>
      <c r="AJ407" s="557" t="s">
        <v>8</v>
      </c>
      <c r="AK407" s="557"/>
      <c r="AL407" s="561"/>
      <c r="AM407" s="562"/>
      <c r="AN407" s="880"/>
      <c r="AO407" s="557"/>
      <c r="AP407" s="557" t="s">
        <v>8</v>
      </c>
      <c r="AQ407" s="557"/>
      <c r="AR407" s="557"/>
    </row>
    <row r="408" spans="1:86" x14ac:dyDescent="0.25">
      <c r="A408" s="873"/>
      <c r="B408" s="874"/>
      <c r="C408" s="874"/>
      <c r="D408" s="874"/>
      <c r="E408" s="874"/>
      <c r="F408" s="874"/>
      <c r="G408" s="874"/>
      <c r="H408" s="874"/>
      <c r="I408" s="875"/>
      <c r="J408" s="879" t="s">
        <v>42</v>
      </c>
      <c r="K408" s="557"/>
      <c r="L408" s="557" t="s">
        <v>5</v>
      </c>
      <c r="M408" s="557"/>
      <c r="N408" s="561"/>
      <c r="O408" s="562"/>
      <c r="P408" s="879" t="s">
        <v>42</v>
      </c>
      <c r="Q408" s="557"/>
      <c r="R408" s="557" t="s">
        <v>5</v>
      </c>
      <c r="S408" s="560"/>
      <c r="T408" s="561"/>
      <c r="U408" s="562"/>
      <c r="V408" s="879" t="s">
        <v>42</v>
      </c>
      <c r="W408" s="557"/>
      <c r="X408" s="557" t="s">
        <v>5</v>
      </c>
      <c r="Y408" s="557"/>
      <c r="Z408" s="561"/>
      <c r="AA408" s="562"/>
      <c r="AB408" s="879" t="s">
        <v>42</v>
      </c>
      <c r="AC408" s="557"/>
      <c r="AD408" s="557" t="s">
        <v>5</v>
      </c>
      <c r="AE408" s="557"/>
      <c r="AF408" s="561"/>
      <c r="AG408" s="562"/>
      <c r="AH408" s="879" t="s">
        <v>42</v>
      </c>
      <c r="AI408" s="557"/>
      <c r="AJ408" s="557" t="s">
        <v>5</v>
      </c>
      <c r="AK408" s="557"/>
      <c r="AL408" s="561"/>
      <c r="AM408" s="562"/>
      <c r="AN408" s="879" t="s">
        <v>42</v>
      </c>
      <c r="AO408" s="557"/>
      <c r="AP408" s="557" t="s">
        <v>5</v>
      </c>
      <c r="AQ408" s="557"/>
      <c r="AR408" s="557"/>
    </row>
    <row r="409" spans="1:86" x14ac:dyDescent="0.25">
      <c r="A409" s="873"/>
      <c r="B409" s="874"/>
      <c r="C409" s="874"/>
      <c r="D409" s="874"/>
      <c r="E409" s="874"/>
      <c r="F409" s="874"/>
      <c r="G409" s="874"/>
      <c r="H409" s="874"/>
      <c r="I409" s="875"/>
      <c r="J409" s="880"/>
      <c r="K409" s="557"/>
      <c r="L409" s="557" t="s">
        <v>8</v>
      </c>
      <c r="M409" s="557"/>
      <c r="N409" s="561"/>
      <c r="O409" s="562"/>
      <c r="P409" s="880"/>
      <c r="Q409" s="557"/>
      <c r="R409" s="557" t="s">
        <v>8</v>
      </c>
      <c r="S409" s="560"/>
      <c r="T409" s="561"/>
      <c r="U409" s="562"/>
      <c r="V409" s="880"/>
      <c r="W409" s="557"/>
      <c r="X409" s="557" t="s">
        <v>8</v>
      </c>
      <c r="Y409" s="557"/>
      <c r="Z409" s="561"/>
      <c r="AA409" s="562"/>
      <c r="AB409" s="880"/>
      <c r="AC409" s="557"/>
      <c r="AD409" s="557" t="s">
        <v>8</v>
      </c>
      <c r="AE409" s="557"/>
      <c r="AF409" s="561"/>
      <c r="AG409" s="562"/>
      <c r="AH409" s="880"/>
      <c r="AI409" s="557"/>
      <c r="AJ409" s="557" t="s">
        <v>8</v>
      </c>
      <c r="AK409" s="557"/>
      <c r="AL409" s="561"/>
      <c r="AM409" s="562"/>
      <c r="AN409" s="880"/>
      <c r="AO409" s="557"/>
      <c r="AP409" s="557" t="s">
        <v>8</v>
      </c>
      <c r="AQ409" s="557"/>
      <c r="AR409" s="557"/>
    </row>
    <row r="410" spans="1:86" x14ac:dyDescent="0.25">
      <c r="A410" s="873"/>
      <c r="B410" s="874"/>
      <c r="C410" s="874"/>
      <c r="D410" s="874"/>
      <c r="E410" s="874"/>
      <c r="F410" s="874"/>
      <c r="G410" s="874"/>
      <c r="H410" s="874"/>
      <c r="I410" s="875"/>
      <c r="J410" s="879" t="s">
        <v>43</v>
      </c>
      <c r="K410" s="557"/>
      <c r="L410" s="557" t="s">
        <v>5</v>
      </c>
      <c r="M410" s="557"/>
      <c r="N410" s="561"/>
      <c r="O410" s="562"/>
      <c r="P410" s="879" t="s">
        <v>43</v>
      </c>
      <c r="Q410" s="557"/>
      <c r="R410" s="557" t="s">
        <v>5</v>
      </c>
      <c r="S410" s="560"/>
      <c r="T410" s="561"/>
      <c r="U410" s="562"/>
      <c r="V410" s="879" t="s">
        <v>43</v>
      </c>
      <c r="W410" s="557"/>
      <c r="X410" s="557" t="s">
        <v>5</v>
      </c>
      <c r="Y410" s="557"/>
      <c r="Z410" s="561"/>
      <c r="AA410" s="562"/>
      <c r="AB410" s="879" t="s">
        <v>43</v>
      </c>
      <c r="AC410" s="557"/>
      <c r="AD410" s="557" t="s">
        <v>5</v>
      </c>
      <c r="AE410" s="557"/>
      <c r="AF410" s="561"/>
      <c r="AG410" s="562"/>
      <c r="AH410" s="879" t="s">
        <v>43</v>
      </c>
      <c r="AI410" s="557"/>
      <c r="AJ410" s="557" t="s">
        <v>5</v>
      </c>
      <c r="AK410" s="557"/>
      <c r="AL410" s="561"/>
      <c r="AM410" s="562"/>
      <c r="AN410" s="879" t="s">
        <v>43</v>
      </c>
      <c r="AO410" s="557"/>
      <c r="AP410" s="557" t="s">
        <v>5</v>
      </c>
      <c r="AQ410" s="557"/>
      <c r="AR410" s="557"/>
    </row>
    <row r="411" spans="1:86" x14ac:dyDescent="0.25">
      <c r="A411" s="873"/>
      <c r="B411" s="874"/>
      <c r="C411" s="874"/>
      <c r="D411" s="874"/>
      <c r="E411" s="874"/>
      <c r="F411" s="874"/>
      <c r="G411" s="874"/>
      <c r="H411" s="874"/>
      <c r="I411" s="875"/>
      <c r="J411" s="880"/>
      <c r="K411" s="557"/>
      <c r="L411" s="557" t="s">
        <v>8</v>
      </c>
      <c r="M411" s="557"/>
      <c r="N411" s="561"/>
      <c r="O411" s="562"/>
      <c r="P411" s="880"/>
      <c r="Q411" s="557"/>
      <c r="R411" s="557" t="s">
        <v>8</v>
      </c>
      <c r="S411" s="560"/>
      <c r="T411" s="561"/>
      <c r="U411" s="562"/>
      <c r="V411" s="880"/>
      <c r="W411" s="557"/>
      <c r="X411" s="557" t="s">
        <v>8</v>
      </c>
      <c r="Y411" s="557"/>
      <c r="Z411" s="561"/>
      <c r="AA411" s="562"/>
      <c r="AB411" s="880"/>
      <c r="AC411" s="557"/>
      <c r="AD411" s="557" t="s">
        <v>8</v>
      </c>
      <c r="AE411" s="557"/>
      <c r="AF411" s="561"/>
      <c r="AG411" s="562"/>
      <c r="AH411" s="880"/>
      <c r="AI411" s="557"/>
      <c r="AJ411" s="557" t="s">
        <v>8</v>
      </c>
      <c r="AK411" s="557"/>
      <c r="AL411" s="561"/>
      <c r="AM411" s="562"/>
      <c r="AN411" s="880"/>
      <c r="AO411" s="557"/>
      <c r="AP411" s="557" t="s">
        <v>8</v>
      </c>
      <c r="AQ411" s="557"/>
      <c r="AR411" s="557"/>
    </row>
    <row r="412" spans="1:86" x14ac:dyDescent="0.25">
      <c r="A412" s="873"/>
      <c r="B412" s="874"/>
      <c r="C412" s="874"/>
      <c r="D412" s="874"/>
      <c r="E412" s="874"/>
      <c r="F412" s="874"/>
      <c r="G412" s="874"/>
      <c r="H412" s="874"/>
      <c r="I412" s="875"/>
      <c r="J412" s="881" t="s">
        <v>12</v>
      </c>
      <c r="K412" s="557">
        <v>1207</v>
      </c>
      <c r="L412" s="557" t="s">
        <v>8</v>
      </c>
      <c r="M412" s="881"/>
      <c r="N412" s="561"/>
      <c r="O412" s="562"/>
      <c r="P412" s="881" t="s">
        <v>12</v>
      </c>
      <c r="Q412" s="557">
        <v>1148</v>
      </c>
      <c r="R412" s="557" t="s">
        <v>8</v>
      </c>
      <c r="S412" s="883"/>
      <c r="T412" s="561"/>
      <c r="U412" s="562"/>
      <c r="V412" s="881" t="s">
        <v>12</v>
      </c>
      <c r="W412" s="557">
        <v>4999</v>
      </c>
      <c r="X412" s="557" t="s">
        <v>8</v>
      </c>
      <c r="Y412" s="881"/>
      <c r="Z412" s="561"/>
      <c r="AA412" s="562"/>
      <c r="AB412" s="881" t="s">
        <v>12</v>
      </c>
      <c r="AC412" s="557">
        <v>3512</v>
      </c>
      <c r="AD412" s="557" t="s">
        <v>8</v>
      </c>
      <c r="AE412" s="881"/>
      <c r="AF412" s="561"/>
      <c r="AG412" s="562"/>
      <c r="AH412" s="881" t="s">
        <v>12</v>
      </c>
      <c r="AI412" s="557">
        <v>4987</v>
      </c>
      <c r="AJ412" s="557" t="s">
        <v>8</v>
      </c>
      <c r="AK412" s="881"/>
      <c r="AL412" s="561"/>
      <c r="AM412" s="562"/>
      <c r="AN412" s="881" t="s">
        <v>12</v>
      </c>
      <c r="AO412" s="557">
        <v>5142</v>
      </c>
      <c r="AP412" s="557" t="s">
        <v>8</v>
      </c>
      <c r="AQ412" s="881"/>
      <c r="AR412" s="881"/>
    </row>
    <row r="413" spans="1:86" x14ac:dyDescent="0.25">
      <c r="A413" s="873"/>
      <c r="B413" s="874"/>
      <c r="C413" s="874"/>
      <c r="D413" s="874"/>
      <c r="E413" s="874"/>
      <c r="F413" s="874"/>
      <c r="G413" s="874"/>
      <c r="H413" s="874"/>
      <c r="I413" s="875"/>
      <c r="J413" s="882"/>
      <c r="K413" s="557"/>
      <c r="L413" s="557" t="s">
        <v>5</v>
      </c>
      <c r="M413" s="882"/>
      <c r="N413" s="561"/>
      <c r="O413" s="562"/>
      <c r="P413" s="882"/>
      <c r="Q413" s="557"/>
      <c r="R413" s="557" t="s">
        <v>5</v>
      </c>
      <c r="S413" s="884"/>
      <c r="T413" s="561"/>
      <c r="U413" s="562"/>
      <c r="V413" s="882"/>
      <c r="W413" s="557"/>
      <c r="X413" s="557" t="s">
        <v>5</v>
      </c>
      <c r="Y413" s="882"/>
      <c r="Z413" s="561"/>
      <c r="AA413" s="562"/>
      <c r="AB413" s="882"/>
      <c r="AC413" s="557"/>
      <c r="AD413" s="557" t="s">
        <v>5</v>
      </c>
      <c r="AE413" s="882"/>
      <c r="AF413" s="561"/>
      <c r="AG413" s="562"/>
      <c r="AH413" s="882"/>
      <c r="AI413" s="557"/>
      <c r="AJ413" s="557" t="s">
        <v>5</v>
      </c>
      <c r="AK413" s="882"/>
      <c r="AL413" s="561"/>
      <c r="AM413" s="562"/>
      <c r="AN413" s="882"/>
      <c r="AO413" s="557"/>
      <c r="AP413" s="557" t="s">
        <v>5</v>
      </c>
      <c r="AQ413" s="882"/>
      <c r="AR413" s="882"/>
    </row>
    <row r="414" spans="1:86" ht="45" x14ac:dyDescent="0.25">
      <c r="A414" s="873"/>
      <c r="B414" s="874"/>
      <c r="C414" s="874"/>
      <c r="D414" s="874"/>
      <c r="E414" s="874"/>
      <c r="F414" s="874"/>
      <c r="G414" s="874"/>
      <c r="H414" s="874"/>
      <c r="I414" s="875"/>
      <c r="J414" s="563" t="s">
        <v>13</v>
      </c>
      <c r="K414" s="557">
        <v>5</v>
      </c>
      <c r="L414" s="557" t="s">
        <v>14</v>
      </c>
      <c r="M414" s="557"/>
      <c r="N414" s="561"/>
      <c r="O414" s="562"/>
      <c r="P414" s="563" t="s">
        <v>13</v>
      </c>
      <c r="Q414" s="557">
        <v>7</v>
      </c>
      <c r="R414" s="557" t="s">
        <v>14</v>
      </c>
      <c r="S414" s="560"/>
      <c r="T414" s="561"/>
      <c r="U414" s="562"/>
      <c r="V414" s="563" t="s">
        <v>13</v>
      </c>
      <c r="W414" s="557">
        <v>9</v>
      </c>
      <c r="X414" s="557" t="s">
        <v>14</v>
      </c>
      <c r="Y414" s="557"/>
      <c r="Z414" s="561"/>
      <c r="AA414" s="562"/>
      <c r="AB414" s="563" t="s">
        <v>13</v>
      </c>
      <c r="AC414" s="557">
        <v>14</v>
      </c>
      <c r="AD414" s="557" t="s">
        <v>14</v>
      </c>
      <c r="AE414" s="557"/>
      <c r="AF414" s="561"/>
      <c r="AG414" s="562"/>
      <c r="AH414" s="563" t="s">
        <v>13</v>
      </c>
      <c r="AI414" s="557">
        <v>9</v>
      </c>
      <c r="AJ414" s="557" t="s">
        <v>14</v>
      </c>
      <c r="AK414" s="557"/>
      <c r="AL414" s="561"/>
      <c r="AM414" s="562"/>
      <c r="AN414" s="563" t="s">
        <v>13</v>
      </c>
      <c r="AO414" s="557">
        <v>17</v>
      </c>
      <c r="AP414" s="557" t="s">
        <v>14</v>
      </c>
      <c r="AQ414" s="557"/>
      <c r="AR414" s="557"/>
    </row>
    <row r="415" spans="1:86" ht="30" x14ac:dyDescent="0.25">
      <c r="A415" s="873"/>
      <c r="B415" s="874"/>
      <c r="C415" s="874"/>
      <c r="D415" s="874"/>
      <c r="E415" s="874"/>
      <c r="F415" s="874"/>
      <c r="G415" s="874"/>
      <c r="H415" s="874"/>
      <c r="I415" s="875"/>
      <c r="J415" s="563" t="s">
        <v>44</v>
      </c>
      <c r="K415" s="557">
        <v>1423</v>
      </c>
      <c r="L415" s="557" t="s">
        <v>14</v>
      </c>
      <c r="M415" s="557"/>
      <c r="N415" s="561"/>
      <c r="O415" s="562"/>
      <c r="P415" s="563" t="s">
        <v>44</v>
      </c>
      <c r="Q415" s="557">
        <v>968</v>
      </c>
      <c r="R415" s="557" t="s">
        <v>14</v>
      </c>
      <c r="S415" s="560"/>
      <c r="T415" s="561"/>
      <c r="U415" s="562"/>
      <c r="V415" s="563" t="s">
        <v>44</v>
      </c>
      <c r="W415" s="557">
        <v>1214</v>
      </c>
      <c r="X415" s="557" t="s">
        <v>14</v>
      </c>
      <c r="Y415" s="557"/>
      <c r="Z415" s="561"/>
      <c r="AA415" s="562"/>
      <c r="AB415" s="563" t="s">
        <v>44</v>
      </c>
      <c r="AC415" s="557">
        <v>1479</v>
      </c>
      <c r="AD415" s="557" t="s">
        <v>14</v>
      </c>
      <c r="AE415" s="557"/>
      <c r="AF415" s="561"/>
      <c r="AG415" s="562"/>
      <c r="AH415" s="563" t="s">
        <v>44</v>
      </c>
      <c r="AI415" s="557">
        <v>1386</v>
      </c>
      <c r="AJ415" s="557" t="s">
        <v>14</v>
      </c>
      <c r="AK415" s="557"/>
      <c r="AL415" s="561"/>
      <c r="AM415" s="562"/>
      <c r="AN415" s="563" t="s">
        <v>44</v>
      </c>
      <c r="AO415" s="557">
        <v>1517</v>
      </c>
      <c r="AP415" s="557" t="s">
        <v>14</v>
      </c>
      <c r="AQ415" s="557"/>
      <c r="AR415" s="557"/>
    </row>
    <row r="416" spans="1:86" ht="45" x14ac:dyDescent="0.25">
      <c r="A416" s="873"/>
      <c r="B416" s="874"/>
      <c r="C416" s="874"/>
      <c r="D416" s="874"/>
      <c r="E416" s="874"/>
      <c r="F416" s="874"/>
      <c r="G416" s="874"/>
      <c r="H416" s="874"/>
      <c r="I416" s="875"/>
      <c r="J416" s="563" t="s">
        <v>15</v>
      </c>
      <c r="K416" s="557"/>
      <c r="L416" s="557" t="s">
        <v>16</v>
      </c>
      <c r="M416" s="557"/>
      <c r="N416" s="561"/>
      <c r="O416" s="562"/>
      <c r="P416" s="563" t="s">
        <v>15</v>
      </c>
      <c r="Q416" s="557"/>
      <c r="R416" s="557" t="s">
        <v>16</v>
      </c>
      <c r="S416" s="560"/>
      <c r="T416" s="561"/>
      <c r="U416" s="562"/>
      <c r="V416" s="563" t="s">
        <v>15</v>
      </c>
      <c r="W416" s="557"/>
      <c r="X416" s="557" t="s">
        <v>16</v>
      </c>
      <c r="Y416" s="557"/>
      <c r="Z416" s="561"/>
      <c r="AA416" s="562"/>
      <c r="AB416" s="563" t="s">
        <v>15</v>
      </c>
      <c r="AC416" s="557"/>
      <c r="AD416" s="557" t="s">
        <v>16</v>
      </c>
      <c r="AE416" s="557"/>
      <c r="AF416" s="561"/>
      <c r="AG416" s="562"/>
      <c r="AH416" s="563" t="s">
        <v>15</v>
      </c>
      <c r="AI416" s="557"/>
      <c r="AJ416" s="557" t="s">
        <v>16</v>
      </c>
      <c r="AK416" s="557"/>
      <c r="AL416" s="561"/>
      <c r="AM416" s="562"/>
      <c r="AN416" s="563" t="s">
        <v>15</v>
      </c>
      <c r="AO416" s="557"/>
      <c r="AP416" s="557" t="s">
        <v>16</v>
      </c>
      <c r="AQ416" s="557"/>
      <c r="AR416" s="557"/>
    </row>
    <row r="417" spans="1:86" x14ac:dyDescent="0.25">
      <c r="A417" s="873"/>
      <c r="B417" s="874"/>
      <c r="C417" s="874"/>
      <c r="D417" s="874"/>
      <c r="E417" s="874"/>
      <c r="F417" s="874"/>
      <c r="G417" s="874"/>
      <c r="H417" s="874"/>
      <c r="I417" s="875"/>
      <c r="J417" s="563" t="s">
        <v>17</v>
      </c>
      <c r="K417" s="557">
        <v>13564</v>
      </c>
      <c r="L417" s="557" t="s">
        <v>8</v>
      </c>
      <c r="M417" s="557"/>
      <c r="N417" s="561"/>
      <c r="O417" s="562"/>
      <c r="P417" s="563" t="s">
        <v>17</v>
      </c>
      <c r="Q417" s="557">
        <v>14512</v>
      </c>
      <c r="R417" s="557" t="s">
        <v>8</v>
      </c>
      <c r="S417" s="560"/>
      <c r="T417" s="561"/>
      <c r="U417" s="562"/>
      <c r="V417" s="563" t="s">
        <v>17</v>
      </c>
      <c r="W417" s="557">
        <v>16230</v>
      </c>
      <c r="X417" s="557" t="s">
        <v>8</v>
      </c>
      <c r="Y417" s="557"/>
      <c r="Z417" s="561"/>
      <c r="AA417" s="562"/>
      <c r="AB417" s="563" t="s">
        <v>17</v>
      </c>
      <c r="AC417" s="557">
        <v>11214</v>
      </c>
      <c r="AD417" s="557" t="s">
        <v>8</v>
      </c>
      <c r="AE417" s="557"/>
      <c r="AF417" s="561"/>
      <c r="AG417" s="562"/>
      <c r="AH417" s="563" t="s">
        <v>17</v>
      </c>
      <c r="AI417" s="557">
        <v>19874</v>
      </c>
      <c r="AJ417" s="557" t="s">
        <v>8</v>
      </c>
      <c r="AK417" s="557"/>
      <c r="AL417" s="561"/>
      <c r="AM417" s="562"/>
      <c r="AN417" s="563" t="s">
        <v>17</v>
      </c>
      <c r="AO417" s="557">
        <v>23480</v>
      </c>
      <c r="AP417" s="557" t="s">
        <v>8</v>
      </c>
      <c r="AQ417" s="557"/>
      <c r="AR417" s="557"/>
    </row>
    <row r="418" spans="1:86" x14ac:dyDescent="0.25">
      <c r="A418" s="873"/>
      <c r="B418" s="874"/>
      <c r="C418" s="874"/>
      <c r="D418" s="874"/>
      <c r="E418" s="874"/>
      <c r="F418" s="874"/>
      <c r="G418" s="874"/>
      <c r="H418" s="874"/>
      <c r="I418" s="875"/>
      <c r="J418" s="563" t="s">
        <v>18</v>
      </c>
      <c r="K418" s="557"/>
      <c r="L418" s="557"/>
      <c r="M418" s="557"/>
      <c r="N418" s="561"/>
      <c r="O418" s="562"/>
      <c r="P418" s="563" t="s">
        <v>18</v>
      </c>
      <c r="Q418" s="557"/>
      <c r="R418" s="557"/>
      <c r="S418" s="560"/>
      <c r="T418" s="561"/>
      <c r="U418" s="562"/>
      <c r="V418" s="563" t="s">
        <v>18</v>
      </c>
      <c r="W418" s="557"/>
      <c r="X418" s="557"/>
      <c r="Y418" s="557"/>
      <c r="Z418" s="561"/>
      <c r="AA418" s="562"/>
      <c r="AB418" s="563" t="s">
        <v>18</v>
      </c>
      <c r="AC418" s="557"/>
      <c r="AD418" s="557"/>
      <c r="AE418" s="557"/>
      <c r="AF418" s="561"/>
      <c r="AG418" s="562"/>
      <c r="AH418" s="563" t="s">
        <v>18</v>
      </c>
      <c r="AI418" s="557"/>
      <c r="AJ418" s="557"/>
      <c r="AK418" s="557"/>
      <c r="AL418" s="561"/>
      <c r="AM418" s="562"/>
      <c r="AN418" s="563" t="s">
        <v>18</v>
      </c>
      <c r="AO418" s="557"/>
      <c r="AP418" s="557"/>
      <c r="AQ418" s="557"/>
      <c r="AR418" s="557"/>
    </row>
    <row r="419" spans="1:86" ht="45" x14ac:dyDescent="0.25">
      <c r="A419" s="873"/>
      <c r="B419" s="874"/>
      <c r="C419" s="874"/>
      <c r="D419" s="874"/>
      <c r="E419" s="874"/>
      <c r="F419" s="874"/>
      <c r="G419" s="874"/>
      <c r="H419" s="874"/>
      <c r="I419" s="875"/>
      <c r="J419" s="563" t="s">
        <v>46</v>
      </c>
      <c r="K419" s="557"/>
      <c r="L419" s="557" t="s">
        <v>16</v>
      </c>
      <c r="M419" s="557"/>
      <c r="N419" s="561"/>
      <c r="O419" s="564"/>
      <c r="P419" s="563" t="s">
        <v>46</v>
      </c>
      <c r="Q419" s="557"/>
      <c r="R419" s="557" t="s">
        <v>16</v>
      </c>
      <c r="S419" s="560"/>
      <c r="T419" s="561"/>
      <c r="U419" s="564"/>
      <c r="V419" s="563" t="s">
        <v>46</v>
      </c>
      <c r="W419" s="557"/>
      <c r="X419" s="557" t="s">
        <v>16</v>
      </c>
      <c r="Y419" s="557"/>
      <c r="Z419" s="561"/>
      <c r="AA419" s="564"/>
      <c r="AB419" s="563" t="s">
        <v>46</v>
      </c>
      <c r="AC419" s="557"/>
      <c r="AD419" s="557" t="s">
        <v>16</v>
      </c>
      <c r="AE419" s="557"/>
      <c r="AF419" s="561"/>
      <c r="AG419" s="564"/>
      <c r="AH419" s="563" t="s">
        <v>46</v>
      </c>
      <c r="AI419" s="557"/>
      <c r="AJ419" s="557" t="s">
        <v>16</v>
      </c>
      <c r="AK419" s="557"/>
      <c r="AL419" s="561"/>
      <c r="AM419" s="564"/>
      <c r="AN419" s="563" t="s">
        <v>46</v>
      </c>
      <c r="AO419" s="557"/>
      <c r="AP419" s="557" t="s">
        <v>16</v>
      </c>
      <c r="AQ419" s="557"/>
      <c r="AR419" s="557"/>
    </row>
    <row r="420" spans="1:86" x14ac:dyDescent="0.25">
      <c r="A420" s="876"/>
      <c r="B420" s="877"/>
      <c r="C420" s="877"/>
      <c r="D420" s="877"/>
      <c r="E420" s="877"/>
      <c r="F420" s="877"/>
      <c r="G420" s="877"/>
      <c r="H420" s="877"/>
      <c r="I420" s="878"/>
      <c r="J420" s="563" t="s">
        <v>45</v>
      </c>
      <c r="K420" s="557"/>
      <c r="L420" s="557"/>
      <c r="M420" s="557"/>
      <c r="N420" s="561"/>
      <c r="O420" s="564"/>
      <c r="P420" s="563" t="s">
        <v>45</v>
      </c>
      <c r="Q420" s="557"/>
      <c r="R420" s="557"/>
      <c r="S420" s="560"/>
      <c r="T420" s="561"/>
      <c r="U420" s="564"/>
      <c r="V420" s="563" t="s">
        <v>45</v>
      </c>
      <c r="W420" s="557"/>
      <c r="X420" s="557"/>
      <c r="Y420" s="557"/>
      <c r="Z420" s="561"/>
      <c r="AA420" s="564"/>
      <c r="AB420" s="563" t="s">
        <v>45</v>
      </c>
      <c r="AC420" s="557"/>
      <c r="AD420" s="557"/>
      <c r="AE420" s="557"/>
      <c r="AF420" s="561"/>
      <c r="AG420" s="564"/>
      <c r="AH420" s="563" t="s">
        <v>45</v>
      </c>
      <c r="AI420" s="557"/>
      <c r="AJ420" s="557"/>
      <c r="AK420" s="557"/>
      <c r="AL420" s="561"/>
      <c r="AM420" s="564"/>
      <c r="AN420" s="563" t="s">
        <v>45</v>
      </c>
      <c r="AO420" s="557"/>
      <c r="AP420" s="557"/>
      <c r="AQ420" s="557"/>
      <c r="AR420" s="557"/>
    </row>
    <row r="421" spans="1:86" ht="33.75" customHeight="1" x14ac:dyDescent="0.25">
      <c r="A421" s="565"/>
      <c r="B421" s="906" t="s">
        <v>450</v>
      </c>
      <c r="C421" s="907"/>
      <c r="D421" s="907"/>
      <c r="E421" s="907"/>
      <c r="F421" s="907"/>
      <c r="G421" s="907"/>
      <c r="H421" s="907"/>
      <c r="I421" s="907"/>
      <c r="J421" s="907"/>
      <c r="K421" s="907"/>
      <c r="L421" s="907"/>
      <c r="M421" s="907"/>
      <c r="N421" s="907"/>
      <c r="O421" s="907"/>
      <c r="P421" s="907"/>
      <c r="Q421" s="907"/>
      <c r="R421" s="908"/>
      <c r="S421" s="566"/>
      <c r="T421" s="567"/>
      <c r="U421" s="567"/>
      <c r="V421" s="567"/>
      <c r="W421" s="567"/>
      <c r="X421" s="567"/>
      <c r="Y421" s="567"/>
      <c r="Z421" s="567"/>
      <c r="AA421" s="567"/>
      <c r="AB421" s="567"/>
      <c r="AC421" s="567"/>
      <c r="AD421" s="567"/>
      <c r="AE421" s="567"/>
      <c r="AF421" s="567"/>
      <c r="AG421" s="565"/>
      <c r="AH421" s="565"/>
      <c r="AI421" s="565"/>
      <c r="AJ421" s="565"/>
      <c r="AK421" s="565"/>
      <c r="AL421" s="565"/>
      <c r="AM421" s="565"/>
      <c r="AN421" s="565"/>
      <c r="AO421" s="565"/>
      <c r="AP421" s="565"/>
      <c r="AQ421" s="565"/>
      <c r="AR421" s="565"/>
    </row>
    <row r="422" spans="1:86" ht="105" x14ac:dyDescent="0.25">
      <c r="A422" s="153">
        <v>5</v>
      </c>
      <c r="B422" s="67">
        <v>2223101</v>
      </c>
      <c r="C422" s="67" t="s">
        <v>451</v>
      </c>
      <c r="D422" s="251"/>
      <c r="E422" s="251"/>
      <c r="F422" s="251">
        <v>1.47</v>
      </c>
      <c r="G422" s="252">
        <v>11760</v>
      </c>
      <c r="H422" s="108"/>
      <c r="I422" s="108"/>
      <c r="J422" s="67"/>
      <c r="K422" s="108"/>
      <c r="L422" s="67"/>
      <c r="M422" s="148"/>
      <c r="N422" s="67" t="s">
        <v>274</v>
      </c>
      <c r="O422" s="67" t="s">
        <v>452</v>
      </c>
      <c r="P422" s="67" t="s">
        <v>453</v>
      </c>
      <c r="Q422" s="108">
        <v>10206</v>
      </c>
      <c r="R422" s="67" t="s">
        <v>8</v>
      </c>
      <c r="S422" s="253">
        <v>68000</v>
      </c>
      <c r="T422" s="248"/>
      <c r="U422" s="248"/>
      <c r="V422" s="248"/>
      <c r="W422" s="248"/>
      <c r="X422" s="248"/>
      <c r="Y422" s="248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</row>
    <row r="423" spans="1:86" x14ac:dyDescent="0.25">
      <c r="A423" s="766">
        <v>65</v>
      </c>
      <c r="B423" s="735">
        <v>2225081</v>
      </c>
      <c r="C423" s="769" t="s">
        <v>454</v>
      </c>
      <c r="D423" s="741">
        <f t="shared" ref="D423:E423" si="25">F423</f>
        <v>6.51</v>
      </c>
      <c r="E423" s="741">
        <f t="shared" si="25"/>
        <v>58590</v>
      </c>
      <c r="F423" s="741">
        <v>6.51</v>
      </c>
      <c r="G423" s="747">
        <v>58590</v>
      </c>
      <c r="H423" s="116"/>
      <c r="I423" s="116"/>
      <c r="J423" s="254"/>
      <c r="K423" s="116"/>
      <c r="L423" s="116"/>
      <c r="M423" s="116"/>
      <c r="N423" s="116"/>
      <c r="O423" s="116"/>
      <c r="P423" s="116"/>
      <c r="Q423" s="116"/>
      <c r="R423" s="116"/>
      <c r="S423" s="255"/>
      <c r="T423" s="106"/>
      <c r="U423" s="106"/>
      <c r="V423" s="106"/>
      <c r="W423" s="106"/>
      <c r="X423" s="106"/>
      <c r="Y423" s="106"/>
      <c r="Z423" s="106"/>
      <c r="AA423" s="106"/>
      <c r="AB423" s="254"/>
      <c r="AC423" s="106"/>
      <c r="AD423" s="116"/>
      <c r="AE423" s="106"/>
      <c r="AF423" s="116"/>
      <c r="AG423" s="116"/>
      <c r="AH423" s="106"/>
      <c r="AI423" s="116"/>
      <c r="AJ423" s="106"/>
      <c r="AK423" s="177"/>
      <c r="AL423" s="750" t="s">
        <v>305</v>
      </c>
      <c r="AM423" s="750" t="s">
        <v>455</v>
      </c>
      <c r="AN423" s="710" t="s">
        <v>11</v>
      </c>
      <c r="AO423" s="108">
        <v>6.51</v>
      </c>
      <c r="AP423" s="67" t="s">
        <v>5</v>
      </c>
      <c r="AQ423" s="826">
        <f>AO423*20.32*1000</f>
        <v>132283.19999999998</v>
      </c>
      <c r="AR423" s="106"/>
    </row>
    <row r="424" spans="1:86" x14ac:dyDescent="0.25">
      <c r="A424" s="767"/>
      <c r="B424" s="736"/>
      <c r="C424" s="770"/>
      <c r="D424" s="742"/>
      <c r="E424" s="742"/>
      <c r="F424" s="742"/>
      <c r="G424" s="748"/>
      <c r="H424" s="116"/>
      <c r="I424" s="116"/>
      <c r="J424" s="254"/>
      <c r="K424" s="116"/>
      <c r="L424" s="116"/>
      <c r="M424" s="116"/>
      <c r="N424" s="116"/>
      <c r="O424" s="116"/>
      <c r="P424" s="116"/>
      <c r="Q424" s="116"/>
      <c r="R424" s="116"/>
      <c r="S424" s="255"/>
      <c r="T424" s="106"/>
      <c r="U424" s="106"/>
      <c r="V424" s="106"/>
      <c r="W424" s="106"/>
      <c r="X424" s="106"/>
      <c r="Y424" s="106"/>
      <c r="Z424" s="106"/>
      <c r="AA424" s="106"/>
      <c r="AB424" s="254"/>
      <c r="AC424" s="106"/>
      <c r="AD424" s="116"/>
      <c r="AE424" s="106"/>
      <c r="AF424" s="116"/>
      <c r="AG424" s="116"/>
      <c r="AH424" s="106"/>
      <c r="AI424" s="116"/>
      <c r="AJ424" s="106"/>
      <c r="AK424" s="177"/>
      <c r="AL424" s="751"/>
      <c r="AM424" s="751"/>
      <c r="AN424" s="710"/>
      <c r="AO424" s="133">
        <v>58590</v>
      </c>
      <c r="AP424" s="67" t="s">
        <v>8</v>
      </c>
      <c r="AQ424" s="827"/>
      <c r="AR424" s="106"/>
    </row>
    <row r="425" spans="1:86" x14ac:dyDescent="0.25">
      <c r="A425" s="768"/>
      <c r="B425" s="737"/>
      <c r="C425" s="771"/>
      <c r="D425" s="743"/>
      <c r="E425" s="743"/>
      <c r="F425" s="743"/>
      <c r="G425" s="749"/>
      <c r="H425" s="116"/>
      <c r="I425" s="116"/>
      <c r="J425" s="254"/>
      <c r="K425" s="116"/>
      <c r="L425" s="116"/>
      <c r="M425" s="116"/>
      <c r="N425" s="116"/>
      <c r="O425" s="116"/>
      <c r="P425" s="116"/>
      <c r="Q425" s="116"/>
      <c r="R425" s="116"/>
      <c r="S425" s="255"/>
      <c r="T425" s="106"/>
      <c r="U425" s="106"/>
      <c r="V425" s="106"/>
      <c r="W425" s="106"/>
      <c r="X425" s="106"/>
      <c r="Y425" s="106"/>
      <c r="Z425" s="106"/>
      <c r="AA425" s="106"/>
      <c r="AB425" s="254"/>
      <c r="AC425" s="106"/>
      <c r="AD425" s="116"/>
      <c r="AE425" s="106"/>
      <c r="AF425" s="116"/>
      <c r="AG425" s="116"/>
      <c r="AH425" s="106"/>
      <c r="AI425" s="116"/>
      <c r="AJ425" s="106"/>
      <c r="AK425" s="177"/>
      <c r="AL425" s="752"/>
      <c r="AM425" s="752"/>
      <c r="AN425" s="67" t="s">
        <v>17</v>
      </c>
      <c r="AO425" s="108">
        <v>13020</v>
      </c>
      <c r="AP425" s="67" t="s">
        <v>8</v>
      </c>
      <c r="AQ425" s="125">
        <f>35237.8*0.7909</f>
        <v>27869.576020000004</v>
      </c>
      <c r="AR425" s="106"/>
    </row>
    <row r="426" spans="1:86" ht="38.25" x14ac:dyDescent="0.25">
      <c r="A426" s="106">
        <v>30</v>
      </c>
      <c r="B426" s="256">
        <v>2225245</v>
      </c>
      <c r="C426" s="257" t="s">
        <v>456</v>
      </c>
      <c r="D426" s="258"/>
      <c r="E426" s="258"/>
      <c r="F426" s="258">
        <v>1.704</v>
      </c>
      <c r="G426" s="258">
        <v>17000</v>
      </c>
      <c r="H426" s="116"/>
      <c r="I426" s="116"/>
      <c r="J426" s="254"/>
      <c r="K426" s="116"/>
      <c r="L426" s="116"/>
      <c r="M426" s="116"/>
      <c r="N426" s="116"/>
      <c r="O426" s="116"/>
      <c r="P426" s="116"/>
      <c r="Q426" s="116"/>
      <c r="R426" s="116"/>
      <c r="S426" s="255"/>
      <c r="T426" s="106"/>
      <c r="U426" s="106"/>
      <c r="V426" s="106"/>
      <c r="W426" s="106"/>
      <c r="X426" s="106"/>
      <c r="Y426" s="106"/>
      <c r="Z426" s="259" t="s">
        <v>457</v>
      </c>
      <c r="AA426" s="259" t="s">
        <v>458</v>
      </c>
      <c r="AB426" s="254" t="s">
        <v>42</v>
      </c>
      <c r="AC426" s="106">
        <v>24975</v>
      </c>
      <c r="AD426" s="106" t="s">
        <v>8</v>
      </c>
      <c r="AE426" s="242">
        <v>170000</v>
      </c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106"/>
      <c r="AR426" s="106"/>
    </row>
    <row r="427" spans="1:86" s="494" customFormat="1" ht="23.25" customHeight="1" x14ac:dyDescent="0.2">
      <c r="A427" s="885" t="s">
        <v>21</v>
      </c>
      <c r="B427" s="886"/>
      <c r="C427" s="887"/>
      <c r="D427" s="568"/>
      <c r="E427" s="568"/>
      <c r="F427" s="568"/>
      <c r="G427" s="568"/>
      <c r="H427" s="568"/>
      <c r="I427" s="568"/>
      <c r="J427" s="568"/>
      <c r="K427" s="568"/>
      <c r="L427" s="568"/>
      <c r="M427" s="568"/>
      <c r="N427" s="568"/>
      <c r="O427" s="568"/>
      <c r="P427" s="568"/>
      <c r="Q427" s="568">
        <f>Q422</f>
        <v>10206</v>
      </c>
      <c r="R427" s="402" t="s">
        <v>8</v>
      </c>
      <c r="S427" s="569">
        <f>SUM(S422:S426)</f>
        <v>68000</v>
      </c>
      <c r="T427" s="568"/>
      <c r="U427" s="568"/>
      <c r="V427" s="568"/>
      <c r="W427" s="568"/>
      <c r="X427" s="568"/>
      <c r="Y427" s="568"/>
      <c r="Z427" s="568"/>
      <c r="AA427" s="568"/>
      <c r="AB427" s="568"/>
      <c r="AC427" s="568">
        <f>AC426</f>
        <v>24975</v>
      </c>
      <c r="AD427" s="487" t="s">
        <v>8</v>
      </c>
      <c r="AE427" s="584">
        <f>SUM(AE426:AE426)</f>
        <v>170000</v>
      </c>
      <c r="AF427" s="568"/>
      <c r="AG427" s="568"/>
      <c r="AH427" s="568"/>
      <c r="AI427" s="568"/>
      <c r="AJ427" s="568"/>
      <c r="AK427" s="568"/>
      <c r="AL427" s="568"/>
      <c r="AM427" s="568"/>
      <c r="AN427" s="568"/>
      <c r="AO427" s="568">
        <f>AO423</f>
        <v>6.51</v>
      </c>
      <c r="AP427" s="402" t="s">
        <v>5</v>
      </c>
      <c r="AQ427" s="584">
        <f>AQ423+AQ425</f>
        <v>160152.77601999999</v>
      </c>
      <c r="AR427" s="568"/>
      <c r="AS427" s="493"/>
      <c r="AT427" s="493"/>
      <c r="AU427" s="493"/>
      <c r="AV427" s="493"/>
      <c r="AW427" s="493"/>
      <c r="AX427" s="493"/>
      <c r="AY427" s="493"/>
      <c r="AZ427" s="493"/>
      <c r="BA427" s="493"/>
      <c r="BB427" s="493"/>
      <c r="BC427" s="493"/>
      <c r="BD427" s="493"/>
      <c r="BE427" s="493"/>
      <c r="BF427" s="493"/>
      <c r="BG427" s="493"/>
      <c r="BH427" s="493"/>
      <c r="BI427" s="493"/>
      <c r="BJ427" s="493"/>
      <c r="BK427" s="493"/>
      <c r="BL427" s="493"/>
      <c r="BM427" s="493"/>
      <c r="BN427" s="493"/>
      <c r="BO427" s="493"/>
      <c r="BP427" s="493"/>
      <c r="BQ427" s="493"/>
      <c r="BR427" s="493"/>
      <c r="BS427" s="493"/>
      <c r="BT427" s="493"/>
      <c r="BU427" s="493"/>
      <c r="BV427" s="493"/>
      <c r="BW427" s="493"/>
      <c r="BX427" s="493"/>
      <c r="BY427" s="493"/>
      <c r="BZ427" s="493"/>
      <c r="CA427" s="493"/>
      <c r="CB427" s="493"/>
      <c r="CC427" s="493"/>
      <c r="CD427" s="493"/>
      <c r="CE427" s="493"/>
      <c r="CF427" s="493"/>
      <c r="CG427" s="493"/>
      <c r="CH427" s="493"/>
    </row>
    <row r="428" spans="1:86" x14ac:dyDescent="0.25">
      <c r="A428" s="888" t="s">
        <v>22</v>
      </c>
      <c r="B428" s="889"/>
      <c r="C428" s="889"/>
      <c r="D428" s="889"/>
      <c r="E428" s="889"/>
      <c r="F428" s="889"/>
      <c r="G428" s="889"/>
      <c r="H428" s="889"/>
      <c r="I428" s="890"/>
      <c r="J428" s="897" t="s">
        <v>11</v>
      </c>
      <c r="K428" s="570"/>
      <c r="L428" s="571" t="s">
        <v>5</v>
      </c>
      <c r="M428" s="899"/>
      <c r="N428" s="572"/>
      <c r="O428" s="573"/>
      <c r="P428" s="897" t="s">
        <v>11</v>
      </c>
      <c r="Q428" s="571"/>
      <c r="R428" s="571" t="s">
        <v>5</v>
      </c>
      <c r="S428" s="574"/>
      <c r="T428" s="572"/>
      <c r="U428" s="573"/>
      <c r="V428" s="897" t="s">
        <v>11</v>
      </c>
      <c r="W428" s="571"/>
      <c r="X428" s="571" t="s">
        <v>5</v>
      </c>
      <c r="Y428" s="571"/>
      <c r="Z428" s="572"/>
      <c r="AA428" s="573"/>
      <c r="AB428" s="897" t="s">
        <v>11</v>
      </c>
      <c r="AC428" s="571"/>
      <c r="AD428" s="571" t="s">
        <v>5</v>
      </c>
      <c r="AE428" s="571"/>
      <c r="AF428" s="572"/>
      <c r="AG428" s="573"/>
      <c r="AH428" s="897" t="s">
        <v>11</v>
      </c>
      <c r="AI428" s="570"/>
      <c r="AJ428" s="571" t="s">
        <v>5</v>
      </c>
      <c r="AK428" s="901"/>
      <c r="AL428" s="572"/>
      <c r="AM428" s="573"/>
      <c r="AN428" s="897" t="s">
        <v>11</v>
      </c>
      <c r="AO428" s="571"/>
      <c r="AP428" s="571" t="s">
        <v>5</v>
      </c>
      <c r="AQ428" s="571"/>
      <c r="AR428" s="571"/>
    </row>
    <row r="429" spans="1:86" x14ac:dyDescent="0.25">
      <c r="A429" s="891"/>
      <c r="B429" s="892"/>
      <c r="C429" s="892"/>
      <c r="D429" s="892"/>
      <c r="E429" s="892"/>
      <c r="F429" s="892"/>
      <c r="G429" s="892"/>
      <c r="H429" s="892"/>
      <c r="I429" s="893"/>
      <c r="J429" s="898"/>
      <c r="K429" s="570"/>
      <c r="L429" s="571" t="s">
        <v>8</v>
      </c>
      <c r="M429" s="900"/>
      <c r="N429" s="575"/>
      <c r="O429" s="576"/>
      <c r="P429" s="898"/>
      <c r="Q429" s="571"/>
      <c r="R429" s="571" t="s">
        <v>8</v>
      </c>
      <c r="S429" s="574"/>
      <c r="T429" s="575"/>
      <c r="U429" s="576"/>
      <c r="V429" s="898"/>
      <c r="W429" s="571"/>
      <c r="X429" s="571" t="s">
        <v>8</v>
      </c>
      <c r="Y429" s="571"/>
      <c r="Z429" s="575"/>
      <c r="AA429" s="576"/>
      <c r="AB429" s="898"/>
      <c r="AC429" s="571"/>
      <c r="AD429" s="571" t="s">
        <v>8</v>
      </c>
      <c r="AE429" s="571"/>
      <c r="AF429" s="575"/>
      <c r="AG429" s="576"/>
      <c r="AH429" s="898"/>
      <c r="AI429" s="570"/>
      <c r="AJ429" s="571" t="s">
        <v>8</v>
      </c>
      <c r="AK429" s="900"/>
      <c r="AL429" s="575"/>
      <c r="AM429" s="576"/>
      <c r="AN429" s="898"/>
      <c r="AO429" s="571"/>
      <c r="AP429" s="571" t="s">
        <v>8</v>
      </c>
      <c r="AQ429" s="571"/>
      <c r="AR429" s="571"/>
    </row>
    <row r="430" spans="1:86" x14ac:dyDescent="0.25">
      <c r="A430" s="891"/>
      <c r="B430" s="892"/>
      <c r="C430" s="892"/>
      <c r="D430" s="892"/>
      <c r="E430" s="892"/>
      <c r="F430" s="892"/>
      <c r="G430" s="892"/>
      <c r="H430" s="892"/>
      <c r="I430" s="893"/>
      <c r="J430" s="897" t="s">
        <v>41</v>
      </c>
      <c r="K430" s="571"/>
      <c r="L430" s="571" t="s">
        <v>5</v>
      </c>
      <c r="M430" s="571"/>
      <c r="N430" s="575"/>
      <c r="O430" s="576"/>
      <c r="P430" s="897" t="s">
        <v>41</v>
      </c>
      <c r="Q430" s="571"/>
      <c r="R430" s="571" t="s">
        <v>5</v>
      </c>
      <c r="S430" s="574"/>
      <c r="T430" s="575"/>
      <c r="U430" s="576"/>
      <c r="V430" s="897" t="s">
        <v>41</v>
      </c>
      <c r="W430" s="571"/>
      <c r="X430" s="571" t="s">
        <v>5</v>
      </c>
      <c r="Y430" s="571"/>
      <c r="Z430" s="575"/>
      <c r="AA430" s="576"/>
      <c r="AB430" s="897" t="s">
        <v>41</v>
      </c>
      <c r="AC430" s="571"/>
      <c r="AD430" s="571" t="s">
        <v>5</v>
      </c>
      <c r="AE430" s="571"/>
      <c r="AF430" s="575"/>
      <c r="AG430" s="576"/>
      <c r="AH430" s="897" t="s">
        <v>41</v>
      </c>
      <c r="AI430" s="571"/>
      <c r="AJ430" s="571" t="s">
        <v>5</v>
      </c>
      <c r="AK430" s="571"/>
      <c r="AL430" s="575"/>
      <c r="AM430" s="576"/>
      <c r="AN430" s="897" t="s">
        <v>41</v>
      </c>
      <c r="AO430" s="571"/>
      <c r="AP430" s="571" t="s">
        <v>5</v>
      </c>
      <c r="AQ430" s="571"/>
      <c r="AR430" s="571"/>
    </row>
    <row r="431" spans="1:86" x14ac:dyDescent="0.25">
      <c r="A431" s="891"/>
      <c r="B431" s="892"/>
      <c r="C431" s="892"/>
      <c r="D431" s="892"/>
      <c r="E431" s="892"/>
      <c r="F431" s="892"/>
      <c r="G431" s="892"/>
      <c r="H431" s="892"/>
      <c r="I431" s="893"/>
      <c r="J431" s="898"/>
      <c r="K431" s="571"/>
      <c r="L431" s="571" t="s">
        <v>8</v>
      </c>
      <c r="M431" s="571"/>
      <c r="N431" s="575"/>
      <c r="O431" s="576"/>
      <c r="P431" s="898"/>
      <c r="Q431" s="571"/>
      <c r="R431" s="571" t="s">
        <v>8</v>
      </c>
      <c r="S431" s="574"/>
      <c r="T431" s="575"/>
      <c r="U431" s="576"/>
      <c r="V431" s="898"/>
      <c r="W431" s="571"/>
      <c r="X431" s="571" t="s">
        <v>8</v>
      </c>
      <c r="Y431" s="571"/>
      <c r="Z431" s="575"/>
      <c r="AA431" s="576"/>
      <c r="AB431" s="898"/>
      <c r="AC431" s="571"/>
      <c r="AD431" s="571" t="s">
        <v>8</v>
      </c>
      <c r="AE431" s="571"/>
      <c r="AF431" s="575"/>
      <c r="AG431" s="576"/>
      <c r="AH431" s="898"/>
      <c r="AI431" s="571"/>
      <c r="AJ431" s="571" t="s">
        <v>8</v>
      </c>
      <c r="AK431" s="571"/>
      <c r="AL431" s="575"/>
      <c r="AM431" s="576"/>
      <c r="AN431" s="898"/>
      <c r="AO431" s="571"/>
      <c r="AP431" s="571" t="s">
        <v>8</v>
      </c>
      <c r="AQ431" s="571"/>
      <c r="AR431" s="571"/>
    </row>
    <row r="432" spans="1:86" x14ac:dyDescent="0.25">
      <c r="A432" s="891"/>
      <c r="B432" s="892"/>
      <c r="C432" s="892"/>
      <c r="D432" s="892"/>
      <c r="E432" s="892"/>
      <c r="F432" s="892"/>
      <c r="G432" s="892"/>
      <c r="H432" s="892"/>
      <c r="I432" s="893"/>
      <c r="J432" s="897" t="s">
        <v>42</v>
      </c>
      <c r="K432" s="571"/>
      <c r="L432" s="571" t="s">
        <v>5</v>
      </c>
      <c r="M432" s="571"/>
      <c r="N432" s="575"/>
      <c r="O432" s="576"/>
      <c r="P432" s="897" t="s">
        <v>42</v>
      </c>
      <c r="Q432" s="571"/>
      <c r="R432" s="571" t="s">
        <v>5</v>
      </c>
      <c r="S432" s="902"/>
      <c r="T432" s="575"/>
      <c r="U432" s="576"/>
      <c r="V432" s="897" t="s">
        <v>42</v>
      </c>
      <c r="W432" s="571"/>
      <c r="X432" s="571" t="s">
        <v>5</v>
      </c>
      <c r="Y432" s="904"/>
      <c r="Z432" s="575"/>
      <c r="AA432" s="576"/>
      <c r="AB432" s="897" t="s">
        <v>42</v>
      </c>
      <c r="AC432" s="571">
        <v>2.8</v>
      </c>
      <c r="AD432" s="571" t="s">
        <v>5</v>
      </c>
      <c r="AE432" s="901">
        <v>170000</v>
      </c>
      <c r="AF432" s="575"/>
      <c r="AG432" s="576"/>
      <c r="AH432" s="897" t="s">
        <v>42</v>
      </c>
      <c r="AI432" s="571"/>
      <c r="AJ432" s="571" t="s">
        <v>5</v>
      </c>
      <c r="AK432" s="571"/>
      <c r="AL432" s="575"/>
      <c r="AM432" s="576"/>
      <c r="AN432" s="897" t="s">
        <v>42</v>
      </c>
      <c r="AO432" s="571"/>
      <c r="AP432" s="571" t="s">
        <v>5</v>
      </c>
      <c r="AQ432" s="571"/>
      <c r="AR432" s="571"/>
    </row>
    <row r="433" spans="1:86" x14ac:dyDescent="0.25">
      <c r="A433" s="891"/>
      <c r="B433" s="892"/>
      <c r="C433" s="892"/>
      <c r="D433" s="892"/>
      <c r="E433" s="892"/>
      <c r="F433" s="892"/>
      <c r="G433" s="892"/>
      <c r="H433" s="892"/>
      <c r="I433" s="893"/>
      <c r="J433" s="898"/>
      <c r="K433" s="571"/>
      <c r="L433" s="571" t="s">
        <v>8</v>
      </c>
      <c r="M433" s="571"/>
      <c r="N433" s="575"/>
      <c r="O433" s="576"/>
      <c r="P433" s="898"/>
      <c r="Q433" s="570"/>
      <c r="R433" s="571" t="s">
        <v>8</v>
      </c>
      <c r="S433" s="903"/>
      <c r="T433" s="575"/>
      <c r="U433" s="576"/>
      <c r="V433" s="898"/>
      <c r="W433" s="571"/>
      <c r="X433" s="571" t="s">
        <v>8</v>
      </c>
      <c r="Y433" s="900"/>
      <c r="Z433" s="575"/>
      <c r="AA433" s="576"/>
      <c r="AB433" s="898"/>
      <c r="AC433" s="571">
        <v>24975</v>
      </c>
      <c r="AD433" s="571" t="s">
        <v>8</v>
      </c>
      <c r="AE433" s="900"/>
      <c r="AF433" s="575"/>
      <c r="AG433" s="576"/>
      <c r="AH433" s="898"/>
      <c r="AI433" s="571"/>
      <c r="AJ433" s="571" t="s">
        <v>8</v>
      </c>
      <c r="AK433" s="571"/>
      <c r="AL433" s="575"/>
      <c r="AM433" s="576"/>
      <c r="AN433" s="898"/>
      <c r="AO433" s="571"/>
      <c r="AP433" s="571" t="s">
        <v>8</v>
      </c>
      <c r="AQ433" s="571"/>
      <c r="AR433" s="571"/>
    </row>
    <row r="434" spans="1:86" x14ac:dyDescent="0.25">
      <c r="A434" s="891"/>
      <c r="B434" s="892"/>
      <c r="C434" s="892"/>
      <c r="D434" s="892"/>
      <c r="E434" s="892"/>
      <c r="F434" s="892"/>
      <c r="G434" s="892"/>
      <c r="H434" s="892"/>
      <c r="I434" s="893"/>
      <c r="J434" s="897" t="s">
        <v>43</v>
      </c>
      <c r="K434" s="571"/>
      <c r="L434" s="571" t="s">
        <v>5</v>
      </c>
      <c r="M434" s="571"/>
      <c r="N434" s="575"/>
      <c r="O434" s="576"/>
      <c r="P434" s="897" t="s">
        <v>43</v>
      </c>
      <c r="Q434" s="571">
        <v>0.73</v>
      </c>
      <c r="R434" s="571" t="s">
        <v>5</v>
      </c>
      <c r="S434" s="902">
        <f>S422</f>
        <v>68000</v>
      </c>
      <c r="T434" s="575"/>
      <c r="U434" s="576"/>
      <c r="V434" s="897" t="s">
        <v>43</v>
      </c>
      <c r="W434" s="571"/>
      <c r="X434" s="571" t="s">
        <v>5</v>
      </c>
      <c r="Y434" s="571"/>
      <c r="Z434" s="575"/>
      <c r="AA434" s="576"/>
      <c r="AB434" s="897" t="s">
        <v>43</v>
      </c>
      <c r="AC434" s="571"/>
      <c r="AD434" s="571" t="s">
        <v>5</v>
      </c>
      <c r="AE434" s="571"/>
      <c r="AF434" s="575"/>
      <c r="AG434" s="576"/>
      <c r="AH434" s="897" t="s">
        <v>43</v>
      </c>
      <c r="AI434" s="571"/>
      <c r="AJ434" s="571" t="s">
        <v>5</v>
      </c>
      <c r="AK434" s="571"/>
      <c r="AL434" s="575"/>
      <c r="AM434" s="576"/>
      <c r="AN434" s="897" t="s">
        <v>43</v>
      </c>
      <c r="AO434" s="571"/>
      <c r="AP434" s="571" t="s">
        <v>5</v>
      </c>
      <c r="AQ434" s="571"/>
      <c r="AR434" s="571"/>
    </row>
    <row r="435" spans="1:86" x14ac:dyDescent="0.25">
      <c r="A435" s="891"/>
      <c r="B435" s="892"/>
      <c r="C435" s="892"/>
      <c r="D435" s="892"/>
      <c r="E435" s="892"/>
      <c r="F435" s="892"/>
      <c r="G435" s="892"/>
      <c r="H435" s="892"/>
      <c r="I435" s="893"/>
      <c r="J435" s="898"/>
      <c r="K435" s="571"/>
      <c r="L435" s="571" t="s">
        <v>8</v>
      </c>
      <c r="M435" s="571"/>
      <c r="N435" s="575"/>
      <c r="O435" s="576"/>
      <c r="P435" s="898"/>
      <c r="Q435" s="570">
        <f>Q422</f>
        <v>10206</v>
      </c>
      <c r="R435" s="571" t="s">
        <v>8</v>
      </c>
      <c r="S435" s="903"/>
      <c r="T435" s="575"/>
      <c r="U435" s="576"/>
      <c r="V435" s="898"/>
      <c r="W435" s="571"/>
      <c r="X435" s="571" t="s">
        <v>8</v>
      </c>
      <c r="Y435" s="571"/>
      <c r="Z435" s="575"/>
      <c r="AA435" s="576"/>
      <c r="AB435" s="898"/>
      <c r="AC435" s="571"/>
      <c r="AD435" s="571" t="s">
        <v>8</v>
      </c>
      <c r="AE435" s="571"/>
      <c r="AF435" s="575"/>
      <c r="AG435" s="576"/>
      <c r="AH435" s="898"/>
      <c r="AI435" s="571"/>
      <c r="AJ435" s="571" t="s">
        <v>8</v>
      </c>
      <c r="AK435" s="571"/>
      <c r="AL435" s="575"/>
      <c r="AM435" s="576"/>
      <c r="AN435" s="898"/>
      <c r="AO435" s="571"/>
      <c r="AP435" s="571" t="s">
        <v>8</v>
      </c>
      <c r="AQ435" s="571"/>
      <c r="AR435" s="571"/>
    </row>
    <row r="436" spans="1:86" x14ac:dyDescent="0.25">
      <c r="A436" s="891"/>
      <c r="B436" s="892"/>
      <c r="C436" s="892"/>
      <c r="D436" s="892"/>
      <c r="E436" s="892"/>
      <c r="F436" s="892"/>
      <c r="G436" s="892"/>
      <c r="H436" s="892"/>
      <c r="I436" s="893"/>
      <c r="J436" s="901" t="s">
        <v>12</v>
      </c>
      <c r="K436" s="571"/>
      <c r="L436" s="571" t="s">
        <v>8</v>
      </c>
      <c r="M436" s="901"/>
      <c r="N436" s="575"/>
      <c r="O436" s="576"/>
      <c r="P436" s="901" t="s">
        <v>12</v>
      </c>
      <c r="Q436" s="571"/>
      <c r="R436" s="571" t="s">
        <v>8</v>
      </c>
      <c r="S436" s="902"/>
      <c r="T436" s="575"/>
      <c r="U436" s="576"/>
      <c r="V436" s="901" t="s">
        <v>12</v>
      </c>
      <c r="W436" s="571"/>
      <c r="X436" s="571" t="s">
        <v>8</v>
      </c>
      <c r="Y436" s="901"/>
      <c r="Z436" s="575"/>
      <c r="AA436" s="576"/>
      <c r="AB436" s="901" t="s">
        <v>12</v>
      </c>
      <c r="AC436" s="571"/>
      <c r="AD436" s="571" t="s">
        <v>8</v>
      </c>
      <c r="AE436" s="901"/>
      <c r="AF436" s="575"/>
      <c r="AG436" s="576"/>
      <c r="AH436" s="901" t="s">
        <v>12</v>
      </c>
      <c r="AI436" s="571"/>
      <c r="AJ436" s="571" t="s">
        <v>8</v>
      </c>
      <c r="AK436" s="901"/>
      <c r="AL436" s="575"/>
      <c r="AM436" s="576"/>
      <c r="AN436" s="901" t="s">
        <v>12</v>
      </c>
      <c r="AO436" s="571"/>
      <c r="AP436" s="571" t="s">
        <v>8</v>
      </c>
      <c r="AQ436" s="901"/>
      <c r="AR436" s="901"/>
    </row>
    <row r="437" spans="1:86" x14ac:dyDescent="0.25">
      <c r="A437" s="891"/>
      <c r="B437" s="892"/>
      <c r="C437" s="892"/>
      <c r="D437" s="892"/>
      <c r="E437" s="892"/>
      <c r="F437" s="892"/>
      <c r="G437" s="892"/>
      <c r="H437" s="892"/>
      <c r="I437" s="893"/>
      <c r="J437" s="900"/>
      <c r="K437" s="571"/>
      <c r="L437" s="571" t="s">
        <v>5</v>
      </c>
      <c r="M437" s="900"/>
      <c r="N437" s="575"/>
      <c r="O437" s="576"/>
      <c r="P437" s="900"/>
      <c r="Q437" s="571"/>
      <c r="R437" s="571" t="s">
        <v>5</v>
      </c>
      <c r="S437" s="903"/>
      <c r="T437" s="575"/>
      <c r="U437" s="576"/>
      <c r="V437" s="900"/>
      <c r="W437" s="571"/>
      <c r="X437" s="571" t="s">
        <v>5</v>
      </c>
      <c r="Y437" s="900"/>
      <c r="Z437" s="575"/>
      <c r="AA437" s="576"/>
      <c r="AB437" s="900"/>
      <c r="AC437" s="571"/>
      <c r="AD437" s="571" t="s">
        <v>5</v>
      </c>
      <c r="AE437" s="900"/>
      <c r="AF437" s="575"/>
      <c r="AG437" s="576"/>
      <c r="AH437" s="900"/>
      <c r="AI437" s="571"/>
      <c r="AJ437" s="571" t="s">
        <v>5</v>
      </c>
      <c r="AK437" s="900"/>
      <c r="AL437" s="575"/>
      <c r="AM437" s="576"/>
      <c r="AN437" s="900"/>
      <c r="AO437" s="571"/>
      <c r="AP437" s="571" t="s">
        <v>5</v>
      </c>
      <c r="AQ437" s="900"/>
      <c r="AR437" s="900"/>
    </row>
    <row r="438" spans="1:86" ht="45" x14ac:dyDescent="0.25">
      <c r="A438" s="891"/>
      <c r="B438" s="892"/>
      <c r="C438" s="892"/>
      <c r="D438" s="892"/>
      <c r="E438" s="892"/>
      <c r="F438" s="892"/>
      <c r="G438" s="892"/>
      <c r="H438" s="892"/>
      <c r="I438" s="893"/>
      <c r="J438" s="577" t="s">
        <v>13</v>
      </c>
      <c r="K438" s="571"/>
      <c r="L438" s="571" t="s">
        <v>14</v>
      </c>
      <c r="M438" s="571"/>
      <c r="N438" s="575"/>
      <c r="O438" s="576"/>
      <c r="P438" s="577" t="s">
        <v>13</v>
      </c>
      <c r="Q438" s="571"/>
      <c r="R438" s="571" t="s">
        <v>14</v>
      </c>
      <c r="S438" s="574"/>
      <c r="T438" s="575"/>
      <c r="U438" s="576"/>
      <c r="V438" s="577" t="s">
        <v>13</v>
      </c>
      <c r="W438" s="571"/>
      <c r="X438" s="571" t="s">
        <v>14</v>
      </c>
      <c r="Y438" s="571"/>
      <c r="Z438" s="575"/>
      <c r="AA438" s="576"/>
      <c r="AB438" s="577" t="s">
        <v>13</v>
      </c>
      <c r="AC438" s="571"/>
      <c r="AD438" s="571" t="s">
        <v>14</v>
      </c>
      <c r="AE438" s="571"/>
      <c r="AF438" s="575"/>
      <c r="AG438" s="576"/>
      <c r="AH438" s="577" t="s">
        <v>13</v>
      </c>
      <c r="AI438" s="571"/>
      <c r="AJ438" s="571" t="s">
        <v>14</v>
      </c>
      <c r="AK438" s="571"/>
      <c r="AL438" s="575"/>
      <c r="AM438" s="576"/>
      <c r="AN438" s="577" t="s">
        <v>13</v>
      </c>
      <c r="AO438" s="571"/>
      <c r="AP438" s="571" t="s">
        <v>14</v>
      </c>
      <c r="AQ438" s="571"/>
      <c r="AR438" s="571"/>
    </row>
    <row r="439" spans="1:86" ht="30" x14ac:dyDescent="0.25">
      <c r="A439" s="891"/>
      <c r="B439" s="892"/>
      <c r="C439" s="892"/>
      <c r="D439" s="892"/>
      <c r="E439" s="892"/>
      <c r="F439" s="892"/>
      <c r="G439" s="892"/>
      <c r="H439" s="892"/>
      <c r="I439" s="893"/>
      <c r="J439" s="577" t="s">
        <v>44</v>
      </c>
      <c r="K439" s="571"/>
      <c r="L439" s="571" t="s">
        <v>14</v>
      </c>
      <c r="M439" s="571"/>
      <c r="N439" s="575"/>
      <c r="O439" s="576"/>
      <c r="P439" s="577" t="s">
        <v>44</v>
      </c>
      <c r="Q439" s="571"/>
      <c r="R439" s="571" t="s">
        <v>14</v>
      </c>
      <c r="S439" s="574"/>
      <c r="T439" s="575"/>
      <c r="U439" s="576"/>
      <c r="V439" s="577" t="s">
        <v>44</v>
      </c>
      <c r="W439" s="571"/>
      <c r="X439" s="571" t="s">
        <v>14</v>
      </c>
      <c r="Y439" s="571"/>
      <c r="Z439" s="575"/>
      <c r="AA439" s="576"/>
      <c r="AB439" s="577" t="s">
        <v>44</v>
      </c>
      <c r="AC439" s="571"/>
      <c r="AD439" s="571" t="s">
        <v>14</v>
      </c>
      <c r="AE439" s="571"/>
      <c r="AF439" s="575"/>
      <c r="AG439" s="576"/>
      <c r="AH439" s="577" t="s">
        <v>44</v>
      </c>
      <c r="AI439" s="571"/>
      <c r="AJ439" s="571" t="s">
        <v>14</v>
      </c>
      <c r="AK439" s="571"/>
      <c r="AL439" s="575"/>
      <c r="AM439" s="576"/>
      <c r="AN439" s="577" t="s">
        <v>44</v>
      </c>
      <c r="AO439" s="571"/>
      <c r="AP439" s="571" t="s">
        <v>14</v>
      </c>
      <c r="AQ439" s="571"/>
      <c r="AR439" s="571"/>
    </row>
    <row r="440" spans="1:86" ht="45" x14ac:dyDescent="0.25">
      <c r="A440" s="891"/>
      <c r="B440" s="892"/>
      <c r="C440" s="892"/>
      <c r="D440" s="892"/>
      <c r="E440" s="892"/>
      <c r="F440" s="892"/>
      <c r="G440" s="892"/>
      <c r="H440" s="892"/>
      <c r="I440" s="893"/>
      <c r="J440" s="577" t="s">
        <v>15</v>
      </c>
      <c r="K440" s="571"/>
      <c r="L440" s="571" t="s">
        <v>16</v>
      </c>
      <c r="M440" s="571"/>
      <c r="N440" s="575"/>
      <c r="O440" s="576"/>
      <c r="P440" s="577" t="s">
        <v>15</v>
      </c>
      <c r="Q440" s="571"/>
      <c r="R440" s="571" t="s">
        <v>16</v>
      </c>
      <c r="S440" s="574"/>
      <c r="T440" s="575"/>
      <c r="U440" s="576"/>
      <c r="V440" s="577" t="s">
        <v>15</v>
      </c>
      <c r="W440" s="571"/>
      <c r="X440" s="571" t="s">
        <v>16</v>
      </c>
      <c r="Y440" s="571"/>
      <c r="Z440" s="575"/>
      <c r="AA440" s="576"/>
      <c r="AB440" s="577" t="s">
        <v>15</v>
      </c>
      <c r="AC440" s="571"/>
      <c r="AD440" s="571" t="s">
        <v>16</v>
      </c>
      <c r="AE440" s="571"/>
      <c r="AF440" s="575"/>
      <c r="AG440" s="576"/>
      <c r="AH440" s="577" t="s">
        <v>15</v>
      </c>
      <c r="AI440" s="571"/>
      <c r="AJ440" s="571" t="s">
        <v>16</v>
      </c>
      <c r="AK440" s="571"/>
      <c r="AL440" s="575"/>
      <c r="AM440" s="576"/>
      <c r="AN440" s="577" t="s">
        <v>15</v>
      </c>
      <c r="AO440" s="571"/>
      <c r="AP440" s="571" t="s">
        <v>16</v>
      </c>
      <c r="AQ440" s="571"/>
      <c r="AR440" s="571"/>
    </row>
    <row r="441" spans="1:86" x14ac:dyDescent="0.25">
      <c r="A441" s="891"/>
      <c r="B441" s="892"/>
      <c r="C441" s="892"/>
      <c r="D441" s="892"/>
      <c r="E441" s="892"/>
      <c r="F441" s="892"/>
      <c r="G441" s="892"/>
      <c r="H441" s="892"/>
      <c r="I441" s="893"/>
      <c r="J441" s="577" t="s">
        <v>17</v>
      </c>
      <c r="K441" s="570"/>
      <c r="L441" s="571" t="s">
        <v>8</v>
      </c>
      <c r="M441" s="570"/>
      <c r="N441" s="575"/>
      <c r="O441" s="576"/>
      <c r="P441" s="577" t="s">
        <v>17</v>
      </c>
      <c r="Q441" s="571"/>
      <c r="R441" s="571" t="s">
        <v>8</v>
      </c>
      <c r="S441" s="574"/>
      <c r="T441" s="575"/>
      <c r="U441" s="576"/>
      <c r="V441" s="577" t="s">
        <v>17</v>
      </c>
      <c r="W441" s="571"/>
      <c r="X441" s="571" t="s">
        <v>8</v>
      </c>
      <c r="Y441" s="571"/>
      <c r="Z441" s="575"/>
      <c r="AA441" s="576"/>
      <c r="AB441" s="577" t="s">
        <v>17</v>
      </c>
      <c r="AC441" s="571"/>
      <c r="AD441" s="571" t="s">
        <v>8</v>
      </c>
      <c r="AE441" s="571"/>
      <c r="AF441" s="575"/>
      <c r="AG441" s="576"/>
      <c r="AH441" s="577" t="s">
        <v>17</v>
      </c>
      <c r="AI441" s="570"/>
      <c r="AJ441" s="571" t="s">
        <v>8</v>
      </c>
      <c r="AK441" s="571"/>
      <c r="AL441" s="575"/>
      <c r="AM441" s="576"/>
      <c r="AN441" s="577" t="s">
        <v>17</v>
      </c>
      <c r="AO441" s="571"/>
      <c r="AP441" s="571" t="s">
        <v>8</v>
      </c>
      <c r="AQ441" s="571"/>
      <c r="AR441" s="571"/>
    </row>
    <row r="442" spans="1:86" x14ac:dyDescent="0.25">
      <c r="A442" s="891"/>
      <c r="B442" s="892"/>
      <c r="C442" s="892"/>
      <c r="D442" s="892"/>
      <c r="E442" s="892"/>
      <c r="F442" s="892"/>
      <c r="G442" s="892"/>
      <c r="H442" s="892"/>
      <c r="I442" s="893"/>
      <c r="J442" s="577" t="s">
        <v>18</v>
      </c>
      <c r="K442" s="570"/>
      <c r="L442" s="570"/>
      <c r="M442" s="570"/>
      <c r="N442" s="575"/>
      <c r="O442" s="576"/>
      <c r="P442" s="577" t="s">
        <v>18</v>
      </c>
      <c r="Q442" s="571"/>
      <c r="R442" s="571"/>
      <c r="S442" s="574"/>
      <c r="T442" s="575"/>
      <c r="U442" s="576"/>
      <c r="V442" s="577" t="s">
        <v>18</v>
      </c>
      <c r="W442" s="571"/>
      <c r="X442" s="571"/>
      <c r="Y442" s="571"/>
      <c r="Z442" s="575"/>
      <c r="AA442" s="576"/>
      <c r="AB442" s="577" t="s">
        <v>18</v>
      </c>
      <c r="AC442" s="571"/>
      <c r="AD442" s="571"/>
      <c r="AE442" s="571"/>
      <c r="AF442" s="575"/>
      <c r="AG442" s="576"/>
      <c r="AH442" s="577" t="s">
        <v>18</v>
      </c>
      <c r="AI442" s="571"/>
      <c r="AJ442" s="571"/>
      <c r="AK442" s="571"/>
      <c r="AL442" s="575"/>
      <c r="AM442" s="576"/>
      <c r="AN442" s="577" t="s">
        <v>18</v>
      </c>
      <c r="AO442" s="571"/>
      <c r="AP442" s="571"/>
      <c r="AQ442" s="571"/>
      <c r="AR442" s="571"/>
    </row>
    <row r="443" spans="1:86" ht="45" x14ac:dyDescent="0.25">
      <c r="A443" s="891"/>
      <c r="B443" s="892"/>
      <c r="C443" s="892"/>
      <c r="D443" s="892"/>
      <c r="E443" s="892"/>
      <c r="F443" s="892"/>
      <c r="G443" s="892"/>
      <c r="H443" s="892"/>
      <c r="I443" s="893"/>
      <c r="J443" s="577" t="s">
        <v>46</v>
      </c>
      <c r="K443" s="570"/>
      <c r="L443" s="571" t="s">
        <v>16</v>
      </c>
      <c r="M443" s="570"/>
      <c r="N443" s="575"/>
      <c r="O443" s="578"/>
      <c r="P443" s="577" t="s">
        <v>46</v>
      </c>
      <c r="Q443" s="571"/>
      <c r="R443" s="571" t="s">
        <v>16</v>
      </c>
      <c r="S443" s="574"/>
      <c r="T443" s="575"/>
      <c r="U443" s="578"/>
      <c r="V443" s="577" t="s">
        <v>46</v>
      </c>
      <c r="W443" s="571"/>
      <c r="X443" s="571" t="s">
        <v>16</v>
      </c>
      <c r="Y443" s="571"/>
      <c r="Z443" s="575"/>
      <c r="AA443" s="578"/>
      <c r="AB443" s="577" t="s">
        <v>46</v>
      </c>
      <c r="AC443" s="571"/>
      <c r="AD443" s="571" t="s">
        <v>16</v>
      </c>
      <c r="AE443" s="571"/>
      <c r="AF443" s="575"/>
      <c r="AG443" s="578"/>
      <c r="AH443" s="577" t="s">
        <v>46</v>
      </c>
      <c r="AI443" s="570"/>
      <c r="AJ443" s="571" t="s">
        <v>16</v>
      </c>
      <c r="AK443" s="571"/>
      <c r="AL443" s="575"/>
      <c r="AM443" s="578"/>
      <c r="AN443" s="577" t="s">
        <v>46</v>
      </c>
      <c r="AO443" s="571"/>
      <c r="AP443" s="571" t="s">
        <v>16</v>
      </c>
      <c r="AQ443" s="571"/>
      <c r="AR443" s="571"/>
    </row>
    <row r="444" spans="1:86" ht="30" x14ac:dyDescent="0.25">
      <c r="A444" s="894"/>
      <c r="B444" s="895"/>
      <c r="C444" s="895"/>
      <c r="D444" s="895"/>
      <c r="E444" s="895"/>
      <c r="F444" s="895"/>
      <c r="G444" s="895"/>
      <c r="H444" s="895"/>
      <c r="I444" s="896"/>
      <c r="J444" s="577" t="s">
        <v>432</v>
      </c>
      <c r="K444" s="570"/>
      <c r="L444" s="570" t="s">
        <v>14</v>
      </c>
      <c r="M444" s="570"/>
      <c r="N444" s="575"/>
      <c r="O444" s="578"/>
      <c r="P444" s="577" t="s">
        <v>45</v>
      </c>
      <c r="Q444" s="571"/>
      <c r="R444" s="571"/>
      <c r="S444" s="574"/>
      <c r="T444" s="575"/>
      <c r="U444" s="578"/>
      <c r="V444" s="577" t="s">
        <v>45</v>
      </c>
      <c r="W444" s="571"/>
      <c r="X444" s="571"/>
      <c r="Y444" s="571"/>
      <c r="Z444" s="575"/>
      <c r="AA444" s="578"/>
      <c r="AB444" s="577" t="s">
        <v>45</v>
      </c>
      <c r="AC444" s="571"/>
      <c r="AD444" s="571"/>
      <c r="AE444" s="571"/>
      <c r="AF444" s="575"/>
      <c r="AG444" s="578"/>
      <c r="AH444" s="577" t="s">
        <v>45</v>
      </c>
      <c r="AI444" s="571"/>
      <c r="AJ444" s="571"/>
      <c r="AK444" s="571"/>
      <c r="AL444" s="575"/>
      <c r="AM444" s="578"/>
      <c r="AN444" s="577" t="s">
        <v>45</v>
      </c>
      <c r="AO444" s="571"/>
      <c r="AP444" s="571"/>
      <c r="AQ444" s="571"/>
      <c r="AR444" s="571"/>
    </row>
    <row r="445" spans="1:86" s="494" customFormat="1" ht="39" customHeight="1" x14ac:dyDescent="0.2">
      <c r="A445" s="905" t="s">
        <v>459</v>
      </c>
      <c r="B445" s="905"/>
      <c r="C445" s="905"/>
      <c r="D445" s="905"/>
      <c r="E445" s="905"/>
      <c r="F445" s="905"/>
      <c r="G445" s="579"/>
      <c r="H445" s="579"/>
      <c r="I445" s="579"/>
      <c r="J445" s="579"/>
      <c r="K445" s="580">
        <f>K351+K14</f>
        <v>28.704000000000004</v>
      </c>
      <c r="L445" s="580"/>
      <c r="M445" s="582">
        <f t="shared" ref="M445:AQ445" si="26">M351+M14</f>
        <v>703810.89084751986</v>
      </c>
      <c r="N445" s="580"/>
      <c r="O445" s="580"/>
      <c r="P445" s="580"/>
      <c r="Q445" s="580">
        <f>Q351+Q14+Q403</f>
        <v>42.632000000000005</v>
      </c>
      <c r="R445" s="580"/>
      <c r="S445" s="582">
        <f t="shared" si="26"/>
        <v>700320.61378399981</v>
      </c>
      <c r="T445" s="580"/>
      <c r="U445" s="580"/>
      <c r="V445" s="580"/>
      <c r="W445" s="580">
        <f>W351+W14+W403</f>
        <v>43.045000000000002</v>
      </c>
      <c r="X445" s="580"/>
      <c r="Y445" s="582">
        <f t="shared" si="26"/>
        <v>699999.99799999991</v>
      </c>
      <c r="Z445" s="580"/>
      <c r="AA445" s="580"/>
      <c r="AB445" s="580"/>
      <c r="AC445" s="580">
        <f>AC351+AC14+AC403</f>
        <v>38.948999999999998</v>
      </c>
      <c r="AD445" s="580"/>
      <c r="AE445" s="582">
        <f t="shared" si="26"/>
        <v>699999.99999999988</v>
      </c>
      <c r="AF445" s="580"/>
      <c r="AG445" s="580"/>
      <c r="AH445" s="580"/>
      <c r="AI445" s="580">
        <f>AI351+AI14+AI403</f>
        <v>32.960999999999999</v>
      </c>
      <c r="AJ445" s="580"/>
      <c r="AK445" s="582">
        <f t="shared" si="26"/>
        <v>700000</v>
      </c>
      <c r="AL445" s="580"/>
      <c r="AM445" s="580"/>
      <c r="AN445" s="580"/>
      <c r="AO445" s="580">
        <f t="shared" si="26"/>
        <v>21.587</v>
      </c>
      <c r="AP445" s="580"/>
      <c r="AQ445" s="582">
        <f t="shared" si="26"/>
        <v>704653.68294999993</v>
      </c>
      <c r="AR445" s="580">
        <f>AO445+AI445+AC445+W445+Q445+K445</f>
        <v>207.87800000000001</v>
      </c>
      <c r="AS445" s="493"/>
      <c r="AT445" s="493"/>
      <c r="AU445" s="493"/>
      <c r="AV445" s="493"/>
      <c r="AW445" s="493"/>
      <c r="AX445" s="493"/>
      <c r="AY445" s="493"/>
      <c r="AZ445" s="493"/>
      <c r="BA445" s="493"/>
      <c r="BB445" s="493"/>
      <c r="BC445" s="493"/>
      <c r="BD445" s="493"/>
      <c r="BE445" s="493"/>
      <c r="BF445" s="493"/>
      <c r="BG445" s="493"/>
      <c r="BH445" s="493"/>
      <c r="BI445" s="493"/>
      <c r="BJ445" s="493"/>
      <c r="BK445" s="493"/>
      <c r="BL445" s="493"/>
      <c r="BM445" s="493"/>
      <c r="BN445" s="493"/>
      <c r="BO445" s="493"/>
      <c r="BP445" s="493"/>
      <c r="BQ445" s="493"/>
      <c r="BR445" s="493"/>
      <c r="BS445" s="493"/>
      <c r="BT445" s="493"/>
      <c r="BU445" s="493"/>
      <c r="BV445" s="493"/>
      <c r="BW445" s="493"/>
      <c r="BX445" s="493"/>
      <c r="BY445" s="493"/>
      <c r="BZ445" s="493"/>
      <c r="CA445" s="493"/>
      <c r="CB445" s="493"/>
      <c r="CC445" s="493"/>
      <c r="CD445" s="493"/>
      <c r="CE445" s="493"/>
      <c r="CF445" s="493"/>
      <c r="CG445" s="493"/>
      <c r="CH445" s="493"/>
    </row>
    <row r="446" spans="1:86" s="494" customFormat="1" ht="14.25" x14ac:dyDescent="0.2">
      <c r="C446" s="581"/>
      <c r="D446" s="581"/>
      <c r="E446" s="581"/>
      <c r="F446" s="581"/>
      <c r="G446" s="581"/>
      <c r="H446" s="581"/>
      <c r="I446" s="581"/>
      <c r="J446" s="581"/>
      <c r="K446" s="581"/>
      <c r="L446" s="581"/>
      <c r="M446" s="581"/>
      <c r="N446" s="581"/>
      <c r="O446" s="581"/>
      <c r="P446" s="581"/>
      <c r="Q446" s="581"/>
      <c r="R446" s="581"/>
      <c r="S446" s="581"/>
      <c r="T446" s="581"/>
      <c r="U446" s="581"/>
      <c r="V446" s="581"/>
      <c r="W446" s="581"/>
      <c r="X446" s="581"/>
      <c r="Y446" s="581"/>
      <c r="Z446" s="581"/>
      <c r="AA446" s="581"/>
      <c r="AB446" s="581"/>
      <c r="AC446" s="581"/>
      <c r="AD446" s="581"/>
      <c r="AE446" s="581"/>
      <c r="AF446" s="581"/>
      <c r="AR446" s="493"/>
      <c r="AS446" s="493"/>
      <c r="AT446" s="493"/>
      <c r="AU446" s="493"/>
      <c r="AV446" s="493"/>
      <c r="AW446" s="493"/>
      <c r="AX446" s="493"/>
      <c r="AY446" s="493"/>
      <c r="AZ446" s="493"/>
      <c r="BA446" s="493"/>
      <c r="BB446" s="493"/>
      <c r="BC446" s="493"/>
      <c r="BD446" s="493"/>
      <c r="BE446" s="493"/>
      <c r="BF446" s="493"/>
      <c r="BG446" s="493"/>
      <c r="BH446" s="493"/>
      <c r="BI446" s="493"/>
      <c r="BJ446" s="493"/>
      <c r="BK446" s="493"/>
      <c r="BL446" s="493"/>
      <c r="BM446" s="493"/>
      <c r="BN446" s="493"/>
      <c r="BO446" s="493"/>
      <c r="BP446" s="493"/>
      <c r="BQ446" s="493"/>
      <c r="BR446" s="493"/>
      <c r="BS446" s="493"/>
      <c r="BT446" s="493"/>
      <c r="BU446" s="493"/>
      <c r="BV446" s="493"/>
      <c r="BW446" s="493"/>
      <c r="BX446" s="493"/>
      <c r="BY446" s="493"/>
      <c r="BZ446" s="493"/>
      <c r="CA446" s="493"/>
      <c r="CB446" s="493"/>
      <c r="CC446" s="493"/>
      <c r="CD446" s="493"/>
      <c r="CE446" s="493"/>
      <c r="CF446" s="493"/>
      <c r="CG446" s="493"/>
      <c r="CH446" s="493"/>
    </row>
    <row r="447" spans="1:86" s="494" customFormat="1" ht="14.25" x14ac:dyDescent="0.2">
      <c r="C447" s="581"/>
      <c r="D447" s="581"/>
      <c r="E447" s="581"/>
      <c r="F447" s="581"/>
      <c r="G447" s="581"/>
      <c r="H447" s="581"/>
      <c r="I447" s="581"/>
      <c r="J447" s="581"/>
      <c r="K447" s="581"/>
      <c r="L447" s="581"/>
      <c r="M447" s="581"/>
      <c r="N447" s="581"/>
      <c r="O447" s="581"/>
      <c r="P447" s="581"/>
      <c r="Q447" s="581"/>
      <c r="R447" s="581"/>
      <c r="S447" s="581"/>
      <c r="T447" s="581"/>
      <c r="U447" s="581"/>
      <c r="V447" s="581"/>
      <c r="W447" s="581"/>
      <c r="X447" s="581"/>
      <c r="Y447" s="581"/>
      <c r="Z447" s="581"/>
      <c r="AA447" s="581"/>
      <c r="AB447" s="581"/>
      <c r="AC447" s="581"/>
      <c r="AD447" s="581"/>
      <c r="AE447" s="581"/>
      <c r="AF447" s="581"/>
      <c r="AR447" s="493"/>
      <c r="AS447" s="493"/>
      <c r="AT447" s="493"/>
      <c r="AU447" s="493"/>
      <c r="AV447" s="493"/>
      <c r="AW447" s="493"/>
      <c r="AX447" s="493"/>
      <c r="AY447" s="493"/>
      <c r="AZ447" s="493"/>
      <c r="BA447" s="493"/>
      <c r="BB447" s="493"/>
      <c r="BC447" s="493"/>
      <c r="BD447" s="493"/>
      <c r="BE447" s="493"/>
      <c r="BF447" s="493"/>
      <c r="BG447" s="493"/>
      <c r="BH447" s="493"/>
      <c r="BI447" s="493"/>
      <c r="BJ447" s="493"/>
      <c r="BK447" s="493"/>
      <c r="BL447" s="493"/>
      <c r="BM447" s="493"/>
      <c r="BN447" s="493"/>
      <c r="BO447" s="493"/>
      <c r="BP447" s="493"/>
      <c r="BQ447" s="493"/>
      <c r="BR447" s="493"/>
      <c r="BS447" s="493"/>
      <c r="BT447" s="493"/>
      <c r="BU447" s="493"/>
      <c r="BV447" s="493"/>
      <c r="BW447" s="493"/>
      <c r="BX447" s="493"/>
      <c r="BY447" s="493"/>
      <c r="BZ447" s="493"/>
      <c r="CA447" s="493"/>
      <c r="CB447" s="493"/>
      <c r="CC447" s="493"/>
      <c r="CD447" s="493"/>
      <c r="CE447" s="493"/>
      <c r="CF447" s="493"/>
      <c r="CG447" s="493"/>
      <c r="CH447" s="493"/>
    </row>
    <row r="448" spans="1:86" s="494" customFormat="1" ht="14.25" x14ac:dyDescent="0.2">
      <c r="C448" s="581"/>
      <c r="D448" s="581"/>
      <c r="E448" s="581"/>
      <c r="F448" s="581"/>
      <c r="G448" s="581"/>
      <c r="H448" s="581"/>
      <c r="I448" s="581"/>
      <c r="J448" s="581"/>
      <c r="K448" s="581"/>
      <c r="L448" s="581"/>
      <c r="M448" s="581"/>
      <c r="N448" s="581"/>
      <c r="O448" s="581"/>
      <c r="P448" s="581"/>
      <c r="Q448" s="581"/>
      <c r="R448" s="581"/>
      <c r="S448" s="581"/>
      <c r="T448" s="581"/>
      <c r="U448" s="581"/>
      <c r="V448" s="581"/>
      <c r="W448" s="581"/>
      <c r="X448" s="581"/>
      <c r="Y448" s="581"/>
      <c r="Z448" s="581"/>
      <c r="AA448" s="581"/>
      <c r="AB448" s="581"/>
      <c r="AC448" s="581"/>
      <c r="AD448" s="581"/>
      <c r="AE448" s="581"/>
      <c r="AF448" s="581"/>
      <c r="AR448" s="493"/>
      <c r="AS448" s="493"/>
      <c r="AT448" s="493"/>
      <c r="AU448" s="493"/>
      <c r="AV448" s="493"/>
      <c r="AW448" s="493"/>
      <c r="AX448" s="493"/>
      <c r="AY448" s="493"/>
      <c r="AZ448" s="493"/>
      <c r="BA448" s="493"/>
      <c r="BB448" s="493"/>
      <c r="BC448" s="493"/>
      <c r="BD448" s="493"/>
      <c r="BE448" s="493"/>
      <c r="BF448" s="493"/>
      <c r="BG448" s="493"/>
      <c r="BH448" s="493"/>
      <c r="BI448" s="493"/>
      <c r="BJ448" s="493"/>
      <c r="BK448" s="493"/>
      <c r="BL448" s="493"/>
      <c r="BM448" s="493"/>
      <c r="BN448" s="493"/>
      <c r="BO448" s="493"/>
      <c r="BP448" s="493"/>
      <c r="BQ448" s="493"/>
      <c r="BR448" s="493"/>
      <c r="BS448" s="493"/>
      <c r="BT448" s="493"/>
      <c r="BU448" s="493"/>
      <c r="BV448" s="493"/>
      <c r="BW448" s="493"/>
      <c r="BX448" s="493"/>
      <c r="BY448" s="493"/>
      <c r="BZ448" s="493"/>
      <c r="CA448" s="493"/>
      <c r="CB448" s="493"/>
      <c r="CC448" s="493"/>
      <c r="CD448" s="493"/>
      <c r="CE448" s="493"/>
      <c r="CF448" s="493"/>
      <c r="CG448" s="493"/>
      <c r="CH448" s="493"/>
    </row>
    <row r="449" spans="3:86" s="494" customFormat="1" ht="14.25" x14ac:dyDescent="0.2">
      <c r="C449" s="581"/>
      <c r="D449" s="581"/>
      <c r="E449" s="581"/>
      <c r="F449" s="581"/>
      <c r="G449" s="581"/>
      <c r="H449" s="581"/>
      <c r="I449" s="581"/>
      <c r="J449" s="581"/>
      <c r="K449" s="581"/>
      <c r="L449" s="581"/>
      <c r="M449" s="581"/>
      <c r="N449" s="581"/>
      <c r="O449" s="581"/>
      <c r="P449" s="581"/>
      <c r="Q449" s="581"/>
      <c r="R449" s="581"/>
      <c r="S449" s="581"/>
      <c r="T449" s="581"/>
      <c r="U449" s="581"/>
      <c r="V449" s="581"/>
      <c r="W449" s="581"/>
      <c r="X449" s="581"/>
      <c r="Y449" s="581"/>
      <c r="Z449" s="581"/>
      <c r="AA449" s="581"/>
      <c r="AB449" s="581"/>
      <c r="AC449" s="581"/>
      <c r="AD449" s="581"/>
      <c r="AE449" s="581"/>
      <c r="AF449" s="581"/>
      <c r="AR449" s="493"/>
      <c r="AS449" s="493"/>
      <c r="AT449" s="493"/>
      <c r="AU449" s="493"/>
      <c r="AV449" s="493"/>
      <c r="AW449" s="493"/>
      <c r="AX449" s="493"/>
      <c r="AY449" s="493"/>
      <c r="AZ449" s="493"/>
      <c r="BA449" s="493"/>
      <c r="BB449" s="493"/>
      <c r="BC449" s="493"/>
      <c r="BD449" s="493"/>
      <c r="BE449" s="493"/>
      <c r="BF449" s="493"/>
      <c r="BG449" s="493"/>
      <c r="BH449" s="493"/>
      <c r="BI449" s="493"/>
      <c r="BJ449" s="493"/>
      <c r="BK449" s="493"/>
      <c r="BL449" s="493"/>
      <c r="BM449" s="493"/>
      <c r="BN449" s="493"/>
      <c r="BO449" s="493"/>
      <c r="BP449" s="493"/>
      <c r="BQ449" s="493"/>
      <c r="BR449" s="493"/>
      <c r="BS449" s="493"/>
      <c r="BT449" s="493"/>
      <c r="BU449" s="493"/>
      <c r="BV449" s="493"/>
      <c r="BW449" s="493"/>
      <c r="BX449" s="493"/>
      <c r="BY449" s="493"/>
      <c r="BZ449" s="493"/>
      <c r="CA449" s="493"/>
      <c r="CB449" s="493"/>
      <c r="CC449" s="493"/>
      <c r="CD449" s="493"/>
      <c r="CE449" s="493"/>
      <c r="CF449" s="493"/>
      <c r="CG449" s="493"/>
      <c r="CH449" s="493"/>
    </row>
    <row r="450" spans="3:86" s="494" customFormat="1" ht="14.25" x14ac:dyDescent="0.2">
      <c r="C450" s="581"/>
      <c r="D450" s="581"/>
      <c r="E450" s="581"/>
      <c r="F450" s="581"/>
      <c r="G450" s="581"/>
      <c r="H450" s="581"/>
      <c r="I450" s="581"/>
      <c r="J450" s="581"/>
      <c r="K450" s="581"/>
      <c r="L450" s="581"/>
      <c r="M450" s="581"/>
      <c r="N450" s="581"/>
      <c r="O450" s="581"/>
      <c r="P450" s="581"/>
      <c r="Q450" s="581"/>
      <c r="R450" s="581"/>
      <c r="S450" s="581"/>
      <c r="T450" s="581"/>
      <c r="U450" s="581"/>
      <c r="V450" s="581"/>
      <c r="W450" s="581"/>
      <c r="X450" s="581"/>
      <c r="Y450" s="581"/>
      <c r="Z450" s="581"/>
      <c r="AA450" s="581"/>
      <c r="AB450" s="581"/>
      <c r="AC450" s="581"/>
      <c r="AD450" s="581"/>
      <c r="AE450" s="581"/>
      <c r="AF450" s="581"/>
      <c r="AR450" s="493"/>
      <c r="AS450" s="493"/>
      <c r="AT450" s="493"/>
      <c r="AU450" s="493"/>
      <c r="AV450" s="493"/>
      <c r="AW450" s="493"/>
      <c r="AX450" s="493"/>
      <c r="AY450" s="493"/>
      <c r="AZ450" s="493"/>
      <c r="BA450" s="493"/>
      <c r="BB450" s="493"/>
      <c r="BC450" s="493"/>
      <c r="BD450" s="493"/>
      <c r="BE450" s="493"/>
      <c r="BF450" s="493"/>
      <c r="BG450" s="493"/>
      <c r="BH450" s="493"/>
      <c r="BI450" s="493"/>
      <c r="BJ450" s="493"/>
      <c r="BK450" s="493"/>
      <c r="BL450" s="493"/>
      <c r="BM450" s="493"/>
      <c r="BN450" s="493"/>
      <c r="BO450" s="493"/>
      <c r="BP450" s="493"/>
      <c r="BQ450" s="493"/>
      <c r="BR450" s="493"/>
      <c r="BS450" s="493"/>
      <c r="BT450" s="493"/>
      <c r="BU450" s="493"/>
      <c r="BV450" s="493"/>
      <c r="BW450" s="493"/>
      <c r="BX450" s="493"/>
      <c r="BY450" s="493"/>
      <c r="BZ450" s="493"/>
      <c r="CA450" s="493"/>
      <c r="CB450" s="493"/>
      <c r="CC450" s="493"/>
      <c r="CD450" s="493"/>
      <c r="CE450" s="493"/>
      <c r="CF450" s="493"/>
      <c r="CG450" s="493"/>
      <c r="CH450" s="493"/>
    </row>
    <row r="451" spans="3:86" s="494" customFormat="1" ht="14.25" x14ac:dyDescent="0.2">
      <c r="C451" s="581"/>
      <c r="D451" s="581"/>
      <c r="E451" s="581"/>
      <c r="F451" s="581"/>
      <c r="G451" s="581"/>
      <c r="H451" s="581"/>
      <c r="I451" s="581"/>
      <c r="J451" s="581"/>
      <c r="K451" s="581"/>
      <c r="L451" s="581"/>
      <c r="M451" s="581"/>
      <c r="N451" s="581"/>
      <c r="O451" s="581"/>
      <c r="P451" s="581"/>
      <c r="Q451" s="581"/>
      <c r="R451" s="581"/>
      <c r="S451" s="581"/>
      <c r="T451" s="581"/>
      <c r="U451" s="581"/>
      <c r="V451" s="581"/>
      <c r="W451" s="581"/>
      <c r="X451" s="581"/>
      <c r="Y451" s="581"/>
      <c r="Z451" s="581"/>
      <c r="AA451" s="581"/>
      <c r="AB451" s="581"/>
      <c r="AC451" s="581"/>
      <c r="AD451" s="581"/>
      <c r="AE451" s="581"/>
      <c r="AF451" s="581"/>
      <c r="AR451" s="493"/>
      <c r="AS451" s="493"/>
      <c r="AT451" s="493"/>
      <c r="AU451" s="493"/>
      <c r="AV451" s="493"/>
      <c r="AW451" s="493"/>
      <c r="AX451" s="493"/>
      <c r="AY451" s="493"/>
      <c r="AZ451" s="493"/>
      <c r="BA451" s="493"/>
      <c r="BB451" s="493"/>
      <c r="BC451" s="493"/>
      <c r="BD451" s="493"/>
      <c r="BE451" s="493"/>
      <c r="BF451" s="493"/>
      <c r="BG451" s="493"/>
      <c r="BH451" s="493"/>
      <c r="BI451" s="493"/>
      <c r="BJ451" s="493"/>
      <c r="BK451" s="493"/>
      <c r="BL451" s="493"/>
      <c r="BM451" s="493"/>
      <c r="BN451" s="493"/>
      <c r="BO451" s="493"/>
      <c r="BP451" s="493"/>
      <c r="BQ451" s="493"/>
      <c r="BR451" s="493"/>
      <c r="BS451" s="493"/>
      <c r="BT451" s="493"/>
      <c r="BU451" s="493"/>
      <c r="BV451" s="493"/>
      <c r="BW451" s="493"/>
      <c r="BX451" s="493"/>
      <c r="BY451" s="493"/>
      <c r="BZ451" s="493"/>
      <c r="CA451" s="493"/>
      <c r="CB451" s="493"/>
      <c r="CC451" s="493"/>
      <c r="CD451" s="493"/>
      <c r="CE451" s="493"/>
      <c r="CF451" s="493"/>
      <c r="CG451" s="493"/>
      <c r="CH451" s="493"/>
    </row>
    <row r="452" spans="3:86" s="494" customFormat="1" ht="14.25" x14ac:dyDescent="0.2">
      <c r="C452" s="581"/>
      <c r="D452" s="581"/>
      <c r="E452" s="581"/>
      <c r="F452" s="581"/>
      <c r="G452" s="581"/>
      <c r="H452" s="581"/>
      <c r="I452" s="581"/>
      <c r="J452" s="581"/>
      <c r="K452" s="581"/>
      <c r="L452" s="581"/>
      <c r="M452" s="581"/>
      <c r="N452" s="581"/>
      <c r="O452" s="581"/>
      <c r="P452" s="581"/>
      <c r="Q452" s="581"/>
      <c r="R452" s="581"/>
      <c r="S452" s="581"/>
      <c r="T452" s="581"/>
      <c r="U452" s="581"/>
      <c r="V452" s="581"/>
      <c r="W452" s="581"/>
      <c r="X452" s="581"/>
      <c r="Y452" s="581"/>
      <c r="Z452" s="581"/>
      <c r="AA452" s="581"/>
      <c r="AB452" s="581"/>
      <c r="AC452" s="581"/>
      <c r="AD452" s="581"/>
      <c r="AE452" s="581"/>
      <c r="AF452" s="581"/>
      <c r="AR452" s="493"/>
      <c r="AS452" s="493"/>
      <c r="AT452" s="493"/>
      <c r="AU452" s="493"/>
      <c r="AV452" s="493"/>
      <c r="AW452" s="493"/>
      <c r="AX452" s="493"/>
      <c r="AY452" s="493"/>
      <c r="AZ452" s="493"/>
      <c r="BA452" s="493"/>
      <c r="BB452" s="493"/>
      <c r="BC452" s="493"/>
      <c r="BD452" s="493"/>
      <c r="BE452" s="493"/>
      <c r="BF452" s="493"/>
      <c r="BG452" s="493"/>
      <c r="BH452" s="493"/>
      <c r="BI452" s="493"/>
      <c r="BJ452" s="493"/>
      <c r="BK452" s="493"/>
      <c r="BL452" s="493"/>
      <c r="BM452" s="493"/>
      <c r="BN452" s="493"/>
      <c r="BO452" s="493"/>
      <c r="BP452" s="493"/>
      <c r="BQ452" s="493"/>
      <c r="BR452" s="493"/>
      <c r="BS452" s="493"/>
      <c r="BT452" s="493"/>
      <c r="BU452" s="493"/>
      <c r="BV452" s="493"/>
      <c r="BW452" s="493"/>
      <c r="BX452" s="493"/>
      <c r="BY452" s="493"/>
      <c r="BZ452" s="493"/>
      <c r="CA452" s="493"/>
      <c r="CB452" s="493"/>
      <c r="CC452" s="493"/>
      <c r="CD452" s="493"/>
      <c r="CE452" s="493"/>
      <c r="CF452" s="493"/>
      <c r="CG452" s="493"/>
      <c r="CH452" s="493"/>
    </row>
    <row r="453" spans="3:86" s="494" customFormat="1" ht="14.25" x14ac:dyDescent="0.2">
      <c r="C453" s="581"/>
      <c r="D453" s="581"/>
      <c r="E453" s="581"/>
      <c r="F453" s="581"/>
      <c r="G453" s="581"/>
      <c r="H453" s="581"/>
      <c r="I453" s="581"/>
      <c r="J453" s="581"/>
      <c r="K453" s="581"/>
      <c r="L453" s="581"/>
      <c r="M453" s="581"/>
      <c r="N453" s="581"/>
      <c r="O453" s="581"/>
      <c r="P453" s="581"/>
      <c r="Q453" s="581"/>
      <c r="R453" s="581"/>
      <c r="S453" s="581"/>
      <c r="T453" s="581"/>
      <c r="U453" s="581"/>
      <c r="V453" s="581"/>
      <c r="W453" s="581"/>
      <c r="X453" s="581"/>
      <c r="Y453" s="581"/>
      <c r="Z453" s="581"/>
      <c r="AA453" s="581"/>
      <c r="AB453" s="581"/>
      <c r="AC453" s="581"/>
      <c r="AD453" s="581"/>
      <c r="AE453" s="581"/>
      <c r="AF453" s="581"/>
      <c r="AR453" s="493"/>
      <c r="AS453" s="493"/>
      <c r="AT453" s="493"/>
      <c r="AU453" s="493"/>
      <c r="AV453" s="493"/>
      <c r="AW453" s="493"/>
      <c r="AX453" s="493"/>
      <c r="AY453" s="493"/>
      <c r="AZ453" s="493"/>
      <c r="BA453" s="493"/>
      <c r="BB453" s="493"/>
      <c r="BC453" s="493"/>
      <c r="BD453" s="493"/>
      <c r="BE453" s="493"/>
      <c r="BF453" s="493"/>
      <c r="BG453" s="493"/>
      <c r="BH453" s="493"/>
      <c r="BI453" s="493"/>
      <c r="BJ453" s="493"/>
      <c r="BK453" s="493"/>
      <c r="BL453" s="493"/>
      <c r="BM453" s="493"/>
      <c r="BN453" s="493"/>
      <c r="BO453" s="493"/>
      <c r="BP453" s="493"/>
      <c r="BQ453" s="493"/>
      <c r="BR453" s="493"/>
      <c r="BS453" s="493"/>
      <c r="BT453" s="493"/>
      <c r="BU453" s="493"/>
      <c r="BV453" s="493"/>
      <c r="BW453" s="493"/>
      <c r="BX453" s="493"/>
      <c r="BY453" s="493"/>
      <c r="BZ453" s="493"/>
      <c r="CA453" s="493"/>
      <c r="CB453" s="493"/>
      <c r="CC453" s="493"/>
      <c r="CD453" s="493"/>
      <c r="CE453" s="493"/>
      <c r="CF453" s="493"/>
      <c r="CG453" s="493"/>
      <c r="CH453" s="493"/>
    </row>
  </sheetData>
  <mergeCells count="1333">
    <mergeCell ref="AR412:AR413"/>
    <mergeCell ref="B421:R421"/>
    <mergeCell ref="A423:A425"/>
    <mergeCell ref="B423:B425"/>
    <mergeCell ref="C423:C425"/>
    <mergeCell ref="D423:D425"/>
    <mergeCell ref="E423:E425"/>
    <mergeCell ref="F423:F425"/>
    <mergeCell ref="G423:G425"/>
    <mergeCell ref="AL423:AL425"/>
    <mergeCell ref="AM423:AM425"/>
    <mergeCell ref="AN423:AN424"/>
    <mergeCell ref="AQ423:AQ424"/>
    <mergeCell ref="V412:V413"/>
    <mergeCell ref="Y412:Y413"/>
    <mergeCell ref="AB412:AB413"/>
    <mergeCell ref="AE412:AE413"/>
    <mergeCell ref="AH412:AH413"/>
    <mergeCell ref="AK412:AK413"/>
    <mergeCell ref="AN412:AN413"/>
    <mergeCell ref="AQ436:AQ437"/>
    <mergeCell ref="AR436:AR437"/>
    <mergeCell ref="A445:F445"/>
    <mergeCell ref="AN434:AN435"/>
    <mergeCell ref="J436:J437"/>
    <mergeCell ref="M436:M437"/>
    <mergeCell ref="P436:P437"/>
    <mergeCell ref="S436:S437"/>
    <mergeCell ref="V436:V437"/>
    <mergeCell ref="Y436:Y437"/>
    <mergeCell ref="AB436:AB437"/>
    <mergeCell ref="AE436:AE437"/>
    <mergeCell ref="AH436:AH437"/>
    <mergeCell ref="AK436:AK437"/>
    <mergeCell ref="AN436:AN437"/>
    <mergeCell ref="AN428:AN429"/>
    <mergeCell ref="J430:J431"/>
    <mergeCell ref="P430:P431"/>
    <mergeCell ref="V430:V431"/>
    <mergeCell ref="AB432:AB433"/>
    <mergeCell ref="AE432:AE433"/>
    <mergeCell ref="AH432:AH433"/>
    <mergeCell ref="AN432:AN433"/>
    <mergeCell ref="AQ393:AQ394"/>
    <mergeCell ref="A427:C427"/>
    <mergeCell ref="A428:I444"/>
    <mergeCell ref="J428:J429"/>
    <mergeCell ref="M428:M429"/>
    <mergeCell ref="P428:P429"/>
    <mergeCell ref="V428:V429"/>
    <mergeCell ref="AB428:AB429"/>
    <mergeCell ref="AH428:AH429"/>
    <mergeCell ref="AK428:AK429"/>
    <mergeCell ref="J434:J435"/>
    <mergeCell ref="P434:P435"/>
    <mergeCell ref="S434:S435"/>
    <mergeCell ref="V434:V435"/>
    <mergeCell ref="AB434:AB435"/>
    <mergeCell ref="AH434:AH435"/>
    <mergeCell ref="AQ412:AQ413"/>
    <mergeCell ref="AB430:AB431"/>
    <mergeCell ref="AH430:AH431"/>
    <mergeCell ref="AN430:AN431"/>
    <mergeCell ref="J432:J433"/>
    <mergeCell ref="P432:P433"/>
    <mergeCell ref="S432:S433"/>
    <mergeCell ref="V432:V433"/>
    <mergeCell ref="Y432:Y433"/>
    <mergeCell ref="J393:J394"/>
    <mergeCell ref="M393:M394"/>
    <mergeCell ref="P393:P394"/>
    <mergeCell ref="S393:S394"/>
    <mergeCell ref="V393:V394"/>
    <mergeCell ref="Y393:Y394"/>
    <mergeCell ref="AB393:AB394"/>
    <mergeCell ref="AR393:AR394"/>
    <mergeCell ref="A402:R402"/>
    <mergeCell ref="A403:C403"/>
    <mergeCell ref="A404:I420"/>
    <mergeCell ref="J404:J405"/>
    <mergeCell ref="P404:P405"/>
    <mergeCell ref="V404:V405"/>
    <mergeCell ref="AB404:AB405"/>
    <mergeCell ref="AH404:AH405"/>
    <mergeCell ref="AN404:AN405"/>
    <mergeCell ref="J406:J407"/>
    <mergeCell ref="P406:P407"/>
    <mergeCell ref="V406:V407"/>
    <mergeCell ref="AB406:AB407"/>
    <mergeCell ref="AH406:AH407"/>
    <mergeCell ref="AN406:AN407"/>
    <mergeCell ref="J408:J409"/>
    <mergeCell ref="P408:P409"/>
    <mergeCell ref="V408:V409"/>
    <mergeCell ref="AB408:AB409"/>
    <mergeCell ref="AH408:AH409"/>
    <mergeCell ref="AN408:AN409"/>
    <mergeCell ref="J410:J411"/>
    <mergeCell ref="P410:P411"/>
    <mergeCell ref="V410:V411"/>
    <mergeCell ref="AB410:AB411"/>
    <mergeCell ref="AH410:AH411"/>
    <mergeCell ref="AN410:AN411"/>
    <mergeCell ref="J412:J413"/>
    <mergeCell ref="M412:M413"/>
    <mergeCell ref="P412:P413"/>
    <mergeCell ref="S412:S413"/>
    <mergeCell ref="AE393:AE394"/>
    <mergeCell ref="AH393:AH394"/>
    <mergeCell ref="AK393:AK394"/>
    <mergeCell ref="AN393:AN394"/>
    <mergeCell ref="A370:S370"/>
    <mergeCell ref="A384:C384"/>
    <mergeCell ref="A385:I401"/>
    <mergeCell ref="J385:J386"/>
    <mergeCell ref="P385:P386"/>
    <mergeCell ref="V385:V386"/>
    <mergeCell ref="AB385:AB386"/>
    <mergeCell ref="AH385:AH386"/>
    <mergeCell ref="AN385:AN386"/>
    <mergeCell ref="J387:J388"/>
    <mergeCell ref="P387:P388"/>
    <mergeCell ref="V387:V388"/>
    <mergeCell ref="AB387:AB388"/>
    <mergeCell ref="AH387:AH388"/>
    <mergeCell ref="AN387:AN388"/>
    <mergeCell ref="J389:J390"/>
    <mergeCell ref="P389:P390"/>
    <mergeCell ref="V389:V390"/>
    <mergeCell ref="AB389:AB390"/>
    <mergeCell ref="AH389:AH390"/>
    <mergeCell ref="AN389:AN390"/>
    <mergeCell ref="J391:J392"/>
    <mergeCell ref="P391:P392"/>
    <mergeCell ref="V391:V392"/>
    <mergeCell ref="AB391:AB392"/>
    <mergeCell ref="AH391:AH392"/>
    <mergeCell ref="AN391:AN392"/>
    <mergeCell ref="AB360:AB361"/>
    <mergeCell ref="AE360:AE361"/>
    <mergeCell ref="AH360:AH361"/>
    <mergeCell ref="AK360:AK361"/>
    <mergeCell ref="AN360:AN361"/>
    <mergeCell ref="AQ360:AQ361"/>
    <mergeCell ref="AR360:AR361"/>
    <mergeCell ref="V356:V357"/>
    <mergeCell ref="Y356:Y357"/>
    <mergeCell ref="AB356:AB357"/>
    <mergeCell ref="AE356:AE357"/>
    <mergeCell ref="AH356:AH357"/>
    <mergeCell ref="AN356:AN357"/>
    <mergeCell ref="J358:J359"/>
    <mergeCell ref="M358:M359"/>
    <mergeCell ref="P358:P359"/>
    <mergeCell ref="S358:S359"/>
    <mergeCell ref="V358:V359"/>
    <mergeCell ref="AB358:AB359"/>
    <mergeCell ref="AH358:AH359"/>
    <mergeCell ref="AN358:AN359"/>
    <mergeCell ref="V352:V353"/>
    <mergeCell ref="Y352:Y353"/>
    <mergeCell ref="AB352:AB353"/>
    <mergeCell ref="AE352:AE353"/>
    <mergeCell ref="AH352:AH353"/>
    <mergeCell ref="AK352:AK353"/>
    <mergeCell ref="AN352:AN353"/>
    <mergeCell ref="AQ352:AQ353"/>
    <mergeCell ref="J354:J355"/>
    <mergeCell ref="P354:P355"/>
    <mergeCell ref="V354:V355"/>
    <mergeCell ref="AB354:AB355"/>
    <mergeCell ref="AH354:AH355"/>
    <mergeCell ref="AN354:AN355"/>
    <mergeCell ref="A334:E334"/>
    <mergeCell ref="A347:E347"/>
    <mergeCell ref="A350:E350"/>
    <mergeCell ref="A351:E351"/>
    <mergeCell ref="A352:I368"/>
    <mergeCell ref="J352:J353"/>
    <mergeCell ref="M352:M353"/>
    <mergeCell ref="P352:P353"/>
    <mergeCell ref="S352:S353"/>
    <mergeCell ref="J356:J357"/>
    <mergeCell ref="P356:P357"/>
    <mergeCell ref="S356:S357"/>
    <mergeCell ref="J360:J361"/>
    <mergeCell ref="M360:M361"/>
    <mergeCell ref="P360:P361"/>
    <mergeCell ref="S360:S361"/>
    <mergeCell ref="V360:V361"/>
    <mergeCell ref="Y360:Y361"/>
    <mergeCell ref="AN326:AN327"/>
    <mergeCell ref="AQ326:AQ327"/>
    <mergeCell ref="A329:A333"/>
    <mergeCell ref="B329:B333"/>
    <mergeCell ref="C329:C333"/>
    <mergeCell ref="D329:D333"/>
    <mergeCell ref="E329:E333"/>
    <mergeCell ref="F329:F333"/>
    <mergeCell ref="G329:G333"/>
    <mergeCell ref="AL329:AL333"/>
    <mergeCell ref="AM329:AM333"/>
    <mergeCell ref="AN329:AN330"/>
    <mergeCell ref="AQ329:AQ330"/>
    <mergeCell ref="A326:A328"/>
    <mergeCell ref="B326:B328"/>
    <mergeCell ref="C326:C328"/>
    <mergeCell ref="D326:D328"/>
    <mergeCell ref="E326:E328"/>
    <mergeCell ref="F326:F328"/>
    <mergeCell ref="G326:G328"/>
    <mergeCell ref="AL326:AL328"/>
    <mergeCell ref="AM326:AM328"/>
    <mergeCell ref="AN320:AN321"/>
    <mergeCell ref="AQ320:AQ321"/>
    <mergeCell ref="A323:A325"/>
    <mergeCell ref="B323:B325"/>
    <mergeCell ref="C323:C325"/>
    <mergeCell ref="D323:D325"/>
    <mergeCell ref="E323:E325"/>
    <mergeCell ref="F323:F325"/>
    <mergeCell ref="G323:G325"/>
    <mergeCell ref="AL323:AL325"/>
    <mergeCell ref="AM323:AM325"/>
    <mergeCell ref="AN323:AN324"/>
    <mergeCell ref="AQ323:AQ324"/>
    <mergeCell ref="A320:A322"/>
    <mergeCell ref="B320:B322"/>
    <mergeCell ref="C320:C322"/>
    <mergeCell ref="D320:D322"/>
    <mergeCell ref="E320:E322"/>
    <mergeCell ref="F320:F322"/>
    <mergeCell ref="G320:G322"/>
    <mergeCell ref="AL320:AL322"/>
    <mergeCell ref="AM320:AM322"/>
    <mergeCell ref="AN314:AN315"/>
    <mergeCell ref="AQ314:AQ315"/>
    <mergeCell ref="A317:A319"/>
    <mergeCell ref="B317:B319"/>
    <mergeCell ref="C317:C319"/>
    <mergeCell ref="D317:D319"/>
    <mergeCell ref="E317:E319"/>
    <mergeCell ref="F317:F319"/>
    <mergeCell ref="G317:G319"/>
    <mergeCell ref="AL317:AL319"/>
    <mergeCell ref="AM317:AM319"/>
    <mergeCell ref="AN317:AN318"/>
    <mergeCell ref="AQ317:AQ318"/>
    <mergeCell ref="A314:A316"/>
    <mergeCell ref="B314:B316"/>
    <mergeCell ref="C314:C316"/>
    <mergeCell ref="D314:D316"/>
    <mergeCell ref="E314:E316"/>
    <mergeCell ref="F314:F316"/>
    <mergeCell ref="G314:G316"/>
    <mergeCell ref="AL314:AL316"/>
    <mergeCell ref="AM314:AM316"/>
    <mergeCell ref="AN308:AN309"/>
    <mergeCell ref="AQ308:AQ309"/>
    <mergeCell ref="A311:A313"/>
    <mergeCell ref="B311:B313"/>
    <mergeCell ref="C311:C313"/>
    <mergeCell ref="D311:D313"/>
    <mergeCell ref="E311:E313"/>
    <mergeCell ref="F311:F313"/>
    <mergeCell ref="G311:G313"/>
    <mergeCell ref="AL311:AL313"/>
    <mergeCell ref="AM311:AM313"/>
    <mergeCell ref="AN311:AN312"/>
    <mergeCell ref="AQ311:AQ312"/>
    <mergeCell ref="A308:A310"/>
    <mergeCell ref="B308:B310"/>
    <mergeCell ref="C308:C310"/>
    <mergeCell ref="D308:D310"/>
    <mergeCell ref="E308:E310"/>
    <mergeCell ref="F308:F310"/>
    <mergeCell ref="G308:G310"/>
    <mergeCell ref="AL308:AL310"/>
    <mergeCell ref="AM308:AM310"/>
    <mergeCell ref="AN302:AN303"/>
    <mergeCell ref="AQ302:AQ303"/>
    <mergeCell ref="A305:A307"/>
    <mergeCell ref="B305:B307"/>
    <mergeCell ref="C305:C307"/>
    <mergeCell ref="D305:D307"/>
    <mergeCell ref="E305:E307"/>
    <mergeCell ref="F305:F307"/>
    <mergeCell ref="G305:G307"/>
    <mergeCell ref="AL305:AL307"/>
    <mergeCell ref="AM305:AM307"/>
    <mergeCell ref="AN305:AN306"/>
    <mergeCell ref="AQ305:AQ306"/>
    <mergeCell ref="A302:A304"/>
    <mergeCell ref="B302:B304"/>
    <mergeCell ref="C302:C304"/>
    <mergeCell ref="D302:D304"/>
    <mergeCell ref="E302:E304"/>
    <mergeCell ref="F302:F304"/>
    <mergeCell ref="G302:G304"/>
    <mergeCell ref="AL302:AL304"/>
    <mergeCell ref="AM302:AM304"/>
    <mergeCell ref="AH296:AH297"/>
    <mergeCell ref="AK296:AK297"/>
    <mergeCell ref="AL296:AL298"/>
    <mergeCell ref="AM296:AM298"/>
    <mergeCell ref="AN296:AN297"/>
    <mergeCell ref="AQ296:AQ297"/>
    <mergeCell ref="A299:A301"/>
    <mergeCell ref="B299:B301"/>
    <mergeCell ref="C299:C301"/>
    <mergeCell ref="D299:D301"/>
    <mergeCell ref="E299:E301"/>
    <mergeCell ref="F299:F301"/>
    <mergeCell ref="G299:G301"/>
    <mergeCell ref="AL299:AL301"/>
    <mergeCell ref="AM299:AM301"/>
    <mergeCell ref="AN299:AN300"/>
    <mergeCell ref="AQ299:AQ300"/>
    <mergeCell ref="A296:A298"/>
    <mergeCell ref="B296:B298"/>
    <mergeCell ref="C296:C298"/>
    <mergeCell ref="D296:D298"/>
    <mergeCell ref="E296:E298"/>
    <mergeCell ref="F296:F298"/>
    <mergeCell ref="G296:G298"/>
    <mergeCell ref="AF296:AF298"/>
    <mergeCell ref="AG296:AG298"/>
    <mergeCell ref="AH287:AH288"/>
    <mergeCell ref="AK287:AK288"/>
    <mergeCell ref="A291:A295"/>
    <mergeCell ref="B291:B295"/>
    <mergeCell ref="C291:C295"/>
    <mergeCell ref="D291:D295"/>
    <mergeCell ref="E291:E295"/>
    <mergeCell ref="F291:F295"/>
    <mergeCell ref="G291:G295"/>
    <mergeCell ref="AF291:AF295"/>
    <mergeCell ref="AG291:AG295"/>
    <mergeCell ref="AH291:AH292"/>
    <mergeCell ref="AK291:AK292"/>
    <mergeCell ref="A287:A290"/>
    <mergeCell ref="B287:B290"/>
    <mergeCell ref="C287:C290"/>
    <mergeCell ref="D287:D290"/>
    <mergeCell ref="E287:E290"/>
    <mergeCell ref="F287:F290"/>
    <mergeCell ref="G287:G290"/>
    <mergeCell ref="AF287:AF290"/>
    <mergeCell ref="AG287:AG290"/>
    <mergeCell ref="AH281:AH282"/>
    <mergeCell ref="AK281:AK282"/>
    <mergeCell ref="A284:A286"/>
    <mergeCell ref="B284:B286"/>
    <mergeCell ref="C284:C286"/>
    <mergeCell ref="D284:D286"/>
    <mergeCell ref="E284:E286"/>
    <mergeCell ref="F284:F286"/>
    <mergeCell ref="G284:G286"/>
    <mergeCell ref="AF284:AF286"/>
    <mergeCell ref="AG284:AG286"/>
    <mergeCell ref="AH284:AH285"/>
    <mergeCell ref="AK284:AK285"/>
    <mergeCell ref="A281:A283"/>
    <mergeCell ref="B281:B283"/>
    <mergeCell ref="C281:C283"/>
    <mergeCell ref="D281:D283"/>
    <mergeCell ref="E281:E283"/>
    <mergeCell ref="F281:F283"/>
    <mergeCell ref="G281:G283"/>
    <mergeCell ref="AF281:AF283"/>
    <mergeCell ref="AG281:AG283"/>
    <mergeCell ref="AH275:AH276"/>
    <mergeCell ref="AK275:AK276"/>
    <mergeCell ref="A278:A280"/>
    <mergeCell ref="B278:B280"/>
    <mergeCell ref="C278:C280"/>
    <mergeCell ref="D278:D280"/>
    <mergeCell ref="E278:E280"/>
    <mergeCell ref="F278:F280"/>
    <mergeCell ref="G278:G280"/>
    <mergeCell ref="AF278:AF280"/>
    <mergeCell ref="AG278:AG280"/>
    <mergeCell ref="AH278:AH279"/>
    <mergeCell ref="AK278:AK279"/>
    <mergeCell ref="A275:A277"/>
    <mergeCell ref="B275:B277"/>
    <mergeCell ref="C275:C277"/>
    <mergeCell ref="D275:D277"/>
    <mergeCell ref="E275:E277"/>
    <mergeCell ref="F275:F277"/>
    <mergeCell ref="G275:G277"/>
    <mergeCell ref="AF275:AF277"/>
    <mergeCell ref="AG275:AG277"/>
    <mergeCell ref="AC260:AC265"/>
    <mergeCell ref="AE269:AE271"/>
    <mergeCell ref="AF269:AF271"/>
    <mergeCell ref="AG269:AG271"/>
    <mergeCell ref="AH269:AH270"/>
    <mergeCell ref="AK269:AK270"/>
    <mergeCell ref="A272:A274"/>
    <mergeCell ref="B272:B274"/>
    <mergeCell ref="C272:C274"/>
    <mergeCell ref="D272:D274"/>
    <mergeCell ref="E272:E274"/>
    <mergeCell ref="F272:F274"/>
    <mergeCell ref="G272:G274"/>
    <mergeCell ref="AF272:AF274"/>
    <mergeCell ref="AG272:AG274"/>
    <mergeCell ref="AH272:AH273"/>
    <mergeCell ref="AK272:AK273"/>
    <mergeCell ref="A269:A271"/>
    <mergeCell ref="B269:B271"/>
    <mergeCell ref="C269:C271"/>
    <mergeCell ref="D269:D271"/>
    <mergeCell ref="E269:E271"/>
    <mergeCell ref="F269:F271"/>
    <mergeCell ref="G269:G271"/>
    <mergeCell ref="AB269:AB271"/>
    <mergeCell ref="AD269:AD271"/>
    <mergeCell ref="T260:T265"/>
    <mergeCell ref="AD260:AD265"/>
    <mergeCell ref="AE260:AE265"/>
    <mergeCell ref="AF260:AF265"/>
    <mergeCell ref="AG260:AG265"/>
    <mergeCell ref="AH260:AH261"/>
    <mergeCell ref="AK260:AK261"/>
    <mergeCell ref="A266:A268"/>
    <mergeCell ref="B266:B268"/>
    <mergeCell ref="C266:C268"/>
    <mergeCell ref="D266:D268"/>
    <mergeCell ref="E266:E268"/>
    <mergeCell ref="F266:F268"/>
    <mergeCell ref="G266:G268"/>
    <mergeCell ref="Z266:Z268"/>
    <mergeCell ref="AA266:AA268"/>
    <mergeCell ref="AB266:AB268"/>
    <mergeCell ref="AC266:AC268"/>
    <mergeCell ref="AD266:AD268"/>
    <mergeCell ref="AE266:AE268"/>
    <mergeCell ref="AF266:AF268"/>
    <mergeCell ref="AG266:AG268"/>
    <mergeCell ref="AH266:AH267"/>
    <mergeCell ref="AK266:AK267"/>
    <mergeCell ref="U260:U265"/>
    <mergeCell ref="V260:V265"/>
    <mergeCell ref="W260:W265"/>
    <mergeCell ref="X260:X265"/>
    <mergeCell ref="Y260:Y265"/>
    <mergeCell ref="Z260:Z265"/>
    <mergeCell ref="AA260:AA265"/>
    <mergeCell ref="AB260:AB265"/>
    <mergeCell ref="A260:A265"/>
    <mergeCell ref="B260:B265"/>
    <mergeCell ref="C260:C265"/>
    <mergeCell ref="D260:D265"/>
    <mergeCell ref="E260:E265"/>
    <mergeCell ref="F260:F265"/>
    <mergeCell ref="G260:G265"/>
    <mergeCell ref="H260:H265"/>
    <mergeCell ref="I260:I265"/>
    <mergeCell ref="J260:J265"/>
    <mergeCell ref="K260:K265"/>
    <mergeCell ref="L260:L265"/>
    <mergeCell ref="M260:M265"/>
    <mergeCell ref="N260:N265"/>
    <mergeCell ref="O260:O265"/>
    <mergeCell ref="P260:P261"/>
    <mergeCell ref="S260:S261"/>
    <mergeCell ref="AF249:AF254"/>
    <mergeCell ref="AG249:AG254"/>
    <mergeCell ref="AH249:AH250"/>
    <mergeCell ref="AK249:AK250"/>
    <mergeCell ref="A255:A259"/>
    <mergeCell ref="B255:B259"/>
    <mergeCell ref="C255:C259"/>
    <mergeCell ref="D255:D259"/>
    <mergeCell ref="E255:E259"/>
    <mergeCell ref="F255:F259"/>
    <mergeCell ref="G255:G259"/>
    <mergeCell ref="H255:H259"/>
    <mergeCell ref="I255:I259"/>
    <mergeCell ref="J255:J259"/>
    <mergeCell ref="K255:K259"/>
    <mergeCell ref="L255:L259"/>
    <mergeCell ref="M255:M259"/>
    <mergeCell ref="N255:N259"/>
    <mergeCell ref="O255:O259"/>
    <mergeCell ref="P255:P256"/>
    <mergeCell ref="S255:S256"/>
    <mergeCell ref="AA255:AA259"/>
    <mergeCell ref="AB255:AB259"/>
    <mergeCell ref="AC255:AC259"/>
    <mergeCell ref="AD255:AD259"/>
    <mergeCell ref="AE255:AE259"/>
    <mergeCell ref="AF255:AF259"/>
    <mergeCell ref="AG255:AG259"/>
    <mergeCell ref="AH255:AH256"/>
    <mergeCell ref="AK255:AK256"/>
    <mergeCell ref="AB244:AB245"/>
    <mergeCell ref="AE244:AE245"/>
    <mergeCell ref="A249:A254"/>
    <mergeCell ref="B249:B254"/>
    <mergeCell ref="C249:C254"/>
    <mergeCell ref="D249:D254"/>
    <mergeCell ref="E249:E254"/>
    <mergeCell ref="F249:F254"/>
    <mergeCell ref="G249:G254"/>
    <mergeCell ref="H249:H254"/>
    <mergeCell ref="I249:I254"/>
    <mergeCell ref="J249:J254"/>
    <mergeCell ref="K249:K254"/>
    <mergeCell ref="L249:L254"/>
    <mergeCell ref="M249:M254"/>
    <mergeCell ref="N249:N254"/>
    <mergeCell ref="O249:O254"/>
    <mergeCell ref="P249:P250"/>
    <mergeCell ref="S249:S250"/>
    <mergeCell ref="A244:A248"/>
    <mergeCell ref="B244:B248"/>
    <mergeCell ref="C244:C248"/>
    <mergeCell ref="D244:D248"/>
    <mergeCell ref="E244:E248"/>
    <mergeCell ref="F244:F248"/>
    <mergeCell ref="G244:G248"/>
    <mergeCell ref="Z244:Z248"/>
    <mergeCell ref="AA244:AA248"/>
    <mergeCell ref="A224:A228"/>
    <mergeCell ref="AB234:AB235"/>
    <mergeCell ref="AE234:AE235"/>
    <mergeCell ref="A240:A243"/>
    <mergeCell ref="B240:B243"/>
    <mergeCell ref="C240:C243"/>
    <mergeCell ref="D240:D243"/>
    <mergeCell ref="E240:E243"/>
    <mergeCell ref="F240:F243"/>
    <mergeCell ref="G240:G243"/>
    <mergeCell ref="H240:H243"/>
    <mergeCell ref="I240:I243"/>
    <mergeCell ref="J240:J241"/>
    <mergeCell ref="M240:M241"/>
    <mergeCell ref="Z240:Z243"/>
    <mergeCell ref="AA240:AA243"/>
    <mergeCell ref="AB240:AB241"/>
    <mergeCell ref="AE240:AE241"/>
    <mergeCell ref="A234:A239"/>
    <mergeCell ref="B234:B239"/>
    <mergeCell ref="C234:C239"/>
    <mergeCell ref="D234:D239"/>
    <mergeCell ref="E234:E239"/>
    <mergeCell ref="F234:F239"/>
    <mergeCell ref="G234:G239"/>
    <mergeCell ref="Z234:Z239"/>
    <mergeCell ref="AA234:AA239"/>
    <mergeCell ref="Y218:Y223"/>
    <mergeCell ref="Z218:Z223"/>
    <mergeCell ref="AA218:AA223"/>
    <mergeCell ref="AB218:AB219"/>
    <mergeCell ref="AE218:AE219"/>
    <mergeCell ref="AB224:AB225"/>
    <mergeCell ref="AE224:AE225"/>
    <mergeCell ref="A229:A233"/>
    <mergeCell ref="B229:B233"/>
    <mergeCell ref="C229:C233"/>
    <mergeCell ref="D229:D233"/>
    <mergeCell ref="E229:E233"/>
    <mergeCell ref="F229:F233"/>
    <mergeCell ref="G229:G233"/>
    <mergeCell ref="Z229:Z233"/>
    <mergeCell ref="AA229:AA233"/>
    <mergeCell ref="AB229:AB230"/>
    <mergeCell ref="AE229:AE230"/>
    <mergeCell ref="S224:S228"/>
    <mergeCell ref="T224:T228"/>
    <mergeCell ref="U224:U228"/>
    <mergeCell ref="V224:V228"/>
    <mergeCell ref="W224:W228"/>
    <mergeCell ref="X224:X228"/>
    <mergeCell ref="Y224:Y228"/>
    <mergeCell ref="Z224:Z228"/>
    <mergeCell ref="AA224:AA228"/>
    <mergeCell ref="J224:J228"/>
    <mergeCell ref="K224:K228"/>
    <mergeCell ref="L224:L228"/>
    <mergeCell ref="M224:M228"/>
    <mergeCell ref="N224:N228"/>
    <mergeCell ref="R218:R223"/>
    <mergeCell ref="S218:S223"/>
    <mergeCell ref="T218:T223"/>
    <mergeCell ref="Q213:Q217"/>
    <mergeCell ref="R213:R217"/>
    <mergeCell ref="S213:S217"/>
    <mergeCell ref="T213:T217"/>
    <mergeCell ref="U213:U217"/>
    <mergeCell ref="V213:V217"/>
    <mergeCell ref="W213:W217"/>
    <mergeCell ref="X213:X217"/>
    <mergeCell ref="B224:B228"/>
    <mergeCell ref="C224:C228"/>
    <mergeCell ref="D224:D228"/>
    <mergeCell ref="E224:E228"/>
    <mergeCell ref="F224:F228"/>
    <mergeCell ref="G224:G228"/>
    <mergeCell ref="H224:H228"/>
    <mergeCell ref="I224:I228"/>
    <mergeCell ref="U218:U223"/>
    <mergeCell ref="V218:V223"/>
    <mergeCell ref="W218:W223"/>
    <mergeCell ref="X218:X223"/>
    <mergeCell ref="O224:O228"/>
    <mergeCell ref="P224:P228"/>
    <mergeCell ref="Q224:Q228"/>
    <mergeCell ref="R224:R228"/>
    <mergeCell ref="A218:A223"/>
    <mergeCell ref="B218:B223"/>
    <mergeCell ref="C218:C223"/>
    <mergeCell ref="D218:D223"/>
    <mergeCell ref="E218:E223"/>
    <mergeCell ref="F218:F223"/>
    <mergeCell ref="G218:G223"/>
    <mergeCell ref="H218:H223"/>
    <mergeCell ref="I218:I223"/>
    <mergeCell ref="J218:J223"/>
    <mergeCell ref="K218:K223"/>
    <mergeCell ref="L218:L223"/>
    <mergeCell ref="M218:M223"/>
    <mergeCell ref="N218:N223"/>
    <mergeCell ref="O218:O223"/>
    <mergeCell ref="P218:P223"/>
    <mergeCell ref="Q218:Q223"/>
    <mergeCell ref="Z208:Z212"/>
    <mergeCell ref="AA208:AA212"/>
    <mergeCell ref="AB208:AB209"/>
    <mergeCell ref="AE208:AE209"/>
    <mergeCell ref="A213:A217"/>
    <mergeCell ref="B213:B217"/>
    <mergeCell ref="C213:C217"/>
    <mergeCell ref="D213:D217"/>
    <mergeCell ref="E213:E217"/>
    <mergeCell ref="F213:F217"/>
    <mergeCell ref="G213:G217"/>
    <mergeCell ref="H213:H217"/>
    <mergeCell ref="I213:I217"/>
    <mergeCell ref="J213:J217"/>
    <mergeCell ref="K213:K217"/>
    <mergeCell ref="L213:L217"/>
    <mergeCell ref="M213:M217"/>
    <mergeCell ref="N213:N217"/>
    <mergeCell ref="O213:O217"/>
    <mergeCell ref="P213:P217"/>
    <mergeCell ref="Z213:Z217"/>
    <mergeCell ref="AA213:AA217"/>
    <mergeCell ref="AB213:AB214"/>
    <mergeCell ref="AE213:AE214"/>
    <mergeCell ref="R208:R212"/>
    <mergeCell ref="S208:S212"/>
    <mergeCell ref="T208:T212"/>
    <mergeCell ref="U208:U212"/>
    <mergeCell ref="V203:V207"/>
    <mergeCell ref="W203:W207"/>
    <mergeCell ref="X203:X207"/>
    <mergeCell ref="Y203:Y207"/>
    <mergeCell ref="Y213:Y217"/>
    <mergeCell ref="V208:V212"/>
    <mergeCell ref="W208:W212"/>
    <mergeCell ref="X208:X212"/>
    <mergeCell ref="Y208:Y212"/>
    <mergeCell ref="A208:A212"/>
    <mergeCell ref="B208:B212"/>
    <mergeCell ref="C208:C212"/>
    <mergeCell ref="D208:D212"/>
    <mergeCell ref="E208:E212"/>
    <mergeCell ref="F208:F212"/>
    <mergeCell ref="G208:G212"/>
    <mergeCell ref="H208:H212"/>
    <mergeCell ref="I208:I212"/>
    <mergeCell ref="J208:J212"/>
    <mergeCell ref="K208:K212"/>
    <mergeCell ref="L208:L212"/>
    <mergeCell ref="M208:M212"/>
    <mergeCell ref="N208:N212"/>
    <mergeCell ref="O208:O212"/>
    <mergeCell ref="P208:P212"/>
    <mergeCell ref="Q208:Q212"/>
    <mergeCell ref="Z203:Z207"/>
    <mergeCell ref="W198:W202"/>
    <mergeCell ref="X198:X202"/>
    <mergeCell ref="Y198:Y202"/>
    <mergeCell ref="Z198:Z202"/>
    <mergeCell ref="AA198:AA202"/>
    <mergeCell ref="AB198:AB199"/>
    <mergeCell ref="AE198:AE199"/>
    <mergeCell ref="A203:A207"/>
    <mergeCell ref="B203:B207"/>
    <mergeCell ref="C203:C207"/>
    <mergeCell ref="D203:D207"/>
    <mergeCell ref="E203:E207"/>
    <mergeCell ref="F203:F207"/>
    <mergeCell ref="G203:G207"/>
    <mergeCell ref="H203:H207"/>
    <mergeCell ref="I203:I207"/>
    <mergeCell ref="J203:J207"/>
    <mergeCell ref="K203:K207"/>
    <mergeCell ref="L203:L207"/>
    <mergeCell ref="M203:M207"/>
    <mergeCell ref="N203:N207"/>
    <mergeCell ref="O203:O207"/>
    <mergeCell ref="P203:P207"/>
    <mergeCell ref="Q203:Q207"/>
    <mergeCell ref="AA203:AA207"/>
    <mergeCell ref="AB203:AB204"/>
    <mergeCell ref="AE203:AE204"/>
    <mergeCell ref="R203:R207"/>
    <mergeCell ref="S203:S207"/>
    <mergeCell ref="T203:T207"/>
    <mergeCell ref="U203:U207"/>
    <mergeCell ref="AB193:AB194"/>
    <mergeCell ref="AE193:AE194"/>
    <mergeCell ref="A198:A202"/>
    <mergeCell ref="B198:B202"/>
    <mergeCell ref="C198:C202"/>
    <mergeCell ref="D198:D202"/>
    <mergeCell ref="E198:E202"/>
    <mergeCell ref="F198:F202"/>
    <mergeCell ref="G198:G202"/>
    <mergeCell ref="H198:H202"/>
    <mergeCell ref="I198:I202"/>
    <mergeCell ref="J198:J202"/>
    <mergeCell ref="K198:K202"/>
    <mergeCell ref="L198:L202"/>
    <mergeCell ref="M198:M202"/>
    <mergeCell ref="N198:N202"/>
    <mergeCell ref="O198:O202"/>
    <mergeCell ref="P198:P202"/>
    <mergeCell ref="Q198:Q202"/>
    <mergeCell ref="R198:R202"/>
    <mergeCell ref="S198:S202"/>
    <mergeCell ref="T198:T202"/>
    <mergeCell ref="U198:U202"/>
    <mergeCell ref="V198:V202"/>
    <mergeCell ref="S193:S197"/>
    <mergeCell ref="T193:T197"/>
    <mergeCell ref="U193:U197"/>
    <mergeCell ref="V193:V197"/>
    <mergeCell ref="W193:W197"/>
    <mergeCell ref="X193:X197"/>
    <mergeCell ref="Y193:Y197"/>
    <mergeCell ref="Z193:Z197"/>
    <mergeCell ref="AA193:AA197"/>
    <mergeCell ref="J193:J197"/>
    <mergeCell ref="K193:K197"/>
    <mergeCell ref="L193:L197"/>
    <mergeCell ref="M193:M197"/>
    <mergeCell ref="N193:N197"/>
    <mergeCell ref="O193:O197"/>
    <mergeCell ref="P193:P197"/>
    <mergeCell ref="Q193:Q197"/>
    <mergeCell ref="R193:R197"/>
    <mergeCell ref="A193:A197"/>
    <mergeCell ref="B193:B197"/>
    <mergeCell ref="C193:C197"/>
    <mergeCell ref="D193:D197"/>
    <mergeCell ref="E193:E197"/>
    <mergeCell ref="F193:F197"/>
    <mergeCell ref="G193:G197"/>
    <mergeCell ref="H193:H197"/>
    <mergeCell ref="I193:I197"/>
    <mergeCell ref="V182:V183"/>
    <mergeCell ref="Y182:Y183"/>
    <mergeCell ref="A187:A192"/>
    <mergeCell ref="B187:B192"/>
    <mergeCell ref="C187:C192"/>
    <mergeCell ref="D187:D192"/>
    <mergeCell ref="E187:E192"/>
    <mergeCell ref="F187:F192"/>
    <mergeCell ref="G187:G192"/>
    <mergeCell ref="H187:H192"/>
    <mergeCell ref="I187:I192"/>
    <mergeCell ref="K187:K192"/>
    <mergeCell ref="L187:L192"/>
    <mergeCell ref="M187:M192"/>
    <mergeCell ref="N187:N192"/>
    <mergeCell ref="O187:O192"/>
    <mergeCell ref="P187:P188"/>
    <mergeCell ref="S187:S188"/>
    <mergeCell ref="T187:T192"/>
    <mergeCell ref="U187:U192"/>
    <mergeCell ref="V187:V188"/>
    <mergeCell ref="Y187:Y188"/>
    <mergeCell ref="J190:J192"/>
    <mergeCell ref="J182:J186"/>
    <mergeCell ref="K182:K186"/>
    <mergeCell ref="L182:L186"/>
    <mergeCell ref="M182:M186"/>
    <mergeCell ref="N182:N186"/>
    <mergeCell ref="O182:O186"/>
    <mergeCell ref="P182:P186"/>
    <mergeCell ref="T182:T186"/>
    <mergeCell ref="U182:U186"/>
    <mergeCell ref="A182:A186"/>
    <mergeCell ref="B182:B186"/>
    <mergeCell ref="C182:C186"/>
    <mergeCell ref="D182:D186"/>
    <mergeCell ref="E182:E186"/>
    <mergeCell ref="F182:F186"/>
    <mergeCell ref="G182:G186"/>
    <mergeCell ref="H182:H186"/>
    <mergeCell ref="I182:I186"/>
    <mergeCell ref="Y173:Y174"/>
    <mergeCell ref="A178:A181"/>
    <mergeCell ref="B178:B181"/>
    <mergeCell ref="C178:C181"/>
    <mergeCell ref="D178:D181"/>
    <mergeCell ref="E178:E181"/>
    <mergeCell ref="F178:F181"/>
    <mergeCell ref="G178:G181"/>
    <mergeCell ref="H178:H181"/>
    <mergeCell ref="I178:I181"/>
    <mergeCell ref="J178:J181"/>
    <mergeCell ref="K178:K181"/>
    <mergeCell ref="L178:L181"/>
    <mergeCell ref="M178:M181"/>
    <mergeCell ref="N178:N181"/>
    <mergeCell ref="O178:O181"/>
    <mergeCell ref="P178:P181"/>
    <mergeCell ref="Q178:Q181"/>
    <mergeCell ref="R178:R181"/>
    <mergeCell ref="S178:S181"/>
    <mergeCell ref="T178:T181"/>
    <mergeCell ref="U178:U181"/>
    <mergeCell ref="V178:V179"/>
    <mergeCell ref="Y178:Y179"/>
    <mergeCell ref="V169:V170"/>
    <mergeCell ref="Y169:Y170"/>
    <mergeCell ref="A173:A177"/>
    <mergeCell ref="B173:B177"/>
    <mergeCell ref="C173:C177"/>
    <mergeCell ref="D173:D177"/>
    <mergeCell ref="E173:E177"/>
    <mergeCell ref="F173:F177"/>
    <mergeCell ref="G173:G177"/>
    <mergeCell ref="H173:H177"/>
    <mergeCell ref="I173:I177"/>
    <mergeCell ref="J173:J177"/>
    <mergeCell ref="K173:K177"/>
    <mergeCell ref="L173:L177"/>
    <mergeCell ref="M173:M177"/>
    <mergeCell ref="N173:N177"/>
    <mergeCell ref="O173:O177"/>
    <mergeCell ref="P173:P177"/>
    <mergeCell ref="Q173:Q177"/>
    <mergeCell ref="R173:R177"/>
    <mergeCell ref="S173:S177"/>
    <mergeCell ref="T173:T177"/>
    <mergeCell ref="U173:U177"/>
    <mergeCell ref="V173:V174"/>
    <mergeCell ref="A169:A172"/>
    <mergeCell ref="B169:B172"/>
    <mergeCell ref="C169:C172"/>
    <mergeCell ref="D169:D172"/>
    <mergeCell ref="E169:E172"/>
    <mergeCell ref="F169:F172"/>
    <mergeCell ref="G169:G172"/>
    <mergeCell ref="H169:H172"/>
    <mergeCell ref="I169:I172"/>
    <mergeCell ref="J169:J172"/>
    <mergeCell ref="K169:K172"/>
    <mergeCell ref="L169:L172"/>
    <mergeCell ref="M169:M172"/>
    <mergeCell ref="N169:N172"/>
    <mergeCell ref="O169:O172"/>
    <mergeCell ref="P169:P172"/>
    <mergeCell ref="Q169:Q172"/>
    <mergeCell ref="T157:T162"/>
    <mergeCell ref="U157:U162"/>
    <mergeCell ref="V157:V158"/>
    <mergeCell ref="R169:R172"/>
    <mergeCell ref="S169:S172"/>
    <mergeCell ref="T169:T172"/>
    <mergeCell ref="U169:U172"/>
    <mergeCell ref="Y157:Y158"/>
    <mergeCell ref="A163:A168"/>
    <mergeCell ref="B163:B168"/>
    <mergeCell ref="C163:C168"/>
    <mergeCell ref="D163:D168"/>
    <mergeCell ref="E163:E168"/>
    <mergeCell ref="F163:F168"/>
    <mergeCell ref="G163:G168"/>
    <mergeCell ref="H163:H168"/>
    <mergeCell ref="I163:I168"/>
    <mergeCell ref="J163:J168"/>
    <mergeCell ref="K163:K168"/>
    <mergeCell ref="L163:L168"/>
    <mergeCell ref="M163:M168"/>
    <mergeCell ref="N163:N168"/>
    <mergeCell ref="O163:O168"/>
    <mergeCell ref="P163:P168"/>
    <mergeCell ref="Q163:Q168"/>
    <mergeCell ref="R163:R168"/>
    <mergeCell ref="S163:S168"/>
    <mergeCell ref="T163:T168"/>
    <mergeCell ref="U163:U168"/>
    <mergeCell ref="V163:V164"/>
    <mergeCell ref="Y163:Y164"/>
    <mergeCell ref="S153:S156"/>
    <mergeCell ref="T153:T156"/>
    <mergeCell ref="U153:U156"/>
    <mergeCell ref="V153:V154"/>
    <mergeCell ref="Y153:Y154"/>
    <mergeCell ref="A157:A162"/>
    <mergeCell ref="B157:B162"/>
    <mergeCell ref="C157:C162"/>
    <mergeCell ref="D157:D162"/>
    <mergeCell ref="E157:E162"/>
    <mergeCell ref="F157:F162"/>
    <mergeCell ref="G157:G162"/>
    <mergeCell ref="H157:H162"/>
    <mergeCell ref="I157:I162"/>
    <mergeCell ref="J157:J162"/>
    <mergeCell ref="K157:K162"/>
    <mergeCell ref="L157:L162"/>
    <mergeCell ref="M157:M162"/>
    <mergeCell ref="N157:N162"/>
    <mergeCell ref="O157:O162"/>
    <mergeCell ref="P157:P162"/>
    <mergeCell ref="Q157:Q162"/>
    <mergeCell ref="R157:R162"/>
    <mergeCell ref="S157:S162"/>
    <mergeCell ref="J153:J156"/>
    <mergeCell ref="K153:K156"/>
    <mergeCell ref="L153:L156"/>
    <mergeCell ref="M153:M156"/>
    <mergeCell ref="N153:N156"/>
    <mergeCell ref="O153:O156"/>
    <mergeCell ref="P153:P156"/>
    <mergeCell ref="Q153:Q156"/>
    <mergeCell ref="R153:R156"/>
    <mergeCell ref="A153:A156"/>
    <mergeCell ref="B153:B156"/>
    <mergeCell ref="C153:C156"/>
    <mergeCell ref="D153:D156"/>
    <mergeCell ref="E153:E156"/>
    <mergeCell ref="F153:F156"/>
    <mergeCell ref="G153:G156"/>
    <mergeCell ref="H153:H156"/>
    <mergeCell ref="I153:I156"/>
    <mergeCell ref="P145:P146"/>
    <mergeCell ref="S145:S146"/>
    <mergeCell ref="A148:A152"/>
    <mergeCell ref="B148:B152"/>
    <mergeCell ref="C148:C152"/>
    <mergeCell ref="D148:D152"/>
    <mergeCell ref="E148:E152"/>
    <mergeCell ref="F148:F152"/>
    <mergeCell ref="G148:G152"/>
    <mergeCell ref="N148:N152"/>
    <mergeCell ref="O148:O152"/>
    <mergeCell ref="P148:P149"/>
    <mergeCell ref="S148:S149"/>
    <mergeCell ref="A145:A147"/>
    <mergeCell ref="B145:B147"/>
    <mergeCell ref="C145:C147"/>
    <mergeCell ref="D145:D147"/>
    <mergeCell ref="E145:E147"/>
    <mergeCell ref="F145:F147"/>
    <mergeCell ref="G145:G147"/>
    <mergeCell ref="N145:N147"/>
    <mergeCell ref="O145:O147"/>
    <mergeCell ref="S137:S138"/>
    <mergeCell ref="A142:A144"/>
    <mergeCell ref="B142:B144"/>
    <mergeCell ref="C142:C144"/>
    <mergeCell ref="D142:D144"/>
    <mergeCell ref="E142:E144"/>
    <mergeCell ref="F142:F144"/>
    <mergeCell ref="G142:G144"/>
    <mergeCell ref="N142:N144"/>
    <mergeCell ref="O142:O144"/>
    <mergeCell ref="P142:P143"/>
    <mergeCell ref="S142:S143"/>
    <mergeCell ref="J131:J136"/>
    <mergeCell ref="K131:K136"/>
    <mergeCell ref="L131:L136"/>
    <mergeCell ref="M131:M136"/>
    <mergeCell ref="N131:N136"/>
    <mergeCell ref="O131:O136"/>
    <mergeCell ref="P131:P132"/>
    <mergeCell ref="S131:S132"/>
    <mergeCell ref="A137:A141"/>
    <mergeCell ref="B137:B141"/>
    <mergeCell ref="C137:C141"/>
    <mergeCell ref="D137:D141"/>
    <mergeCell ref="E137:E141"/>
    <mergeCell ref="F137:F141"/>
    <mergeCell ref="G137:G141"/>
    <mergeCell ref="H137:H141"/>
    <mergeCell ref="I137:I141"/>
    <mergeCell ref="J137:J141"/>
    <mergeCell ref="K137:K141"/>
    <mergeCell ref="L137:L141"/>
    <mergeCell ref="M137:M141"/>
    <mergeCell ref="N137:N141"/>
    <mergeCell ref="O137:O141"/>
    <mergeCell ref="P137:P138"/>
    <mergeCell ref="A131:A136"/>
    <mergeCell ref="B131:B136"/>
    <mergeCell ref="C131:C136"/>
    <mergeCell ref="D131:D136"/>
    <mergeCell ref="E131:E136"/>
    <mergeCell ref="F131:F136"/>
    <mergeCell ref="G131:G136"/>
    <mergeCell ref="H131:H136"/>
    <mergeCell ref="I131:I136"/>
    <mergeCell ref="P122:P123"/>
    <mergeCell ref="S122:S123"/>
    <mergeCell ref="A127:A130"/>
    <mergeCell ref="B127:B130"/>
    <mergeCell ref="C127:C130"/>
    <mergeCell ref="D127:D130"/>
    <mergeCell ref="E127:E130"/>
    <mergeCell ref="F127:F130"/>
    <mergeCell ref="G127:G130"/>
    <mergeCell ref="N127:N130"/>
    <mergeCell ref="O127:O130"/>
    <mergeCell ref="P127:P128"/>
    <mergeCell ref="S127:S128"/>
    <mergeCell ref="A122:A126"/>
    <mergeCell ref="B122:B126"/>
    <mergeCell ref="C122:C126"/>
    <mergeCell ref="D122:D126"/>
    <mergeCell ref="E122:E126"/>
    <mergeCell ref="F122:F126"/>
    <mergeCell ref="G122:G126"/>
    <mergeCell ref="N122:N126"/>
    <mergeCell ref="O122:O126"/>
    <mergeCell ref="J111:J112"/>
    <mergeCell ref="M111:M112"/>
    <mergeCell ref="N111:N115"/>
    <mergeCell ref="O111:O115"/>
    <mergeCell ref="P111:P112"/>
    <mergeCell ref="S111:S112"/>
    <mergeCell ref="A116:A121"/>
    <mergeCell ref="B116:B121"/>
    <mergeCell ref="C116:C121"/>
    <mergeCell ref="D116:D121"/>
    <mergeCell ref="E116:E121"/>
    <mergeCell ref="F116:F121"/>
    <mergeCell ref="G116:G121"/>
    <mergeCell ref="N116:N121"/>
    <mergeCell ref="O116:O121"/>
    <mergeCell ref="P116:P117"/>
    <mergeCell ref="S116:S117"/>
    <mergeCell ref="A111:A115"/>
    <mergeCell ref="B111:B115"/>
    <mergeCell ref="C111:C115"/>
    <mergeCell ref="D111:D115"/>
    <mergeCell ref="E111:E115"/>
    <mergeCell ref="F111:F115"/>
    <mergeCell ref="G111:G115"/>
    <mergeCell ref="H111:H115"/>
    <mergeCell ref="I111:I115"/>
    <mergeCell ref="N103:N105"/>
    <mergeCell ref="O103:O105"/>
    <mergeCell ref="P103:P104"/>
    <mergeCell ref="S103:S104"/>
    <mergeCell ref="A106:A110"/>
    <mergeCell ref="B106:B110"/>
    <mergeCell ref="C106:C110"/>
    <mergeCell ref="D106:D110"/>
    <mergeCell ref="E106:E110"/>
    <mergeCell ref="F106:F110"/>
    <mergeCell ref="G106:G110"/>
    <mergeCell ref="H106:H110"/>
    <mergeCell ref="I106:I110"/>
    <mergeCell ref="N106:N110"/>
    <mergeCell ref="O106:O110"/>
    <mergeCell ref="M98:M99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J103:J104"/>
    <mergeCell ref="M103:M104"/>
    <mergeCell ref="A98:A102"/>
    <mergeCell ref="B98:B102"/>
    <mergeCell ref="C98:C102"/>
    <mergeCell ref="D98:D102"/>
    <mergeCell ref="E98:E102"/>
    <mergeCell ref="F98:F102"/>
    <mergeCell ref="G98:G102"/>
    <mergeCell ref="H98:H102"/>
    <mergeCell ref="I98:I102"/>
    <mergeCell ref="J90:J91"/>
    <mergeCell ref="M90:M91"/>
    <mergeCell ref="A95:A97"/>
    <mergeCell ref="B95:B97"/>
    <mergeCell ref="C95:C97"/>
    <mergeCell ref="D95:D97"/>
    <mergeCell ref="E95:E97"/>
    <mergeCell ref="F95:F97"/>
    <mergeCell ref="G95:G97"/>
    <mergeCell ref="H95:H97"/>
    <mergeCell ref="I95:I97"/>
    <mergeCell ref="J95:J96"/>
    <mergeCell ref="M95:M96"/>
    <mergeCell ref="A90:A94"/>
    <mergeCell ref="B90:B94"/>
    <mergeCell ref="C90:C94"/>
    <mergeCell ref="D90:D94"/>
    <mergeCell ref="E90:E94"/>
    <mergeCell ref="F90:F94"/>
    <mergeCell ref="G90:G94"/>
    <mergeCell ref="H90:H94"/>
    <mergeCell ref="I90:I94"/>
    <mergeCell ref="J80:J81"/>
    <mergeCell ref="M80:M81"/>
    <mergeCell ref="A85:A89"/>
    <mergeCell ref="B85:B89"/>
    <mergeCell ref="C85:C89"/>
    <mergeCell ref="D85:D89"/>
    <mergeCell ref="E85:E89"/>
    <mergeCell ref="F85:F89"/>
    <mergeCell ref="G85:G89"/>
    <mergeCell ref="H85:H89"/>
    <mergeCell ref="I85:I89"/>
    <mergeCell ref="J85:J86"/>
    <mergeCell ref="M85:M86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A74:A79"/>
    <mergeCell ref="B74:B79"/>
    <mergeCell ref="C74:C79"/>
    <mergeCell ref="D74:D79"/>
    <mergeCell ref="E74:E79"/>
    <mergeCell ref="F74:F79"/>
    <mergeCell ref="G74:G79"/>
    <mergeCell ref="H74:H79"/>
    <mergeCell ref="I74:I79"/>
    <mergeCell ref="J65:J66"/>
    <mergeCell ref="M65:M66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M70:M71"/>
    <mergeCell ref="A65:A69"/>
    <mergeCell ref="B65:B69"/>
    <mergeCell ref="C65:C69"/>
    <mergeCell ref="D65:D69"/>
    <mergeCell ref="E65:E69"/>
    <mergeCell ref="F65:F69"/>
    <mergeCell ref="G65:G69"/>
    <mergeCell ref="H65:H69"/>
    <mergeCell ref="I65:I69"/>
    <mergeCell ref="J59:J60"/>
    <mergeCell ref="M59:M60"/>
    <mergeCell ref="A62:A64"/>
    <mergeCell ref="B62:B64"/>
    <mergeCell ref="C62:C64"/>
    <mergeCell ref="D62:D64"/>
    <mergeCell ref="E62:E64"/>
    <mergeCell ref="F62:F64"/>
    <mergeCell ref="G62:G64"/>
    <mergeCell ref="H62:H64"/>
    <mergeCell ref="I62:I64"/>
    <mergeCell ref="J62:J63"/>
    <mergeCell ref="M62:M63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H39:H43"/>
    <mergeCell ref="I39:I43"/>
    <mergeCell ref="J49:J50"/>
    <mergeCell ref="M49:M50"/>
    <mergeCell ref="A55:A58"/>
    <mergeCell ref="B55:B58"/>
    <mergeCell ref="C55:C58"/>
    <mergeCell ref="D55:D58"/>
    <mergeCell ref="E55:E58"/>
    <mergeCell ref="F55:F58"/>
    <mergeCell ref="G55:G58"/>
    <mergeCell ref="H55:H58"/>
    <mergeCell ref="I55:I58"/>
    <mergeCell ref="J55:J56"/>
    <mergeCell ref="M55:M56"/>
    <mergeCell ref="A49:A53"/>
    <mergeCell ref="B49:B53"/>
    <mergeCell ref="C49:C53"/>
    <mergeCell ref="D49:D53"/>
    <mergeCell ref="E49:E53"/>
    <mergeCell ref="F49:F53"/>
    <mergeCell ref="G49:G53"/>
    <mergeCell ref="H49:H53"/>
    <mergeCell ref="I49:I53"/>
    <mergeCell ref="AQ23:AQ24"/>
    <mergeCell ref="AR23:AR24"/>
    <mergeCell ref="A34:A38"/>
    <mergeCell ref="B34:B38"/>
    <mergeCell ref="C34:C38"/>
    <mergeCell ref="D34:D38"/>
    <mergeCell ref="E34:E38"/>
    <mergeCell ref="F34:F38"/>
    <mergeCell ref="G34:G38"/>
    <mergeCell ref="H34:H38"/>
    <mergeCell ref="I34:I38"/>
    <mergeCell ref="J34:J35"/>
    <mergeCell ref="M34:M35"/>
    <mergeCell ref="J39:J40"/>
    <mergeCell ref="M39:M40"/>
    <mergeCell ref="A44:A48"/>
    <mergeCell ref="B44:B48"/>
    <mergeCell ref="C44:C48"/>
    <mergeCell ref="D44:D48"/>
    <mergeCell ref="E44:E48"/>
    <mergeCell ref="F44:F48"/>
    <mergeCell ref="G44:G48"/>
    <mergeCell ref="H44:H48"/>
    <mergeCell ref="I44:I48"/>
    <mergeCell ref="M44:M45"/>
    <mergeCell ref="A39:A43"/>
    <mergeCell ref="B39:B43"/>
    <mergeCell ref="C39:C43"/>
    <mergeCell ref="D39:D43"/>
    <mergeCell ref="E39:E43"/>
    <mergeCell ref="F39:F43"/>
    <mergeCell ref="G39:G43"/>
    <mergeCell ref="M23:M24"/>
    <mergeCell ref="P23:P24"/>
    <mergeCell ref="S23:S24"/>
    <mergeCell ref="V23:V24"/>
    <mergeCell ref="AC3:AD4"/>
    <mergeCell ref="AE3:AE4"/>
    <mergeCell ref="AF3:AG4"/>
    <mergeCell ref="AH3:AH5"/>
    <mergeCell ref="AI3:AJ4"/>
    <mergeCell ref="AK3:AK4"/>
    <mergeCell ref="AL3:AM4"/>
    <mergeCell ref="AN3:AN5"/>
    <mergeCell ref="AN17:AN18"/>
    <mergeCell ref="AN19:AN20"/>
    <mergeCell ref="Y23:Y24"/>
    <mergeCell ref="AB23:AB24"/>
    <mergeCell ref="AE23:AE24"/>
    <mergeCell ref="AH23:AH24"/>
    <mergeCell ref="AK23:AK24"/>
    <mergeCell ref="AN23:AN24"/>
    <mergeCell ref="AB17:AB18"/>
    <mergeCell ref="AN15:AN16"/>
    <mergeCell ref="V17:V18"/>
    <mergeCell ref="V19:V20"/>
    <mergeCell ref="AB15:AB16"/>
    <mergeCell ref="V15:V16"/>
    <mergeCell ref="AO3:AP4"/>
    <mergeCell ref="A1:AQ1"/>
    <mergeCell ref="A2:A5"/>
    <mergeCell ref="B2:B5"/>
    <mergeCell ref="C2:C5"/>
    <mergeCell ref="D2:G3"/>
    <mergeCell ref="H2:M2"/>
    <mergeCell ref="N2:S2"/>
    <mergeCell ref="T2:Y2"/>
    <mergeCell ref="Z2:AE2"/>
    <mergeCell ref="AF2:AK2"/>
    <mergeCell ref="AL2:AQ2"/>
    <mergeCell ref="H3:I4"/>
    <mergeCell ref="J3:J5"/>
    <mergeCell ref="K3:L4"/>
    <mergeCell ref="M3:M4"/>
    <mergeCell ref="N3:O4"/>
    <mergeCell ref="P3:P5"/>
    <mergeCell ref="Q3:R4"/>
    <mergeCell ref="S3:S4"/>
    <mergeCell ref="T3:U4"/>
    <mergeCell ref="V3:V5"/>
    <mergeCell ref="W3:X4"/>
    <mergeCell ref="Y3:Y4"/>
    <mergeCell ref="Z3:AA4"/>
    <mergeCell ref="D4:E4"/>
    <mergeCell ref="F4:G4"/>
    <mergeCell ref="A32:AR32"/>
    <mergeCell ref="A14:C14"/>
    <mergeCell ref="A15:I31"/>
    <mergeCell ref="J23:J24"/>
    <mergeCell ref="AR2:AR4"/>
    <mergeCell ref="AQ3:AQ4"/>
    <mergeCell ref="J106:J107"/>
    <mergeCell ref="M106:M107"/>
    <mergeCell ref="P106:P107"/>
    <mergeCell ref="S106:S107"/>
    <mergeCell ref="J98:J99"/>
    <mergeCell ref="J70:J71"/>
    <mergeCell ref="J74:J75"/>
    <mergeCell ref="M74:M75"/>
    <mergeCell ref="AH21:AH22"/>
    <mergeCell ref="J44:J45"/>
    <mergeCell ref="AN21:AN22"/>
    <mergeCell ref="V21:V22"/>
    <mergeCell ref="AB21:AB22"/>
    <mergeCell ref="J21:J22"/>
    <mergeCell ref="P21:P22"/>
    <mergeCell ref="AB3:AB5"/>
    <mergeCell ref="AB19:AB20"/>
    <mergeCell ref="AH15:AH16"/>
    <mergeCell ref="AH17:AH18"/>
    <mergeCell ref="AH19:AH20"/>
    <mergeCell ref="J15:J16"/>
    <mergeCell ref="J17:J18"/>
    <mergeCell ref="J19:J20"/>
    <mergeCell ref="P15:P16"/>
    <mergeCell ref="P17:P18"/>
    <mergeCell ref="P19:P20"/>
  </mergeCells>
  <printOptions horizontalCentered="1" verticalCentered="1"/>
  <pageMargins left="0.23622047244094491" right="0.23622047244094491" top="0.23622047244094491" bottom="0.23622047244094491" header="3.937007874015748E-2" footer="3.937007874015748E-2"/>
  <pageSetup paperSize="9" scale="1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45"/>
  <sheetViews>
    <sheetView view="pageBreakPreview" zoomScaleSheetLayoutView="100" workbookViewId="0">
      <selection activeCell="K14" sqref="K14"/>
    </sheetView>
  </sheetViews>
  <sheetFormatPr defaultColWidth="8.85546875" defaultRowHeight="15" x14ac:dyDescent="0.25"/>
  <cols>
    <col min="1" max="1" width="4.28515625" style="19" customWidth="1"/>
    <col min="2" max="2" width="8.7109375" style="19" customWidth="1"/>
    <col min="3" max="3" width="36.42578125" style="19" customWidth="1"/>
    <col min="4" max="4" width="14.85546875" style="18" bestFit="1" customWidth="1"/>
    <col min="5" max="5" width="13.42578125" style="18" bestFit="1" customWidth="1"/>
    <col min="6" max="6" width="18" style="18" customWidth="1"/>
    <col min="7" max="7" width="14.85546875" style="18" bestFit="1" customWidth="1"/>
    <col min="8" max="8" width="13.42578125" style="18" bestFit="1" customWidth="1"/>
    <col min="9" max="9" width="30.28515625" style="18" customWidth="1"/>
    <col min="10" max="10" width="12.85546875" style="18" customWidth="1"/>
    <col min="11" max="11" width="16.28515625" style="18" customWidth="1"/>
    <col min="12" max="12" width="23.42578125" style="18" customWidth="1"/>
  </cols>
  <sheetData>
    <row r="1" spans="1:12" ht="29.25" customHeight="1" x14ac:dyDescent="0.2">
      <c r="A1" s="909" t="s">
        <v>460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</row>
    <row r="2" spans="1:12" ht="15" customHeight="1" x14ac:dyDescent="0.2">
      <c r="A2" s="910" t="s">
        <v>0</v>
      </c>
      <c r="B2" s="925" t="s">
        <v>25</v>
      </c>
      <c r="C2" s="911" t="s">
        <v>461</v>
      </c>
      <c r="D2" s="917" t="s">
        <v>59</v>
      </c>
      <c r="E2" s="918"/>
      <c r="F2" s="919"/>
      <c r="G2" s="917" t="s">
        <v>48</v>
      </c>
      <c r="H2" s="918"/>
      <c r="I2" s="918"/>
      <c r="J2" s="918"/>
      <c r="K2" s="919"/>
      <c r="L2" s="914" t="s">
        <v>50</v>
      </c>
    </row>
    <row r="3" spans="1:12" ht="25.5" customHeight="1" x14ac:dyDescent="0.2">
      <c r="A3" s="910"/>
      <c r="B3" s="925"/>
      <c r="C3" s="912"/>
      <c r="D3" s="920" t="s">
        <v>28</v>
      </c>
      <c r="E3" s="921"/>
      <c r="F3" s="73" t="s">
        <v>58</v>
      </c>
      <c r="G3" s="920" t="s">
        <v>28</v>
      </c>
      <c r="H3" s="921"/>
      <c r="I3" s="915" t="s">
        <v>29</v>
      </c>
      <c r="J3" s="915" t="s">
        <v>76</v>
      </c>
      <c r="K3" s="73" t="s">
        <v>49</v>
      </c>
      <c r="L3" s="914"/>
    </row>
    <row r="4" spans="1:12" ht="19.5" customHeight="1" x14ac:dyDescent="0.2">
      <c r="A4" s="910"/>
      <c r="B4" s="925"/>
      <c r="C4" s="913"/>
      <c r="D4" s="69" t="s">
        <v>33</v>
      </c>
      <c r="E4" s="69" t="s">
        <v>34</v>
      </c>
      <c r="F4" s="73" t="s">
        <v>5</v>
      </c>
      <c r="G4" s="69" t="s">
        <v>33</v>
      </c>
      <c r="H4" s="69" t="s">
        <v>34</v>
      </c>
      <c r="I4" s="916"/>
      <c r="J4" s="916"/>
      <c r="K4" s="69" t="s">
        <v>35</v>
      </c>
      <c r="L4" s="914"/>
    </row>
    <row r="5" spans="1:12" s="21" customFormat="1" x14ac:dyDescent="0.2">
      <c r="A5" s="72">
        <v>1</v>
      </c>
      <c r="B5" s="72">
        <v>2</v>
      </c>
      <c r="C5" s="71">
        <v>3</v>
      </c>
      <c r="D5" s="28">
        <v>4</v>
      </c>
      <c r="E5" s="20">
        <v>5</v>
      </c>
      <c r="F5" s="16">
        <v>6</v>
      </c>
      <c r="G5" s="16">
        <v>7</v>
      </c>
      <c r="H5" s="16">
        <v>8</v>
      </c>
      <c r="I5" s="69">
        <v>9</v>
      </c>
      <c r="J5" s="16">
        <v>10</v>
      </c>
      <c r="K5" s="16">
        <v>11</v>
      </c>
      <c r="L5" s="16">
        <v>12</v>
      </c>
    </row>
    <row r="6" spans="1:12" ht="14.25" customHeight="1" x14ac:dyDescent="0.2">
      <c r="A6" s="926" t="s">
        <v>52</v>
      </c>
      <c r="B6" s="927"/>
      <c r="C6" s="927"/>
      <c r="D6" s="927"/>
      <c r="E6" s="927"/>
      <c r="F6" s="927"/>
      <c r="G6" s="927"/>
      <c r="H6" s="927"/>
      <c r="I6" s="927"/>
      <c r="J6" s="927"/>
      <c r="K6" s="927"/>
      <c r="L6" s="928"/>
    </row>
    <row r="7" spans="1:12" ht="14.25" x14ac:dyDescent="0.2">
      <c r="A7" s="77"/>
      <c r="B7" s="77"/>
      <c r="C7" s="77"/>
      <c r="D7" s="73"/>
      <c r="E7" s="260"/>
      <c r="F7" s="17"/>
      <c r="G7" s="17"/>
      <c r="H7" s="17"/>
      <c r="I7" s="17"/>
      <c r="J7" s="17"/>
      <c r="K7" s="17"/>
      <c r="L7" s="17"/>
    </row>
    <row r="8" spans="1:12" ht="14.25" x14ac:dyDescent="0.2">
      <c r="A8" s="77"/>
      <c r="B8" s="77"/>
      <c r="C8" s="77"/>
      <c r="D8" s="17"/>
      <c r="E8" s="17"/>
      <c r="F8" s="17"/>
      <c r="G8" s="17"/>
      <c r="H8" s="17"/>
      <c r="I8" s="17"/>
      <c r="J8" s="17"/>
      <c r="K8" s="17"/>
      <c r="L8" s="17"/>
    </row>
    <row r="9" spans="1:12" ht="14.25" x14ac:dyDescent="0.2">
      <c r="A9" s="77"/>
      <c r="B9" s="77"/>
      <c r="C9" s="77"/>
      <c r="D9" s="17"/>
      <c r="E9" s="17"/>
      <c r="F9" s="17"/>
      <c r="G9" s="17"/>
      <c r="H9" s="17"/>
      <c r="I9" s="17"/>
      <c r="J9" s="17"/>
      <c r="K9" s="17"/>
      <c r="L9" s="17"/>
    </row>
    <row r="10" spans="1:12" ht="14.25" x14ac:dyDescent="0.2">
      <c r="A10" s="929" t="s">
        <v>51</v>
      </c>
      <c r="B10" s="930"/>
      <c r="C10" s="931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4.25" x14ac:dyDescent="0.2">
      <c r="A11" s="926" t="s">
        <v>60</v>
      </c>
      <c r="B11" s="927"/>
      <c r="C11" s="927"/>
      <c r="D11" s="927"/>
      <c r="E11" s="927"/>
      <c r="F11" s="927"/>
      <c r="G11" s="927"/>
      <c r="H11" s="927"/>
      <c r="I11" s="927"/>
      <c r="J11" s="927"/>
      <c r="K11" s="927"/>
      <c r="L11" s="928"/>
    </row>
    <row r="12" spans="1:12" x14ac:dyDescent="0.2">
      <c r="A12" s="77">
        <v>1</v>
      </c>
      <c r="B12" s="261" t="s">
        <v>237</v>
      </c>
      <c r="C12" s="262" t="s">
        <v>238</v>
      </c>
      <c r="D12" s="28" t="s">
        <v>462</v>
      </c>
      <c r="E12" s="28" t="s">
        <v>463</v>
      </c>
      <c r="F12" s="263">
        <v>36</v>
      </c>
      <c r="G12" s="16" t="s">
        <v>464</v>
      </c>
      <c r="H12" s="16" t="s">
        <v>465</v>
      </c>
      <c r="I12" s="264"/>
      <c r="J12" s="17"/>
      <c r="K12" s="265"/>
      <c r="L12" s="17"/>
    </row>
    <row r="13" spans="1:12" x14ac:dyDescent="0.2">
      <c r="A13" s="77"/>
      <c r="B13" s="77"/>
      <c r="C13" s="262"/>
      <c r="D13" s="17"/>
      <c r="E13" s="17"/>
      <c r="F13" s="17"/>
      <c r="G13" s="16" t="s">
        <v>465</v>
      </c>
      <c r="H13" s="16" t="s">
        <v>463</v>
      </c>
      <c r="I13" s="108"/>
      <c r="J13" s="17"/>
      <c r="K13" s="265"/>
      <c r="L13" s="17"/>
    </row>
    <row r="14" spans="1:12" x14ac:dyDescent="0.2">
      <c r="A14" s="77"/>
      <c r="B14" s="261" t="s">
        <v>202</v>
      </c>
      <c r="C14" s="262" t="s">
        <v>962</v>
      </c>
      <c r="D14" s="28" t="s">
        <v>466</v>
      </c>
      <c r="E14" s="28" t="s">
        <v>136</v>
      </c>
      <c r="F14" s="263">
        <v>14</v>
      </c>
      <c r="G14" s="16" t="s">
        <v>109</v>
      </c>
      <c r="H14" s="16" t="s">
        <v>136</v>
      </c>
      <c r="I14" s="266" t="s">
        <v>105</v>
      </c>
      <c r="J14" s="267" t="s">
        <v>467</v>
      </c>
      <c r="K14" s="265">
        <v>175938</v>
      </c>
      <c r="L14" s="17"/>
    </row>
    <row r="15" spans="1:12" ht="42" customHeight="1" x14ac:dyDescent="0.2">
      <c r="A15" s="77"/>
      <c r="B15" s="261" t="s">
        <v>106</v>
      </c>
      <c r="C15" s="268" t="s">
        <v>468</v>
      </c>
      <c r="D15" s="16" t="s">
        <v>466</v>
      </c>
      <c r="E15" s="16" t="s">
        <v>469</v>
      </c>
      <c r="F15" s="263">
        <v>31</v>
      </c>
      <c r="G15" s="16" t="s">
        <v>109</v>
      </c>
      <c r="H15" s="16" t="s">
        <v>110</v>
      </c>
      <c r="I15" s="215" t="s">
        <v>111</v>
      </c>
      <c r="J15" s="17">
        <v>2019</v>
      </c>
      <c r="K15" s="265">
        <f>755.62*1000</f>
        <v>755620</v>
      </c>
      <c r="L15" s="17"/>
    </row>
    <row r="16" spans="1:12" ht="14.25" customHeight="1" x14ac:dyDescent="0.2">
      <c r="A16" s="77">
        <v>2</v>
      </c>
      <c r="B16" s="261" t="s">
        <v>207</v>
      </c>
      <c r="C16" s="262" t="s">
        <v>240</v>
      </c>
      <c r="D16" s="28" t="s">
        <v>470</v>
      </c>
      <c r="E16" s="28" t="s">
        <v>225</v>
      </c>
      <c r="F16" s="263">
        <v>22</v>
      </c>
      <c r="G16" s="16" t="s">
        <v>241</v>
      </c>
      <c r="H16" s="16" t="s">
        <v>242</v>
      </c>
      <c r="I16" s="264" t="s">
        <v>105</v>
      </c>
      <c r="J16" s="17">
        <v>2021</v>
      </c>
      <c r="K16" s="265">
        <v>107862.3</v>
      </c>
      <c r="L16" s="17"/>
    </row>
    <row r="17" spans="1:12" x14ac:dyDescent="0.2">
      <c r="A17" s="77">
        <v>3</v>
      </c>
      <c r="B17" s="70"/>
      <c r="C17" s="269"/>
      <c r="D17" s="270"/>
      <c r="E17" s="28"/>
      <c r="F17" s="28"/>
      <c r="G17" s="16" t="s">
        <v>242</v>
      </c>
      <c r="H17" s="16" t="s">
        <v>225</v>
      </c>
      <c r="I17" s="264" t="s">
        <v>105</v>
      </c>
      <c r="J17" s="265">
        <v>2022</v>
      </c>
      <c r="K17" s="17">
        <v>102726</v>
      </c>
      <c r="L17" s="17"/>
    </row>
    <row r="18" spans="1:12" ht="14.25" x14ac:dyDescent="0.2">
      <c r="A18" s="929" t="s">
        <v>51</v>
      </c>
      <c r="B18" s="930"/>
      <c r="C18" s="931"/>
      <c r="D18" s="25"/>
      <c r="E18" s="25"/>
      <c r="F18" s="271">
        <f>SUM(F12:F17)</f>
        <v>103</v>
      </c>
      <c r="G18" s="25"/>
      <c r="H18" s="25"/>
      <c r="I18" s="25"/>
      <c r="J18" s="25"/>
      <c r="K18" s="272">
        <f>SUM(K12:K17)</f>
        <v>1142146.3</v>
      </c>
      <c r="L18" s="25"/>
    </row>
    <row r="19" spans="1:12" ht="14.25" x14ac:dyDescent="0.2">
      <c r="A19" s="926" t="s">
        <v>56</v>
      </c>
      <c r="B19" s="927"/>
      <c r="C19" s="927"/>
      <c r="D19" s="927"/>
      <c r="E19" s="927"/>
      <c r="F19" s="927"/>
      <c r="G19" s="927"/>
      <c r="H19" s="927"/>
      <c r="I19" s="927"/>
      <c r="J19" s="927"/>
      <c r="K19" s="927"/>
      <c r="L19" s="928"/>
    </row>
    <row r="20" spans="1:12" x14ac:dyDescent="0.25">
      <c r="A20" s="77">
        <v>1</v>
      </c>
      <c r="B20" s="74">
        <v>2222596</v>
      </c>
      <c r="C20" s="74" t="s">
        <v>296</v>
      </c>
      <c r="D20" s="75" t="s">
        <v>297</v>
      </c>
      <c r="E20" s="73" t="s">
        <v>253</v>
      </c>
      <c r="F20" s="273">
        <v>3.95</v>
      </c>
      <c r="G20" s="40"/>
      <c r="H20" s="40"/>
      <c r="I20" s="273" t="s">
        <v>105</v>
      </c>
      <c r="J20" s="40">
        <v>2020</v>
      </c>
      <c r="K20" s="274">
        <v>76912.577999999994</v>
      </c>
      <c r="L20" s="40"/>
    </row>
    <row r="21" spans="1:12" ht="22.5" x14ac:dyDescent="0.25">
      <c r="A21" s="77">
        <v>2</v>
      </c>
      <c r="B21" s="74">
        <v>2225490</v>
      </c>
      <c r="C21" s="74" t="s">
        <v>471</v>
      </c>
      <c r="D21" s="75" t="s">
        <v>253</v>
      </c>
      <c r="E21" s="275" t="s">
        <v>472</v>
      </c>
      <c r="F21" s="273">
        <v>0.88</v>
      </c>
      <c r="G21" s="40"/>
      <c r="H21" s="40"/>
      <c r="I21" s="273" t="s">
        <v>105</v>
      </c>
      <c r="J21" s="40">
        <v>2019</v>
      </c>
      <c r="K21" s="276">
        <v>21014.585000000003</v>
      </c>
      <c r="L21" s="40"/>
    </row>
    <row r="22" spans="1:12" ht="24" x14ac:dyDescent="0.25">
      <c r="A22" s="77">
        <v>3</v>
      </c>
      <c r="B22" s="74">
        <v>2220122</v>
      </c>
      <c r="C22" s="74" t="s">
        <v>263</v>
      </c>
      <c r="D22" s="75" t="s">
        <v>473</v>
      </c>
      <c r="E22" s="277" t="s">
        <v>474</v>
      </c>
      <c r="F22" s="273">
        <v>1.74</v>
      </c>
      <c r="G22" s="40"/>
      <c r="H22" s="40"/>
      <c r="I22" s="273" t="s">
        <v>105</v>
      </c>
      <c r="J22" s="40"/>
      <c r="K22" s="278"/>
      <c r="L22" s="40"/>
    </row>
    <row r="23" spans="1:12" ht="24" x14ac:dyDescent="0.25">
      <c r="A23" s="77">
        <v>4</v>
      </c>
      <c r="B23" s="74">
        <v>2227841</v>
      </c>
      <c r="C23" s="74" t="s">
        <v>286</v>
      </c>
      <c r="D23" s="275" t="s">
        <v>349</v>
      </c>
      <c r="E23" s="277" t="s">
        <v>474</v>
      </c>
      <c r="F23" s="273">
        <v>1.65</v>
      </c>
      <c r="G23" s="40"/>
      <c r="H23" s="40"/>
      <c r="I23" s="273" t="s">
        <v>105</v>
      </c>
      <c r="J23" s="40">
        <v>2021</v>
      </c>
      <c r="K23" s="278">
        <v>48272.23</v>
      </c>
      <c r="L23" s="40"/>
    </row>
    <row r="24" spans="1:12" ht="25.5" x14ac:dyDescent="0.25">
      <c r="A24" s="77">
        <v>5</v>
      </c>
      <c r="B24" s="74">
        <v>2225570</v>
      </c>
      <c r="C24" s="74" t="s">
        <v>290</v>
      </c>
      <c r="D24" s="75" t="s">
        <v>391</v>
      </c>
      <c r="E24" s="73" t="s">
        <v>258</v>
      </c>
      <c r="F24" s="273">
        <v>0.22</v>
      </c>
      <c r="G24" s="40"/>
      <c r="H24" s="40"/>
      <c r="I24" s="273" t="s">
        <v>105</v>
      </c>
      <c r="J24" s="40">
        <v>2021</v>
      </c>
      <c r="K24" s="278">
        <v>5416.73</v>
      </c>
      <c r="L24" s="40"/>
    </row>
    <row r="25" spans="1:12" ht="43.5" customHeight="1" x14ac:dyDescent="0.25">
      <c r="A25" s="77">
        <v>6</v>
      </c>
      <c r="B25" s="74">
        <v>2222517</v>
      </c>
      <c r="C25" s="74" t="s">
        <v>258</v>
      </c>
      <c r="D25" s="73" t="s">
        <v>290</v>
      </c>
      <c r="E25" s="73" t="s">
        <v>286</v>
      </c>
      <c r="F25" s="273">
        <v>0.67</v>
      </c>
      <c r="G25" s="40"/>
      <c r="H25" s="40"/>
      <c r="I25" s="273"/>
      <c r="J25" s="40"/>
      <c r="K25" s="278"/>
      <c r="L25" s="40"/>
    </row>
    <row r="26" spans="1:12" ht="39" x14ac:dyDescent="0.25">
      <c r="A26" s="77">
        <v>7</v>
      </c>
      <c r="B26" s="74">
        <v>2220072</v>
      </c>
      <c r="C26" s="74" t="s">
        <v>287</v>
      </c>
      <c r="D26" s="277" t="s">
        <v>475</v>
      </c>
      <c r="E26" s="75" t="s">
        <v>293</v>
      </c>
      <c r="F26" s="273">
        <v>2.5</v>
      </c>
      <c r="G26" s="40"/>
      <c r="H26" s="40"/>
      <c r="I26" s="273" t="s">
        <v>42</v>
      </c>
      <c r="J26" s="40">
        <v>2021</v>
      </c>
      <c r="K26" s="40"/>
      <c r="L26" s="260" t="s">
        <v>476</v>
      </c>
    </row>
    <row r="27" spans="1:12" ht="45" x14ac:dyDescent="0.25">
      <c r="A27" s="77">
        <v>8</v>
      </c>
      <c r="B27" s="74">
        <v>2222052</v>
      </c>
      <c r="C27" s="74" t="s">
        <v>279</v>
      </c>
      <c r="D27" s="75" t="s">
        <v>477</v>
      </c>
      <c r="E27" s="75" t="s">
        <v>478</v>
      </c>
      <c r="F27" s="273">
        <v>1.8</v>
      </c>
      <c r="G27" s="40"/>
      <c r="H27" s="40"/>
      <c r="I27" s="273" t="s">
        <v>43</v>
      </c>
      <c r="J27" s="40">
        <v>2019</v>
      </c>
      <c r="K27" s="40">
        <v>72000</v>
      </c>
      <c r="L27" s="40"/>
    </row>
    <row r="28" spans="1:12" ht="30" x14ac:dyDescent="0.25">
      <c r="A28" s="77">
        <v>9</v>
      </c>
      <c r="B28" s="74">
        <v>2224454</v>
      </c>
      <c r="C28" s="74" t="s">
        <v>479</v>
      </c>
      <c r="D28" s="75" t="s">
        <v>480</v>
      </c>
      <c r="E28" s="275" t="s">
        <v>481</v>
      </c>
      <c r="F28" s="273">
        <v>1.53</v>
      </c>
      <c r="G28" s="40"/>
      <c r="H28" s="40"/>
      <c r="I28" s="273" t="s">
        <v>105</v>
      </c>
      <c r="J28" s="40">
        <v>2022</v>
      </c>
      <c r="K28" s="40">
        <v>42434</v>
      </c>
      <c r="L28" s="40"/>
    </row>
    <row r="29" spans="1:12" ht="22.5" x14ac:dyDescent="0.25">
      <c r="A29" s="77">
        <v>10</v>
      </c>
      <c r="B29" s="74">
        <v>2221937</v>
      </c>
      <c r="C29" s="74" t="s">
        <v>291</v>
      </c>
      <c r="D29" s="275" t="s">
        <v>323</v>
      </c>
      <c r="E29" s="277" t="s">
        <v>290</v>
      </c>
      <c r="F29" s="273">
        <v>1.41</v>
      </c>
      <c r="G29" s="40"/>
      <c r="H29" s="40"/>
      <c r="I29" s="273"/>
      <c r="J29" s="40"/>
      <c r="K29" s="40"/>
      <c r="L29" s="40"/>
    </row>
    <row r="30" spans="1:12" ht="30" x14ac:dyDescent="0.25">
      <c r="A30" s="77">
        <v>11</v>
      </c>
      <c r="B30" s="74">
        <v>2224554</v>
      </c>
      <c r="C30" s="74" t="s">
        <v>271</v>
      </c>
      <c r="D30" s="277" t="s">
        <v>350</v>
      </c>
      <c r="E30" s="75" t="s">
        <v>349</v>
      </c>
      <c r="F30" s="273">
        <v>1.81</v>
      </c>
      <c r="G30" s="40"/>
      <c r="H30" s="40"/>
      <c r="I30" s="273" t="s">
        <v>105</v>
      </c>
      <c r="J30" s="40">
        <v>2023</v>
      </c>
      <c r="K30" s="40">
        <v>49310.97</v>
      </c>
      <c r="L30" s="40"/>
    </row>
    <row r="31" spans="1:12" ht="38.25" x14ac:dyDescent="0.25">
      <c r="A31" s="77">
        <v>12</v>
      </c>
      <c r="B31" s="74">
        <v>2226298</v>
      </c>
      <c r="C31" s="74" t="s">
        <v>329</v>
      </c>
      <c r="D31" s="275" t="s">
        <v>482</v>
      </c>
      <c r="E31" s="73" t="s">
        <v>354</v>
      </c>
      <c r="F31" s="273">
        <v>0.3</v>
      </c>
      <c r="G31" s="40"/>
      <c r="H31" s="40"/>
      <c r="I31" s="273"/>
      <c r="J31" s="40"/>
      <c r="K31" s="40"/>
      <c r="L31" s="40"/>
    </row>
    <row r="32" spans="1:12" x14ac:dyDescent="0.25">
      <c r="A32" s="77">
        <v>13</v>
      </c>
      <c r="B32" s="74">
        <v>2223545</v>
      </c>
      <c r="C32" s="74" t="s">
        <v>331</v>
      </c>
      <c r="D32" s="75" t="s">
        <v>332</v>
      </c>
      <c r="E32" s="75" t="s">
        <v>334</v>
      </c>
      <c r="F32" s="273">
        <v>1.87</v>
      </c>
      <c r="G32" s="40"/>
      <c r="H32" s="40"/>
      <c r="I32" s="273" t="s">
        <v>105</v>
      </c>
      <c r="J32" s="40">
        <v>2022</v>
      </c>
      <c r="K32" s="40">
        <v>35813.769999999997</v>
      </c>
      <c r="L32" s="40"/>
    </row>
    <row r="33" spans="1:12" ht="30" x14ac:dyDescent="0.25">
      <c r="A33" s="77">
        <v>14</v>
      </c>
      <c r="B33" s="74">
        <v>2220903</v>
      </c>
      <c r="C33" s="74" t="s">
        <v>334</v>
      </c>
      <c r="D33" s="75" t="s">
        <v>483</v>
      </c>
      <c r="E33" s="75" t="s">
        <v>300</v>
      </c>
      <c r="F33" s="273">
        <v>2.89</v>
      </c>
      <c r="G33" s="40"/>
      <c r="H33" s="40"/>
      <c r="I33" s="273" t="s">
        <v>105</v>
      </c>
      <c r="J33" s="40">
        <v>2022</v>
      </c>
      <c r="K33" s="40">
        <v>54691.02</v>
      </c>
      <c r="L33" s="40"/>
    </row>
    <row r="34" spans="1:12" x14ac:dyDescent="0.25">
      <c r="A34" s="77">
        <v>15</v>
      </c>
      <c r="B34" s="74">
        <v>2223092</v>
      </c>
      <c r="C34" s="74" t="s">
        <v>300</v>
      </c>
      <c r="D34" s="75" t="s">
        <v>334</v>
      </c>
      <c r="E34" s="75" t="s">
        <v>247</v>
      </c>
      <c r="F34" s="273">
        <v>1.29</v>
      </c>
      <c r="G34" s="40"/>
      <c r="H34" s="40"/>
      <c r="I34" s="273"/>
      <c r="J34" s="40"/>
      <c r="K34" s="40"/>
      <c r="L34" s="40"/>
    </row>
    <row r="35" spans="1:12" ht="45" x14ac:dyDescent="0.25">
      <c r="A35" s="77">
        <v>16</v>
      </c>
      <c r="B35" s="74">
        <v>2226713</v>
      </c>
      <c r="C35" s="74" t="s">
        <v>324</v>
      </c>
      <c r="D35" s="75" t="s">
        <v>484</v>
      </c>
      <c r="E35" s="75" t="s">
        <v>286</v>
      </c>
      <c r="F35" s="273">
        <v>1.1499999999999999</v>
      </c>
      <c r="G35" s="40"/>
      <c r="H35" s="40"/>
      <c r="I35" s="273"/>
      <c r="J35" s="17"/>
      <c r="K35" s="17"/>
      <c r="L35" s="40"/>
    </row>
    <row r="36" spans="1:12" ht="30" x14ac:dyDescent="0.25">
      <c r="A36" s="77">
        <v>17</v>
      </c>
      <c r="B36" s="74">
        <v>2229366</v>
      </c>
      <c r="C36" s="74" t="s">
        <v>323</v>
      </c>
      <c r="D36" s="75" t="s">
        <v>286</v>
      </c>
      <c r="E36" s="75" t="s">
        <v>255</v>
      </c>
      <c r="F36" s="273">
        <v>0.46</v>
      </c>
      <c r="G36" s="40"/>
      <c r="H36" s="40"/>
      <c r="I36" s="273" t="s">
        <v>105</v>
      </c>
      <c r="J36" s="40">
        <v>2021</v>
      </c>
      <c r="K36" s="40">
        <v>9236.4500000000007</v>
      </c>
      <c r="L36" s="40"/>
    </row>
    <row r="37" spans="1:12" ht="14.25" x14ac:dyDescent="0.2">
      <c r="A37" s="929" t="s">
        <v>51</v>
      </c>
      <c r="B37" s="930"/>
      <c r="C37" s="931"/>
      <c r="D37" s="25"/>
      <c r="E37" s="25"/>
      <c r="F37" s="271">
        <f>SUM(F31:F36)</f>
        <v>7.96</v>
      </c>
      <c r="G37" s="25"/>
      <c r="H37" s="25"/>
      <c r="I37" s="25"/>
      <c r="J37" s="25"/>
      <c r="K37" s="272">
        <f>SUM(K20:K36)</f>
        <v>415102.33300000004</v>
      </c>
      <c r="L37" s="25"/>
    </row>
    <row r="38" spans="1:12" ht="15.75" x14ac:dyDescent="0.25">
      <c r="A38" s="922" t="s">
        <v>53</v>
      </c>
      <c r="B38" s="923"/>
      <c r="C38" s="924"/>
      <c r="D38" s="279"/>
      <c r="E38" s="279"/>
      <c r="F38" s="280">
        <f>F18+F37</f>
        <v>110.96</v>
      </c>
      <c r="G38" s="279"/>
      <c r="H38" s="279"/>
      <c r="I38" s="279"/>
      <c r="J38" s="279"/>
      <c r="K38" s="279"/>
      <c r="L38" s="279"/>
    </row>
    <row r="39" spans="1:12" ht="12.75" x14ac:dyDescent="0.2">
      <c r="A39" s="18"/>
      <c r="B39" s="18"/>
      <c r="C39" s="18"/>
    </row>
    <row r="40" spans="1:12" ht="12.75" x14ac:dyDescent="0.2">
      <c r="A40" s="18"/>
      <c r="B40" s="18"/>
      <c r="C40" s="18"/>
    </row>
    <row r="41" spans="1:12" ht="12.75" x14ac:dyDescent="0.2">
      <c r="A41" s="18"/>
      <c r="B41" s="18"/>
      <c r="C41" s="18"/>
    </row>
    <row r="42" spans="1:12" ht="12.75" x14ac:dyDescent="0.2">
      <c r="A42" s="18"/>
      <c r="B42" s="18"/>
      <c r="C42" s="18"/>
    </row>
    <row r="43" spans="1:12" ht="12.75" x14ac:dyDescent="0.2">
      <c r="A43" s="18"/>
      <c r="B43" s="18"/>
      <c r="C43" s="18"/>
    </row>
    <row r="44" spans="1:12" ht="12.75" x14ac:dyDescent="0.2">
      <c r="A44" s="18"/>
      <c r="B44" s="18"/>
      <c r="C44" s="18"/>
    </row>
    <row r="45" spans="1:12" ht="12.75" x14ac:dyDescent="0.2">
      <c r="A45" s="18"/>
      <c r="B45" s="18"/>
      <c r="C45" s="18"/>
    </row>
  </sheetData>
  <mergeCells count="18">
    <mergeCell ref="A38:C38"/>
    <mergeCell ref="B2:B4"/>
    <mergeCell ref="D2:F2"/>
    <mergeCell ref="D3:E3"/>
    <mergeCell ref="A19:L19"/>
    <mergeCell ref="A6:L6"/>
    <mergeCell ref="A10:C10"/>
    <mergeCell ref="A11:L11"/>
    <mergeCell ref="A18:C18"/>
    <mergeCell ref="A37:C37"/>
    <mergeCell ref="A1:L1"/>
    <mergeCell ref="A2:A4"/>
    <mergeCell ref="C2:C4"/>
    <mergeCell ref="L2:L4"/>
    <mergeCell ref="J3:J4"/>
    <mergeCell ref="G2:K2"/>
    <mergeCell ref="G3:H3"/>
    <mergeCell ref="I3:I4"/>
  </mergeCells>
  <pageMargins left="0.7" right="0.7" top="0.75" bottom="0.75" header="0.3" footer="0.3"/>
  <pageSetup paperSize="9" scale="5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47"/>
  <sheetViews>
    <sheetView view="pageBreakPreview" topLeftCell="B22" zoomScale="85" zoomScaleSheetLayoutView="85" workbookViewId="0">
      <selection activeCell="C26" sqref="C26"/>
    </sheetView>
  </sheetViews>
  <sheetFormatPr defaultColWidth="8.85546875" defaultRowHeight="15" x14ac:dyDescent="0.25"/>
  <cols>
    <col min="1" max="1" width="6.28515625" customWidth="1"/>
    <col min="3" max="3" width="25.42578125" style="19" customWidth="1"/>
    <col min="4" max="5" width="8.85546875" style="19"/>
    <col min="6" max="6" width="13.85546875" style="19" customWidth="1"/>
    <col min="7" max="7" width="21.42578125" style="19" customWidth="1"/>
    <col min="8" max="8" width="7.42578125" style="19" customWidth="1"/>
    <col min="9" max="9" width="11.42578125" style="19" bestFit="1" customWidth="1"/>
    <col min="10" max="10" width="28.7109375" style="19" customWidth="1"/>
    <col min="11" max="12" width="12.7109375" style="19" customWidth="1"/>
    <col min="13" max="13" width="22.140625" style="19" customWidth="1"/>
    <col min="14" max="14" width="9" style="19" customWidth="1"/>
    <col min="15" max="15" width="8.7109375" style="19" customWidth="1"/>
    <col min="16" max="16" width="30.28515625" style="19" customWidth="1"/>
    <col min="17" max="17" width="11.140625" style="19" bestFit="1" customWidth="1"/>
    <col min="18" max="18" width="16" style="19" customWidth="1"/>
    <col min="19" max="19" width="15.7109375" style="19" customWidth="1"/>
  </cols>
  <sheetData>
    <row r="1" spans="1:19" ht="45" customHeight="1" x14ac:dyDescent="0.2">
      <c r="A1" s="932" t="s">
        <v>99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32"/>
      <c r="P1" s="932"/>
      <c r="Q1" s="932"/>
      <c r="R1" s="932"/>
      <c r="S1" s="932"/>
    </row>
    <row r="2" spans="1:19" ht="30.75" customHeight="1" x14ac:dyDescent="0.2">
      <c r="A2" s="910" t="s">
        <v>0</v>
      </c>
      <c r="B2" s="925" t="s">
        <v>25</v>
      </c>
      <c r="C2" s="933" t="s">
        <v>72</v>
      </c>
      <c r="D2" s="933" t="s">
        <v>485</v>
      </c>
      <c r="E2" s="933"/>
      <c r="F2" s="933" t="s">
        <v>486</v>
      </c>
      <c r="G2" s="933"/>
      <c r="H2" s="933"/>
      <c r="I2" s="933"/>
      <c r="J2" s="940" t="s">
        <v>487</v>
      </c>
      <c r="K2" s="933" t="s">
        <v>488</v>
      </c>
      <c r="L2" s="933"/>
      <c r="M2" s="937" t="s">
        <v>489</v>
      </c>
      <c r="N2" s="914" t="s">
        <v>490</v>
      </c>
      <c r="O2" s="914"/>
      <c r="P2" s="914"/>
      <c r="Q2" s="914"/>
      <c r="R2" s="914"/>
      <c r="S2" s="940" t="s">
        <v>50</v>
      </c>
    </row>
    <row r="3" spans="1:19" ht="45.75" customHeight="1" x14ac:dyDescent="0.2">
      <c r="A3" s="910"/>
      <c r="B3" s="925"/>
      <c r="C3" s="933"/>
      <c r="D3" s="666" t="s">
        <v>33</v>
      </c>
      <c r="E3" s="666" t="s">
        <v>34</v>
      </c>
      <c r="F3" s="933" t="s">
        <v>61</v>
      </c>
      <c r="G3" s="967" t="s">
        <v>75</v>
      </c>
      <c r="H3" s="969" t="s">
        <v>491</v>
      </c>
      <c r="I3" s="969"/>
      <c r="J3" s="940"/>
      <c r="K3" s="933" t="s">
        <v>54</v>
      </c>
      <c r="L3" s="933" t="s">
        <v>55</v>
      </c>
      <c r="M3" s="938"/>
      <c r="N3" s="666" t="s">
        <v>28</v>
      </c>
      <c r="O3" s="666"/>
      <c r="P3" s="666" t="s">
        <v>29</v>
      </c>
      <c r="Q3" s="666" t="s">
        <v>492</v>
      </c>
      <c r="R3" s="73" t="s">
        <v>49</v>
      </c>
      <c r="S3" s="940"/>
    </row>
    <row r="4" spans="1:19" s="21" customFormat="1" ht="30" x14ac:dyDescent="0.2">
      <c r="A4" s="910"/>
      <c r="B4" s="925"/>
      <c r="C4" s="933"/>
      <c r="D4" s="666"/>
      <c r="E4" s="666"/>
      <c r="F4" s="933"/>
      <c r="G4" s="968"/>
      <c r="H4" s="76" t="s">
        <v>493</v>
      </c>
      <c r="I4" s="76" t="s">
        <v>494</v>
      </c>
      <c r="J4" s="940"/>
      <c r="K4" s="933"/>
      <c r="L4" s="933"/>
      <c r="M4" s="939"/>
      <c r="N4" s="69" t="s">
        <v>33</v>
      </c>
      <c r="O4" s="69" t="s">
        <v>34</v>
      </c>
      <c r="P4" s="666"/>
      <c r="Q4" s="666"/>
      <c r="R4" s="69" t="s">
        <v>35</v>
      </c>
      <c r="S4" s="940"/>
    </row>
    <row r="5" spans="1:19" s="21" customFormat="1" ht="14.25" customHeight="1" x14ac:dyDescent="0.2">
      <c r="A5" s="72">
        <v>1</v>
      </c>
      <c r="B5" s="71">
        <v>2</v>
      </c>
      <c r="C5" s="76">
        <v>3</v>
      </c>
      <c r="D5" s="76">
        <v>4</v>
      </c>
      <c r="E5" s="76">
        <v>5</v>
      </c>
      <c r="F5" s="76">
        <v>6</v>
      </c>
      <c r="G5" s="72">
        <v>7</v>
      </c>
      <c r="H5" s="71">
        <v>8</v>
      </c>
      <c r="I5" s="76">
        <v>9</v>
      </c>
      <c r="J5" s="76">
        <v>10</v>
      </c>
      <c r="K5" s="76">
        <v>11</v>
      </c>
      <c r="L5" s="76">
        <v>12</v>
      </c>
      <c r="M5" s="72">
        <v>13</v>
      </c>
      <c r="N5" s="71">
        <v>14</v>
      </c>
      <c r="O5" s="76">
        <v>15</v>
      </c>
      <c r="P5" s="76">
        <v>16</v>
      </c>
      <c r="Q5" s="76">
        <v>17</v>
      </c>
      <c r="R5" s="76">
        <v>18</v>
      </c>
      <c r="S5" s="72">
        <v>19</v>
      </c>
    </row>
    <row r="6" spans="1:19" ht="15.75" customHeight="1" x14ac:dyDescent="0.2">
      <c r="A6" s="934" t="s">
        <v>52</v>
      </c>
      <c r="B6" s="935"/>
      <c r="C6" s="935"/>
      <c r="D6" s="935"/>
      <c r="E6" s="935"/>
      <c r="F6" s="935"/>
      <c r="G6" s="935"/>
      <c r="H6" s="935"/>
      <c r="I6" s="935"/>
      <c r="J6" s="935"/>
      <c r="K6" s="935"/>
      <c r="L6" s="935"/>
      <c r="M6" s="935"/>
      <c r="N6" s="935"/>
      <c r="O6" s="935"/>
      <c r="P6" s="935"/>
      <c r="Q6" s="935"/>
      <c r="R6" s="935"/>
      <c r="S6" s="936"/>
    </row>
    <row r="7" spans="1:19" ht="108" customHeight="1" x14ac:dyDescent="0.2">
      <c r="A7" s="281">
        <v>1</v>
      </c>
      <c r="B7" s="282"/>
      <c r="C7" s="283" t="s">
        <v>495</v>
      </c>
      <c r="D7" s="284" t="s">
        <v>496</v>
      </c>
      <c r="E7" s="285" t="s">
        <v>497</v>
      </c>
      <c r="F7" s="286">
        <v>6</v>
      </c>
      <c r="G7" s="287">
        <v>1</v>
      </c>
      <c r="H7" s="314" t="s">
        <v>1145</v>
      </c>
      <c r="I7" s="314" t="s">
        <v>1146</v>
      </c>
      <c r="J7" s="288" t="s">
        <v>498</v>
      </c>
      <c r="K7" s="287">
        <v>2</v>
      </c>
      <c r="L7" s="287">
        <v>5</v>
      </c>
      <c r="M7" s="283">
        <v>22</v>
      </c>
      <c r="N7" s="284" t="s">
        <v>496</v>
      </c>
      <c r="O7" s="284" t="s">
        <v>497</v>
      </c>
      <c r="P7" s="275" t="s">
        <v>499</v>
      </c>
      <c r="Q7" s="289" t="s">
        <v>500</v>
      </c>
      <c r="R7" s="290">
        <v>18</v>
      </c>
      <c r="S7" s="281" t="s">
        <v>501</v>
      </c>
    </row>
    <row r="8" spans="1:19" ht="128.25" customHeight="1" x14ac:dyDescent="0.2">
      <c r="A8" s="283">
        <v>2</v>
      </c>
      <c r="B8" s="283"/>
      <c r="C8" s="283" t="s">
        <v>495</v>
      </c>
      <c r="D8" s="291" t="s">
        <v>502</v>
      </c>
      <c r="E8" s="284" t="s">
        <v>503</v>
      </c>
      <c r="F8" s="292">
        <v>3</v>
      </c>
      <c r="G8" s="283">
        <v>1</v>
      </c>
      <c r="H8" s="283">
        <v>1</v>
      </c>
      <c r="I8" s="283">
        <v>3</v>
      </c>
      <c r="J8" s="283" t="s">
        <v>504</v>
      </c>
      <c r="K8" s="283">
        <v>1</v>
      </c>
      <c r="L8" s="283">
        <v>5</v>
      </c>
      <c r="M8" s="283">
        <v>8</v>
      </c>
      <c r="N8" s="291" t="s">
        <v>505</v>
      </c>
      <c r="O8" s="284" t="s">
        <v>506</v>
      </c>
      <c r="P8" s="293" t="s">
        <v>507</v>
      </c>
      <c r="Q8" s="294" t="s">
        <v>508</v>
      </c>
      <c r="R8" s="295">
        <v>3300</v>
      </c>
      <c r="S8" s="283" t="s">
        <v>509</v>
      </c>
    </row>
    <row r="9" spans="1:19" ht="69" customHeight="1" x14ac:dyDescent="0.2">
      <c r="A9" s="283">
        <v>3</v>
      </c>
      <c r="B9" s="283"/>
      <c r="C9" s="283" t="s">
        <v>495</v>
      </c>
      <c r="D9" s="296" t="s">
        <v>510</v>
      </c>
      <c r="E9" s="297" t="s">
        <v>511</v>
      </c>
      <c r="F9" s="287">
        <v>3</v>
      </c>
      <c r="G9" s="283">
        <v>0</v>
      </c>
      <c r="H9" s="283" t="s">
        <v>512</v>
      </c>
      <c r="I9" s="283">
        <v>3</v>
      </c>
      <c r="J9" s="283" t="s">
        <v>504</v>
      </c>
      <c r="K9" s="283">
        <v>0</v>
      </c>
      <c r="L9" s="283">
        <v>6</v>
      </c>
      <c r="M9" s="281" t="s">
        <v>431</v>
      </c>
      <c r="N9" s="281" t="s">
        <v>510</v>
      </c>
      <c r="O9" s="281" t="s">
        <v>513</v>
      </c>
      <c r="P9" s="275" t="s">
        <v>514</v>
      </c>
      <c r="Q9" s="283" t="s">
        <v>515</v>
      </c>
      <c r="R9" s="295">
        <v>54</v>
      </c>
      <c r="S9" s="281" t="s">
        <v>501</v>
      </c>
    </row>
    <row r="10" spans="1:19" ht="71.25" customHeight="1" x14ac:dyDescent="0.2">
      <c r="A10" s="284">
        <v>4</v>
      </c>
      <c r="B10" s="298"/>
      <c r="C10" s="281" t="s">
        <v>516</v>
      </c>
      <c r="D10" s="299" t="s">
        <v>517</v>
      </c>
      <c r="E10" s="299" t="s">
        <v>518</v>
      </c>
      <c r="F10" s="283">
        <v>3</v>
      </c>
      <c r="G10" s="283">
        <v>0</v>
      </c>
      <c r="H10" s="283">
        <v>2</v>
      </c>
      <c r="I10" s="283">
        <v>3</v>
      </c>
      <c r="J10" s="283" t="s">
        <v>519</v>
      </c>
      <c r="K10" s="283">
        <v>0</v>
      </c>
      <c r="L10" s="283">
        <v>3</v>
      </c>
      <c r="M10" s="283" t="s">
        <v>431</v>
      </c>
      <c r="N10" s="283" t="s">
        <v>517</v>
      </c>
      <c r="O10" s="283" t="s">
        <v>518</v>
      </c>
      <c r="P10" s="275" t="s">
        <v>520</v>
      </c>
      <c r="Q10" s="294" t="s">
        <v>521</v>
      </c>
      <c r="R10" s="295">
        <v>950</v>
      </c>
      <c r="S10" s="281" t="s">
        <v>501</v>
      </c>
    </row>
    <row r="11" spans="1:19" ht="15.75" customHeight="1" x14ac:dyDescent="0.2">
      <c r="A11" s="929" t="s">
        <v>51</v>
      </c>
      <c r="B11" s="930"/>
      <c r="C11" s="931"/>
      <c r="D11" s="23"/>
      <c r="E11" s="23"/>
      <c r="F11" s="23"/>
      <c r="G11" s="23">
        <f>G7+G8+G9+G10</f>
        <v>2</v>
      </c>
      <c r="H11" s="23"/>
      <c r="I11" s="23"/>
      <c r="J11" s="23"/>
      <c r="K11" s="23">
        <f t="shared" ref="K11:L11" si="0">K7+K8+K9+K10</f>
        <v>3</v>
      </c>
      <c r="L11" s="23">
        <f t="shared" si="0"/>
        <v>19</v>
      </c>
      <c r="M11" s="23"/>
      <c r="N11" s="23"/>
      <c r="O11" s="23"/>
      <c r="P11" s="23"/>
      <c r="Q11" s="23"/>
      <c r="R11" s="300">
        <f>R7+R8+R9+R10</f>
        <v>4322</v>
      </c>
      <c r="S11" s="23"/>
    </row>
    <row r="12" spans="1:19" ht="15.75" customHeight="1" x14ac:dyDescent="0.2">
      <c r="A12" s="966" t="s">
        <v>60</v>
      </c>
      <c r="B12" s="966"/>
      <c r="C12" s="966"/>
      <c r="D12" s="966"/>
      <c r="E12" s="966"/>
      <c r="F12" s="966"/>
      <c r="G12" s="966"/>
      <c r="H12" s="966"/>
      <c r="I12" s="966"/>
      <c r="J12" s="966"/>
      <c r="K12" s="966"/>
      <c r="L12" s="966"/>
      <c r="M12" s="966"/>
      <c r="N12" s="966"/>
      <c r="O12" s="966"/>
      <c r="P12" s="966"/>
      <c r="Q12" s="966"/>
      <c r="R12" s="966"/>
      <c r="S12" s="966"/>
    </row>
    <row r="13" spans="1:19" ht="111" customHeight="1" x14ac:dyDescent="0.2">
      <c r="A13" s="301">
        <v>1</v>
      </c>
      <c r="B13" s="302" t="s">
        <v>202</v>
      </c>
      <c r="C13" s="303" t="s">
        <v>522</v>
      </c>
      <c r="D13" s="304" t="s">
        <v>523</v>
      </c>
      <c r="E13" s="304" t="s">
        <v>524</v>
      </c>
      <c r="F13" s="304">
        <v>3</v>
      </c>
      <c r="G13" s="304"/>
      <c r="H13" s="304">
        <v>1</v>
      </c>
      <c r="I13" s="304">
        <v>1</v>
      </c>
      <c r="J13" s="304" t="s">
        <v>525</v>
      </c>
      <c r="K13" s="304">
        <v>0</v>
      </c>
      <c r="L13" s="304">
        <v>4</v>
      </c>
      <c r="M13" s="304" t="s">
        <v>431</v>
      </c>
      <c r="N13" s="304" t="s">
        <v>523</v>
      </c>
      <c r="O13" s="304" t="s">
        <v>524</v>
      </c>
      <c r="P13" s="304" t="s">
        <v>526</v>
      </c>
      <c r="Q13" s="304">
        <v>2018</v>
      </c>
      <c r="R13" s="304"/>
      <c r="S13" s="304" t="s">
        <v>1143</v>
      </c>
    </row>
    <row r="14" spans="1:19" ht="21.75" customHeight="1" x14ac:dyDescent="0.2">
      <c r="A14" s="301"/>
      <c r="B14" s="301"/>
      <c r="C14" s="305"/>
      <c r="D14" s="304"/>
      <c r="E14" s="304"/>
      <c r="F14" s="304"/>
      <c r="G14" s="304"/>
      <c r="H14" s="304">
        <v>1</v>
      </c>
      <c r="I14" s="304">
        <v>1</v>
      </c>
      <c r="J14" s="304" t="s">
        <v>527</v>
      </c>
      <c r="K14" s="304">
        <v>0</v>
      </c>
      <c r="L14" s="304">
        <v>1</v>
      </c>
      <c r="M14" s="304" t="s">
        <v>431</v>
      </c>
      <c r="N14" s="304"/>
      <c r="O14" s="304"/>
      <c r="P14" s="304"/>
      <c r="Q14" s="304"/>
      <c r="R14" s="304"/>
      <c r="S14" s="304"/>
    </row>
    <row r="15" spans="1:19" ht="39" customHeight="1" x14ac:dyDescent="0.2">
      <c r="A15" s="306"/>
      <c r="B15" s="306"/>
      <c r="C15" s="283"/>
      <c r="D15" s="283"/>
      <c r="E15" s="283"/>
      <c r="F15" s="283"/>
      <c r="G15" s="283"/>
      <c r="H15" s="283">
        <v>1</v>
      </c>
      <c r="I15" s="283">
        <v>1</v>
      </c>
      <c r="J15" s="283" t="s">
        <v>528</v>
      </c>
      <c r="K15" s="283">
        <v>0</v>
      </c>
      <c r="L15" s="283">
        <v>1</v>
      </c>
      <c r="M15" s="283" t="s">
        <v>431</v>
      </c>
      <c r="N15" s="283"/>
      <c r="O15" s="283"/>
      <c r="P15" s="283"/>
      <c r="Q15" s="283"/>
      <c r="R15" s="283"/>
      <c r="S15" s="283"/>
    </row>
    <row r="16" spans="1:19" ht="100.5" customHeight="1" x14ac:dyDescent="0.2">
      <c r="A16" s="307">
        <v>2</v>
      </c>
      <c r="B16" s="308" t="s">
        <v>201</v>
      </c>
      <c r="C16" s="307" t="s">
        <v>529</v>
      </c>
      <c r="D16" s="309" t="s">
        <v>530</v>
      </c>
      <c r="E16" s="309" t="s">
        <v>531</v>
      </c>
      <c r="F16" s="309">
        <v>3</v>
      </c>
      <c r="G16" s="309"/>
      <c r="H16" s="309">
        <v>1</v>
      </c>
      <c r="I16" s="309">
        <v>1</v>
      </c>
      <c r="J16" s="309" t="s">
        <v>532</v>
      </c>
      <c r="K16" s="309">
        <v>0</v>
      </c>
      <c r="L16" s="309">
        <v>1</v>
      </c>
      <c r="M16" s="309" t="s">
        <v>431</v>
      </c>
      <c r="N16" s="309" t="s">
        <v>530</v>
      </c>
      <c r="O16" s="309" t="s">
        <v>531</v>
      </c>
      <c r="P16" s="309" t="s">
        <v>1140</v>
      </c>
      <c r="Q16" s="309" t="s">
        <v>1141</v>
      </c>
      <c r="R16" s="310">
        <v>10007.356</v>
      </c>
      <c r="S16" s="309" t="s">
        <v>1142</v>
      </c>
    </row>
    <row r="17" spans="1:19" ht="48.75" customHeight="1" x14ac:dyDescent="0.2">
      <c r="A17" s="283"/>
      <c r="B17" s="283"/>
      <c r="C17" s="283"/>
      <c r="D17" s="283"/>
      <c r="E17" s="283"/>
      <c r="F17" s="283"/>
      <c r="G17" s="283"/>
      <c r="H17" s="283">
        <v>1</v>
      </c>
      <c r="I17" s="283">
        <v>1</v>
      </c>
      <c r="J17" s="283" t="s">
        <v>533</v>
      </c>
      <c r="K17" s="283">
        <v>0</v>
      </c>
      <c r="L17" s="283">
        <v>4</v>
      </c>
      <c r="M17" s="283" t="s">
        <v>431</v>
      </c>
      <c r="N17" s="283"/>
      <c r="O17" s="283"/>
      <c r="P17" s="283"/>
      <c r="Q17" s="283"/>
      <c r="R17" s="283"/>
      <c r="S17" s="283"/>
    </row>
    <row r="18" spans="1:19" ht="35.25" customHeight="1" x14ac:dyDescent="0.2">
      <c r="A18" s="306"/>
      <c r="B18" s="306"/>
      <c r="C18" s="283"/>
      <c r="D18" s="283"/>
      <c r="E18" s="283"/>
      <c r="F18" s="283"/>
      <c r="G18" s="283"/>
      <c r="H18" s="283">
        <v>1</v>
      </c>
      <c r="I18" s="283">
        <v>1</v>
      </c>
      <c r="J18" s="283" t="s">
        <v>528</v>
      </c>
      <c r="K18" s="283">
        <v>0</v>
      </c>
      <c r="L18" s="283">
        <v>3</v>
      </c>
      <c r="M18" s="283" t="s">
        <v>431</v>
      </c>
      <c r="N18" s="283"/>
      <c r="O18" s="283"/>
      <c r="P18" s="283"/>
      <c r="Q18" s="283"/>
      <c r="R18" s="283"/>
      <c r="S18" s="283"/>
    </row>
    <row r="19" spans="1:19" ht="14.25" customHeight="1" x14ac:dyDescent="0.2">
      <c r="A19" s="965" t="s">
        <v>51</v>
      </c>
      <c r="B19" s="965"/>
      <c r="C19" s="965"/>
      <c r="D19" s="23"/>
      <c r="E19" s="23"/>
      <c r="F19" s="23"/>
      <c r="G19" s="23">
        <f>G13+G14+G15+G16+G17+G18</f>
        <v>0</v>
      </c>
      <c r="H19" s="23"/>
      <c r="I19" s="23">
        <f t="shared" ref="I19:R19" si="1">I13+I14+I15+I16+I17+I18</f>
        <v>6</v>
      </c>
      <c r="J19" s="23"/>
      <c r="K19" s="23">
        <f t="shared" si="1"/>
        <v>0</v>
      </c>
      <c r="L19" s="23">
        <f t="shared" si="1"/>
        <v>14</v>
      </c>
      <c r="M19" s="23"/>
      <c r="N19" s="23"/>
      <c r="O19" s="23"/>
      <c r="P19" s="23"/>
      <c r="Q19" s="23"/>
      <c r="R19" s="23">
        <f t="shared" si="1"/>
        <v>10007.356</v>
      </c>
      <c r="S19" s="23"/>
    </row>
    <row r="20" spans="1:19" ht="15" customHeight="1" x14ac:dyDescent="0.2">
      <c r="A20" s="934" t="s">
        <v>56</v>
      </c>
      <c r="B20" s="935"/>
      <c r="C20" s="935"/>
      <c r="D20" s="935"/>
      <c r="E20" s="935"/>
      <c r="F20" s="935"/>
      <c r="G20" s="935"/>
      <c r="H20" s="935"/>
      <c r="I20" s="935"/>
      <c r="J20" s="935"/>
      <c r="K20" s="935"/>
      <c r="L20" s="935"/>
      <c r="M20" s="935"/>
      <c r="N20" s="935"/>
      <c r="O20" s="935"/>
      <c r="P20" s="935"/>
      <c r="Q20" s="935"/>
      <c r="R20" s="935"/>
      <c r="S20" s="936"/>
    </row>
    <row r="21" spans="1:19" ht="62.25" customHeight="1" x14ac:dyDescent="0.2">
      <c r="A21" s="311">
        <v>1</v>
      </c>
      <c r="B21" s="283">
        <v>2227659</v>
      </c>
      <c r="C21" s="312" t="s">
        <v>534</v>
      </c>
      <c r="D21" s="283" t="s">
        <v>535</v>
      </c>
      <c r="E21" s="283" t="s">
        <v>536</v>
      </c>
      <c r="F21" s="294" t="s">
        <v>537</v>
      </c>
      <c r="G21" s="283"/>
      <c r="H21" s="283">
        <v>1</v>
      </c>
      <c r="I21" s="283">
        <v>6</v>
      </c>
      <c r="J21" s="283"/>
      <c r="K21" s="283">
        <v>0</v>
      </c>
      <c r="L21" s="283">
        <f>5+4</f>
        <v>9</v>
      </c>
      <c r="M21" s="283"/>
      <c r="N21" s="283"/>
      <c r="O21" s="283"/>
      <c r="P21" s="283" t="s">
        <v>1147</v>
      </c>
      <c r="Q21" s="283">
        <v>2020</v>
      </c>
      <c r="R21" s="283"/>
      <c r="S21" s="283"/>
    </row>
    <row r="22" spans="1:19" ht="86.25" customHeight="1" x14ac:dyDescent="0.2">
      <c r="A22" s="311">
        <v>2</v>
      </c>
      <c r="B22" s="283">
        <v>2227841</v>
      </c>
      <c r="C22" s="312" t="s">
        <v>538</v>
      </c>
      <c r="D22" s="970" t="s">
        <v>539</v>
      </c>
      <c r="E22" s="970"/>
      <c r="F22" s="313" t="s">
        <v>540</v>
      </c>
      <c r="G22" s="283"/>
      <c r="H22" s="283">
        <v>1</v>
      </c>
      <c r="I22" s="283">
        <v>3</v>
      </c>
      <c r="J22" s="283"/>
      <c r="K22" s="283">
        <v>0</v>
      </c>
      <c r="L22" s="283">
        <v>4</v>
      </c>
      <c r="M22" s="283"/>
      <c r="N22" s="283"/>
      <c r="O22" s="283"/>
      <c r="P22" s="283" t="s">
        <v>1148</v>
      </c>
      <c r="Q22" s="283">
        <v>2021</v>
      </c>
      <c r="R22" s="283"/>
      <c r="S22" s="283"/>
    </row>
    <row r="23" spans="1:19" s="19" customFormat="1" ht="15" customHeight="1" x14ac:dyDescent="0.25">
      <c r="A23" s="941">
        <v>3</v>
      </c>
      <c r="B23" s="941">
        <v>2227841</v>
      </c>
      <c r="C23" s="971" t="s">
        <v>541</v>
      </c>
      <c r="D23" s="973" t="s">
        <v>542</v>
      </c>
      <c r="E23" s="974" t="s">
        <v>346</v>
      </c>
      <c r="F23" s="952" t="s">
        <v>543</v>
      </c>
      <c r="G23" s="941"/>
      <c r="H23" s="283">
        <v>1</v>
      </c>
      <c r="I23" s="283">
        <v>3</v>
      </c>
      <c r="J23" s="941"/>
      <c r="K23" s="941">
        <v>0</v>
      </c>
      <c r="L23" s="941">
        <f>4+4</f>
        <v>8</v>
      </c>
      <c r="M23" s="941"/>
      <c r="N23" s="941"/>
      <c r="O23" s="941"/>
      <c r="P23" s="941" t="s">
        <v>1149</v>
      </c>
      <c r="Q23" s="941">
        <v>2020</v>
      </c>
      <c r="R23" s="941"/>
      <c r="S23" s="941"/>
    </row>
    <row r="24" spans="1:19" s="19" customFormat="1" ht="19.5" customHeight="1" x14ac:dyDescent="0.25">
      <c r="A24" s="942"/>
      <c r="B24" s="942"/>
      <c r="C24" s="972"/>
      <c r="D24" s="973"/>
      <c r="E24" s="975"/>
      <c r="F24" s="953"/>
      <c r="G24" s="942"/>
      <c r="H24" s="283">
        <v>5</v>
      </c>
      <c r="I24" s="283">
        <v>3</v>
      </c>
      <c r="J24" s="942"/>
      <c r="K24" s="942"/>
      <c r="L24" s="942"/>
      <c r="M24" s="942"/>
      <c r="N24" s="942"/>
      <c r="O24" s="942"/>
      <c r="P24" s="949"/>
      <c r="Q24" s="942"/>
      <c r="R24" s="942"/>
      <c r="S24" s="942"/>
    </row>
    <row r="25" spans="1:19" s="19" customFormat="1" ht="37.5" customHeight="1" x14ac:dyDescent="0.25">
      <c r="A25" s="441">
        <v>4</v>
      </c>
      <c r="B25" s="283">
        <v>2227841</v>
      </c>
      <c r="C25" s="312" t="s">
        <v>538</v>
      </c>
      <c r="D25" s="950" t="s">
        <v>1138</v>
      </c>
      <c r="E25" s="951"/>
      <c r="F25" s="289" t="s">
        <v>1139</v>
      </c>
      <c r="G25" s="281"/>
      <c r="H25" s="283">
        <v>5</v>
      </c>
      <c r="I25" s="283">
        <v>3</v>
      </c>
      <c r="J25" s="281"/>
      <c r="K25" s="281">
        <v>0</v>
      </c>
      <c r="L25" s="281">
        <v>4</v>
      </c>
      <c r="M25" s="281"/>
      <c r="N25" s="281"/>
      <c r="O25" s="281"/>
      <c r="P25" s="942"/>
      <c r="Q25" s="281">
        <v>2020</v>
      </c>
      <c r="R25" s="281"/>
      <c r="S25" s="281"/>
    </row>
    <row r="26" spans="1:19" s="19" customFormat="1" ht="30.75" customHeight="1" x14ac:dyDescent="0.25">
      <c r="A26" s="311">
        <v>5</v>
      </c>
      <c r="B26" s="283">
        <v>2229937</v>
      </c>
      <c r="C26" s="312" t="s">
        <v>544</v>
      </c>
      <c r="D26" s="970" t="s">
        <v>545</v>
      </c>
      <c r="E26" s="970"/>
      <c r="F26" s="294" t="s">
        <v>546</v>
      </c>
      <c r="G26" s="283"/>
      <c r="H26" s="283">
        <v>5</v>
      </c>
      <c r="I26" s="283">
        <v>3</v>
      </c>
      <c r="J26" s="283"/>
      <c r="K26" s="283">
        <v>0</v>
      </c>
      <c r="L26" s="283">
        <v>3</v>
      </c>
      <c r="M26" s="283"/>
      <c r="N26" s="283"/>
      <c r="O26" s="283"/>
      <c r="P26" s="283" t="s">
        <v>1150</v>
      </c>
      <c r="Q26" s="283">
        <v>2019</v>
      </c>
      <c r="R26" s="283"/>
      <c r="S26" s="283"/>
    </row>
    <row r="27" spans="1:19" s="19" customFormat="1" x14ac:dyDescent="0.25">
      <c r="A27" s="941">
        <v>6</v>
      </c>
      <c r="B27" s="941">
        <v>2229440</v>
      </c>
      <c r="C27" s="971" t="s">
        <v>547</v>
      </c>
      <c r="D27" s="941" t="s">
        <v>548</v>
      </c>
      <c r="E27" s="941" t="s">
        <v>549</v>
      </c>
      <c r="F27" s="952" t="s">
        <v>543</v>
      </c>
      <c r="G27" s="941"/>
      <c r="H27" s="283">
        <v>1</v>
      </c>
      <c r="I27" s="283">
        <v>3</v>
      </c>
      <c r="J27" s="941"/>
      <c r="K27" s="941">
        <v>0</v>
      </c>
      <c r="L27" s="941">
        <f>5+7</f>
        <v>12</v>
      </c>
      <c r="M27" s="941"/>
      <c r="N27" s="941"/>
      <c r="O27" s="941"/>
      <c r="P27" s="941" t="s">
        <v>1136</v>
      </c>
      <c r="Q27" s="941">
        <v>2019</v>
      </c>
      <c r="R27" s="941"/>
      <c r="S27" s="941"/>
    </row>
    <row r="28" spans="1:19" s="19" customFormat="1" x14ac:dyDescent="0.25">
      <c r="A28" s="942"/>
      <c r="B28" s="942"/>
      <c r="C28" s="972"/>
      <c r="D28" s="942"/>
      <c r="E28" s="942"/>
      <c r="F28" s="953"/>
      <c r="G28" s="942"/>
      <c r="H28" s="283">
        <v>5</v>
      </c>
      <c r="I28" s="283">
        <v>3</v>
      </c>
      <c r="J28" s="942"/>
      <c r="K28" s="942"/>
      <c r="L28" s="942"/>
      <c r="M28" s="942"/>
      <c r="N28" s="942"/>
      <c r="O28" s="942"/>
      <c r="P28" s="942"/>
      <c r="Q28" s="942"/>
      <c r="R28" s="942"/>
      <c r="S28" s="942"/>
    </row>
    <row r="29" spans="1:19" s="19" customFormat="1" ht="51" customHeight="1" x14ac:dyDescent="0.25">
      <c r="A29" s="311">
        <v>7</v>
      </c>
      <c r="B29" s="283">
        <v>2220122</v>
      </c>
      <c r="C29" s="312" t="s">
        <v>550</v>
      </c>
      <c r="D29" s="283" t="s">
        <v>551</v>
      </c>
      <c r="E29" s="283" t="s">
        <v>324</v>
      </c>
      <c r="F29" s="294" t="s">
        <v>552</v>
      </c>
      <c r="G29" s="283"/>
      <c r="H29" s="283">
        <v>8</v>
      </c>
      <c r="I29" s="283">
        <v>3</v>
      </c>
      <c r="J29" s="283"/>
      <c r="K29" s="283">
        <v>0</v>
      </c>
      <c r="L29" s="283">
        <v>3</v>
      </c>
      <c r="M29" s="283"/>
      <c r="N29" s="283"/>
      <c r="O29" s="283"/>
      <c r="P29" s="283" t="s">
        <v>1153</v>
      </c>
      <c r="Q29" s="283">
        <v>2019</v>
      </c>
      <c r="R29" s="283"/>
      <c r="S29" s="283"/>
    </row>
    <row r="30" spans="1:19" s="19" customFormat="1" ht="15" customHeight="1" x14ac:dyDescent="0.25">
      <c r="A30" s="941">
        <v>8</v>
      </c>
      <c r="B30" s="941">
        <v>2220072</v>
      </c>
      <c r="C30" s="976" t="s">
        <v>553</v>
      </c>
      <c r="D30" s="941" t="s">
        <v>457</v>
      </c>
      <c r="E30" s="941" t="s">
        <v>258</v>
      </c>
      <c r="F30" s="952" t="s">
        <v>543</v>
      </c>
      <c r="G30" s="941"/>
      <c r="H30" s="283">
        <v>1</v>
      </c>
      <c r="I30" s="283">
        <v>3</v>
      </c>
      <c r="J30" s="941"/>
      <c r="K30" s="941">
        <v>0</v>
      </c>
      <c r="L30" s="941">
        <f>3+6</f>
        <v>9</v>
      </c>
      <c r="M30" s="941"/>
      <c r="N30" s="941"/>
      <c r="O30" s="941"/>
      <c r="P30" s="941" t="s">
        <v>1137</v>
      </c>
      <c r="Q30" s="941">
        <v>2021</v>
      </c>
      <c r="R30" s="941"/>
      <c r="S30" s="941"/>
    </row>
    <row r="31" spans="1:19" s="19" customFormat="1" ht="24" customHeight="1" x14ac:dyDescent="0.25">
      <c r="A31" s="942"/>
      <c r="B31" s="942"/>
      <c r="C31" s="977"/>
      <c r="D31" s="942"/>
      <c r="E31" s="942"/>
      <c r="F31" s="953"/>
      <c r="G31" s="942"/>
      <c r="H31" s="283">
        <v>5</v>
      </c>
      <c r="I31" s="283">
        <v>3</v>
      </c>
      <c r="J31" s="942"/>
      <c r="K31" s="942"/>
      <c r="L31" s="942"/>
      <c r="M31" s="942"/>
      <c r="N31" s="942"/>
      <c r="O31" s="942"/>
      <c r="P31" s="942"/>
      <c r="Q31" s="942"/>
      <c r="R31" s="942"/>
      <c r="S31" s="942"/>
    </row>
    <row r="32" spans="1:19" s="19" customFormat="1" ht="72" customHeight="1" x14ac:dyDescent="0.25">
      <c r="A32" s="311">
        <v>9</v>
      </c>
      <c r="B32" s="283">
        <v>2229537</v>
      </c>
      <c r="C32" s="312" t="s">
        <v>554</v>
      </c>
      <c r="D32" s="283" t="s">
        <v>555</v>
      </c>
      <c r="E32" s="283" t="s">
        <v>302</v>
      </c>
      <c r="F32" s="294" t="s">
        <v>540</v>
      </c>
      <c r="G32" s="283"/>
      <c r="H32" s="283">
        <v>1</v>
      </c>
      <c r="I32" s="283">
        <v>3</v>
      </c>
      <c r="J32" s="283"/>
      <c r="K32" s="283">
        <v>0</v>
      </c>
      <c r="L32" s="283">
        <v>5</v>
      </c>
      <c r="M32" s="283"/>
      <c r="N32" s="283"/>
      <c r="O32" s="283"/>
      <c r="P32" s="283" t="s">
        <v>1151</v>
      </c>
      <c r="Q32" s="283">
        <v>2020</v>
      </c>
      <c r="R32" s="283"/>
      <c r="S32" s="283"/>
    </row>
    <row r="33" spans="1:19" s="19" customFormat="1" ht="57" customHeight="1" x14ac:dyDescent="0.25">
      <c r="A33" s="311">
        <v>10</v>
      </c>
      <c r="B33" s="283">
        <v>2223092</v>
      </c>
      <c r="C33" s="312" t="s">
        <v>556</v>
      </c>
      <c r="D33" s="283" t="s">
        <v>557</v>
      </c>
      <c r="E33" s="283" t="s">
        <v>558</v>
      </c>
      <c r="F33" s="294" t="s">
        <v>559</v>
      </c>
      <c r="G33" s="283"/>
      <c r="H33" s="283">
        <v>2</v>
      </c>
      <c r="I33" s="283">
        <v>3</v>
      </c>
      <c r="J33" s="283"/>
      <c r="K33" s="283">
        <v>0</v>
      </c>
      <c r="L33" s="283">
        <v>5</v>
      </c>
      <c r="M33" s="283"/>
      <c r="N33" s="283"/>
      <c r="O33" s="283"/>
      <c r="P33" s="283" t="s">
        <v>1152</v>
      </c>
      <c r="Q33" s="283">
        <v>2022</v>
      </c>
      <c r="R33" s="283"/>
      <c r="S33" s="283"/>
    </row>
    <row r="34" spans="1:19" s="19" customFormat="1" ht="41.25" customHeight="1" x14ac:dyDescent="0.25">
      <c r="A34" s="311">
        <v>11</v>
      </c>
      <c r="B34" s="283">
        <v>2227280</v>
      </c>
      <c r="C34" s="312" t="s">
        <v>560</v>
      </c>
      <c r="D34" s="283" t="s">
        <v>351</v>
      </c>
      <c r="E34" s="283" t="s">
        <v>561</v>
      </c>
      <c r="F34" s="294" t="s">
        <v>540</v>
      </c>
      <c r="G34" s="283"/>
      <c r="H34" s="283">
        <v>1</v>
      </c>
      <c r="I34" s="283">
        <v>3</v>
      </c>
      <c r="J34" s="283"/>
      <c r="K34" s="283">
        <v>0</v>
      </c>
      <c r="L34" s="283">
        <v>4</v>
      </c>
      <c r="M34" s="283"/>
      <c r="N34" s="283"/>
      <c r="O34" s="283"/>
      <c r="P34" s="283" t="s">
        <v>1144</v>
      </c>
      <c r="Q34" s="283">
        <v>2022</v>
      </c>
      <c r="R34" s="283"/>
      <c r="S34" s="283"/>
    </row>
    <row r="35" spans="1:19" s="19" customFormat="1" ht="15" customHeight="1" x14ac:dyDescent="0.25">
      <c r="A35" s="929" t="s">
        <v>51</v>
      </c>
      <c r="B35" s="930"/>
      <c r="C35" s="931"/>
      <c r="D35" s="23"/>
      <c r="E35" s="23"/>
      <c r="F35" s="23"/>
      <c r="G35" s="23"/>
      <c r="H35" s="23"/>
      <c r="I35" s="23">
        <f>SUM(I21:I34)</f>
        <v>45</v>
      </c>
      <c r="J35" s="23"/>
      <c r="K35" s="23">
        <f t="shared" ref="K35:L35" si="2">SUM(K21:K34)</f>
        <v>0</v>
      </c>
      <c r="L35" s="23">
        <f t="shared" si="2"/>
        <v>66</v>
      </c>
      <c r="M35" s="23"/>
      <c r="N35" s="23"/>
      <c r="O35" s="23"/>
      <c r="P35" s="23"/>
      <c r="Q35" s="23"/>
      <c r="R35" s="23"/>
      <c r="S35" s="23"/>
    </row>
    <row r="36" spans="1:19" s="19" customFormat="1" ht="15" customHeight="1" x14ac:dyDescent="0.25">
      <c r="A36" s="961" t="s">
        <v>53</v>
      </c>
      <c r="B36" s="961"/>
      <c r="C36" s="961"/>
      <c r="D36" s="24"/>
      <c r="E36" s="24"/>
      <c r="F36" s="24"/>
      <c r="G36" s="315">
        <f t="shared" ref="G36" si="3">G19+G11+G35</f>
        <v>2</v>
      </c>
      <c r="H36" s="315"/>
      <c r="I36" s="315">
        <f t="shared" ref="I36:R36" si="4">I19+I11+I35</f>
        <v>51</v>
      </c>
      <c r="J36" s="24"/>
      <c r="K36" s="24"/>
      <c r="L36" s="315">
        <f t="shared" si="4"/>
        <v>99</v>
      </c>
      <c r="M36" s="24"/>
      <c r="N36" s="24"/>
      <c r="O36" s="24"/>
      <c r="P36" s="24"/>
      <c r="Q36" s="24"/>
      <c r="R36" s="24">
        <f t="shared" si="4"/>
        <v>14329.356</v>
      </c>
      <c r="S36" s="24"/>
    </row>
    <row r="37" spans="1:19" s="19" customFormat="1" x14ac:dyDescent="0.25">
      <c r="A37"/>
      <c r="B37"/>
    </row>
    <row r="38" spans="1:19" s="19" customFormat="1" x14ac:dyDescent="0.25">
      <c r="A38"/>
      <c r="B38"/>
      <c r="C38" s="19" t="s">
        <v>562</v>
      </c>
    </row>
    <row r="39" spans="1:19" s="19" customFormat="1" x14ac:dyDescent="0.25">
      <c r="A39"/>
      <c r="B39"/>
      <c r="C39" s="962" t="s">
        <v>563</v>
      </c>
      <c r="D39" s="963"/>
      <c r="E39" s="963"/>
      <c r="F39" s="963"/>
      <c r="G39" s="963"/>
      <c r="H39" s="963"/>
      <c r="I39" s="963"/>
      <c r="J39" s="963"/>
      <c r="K39" s="963"/>
      <c r="L39" s="964"/>
    </row>
    <row r="40" spans="1:19" s="19" customFormat="1" ht="15" customHeight="1" x14ac:dyDescent="0.25">
      <c r="A40"/>
      <c r="B40"/>
      <c r="C40" s="316" t="s">
        <v>564</v>
      </c>
      <c r="D40" s="317"/>
      <c r="E40" s="317"/>
      <c r="F40" s="317"/>
      <c r="G40" s="317"/>
      <c r="H40" s="317"/>
      <c r="I40" s="317"/>
      <c r="J40" s="317"/>
      <c r="K40" s="317"/>
      <c r="L40" s="318"/>
    </row>
    <row r="41" spans="1:19" s="19" customFormat="1" ht="15" customHeight="1" x14ac:dyDescent="0.25">
      <c r="A41"/>
      <c r="B41"/>
      <c r="C41" s="958" t="s">
        <v>565</v>
      </c>
      <c r="D41" s="959"/>
      <c r="E41" s="959"/>
      <c r="F41" s="959"/>
      <c r="G41" s="959"/>
      <c r="H41" s="959"/>
      <c r="I41" s="959"/>
      <c r="J41" s="959"/>
      <c r="K41" s="959"/>
      <c r="L41" s="960"/>
      <c r="M41" s="319"/>
    </row>
    <row r="42" spans="1:19" s="19" customFormat="1" ht="15" customHeight="1" x14ac:dyDescent="0.25">
      <c r="A42"/>
      <c r="B42"/>
      <c r="C42" s="943" t="s">
        <v>566</v>
      </c>
      <c r="D42" s="944"/>
      <c r="E42" s="944"/>
      <c r="F42" s="944"/>
      <c r="G42" s="944"/>
      <c r="H42" s="944"/>
      <c r="I42" s="944"/>
      <c r="J42" s="944"/>
      <c r="K42" s="944"/>
      <c r="L42" s="945"/>
      <c r="M42" s="320"/>
    </row>
    <row r="43" spans="1:19" s="19" customFormat="1" ht="15" customHeight="1" x14ac:dyDescent="0.25">
      <c r="A43"/>
      <c r="B43"/>
      <c r="C43" s="946" t="s">
        <v>567</v>
      </c>
      <c r="D43" s="947"/>
      <c r="E43" s="947"/>
      <c r="F43" s="947"/>
      <c r="G43" s="947"/>
      <c r="H43" s="947"/>
      <c r="I43" s="947"/>
      <c r="J43" s="947"/>
      <c r="K43" s="947"/>
      <c r="L43" s="948"/>
      <c r="M43" s="319"/>
    </row>
    <row r="44" spans="1:19" ht="15" customHeight="1" x14ac:dyDescent="0.25">
      <c r="C44" s="946" t="s">
        <v>568</v>
      </c>
      <c r="D44" s="947"/>
      <c r="E44" s="947"/>
      <c r="F44" s="947"/>
      <c r="G44" s="947"/>
      <c r="H44" s="947"/>
      <c r="I44" s="947"/>
      <c r="J44" s="947"/>
      <c r="K44" s="947"/>
      <c r="L44" s="948"/>
      <c r="M44" s="319"/>
    </row>
    <row r="45" spans="1:19" x14ac:dyDescent="0.25">
      <c r="C45" s="946" t="s">
        <v>569</v>
      </c>
      <c r="D45" s="947"/>
      <c r="E45" s="947"/>
      <c r="F45" s="947"/>
      <c r="G45" s="947"/>
      <c r="H45" s="947"/>
      <c r="I45" s="947"/>
      <c r="J45" s="947"/>
      <c r="K45" s="947"/>
      <c r="L45" s="948"/>
      <c r="M45" s="319"/>
    </row>
    <row r="46" spans="1:19" ht="15" customHeight="1" x14ac:dyDescent="0.25">
      <c r="C46" s="955" t="s">
        <v>570</v>
      </c>
      <c r="D46" s="956"/>
      <c r="E46" s="956"/>
      <c r="F46" s="956"/>
      <c r="G46" s="956"/>
      <c r="H46" s="956"/>
      <c r="I46" s="956"/>
      <c r="J46" s="956"/>
      <c r="K46" s="956"/>
      <c r="L46" s="957"/>
      <c r="M46" s="321"/>
      <c r="O46" s="954"/>
      <c r="P46" s="321"/>
      <c r="Q46" s="321"/>
      <c r="S46" s="954"/>
    </row>
    <row r="47" spans="1:19" x14ac:dyDescent="0.25">
      <c r="C47" s="955" t="s">
        <v>571</v>
      </c>
      <c r="D47" s="956"/>
      <c r="E47" s="956"/>
      <c r="F47" s="956"/>
      <c r="G47" s="956"/>
      <c r="H47" s="956"/>
      <c r="I47" s="956"/>
      <c r="J47" s="956"/>
      <c r="K47" s="956"/>
      <c r="L47" s="957"/>
      <c r="M47" s="321"/>
      <c r="O47" s="954"/>
      <c r="P47" s="321"/>
      <c r="Q47" s="321"/>
      <c r="S47" s="954"/>
    </row>
  </sheetData>
  <mergeCells count="92">
    <mergeCell ref="R27:R28"/>
    <mergeCell ref="S27:S28"/>
    <mergeCell ref="A30:A31"/>
    <mergeCell ref="B30:B31"/>
    <mergeCell ref="C30:C31"/>
    <mergeCell ref="D30:D31"/>
    <mergeCell ref="E30:E31"/>
    <mergeCell ref="F30:F31"/>
    <mergeCell ref="G30:G31"/>
    <mergeCell ref="J30:J31"/>
    <mergeCell ref="K30:K31"/>
    <mergeCell ref="L30:L31"/>
    <mergeCell ref="M30:M31"/>
    <mergeCell ref="N30:N31"/>
    <mergeCell ref="R23:R24"/>
    <mergeCell ref="S23:S24"/>
    <mergeCell ref="D26:E26"/>
    <mergeCell ref="A27:A28"/>
    <mergeCell ref="B27:B28"/>
    <mergeCell ref="C27:C28"/>
    <mergeCell ref="D27:D28"/>
    <mergeCell ref="E27:E28"/>
    <mergeCell ref="F27:F28"/>
    <mergeCell ref="G27:G28"/>
    <mergeCell ref="J27:J28"/>
    <mergeCell ref="K27:K28"/>
    <mergeCell ref="L27:L28"/>
    <mergeCell ref="M27:M28"/>
    <mergeCell ref="N27:N28"/>
    <mergeCell ref="O27:O28"/>
    <mergeCell ref="D22:E22"/>
    <mergeCell ref="A23:A24"/>
    <mergeCell ref="B23:B24"/>
    <mergeCell ref="C23:C24"/>
    <mergeCell ref="D23:D24"/>
    <mergeCell ref="E23:E24"/>
    <mergeCell ref="A19:C19"/>
    <mergeCell ref="A20:S20"/>
    <mergeCell ref="A12:S12"/>
    <mergeCell ref="A11:C11"/>
    <mergeCell ref="N2:R2"/>
    <mergeCell ref="S2:S4"/>
    <mergeCell ref="D3:D4"/>
    <mergeCell ref="E3:E4"/>
    <mergeCell ref="F3:F4"/>
    <mergeCell ref="G3:G4"/>
    <mergeCell ref="H3:I3"/>
    <mergeCell ref="K3:K4"/>
    <mergeCell ref="L3:L4"/>
    <mergeCell ref="N3:O3"/>
    <mergeCell ref="P3:P4"/>
    <mergeCell ref="Q3:Q4"/>
    <mergeCell ref="S46:S47"/>
    <mergeCell ref="C47:L47"/>
    <mergeCell ref="C41:L41"/>
    <mergeCell ref="O30:O31"/>
    <mergeCell ref="P30:P31"/>
    <mergeCell ref="Q30:Q31"/>
    <mergeCell ref="R30:R31"/>
    <mergeCell ref="S30:S31"/>
    <mergeCell ref="A36:C36"/>
    <mergeCell ref="C39:L39"/>
    <mergeCell ref="C44:L44"/>
    <mergeCell ref="C45:L45"/>
    <mergeCell ref="C46:L46"/>
    <mergeCell ref="O46:O47"/>
    <mergeCell ref="Q23:Q24"/>
    <mergeCell ref="C42:L42"/>
    <mergeCell ref="C43:L43"/>
    <mergeCell ref="A35:C35"/>
    <mergeCell ref="P23:P25"/>
    <mergeCell ref="D25:E25"/>
    <mergeCell ref="M23:M24"/>
    <mergeCell ref="N23:N24"/>
    <mergeCell ref="O23:O24"/>
    <mergeCell ref="F23:F24"/>
    <mergeCell ref="G23:G24"/>
    <mergeCell ref="J23:J24"/>
    <mergeCell ref="K23:K24"/>
    <mergeCell ref="L23:L24"/>
    <mergeCell ref="P27:P28"/>
    <mergeCell ref="Q27:Q28"/>
    <mergeCell ref="A1:S1"/>
    <mergeCell ref="A2:A4"/>
    <mergeCell ref="B2:B4"/>
    <mergeCell ref="C2:C4"/>
    <mergeCell ref="A6:S6"/>
    <mergeCell ref="M2:M4"/>
    <mergeCell ref="D2:E2"/>
    <mergeCell ref="F2:I2"/>
    <mergeCell ref="J2:J4"/>
    <mergeCell ref="K2:L2"/>
  </mergeCells>
  <pageMargins left="0.7" right="0.7" top="0.75" bottom="0.75" header="0.3" footer="0.3"/>
  <pageSetup paperSize="9" scale="46" orientation="landscape" horizontalDpi="300" verticalDpi="300" r:id="rId1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209"/>
  <sheetViews>
    <sheetView topLeftCell="A187" zoomScale="90" zoomScaleNormal="90" zoomScaleSheetLayoutView="120" workbookViewId="0">
      <selection activeCell="C209" sqref="C209"/>
    </sheetView>
  </sheetViews>
  <sheetFormatPr defaultColWidth="8.85546875" defaultRowHeight="12.75" x14ac:dyDescent="0.2"/>
  <cols>
    <col min="1" max="1" width="5.28515625" customWidth="1"/>
    <col min="2" max="2" width="7.85546875" customWidth="1"/>
    <col min="3" max="3" width="37.42578125" customWidth="1"/>
    <col min="4" max="4" width="16.85546875" customWidth="1"/>
    <col min="5" max="6" width="8.42578125" customWidth="1"/>
    <col min="7" max="7" width="12.28515625" customWidth="1"/>
    <col min="8" max="9" width="9.85546875" customWidth="1"/>
    <col min="10" max="13" width="12" customWidth="1"/>
    <col min="14" max="14" width="15.140625" customWidth="1"/>
    <col min="15" max="15" width="11.7109375" customWidth="1"/>
  </cols>
  <sheetData>
    <row r="1" spans="1:15" ht="34.5" customHeight="1" thickBot="1" x14ac:dyDescent="0.25">
      <c r="A1" s="985" t="s">
        <v>572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  <c r="O1" s="985"/>
    </row>
    <row r="2" spans="1:15" ht="14.25" customHeight="1" x14ac:dyDescent="0.2">
      <c r="A2" s="1000" t="s">
        <v>0</v>
      </c>
      <c r="B2" s="1003" t="s">
        <v>25</v>
      </c>
      <c r="C2" s="1003" t="s">
        <v>72</v>
      </c>
      <c r="D2" s="1003" t="s">
        <v>62</v>
      </c>
      <c r="E2" s="994" t="s">
        <v>1</v>
      </c>
      <c r="F2" s="995"/>
      <c r="G2" s="995"/>
      <c r="H2" s="995"/>
      <c r="I2" s="995"/>
      <c r="J2" s="995"/>
      <c r="K2" s="995"/>
      <c r="L2" s="995"/>
      <c r="M2" s="996"/>
      <c r="N2" s="988" t="s">
        <v>1205</v>
      </c>
      <c r="O2" s="989"/>
    </row>
    <row r="3" spans="1:15" ht="12.75" customHeight="1" x14ac:dyDescent="0.2">
      <c r="A3" s="1001"/>
      <c r="B3" s="938"/>
      <c r="C3" s="938"/>
      <c r="D3" s="938"/>
      <c r="E3" s="997" t="s">
        <v>2</v>
      </c>
      <c r="F3" s="998"/>
      <c r="G3" s="998"/>
      <c r="H3" s="998"/>
      <c r="I3" s="999"/>
      <c r="J3" s="981" t="s">
        <v>63</v>
      </c>
      <c r="K3" s="982"/>
      <c r="L3" s="981" t="s">
        <v>69</v>
      </c>
      <c r="M3" s="982"/>
      <c r="N3" s="990"/>
      <c r="O3" s="991"/>
    </row>
    <row r="4" spans="1:15" ht="12.75" customHeight="1" x14ac:dyDescent="0.2">
      <c r="A4" s="1001"/>
      <c r="B4" s="938"/>
      <c r="C4" s="938"/>
      <c r="D4" s="938"/>
      <c r="E4" s="981" t="s">
        <v>64</v>
      </c>
      <c r="F4" s="1005"/>
      <c r="G4" s="982"/>
      <c r="H4" s="981" t="s">
        <v>3</v>
      </c>
      <c r="I4" s="982"/>
      <c r="J4" s="986"/>
      <c r="K4" s="987"/>
      <c r="L4" s="986"/>
      <c r="M4" s="987"/>
      <c r="N4" s="990"/>
      <c r="O4" s="991"/>
    </row>
    <row r="5" spans="1:15" ht="20.25" customHeight="1" x14ac:dyDescent="0.2">
      <c r="A5" s="1001"/>
      <c r="B5" s="938"/>
      <c r="C5" s="938"/>
      <c r="D5" s="938"/>
      <c r="E5" s="983"/>
      <c r="F5" s="1006"/>
      <c r="G5" s="984"/>
      <c r="H5" s="983"/>
      <c r="I5" s="984"/>
      <c r="J5" s="983"/>
      <c r="K5" s="984"/>
      <c r="L5" s="983"/>
      <c r="M5" s="984"/>
      <c r="N5" s="992"/>
      <c r="O5" s="993"/>
    </row>
    <row r="6" spans="1:15" ht="29.25" customHeight="1" thickBot="1" x14ac:dyDescent="0.25">
      <c r="A6" s="1002"/>
      <c r="B6" s="1004"/>
      <c r="C6" s="1004"/>
      <c r="D6" s="1004"/>
      <c r="E6" s="322" t="s">
        <v>5</v>
      </c>
      <c r="F6" s="322" t="s">
        <v>7</v>
      </c>
      <c r="G6" s="322" t="s">
        <v>67</v>
      </c>
      <c r="H6" s="322" t="s">
        <v>5</v>
      </c>
      <c r="I6" s="322" t="s">
        <v>7</v>
      </c>
      <c r="J6" s="322" t="s">
        <v>5</v>
      </c>
      <c r="K6" s="323" t="s">
        <v>7</v>
      </c>
      <c r="L6" s="322" t="s">
        <v>5</v>
      </c>
      <c r="M6" s="322" t="s">
        <v>7</v>
      </c>
      <c r="N6" s="322" t="s">
        <v>65</v>
      </c>
      <c r="O6" s="324" t="s">
        <v>66</v>
      </c>
    </row>
    <row r="7" spans="1:15" s="27" customFormat="1" ht="15.75" thickBot="1" x14ac:dyDescent="0.25">
      <c r="A7" s="325">
        <v>1</v>
      </c>
      <c r="B7" s="326">
        <v>2</v>
      </c>
      <c r="C7" s="327">
        <v>3</v>
      </c>
      <c r="D7" s="327">
        <v>4</v>
      </c>
      <c r="E7" s="326">
        <v>5</v>
      </c>
      <c r="F7" s="326">
        <v>6</v>
      </c>
      <c r="G7" s="327">
        <v>7</v>
      </c>
      <c r="H7" s="327">
        <v>8</v>
      </c>
      <c r="I7" s="328">
        <v>9</v>
      </c>
      <c r="J7" s="325">
        <v>10</v>
      </c>
      <c r="K7" s="329">
        <v>11</v>
      </c>
      <c r="L7" s="327">
        <v>12</v>
      </c>
      <c r="M7" s="326">
        <v>13</v>
      </c>
      <c r="N7" s="326">
        <v>14</v>
      </c>
      <c r="O7" s="330">
        <v>15</v>
      </c>
    </row>
    <row r="8" spans="1:15" ht="14.25" customHeight="1" x14ac:dyDescent="0.2">
      <c r="A8" s="331">
        <v>1</v>
      </c>
      <c r="B8" s="332" t="s">
        <v>574</v>
      </c>
      <c r="C8" s="333" t="s">
        <v>575</v>
      </c>
      <c r="D8" s="334">
        <v>87</v>
      </c>
      <c r="E8" s="335"/>
      <c r="F8" s="336"/>
      <c r="G8" s="337"/>
      <c r="H8" s="338">
        <v>60</v>
      </c>
      <c r="I8" s="339">
        <f>H8*100/D8</f>
        <v>68.965517241379317</v>
      </c>
      <c r="J8" s="340"/>
      <c r="K8" s="340"/>
      <c r="L8" s="341">
        <f>H8</f>
        <v>60</v>
      </c>
      <c r="M8" s="341">
        <f>L8*100/D8</f>
        <v>68.965517241379317</v>
      </c>
      <c r="N8" s="337" t="s">
        <v>576</v>
      </c>
      <c r="O8" s="342" t="s">
        <v>577</v>
      </c>
    </row>
    <row r="9" spans="1:15" ht="14.25" customHeight="1" x14ac:dyDescent="0.2">
      <c r="A9" s="343">
        <v>2</v>
      </c>
      <c r="B9" s="47" t="s">
        <v>578</v>
      </c>
      <c r="C9" s="344" t="s">
        <v>579</v>
      </c>
      <c r="D9" s="48">
        <v>82.3</v>
      </c>
      <c r="E9" s="345"/>
      <c r="F9" s="51"/>
      <c r="G9" s="345"/>
      <c r="H9" s="346">
        <f>78.3-16</f>
        <v>62.3</v>
      </c>
      <c r="I9" s="347">
        <f t="shared" ref="I9:I72" si="0">H9*100/D9</f>
        <v>75.698663426488466</v>
      </c>
      <c r="J9" s="51"/>
      <c r="K9" s="51"/>
      <c r="L9" s="51">
        <f>H9</f>
        <v>62.3</v>
      </c>
      <c r="M9" s="51">
        <f t="shared" ref="M9:M28" si="1">L9*100/D9</f>
        <v>75.698663426488466</v>
      </c>
      <c r="N9" s="345" t="s">
        <v>576</v>
      </c>
      <c r="O9" s="348" t="s">
        <v>577</v>
      </c>
    </row>
    <row r="10" spans="1:15" ht="14.25" customHeight="1" x14ac:dyDescent="0.2">
      <c r="A10" s="343">
        <v>3</v>
      </c>
      <c r="B10" s="47" t="s">
        <v>580</v>
      </c>
      <c r="C10" s="344" t="s">
        <v>581</v>
      </c>
      <c r="D10" s="48">
        <v>80</v>
      </c>
      <c r="E10" s="345"/>
      <c r="F10" s="51"/>
      <c r="G10" s="345"/>
      <c r="H10" s="346">
        <v>5</v>
      </c>
      <c r="I10" s="347">
        <f t="shared" si="0"/>
        <v>6.25</v>
      </c>
      <c r="J10" s="340"/>
      <c r="K10" s="340"/>
      <c r="L10" s="51">
        <f>H10</f>
        <v>5</v>
      </c>
      <c r="M10" s="51">
        <f t="shared" si="1"/>
        <v>6.25</v>
      </c>
      <c r="N10" s="345" t="s">
        <v>979</v>
      </c>
      <c r="O10" s="348" t="s">
        <v>577</v>
      </c>
    </row>
    <row r="11" spans="1:15" ht="14.25" customHeight="1" x14ac:dyDescent="0.2">
      <c r="A11" s="349">
        <v>4</v>
      </c>
      <c r="B11" s="350" t="s">
        <v>175</v>
      </c>
      <c r="C11" s="351" t="s">
        <v>582</v>
      </c>
      <c r="D11" s="352">
        <v>237.19499999999999</v>
      </c>
      <c r="E11" s="353"/>
      <c r="F11" s="354"/>
      <c r="G11" s="353"/>
      <c r="H11" s="355">
        <f>20+70</f>
        <v>90</v>
      </c>
      <c r="I11" s="356">
        <f t="shared" si="0"/>
        <v>37.943464238284953</v>
      </c>
      <c r="J11" s="357">
        <f>10+90</f>
        <v>100</v>
      </c>
      <c r="K11" s="354">
        <f>J11/D11*100</f>
        <v>42.159404709205504</v>
      </c>
      <c r="L11" s="354">
        <v>159.5</v>
      </c>
      <c r="M11" s="354">
        <f>159.5/D11*100</f>
        <v>67.244250511182784</v>
      </c>
      <c r="N11" s="353"/>
      <c r="O11" s="358" t="s">
        <v>583</v>
      </c>
    </row>
    <row r="12" spans="1:15" ht="15" x14ac:dyDescent="0.2">
      <c r="A12" s="349">
        <v>5</v>
      </c>
      <c r="B12" s="56" t="s">
        <v>133</v>
      </c>
      <c r="C12" s="351" t="s">
        <v>584</v>
      </c>
      <c r="D12" s="352">
        <v>297.51499999999999</v>
      </c>
      <c r="E12" s="353" t="s">
        <v>585</v>
      </c>
      <c r="F12" s="359">
        <f>E12/D12*100</f>
        <v>3.3611750668033546</v>
      </c>
      <c r="G12" s="353"/>
      <c r="H12" s="355">
        <f>14.175+50</f>
        <v>64.174999999999997</v>
      </c>
      <c r="I12" s="356">
        <f t="shared" si="0"/>
        <v>21.570340991210529</v>
      </c>
      <c r="J12" s="357">
        <f>1.36+H12</f>
        <v>65.534999999999997</v>
      </c>
      <c r="K12" s="354">
        <f>J12/D12*100</f>
        <v>22.027460800295785</v>
      </c>
      <c r="L12" s="354">
        <f>H12+8.723</f>
        <v>72.897999999999996</v>
      </c>
      <c r="M12" s="354">
        <f>L12*100/D12</f>
        <v>24.502294001983092</v>
      </c>
      <c r="N12" s="353"/>
      <c r="O12" s="358" t="s">
        <v>586</v>
      </c>
    </row>
    <row r="13" spans="1:15" ht="14.25" customHeight="1" x14ac:dyDescent="0.2">
      <c r="A13" s="343">
        <v>6</v>
      </c>
      <c r="B13" s="53" t="s">
        <v>587</v>
      </c>
      <c r="C13" s="344" t="s">
        <v>588</v>
      </c>
      <c r="D13" s="48">
        <v>36.5</v>
      </c>
      <c r="E13" s="345"/>
      <c r="F13" s="51"/>
      <c r="G13" s="345"/>
      <c r="H13" s="346">
        <v>20</v>
      </c>
      <c r="I13" s="347">
        <f t="shared" si="0"/>
        <v>54.794520547945204</v>
      </c>
      <c r="J13" s="360"/>
      <c r="K13" s="51"/>
      <c r="L13" s="51">
        <f>H13</f>
        <v>20</v>
      </c>
      <c r="M13" s="51">
        <f t="shared" si="1"/>
        <v>54.794520547945204</v>
      </c>
      <c r="N13" s="345" t="s">
        <v>979</v>
      </c>
      <c r="O13" s="348" t="s">
        <v>1213</v>
      </c>
    </row>
    <row r="14" spans="1:15" ht="15" x14ac:dyDescent="0.2">
      <c r="A14" s="349">
        <v>7</v>
      </c>
      <c r="B14" s="56" t="s">
        <v>157</v>
      </c>
      <c r="C14" s="351" t="s">
        <v>589</v>
      </c>
      <c r="D14" s="352">
        <v>184</v>
      </c>
      <c r="E14" s="353"/>
      <c r="F14" s="354"/>
      <c r="G14" s="353"/>
      <c r="H14" s="355">
        <v>51</v>
      </c>
      <c r="I14" s="356">
        <f t="shared" si="0"/>
        <v>27.717391304347824</v>
      </c>
      <c r="J14" s="357">
        <v>51</v>
      </c>
      <c r="K14" s="354">
        <f>I14</f>
        <v>27.717391304347824</v>
      </c>
      <c r="L14" s="354">
        <f>H14+46.3</f>
        <v>97.3</v>
      </c>
      <c r="M14" s="354">
        <f t="shared" si="1"/>
        <v>52.880434782608695</v>
      </c>
      <c r="N14" s="353"/>
      <c r="O14" s="358" t="s">
        <v>590</v>
      </c>
    </row>
    <row r="15" spans="1:15" ht="15" x14ac:dyDescent="0.2">
      <c r="A15" s="349">
        <v>8</v>
      </c>
      <c r="B15" s="56" t="s">
        <v>116</v>
      </c>
      <c r="C15" s="351" t="s">
        <v>591</v>
      </c>
      <c r="D15" s="352">
        <v>571.9</v>
      </c>
      <c r="E15" s="353"/>
      <c r="F15" s="359"/>
      <c r="G15" s="361"/>
      <c r="H15" s="355">
        <v>170.119</v>
      </c>
      <c r="I15" s="356">
        <f t="shared" si="0"/>
        <v>29.746284315439766</v>
      </c>
      <c r="J15" s="357">
        <f>21.15+H15</f>
        <v>191.26900000000001</v>
      </c>
      <c r="K15" s="354">
        <f>J15/D15*100</f>
        <v>33.444483301276449</v>
      </c>
      <c r="L15" s="354">
        <f>H15+169.5</f>
        <v>339.61900000000003</v>
      </c>
      <c r="M15" s="354">
        <f t="shared" si="1"/>
        <v>59.384332925336601</v>
      </c>
      <c r="N15" s="353" t="s">
        <v>592</v>
      </c>
      <c r="O15" s="358" t="s">
        <v>593</v>
      </c>
    </row>
    <row r="16" spans="1:15" ht="15" x14ac:dyDescent="0.2">
      <c r="A16" s="349">
        <v>9</v>
      </c>
      <c r="B16" s="56" t="s">
        <v>161</v>
      </c>
      <c r="C16" s="351" t="s">
        <v>594</v>
      </c>
      <c r="D16" s="352">
        <v>78.832999999999998</v>
      </c>
      <c r="E16" s="353"/>
      <c r="F16" s="354"/>
      <c r="G16" s="353"/>
      <c r="H16" s="355">
        <v>0</v>
      </c>
      <c r="I16" s="356">
        <f t="shared" si="0"/>
        <v>0</v>
      </c>
      <c r="J16" s="357">
        <v>0</v>
      </c>
      <c r="K16" s="354">
        <v>0</v>
      </c>
      <c r="L16" s="354">
        <f>78.833</f>
        <v>78.832999999999998</v>
      </c>
      <c r="M16" s="354">
        <f t="shared" si="1"/>
        <v>100</v>
      </c>
      <c r="N16" s="353"/>
      <c r="O16" s="358" t="s">
        <v>590</v>
      </c>
    </row>
    <row r="17" spans="1:15" ht="15" x14ac:dyDescent="0.2">
      <c r="A17" s="343">
        <v>10</v>
      </c>
      <c r="B17" s="53" t="s">
        <v>595</v>
      </c>
      <c r="C17" s="344" t="s">
        <v>596</v>
      </c>
      <c r="D17" s="48">
        <v>65.45</v>
      </c>
      <c r="E17" s="345"/>
      <c r="F17" s="51"/>
      <c r="G17" s="345"/>
      <c r="H17" s="346">
        <v>10</v>
      </c>
      <c r="I17" s="347">
        <f t="shared" si="0"/>
        <v>15.278838808250573</v>
      </c>
      <c r="J17" s="360"/>
      <c r="K17" s="51"/>
      <c r="L17" s="51">
        <f>H17</f>
        <v>10</v>
      </c>
      <c r="M17" s="51">
        <f t="shared" si="1"/>
        <v>15.278838808250573</v>
      </c>
      <c r="N17" s="345" t="s">
        <v>979</v>
      </c>
      <c r="O17" s="348" t="s">
        <v>1213</v>
      </c>
    </row>
    <row r="18" spans="1:15" ht="30" x14ac:dyDescent="0.2">
      <c r="A18" s="349">
        <v>11</v>
      </c>
      <c r="B18" s="56" t="s">
        <v>129</v>
      </c>
      <c r="C18" s="351" t="s">
        <v>597</v>
      </c>
      <c r="D18" s="352">
        <v>290.55</v>
      </c>
      <c r="E18" s="353"/>
      <c r="F18" s="354"/>
      <c r="G18" s="353"/>
      <c r="H18" s="362">
        <f>60+30</f>
        <v>90</v>
      </c>
      <c r="I18" s="363">
        <f t="shared" si="0"/>
        <v>30.975735673722248</v>
      </c>
      <c r="J18" s="357">
        <f>H18+10</f>
        <v>100</v>
      </c>
      <c r="K18" s="354">
        <f>J18/D18*100</f>
        <v>34.417484081913614</v>
      </c>
      <c r="L18" s="354">
        <f>H18+178.55</f>
        <v>268.55</v>
      </c>
      <c r="M18" s="354">
        <f t="shared" si="1"/>
        <v>92.428153501978997</v>
      </c>
      <c r="N18" s="353"/>
      <c r="O18" s="358" t="s">
        <v>593</v>
      </c>
    </row>
    <row r="19" spans="1:15" ht="15" x14ac:dyDescent="0.2">
      <c r="A19" s="364">
        <v>12</v>
      </c>
      <c r="B19" s="63" t="s">
        <v>598</v>
      </c>
      <c r="C19" s="365" t="s">
        <v>1209</v>
      </c>
      <c r="D19" s="616">
        <v>244</v>
      </c>
      <c r="E19" s="366"/>
      <c r="F19" s="146"/>
      <c r="G19" s="366"/>
      <c r="H19" s="367">
        <f>30+30</f>
        <v>60</v>
      </c>
      <c r="I19" s="594">
        <f t="shared" si="0"/>
        <v>24.590163934426229</v>
      </c>
      <c r="J19" s="144"/>
      <c r="K19" s="146"/>
      <c r="L19" s="146">
        <f>H19</f>
        <v>60</v>
      </c>
      <c r="M19" s="146">
        <f t="shared" si="1"/>
        <v>24.590163934426229</v>
      </c>
      <c r="N19" s="366" t="s">
        <v>576</v>
      </c>
      <c r="O19" s="369" t="s">
        <v>712</v>
      </c>
    </row>
    <row r="20" spans="1:15" ht="15" x14ac:dyDescent="0.2">
      <c r="A20" s="343">
        <v>13</v>
      </c>
      <c r="B20" s="47" t="s">
        <v>600</v>
      </c>
      <c r="C20" s="344" t="s">
        <v>601</v>
      </c>
      <c r="D20" s="48">
        <v>169</v>
      </c>
      <c r="E20" s="345"/>
      <c r="F20" s="51"/>
      <c r="G20" s="345"/>
      <c r="H20" s="346">
        <v>80</v>
      </c>
      <c r="I20" s="347">
        <f t="shared" si="0"/>
        <v>47.337278106508876</v>
      </c>
      <c r="J20" s="360"/>
      <c r="K20" s="51"/>
      <c r="L20" s="51">
        <v>80</v>
      </c>
      <c r="M20" s="51">
        <f t="shared" si="1"/>
        <v>47.337278106508876</v>
      </c>
      <c r="N20" s="345" t="s">
        <v>576</v>
      </c>
      <c r="O20" s="348" t="s">
        <v>712</v>
      </c>
    </row>
    <row r="21" spans="1:15" ht="15" x14ac:dyDescent="0.2">
      <c r="A21" s="349">
        <v>14</v>
      </c>
      <c r="B21" s="350" t="s">
        <v>166</v>
      </c>
      <c r="C21" s="351" t="s">
        <v>602</v>
      </c>
      <c r="D21" s="352">
        <v>78.207999999999998</v>
      </c>
      <c r="E21" s="353"/>
      <c r="F21" s="354"/>
      <c r="G21" s="353"/>
      <c r="H21" s="355">
        <f>78.208-10</f>
        <v>68.207999999999998</v>
      </c>
      <c r="I21" s="356">
        <f t="shared" si="0"/>
        <v>87.213584288052374</v>
      </c>
      <c r="J21" s="357">
        <f>H21+10</f>
        <v>78.207999999999998</v>
      </c>
      <c r="K21" s="354">
        <f>J21/D21*100</f>
        <v>100</v>
      </c>
      <c r="L21" s="354">
        <f>10+H21</f>
        <v>78.207999999999998</v>
      </c>
      <c r="M21" s="354">
        <f t="shared" si="1"/>
        <v>100</v>
      </c>
      <c r="N21" s="353" t="s">
        <v>592</v>
      </c>
      <c r="O21" s="358" t="s">
        <v>577</v>
      </c>
    </row>
    <row r="22" spans="1:15" ht="14.25" customHeight="1" x14ac:dyDescent="0.2">
      <c r="A22" s="349">
        <v>15</v>
      </c>
      <c r="B22" s="350" t="s">
        <v>179</v>
      </c>
      <c r="C22" s="351" t="s">
        <v>603</v>
      </c>
      <c r="D22" s="352">
        <v>76</v>
      </c>
      <c r="E22" s="353"/>
      <c r="F22" s="354"/>
      <c r="G22" s="353"/>
      <c r="H22" s="355">
        <v>30</v>
      </c>
      <c r="I22" s="356">
        <f t="shared" si="0"/>
        <v>39.473684210526315</v>
      </c>
      <c r="J22" s="357">
        <f>H22</f>
        <v>30</v>
      </c>
      <c r="K22" s="354">
        <f>I22</f>
        <v>39.473684210526315</v>
      </c>
      <c r="L22" s="354">
        <f>H22+26</f>
        <v>56</v>
      </c>
      <c r="M22" s="354">
        <f t="shared" si="1"/>
        <v>73.684210526315795</v>
      </c>
      <c r="N22" s="353"/>
      <c r="O22" s="358" t="s">
        <v>467</v>
      </c>
    </row>
    <row r="23" spans="1:15" ht="14.25" customHeight="1" x14ac:dyDescent="0.2">
      <c r="A23" s="349">
        <v>16</v>
      </c>
      <c r="B23" s="350" t="s">
        <v>149</v>
      </c>
      <c r="C23" s="351" t="s">
        <v>604</v>
      </c>
      <c r="D23" s="352">
        <v>146.6</v>
      </c>
      <c r="E23" s="353"/>
      <c r="F23" s="354"/>
      <c r="G23" s="353"/>
      <c r="H23" s="355">
        <v>60.6</v>
      </c>
      <c r="I23" s="356">
        <f t="shared" si="0"/>
        <v>41.336971350613915</v>
      </c>
      <c r="J23" s="357">
        <f>H23</f>
        <v>60.6</v>
      </c>
      <c r="K23" s="354">
        <f>I23</f>
        <v>41.336971350613915</v>
      </c>
      <c r="L23" s="354">
        <f>H23+61</f>
        <v>121.6</v>
      </c>
      <c r="M23" s="354">
        <f t="shared" si="1"/>
        <v>82.946793997271484</v>
      </c>
      <c r="N23" s="353"/>
      <c r="O23" s="358" t="s">
        <v>605</v>
      </c>
    </row>
    <row r="24" spans="1:15" ht="15" x14ac:dyDescent="0.2">
      <c r="A24" s="364">
        <v>17</v>
      </c>
      <c r="B24" s="63" t="s">
        <v>606</v>
      </c>
      <c r="C24" s="365" t="s">
        <v>607</v>
      </c>
      <c r="D24" s="616">
        <v>52</v>
      </c>
      <c r="E24" s="366"/>
      <c r="F24" s="146"/>
      <c r="G24" s="366"/>
      <c r="H24" s="367">
        <v>36</v>
      </c>
      <c r="I24" s="368">
        <f t="shared" si="0"/>
        <v>69.230769230769226</v>
      </c>
      <c r="J24" s="144"/>
      <c r="K24" s="146"/>
      <c r="L24" s="146">
        <f>H24</f>
        <v>36</v>
      </c>
      <c r="M24" s="146">
        <f t="shared" si="1"/>
        <v>69.230769230769226</v>
      </c>
      <c r="N24" s="366" t="s">
        <v>576</v>
      </c>
      <c r="O24" s="369" t="s">
        <v>712</v>
      </c>
    </row>
    <row r="25" spans="1:15" ht="15" x14ac:dyDescent="0.2">
      <c r="A25" s="349">
        <v>18</v>
      </c>
      <c r="B25" s="370" t="s">
        <v>608</v>
      </c>
      <c r="C25" s="351" t="s">
        <v>609</v>
      </c>
      <c r="D25" s="352">
        <v>234</v>
      </c>
      <c r="E25" s="353"/>
      <c r="F25" s="354"/>
      <c r="G25" s="353"/>
      <c r="H25" s="355">
        <f>3.975+45</f>
        <v>48.975000000000001</v>
      </c>
      <c r="I25" s="356">
        <f t="shared" si="0"/>
        <v>20.929487179487179</v>
      </c>
      <c r="J25" s="357">
        <f>H25</f>
        <v>48.975000000000001</v>
      </c>
      <c r="K25" s="354">
        <f>I25</f>
        <v>20.929487179487179</v>
      </c>
      <c r="L25" s="354">
        <f>H25+119.33</f>
        <v>168.30500000000001</v>
      </c>
      <c r="M25" s="354">
        <f>L25/D25*100</f>
        <v>71.925213675213669</v>
      </c>
      <c r="N25" s="353"/>
      <c r="O25" s="358" t="s">
        <v>605</v>
      </c>
    </row>
    <row r="26" spans="1:15" ht="15" x14ac:dyDescent="0.2">
      <c r="A26" s="343">
        <v>19</v>
      </c>
      <c r="B26" s="47" t="s">
        <v>610</v>
      </c>
      <c r="C26" s="344" t="s">
        <v>611</v>
      </c>
      <c r="D26" s="48">
        <v>96</v>
      </c>
      <c r="E26" s="345"/>
      <c r="F26" s="51"/>
      <c r="G26" s="345"/>
      <c r="H26" s="346">
        <v>6</v>
      </c>
      <c r="I26" s="347">
        <f t="shared" si="0"/>
        <v>6.25</v>
      </c>
      <c r="J26" s="360"/>
      <c r="K26" s="51"/>
      <c r="L26" s="51">
        <v>6</v>
      </c>
      <c r="M26" s="51">
        <f t="shared" si="1"/>
        <v>6.25</v>
      </c>
      <c r="N26" s="345" t="s">
        <v>979</v>
      </c>
      <c r="O26" s="348" t="s">
        <v>712</v>
      </c>
    </row>
    <row r="27" spans="1:15" ht="15" x14ac:dyDescent="0.2">
      <c r="A27" s="343">
        <v>20</v>
      </c>
      <c r="B27" s="47" t="s">
        <v>612</v>
      </c>
      <c r="C27" s="344" t="s">
        <v>613</v>
      </c>
      <c r="D27" s="48">
        <v>8.6</v>
      </c>
      <c r="E27" s="345"/>
      <c r="F27" s="51"/>
      <c r="G27" s="345"/>
      <c r="H27" s="346">
        <v>0</v>
      </c>
      <c r="I27" s="51">
        <f t="shared" si="0"/>
        <v>0</v>
      </c>
      <c r="J27" s="360"/>
      <c r="K27" s="51"/>
      <c r="L27" s="51">
        <f>H27</f>
        <v>0</v>
      </c>
      <c r="M27" s="51">
        <f t="shared" si="1"/>
        <v>0</v>
      </c>
      <c r="N27" s="345"/>
      <c r="O27" s="348"/>
    </row>
    <row r="28" spans="1:15" ht="15" x14ac:dyDescent="0.2">
      <c r="A28" s="343">
        <v>21</v>
      </c>
      <c r="B28" s="47" t="s">
        <v>614</v>
      </c>
      <c r="C28" s="344" t="s">
        <v>615</v>
      </c>
      <c r="D28" s="48">
        <v>24.24</v>
      </c>
      <c r="E28" s="345"/>
      <c r="F28" s="51"/>
      <c r="G28" s="345"/>
      <c r="H28" s="346">
        <v>0</v>
      </c>
      <c r="I28" s="51">
        <f t="shared" si="0"/>
        <v>0</v>
      </c>
      <c r="J28" s="360"/>
      <c r="K28" s="51"/>
      <c r="L28" s="51">
        <f>H28</f>
        <v>0</v>
      </c>
      <c r="M28" s="51">
        <f t="shared" si="1"/>
        <v>0</v>
      </c>
      <c r="N28" s="345"/>
      <c r="O28" s="348"/>
    </row>
    <row r="29" spans="1:15" ht="15" x14ac:dyDescent="0.2">
      <c r="A29" s="349">
        <v>22</v>
      </c>
      <c r="B29" s="56" t="s">
        <v>137</v>
      </c>
      <c r="C29" s="351" t="s">
        <v>616</v>
      </c>
      <c r="D29" s="352">
        <v>48.255000000000003</v>
      </c>
      <c r="E29" s="353"/>
      <c r="F29" s="354"/>
      <c r="G29" s="353"/>
      <c r="H29" s="355">
        <v>0</v>
      </c>
      <c r="I29" s="354">
        <f t="shared" si="0"/>
        <v>0</v>
      </c>
      <c r="J29" s="357">
        <v>10</v>
      </c>
      <c r="K29" s="354">
        <f>J29/D29*100</f>
        <v>20.723241114910369</v>
      </c>
      <c r="L29" s="357">
        <v>48.255000000000003</v>
      </c>
      <c r="M29" s="354">
        <f>L29*100/D29</f>
        <v>100</v>
      </c>
      <c r="N29" s="353" t="s">
        <v>592</v>
      </c>
      <c r="O29" s="358" t="s">
        <v>617</v>
      </c>
    </row>
    <row r="30" spans="1:15" ht="15" x14ac:dyDescent="0.2">
      <c r="A30" s="349">
        <v>23</v>
      </c>
      <c r="B30" s="350" t="s">
        <v>171</v>
      </c>
      <c r="C30" s="351" t="s">
        <v>618</v>
      </c>
      <c r="D30" s="352">
        <v>210.78800000000001</v>
      </c>
      <c r="E30" s="353"/>
      <c r="F30" s="354"/>
      <c r="G30" s="353"/>
      <c r="H30" s="355">
        <f>4.619+50</f>
        <v>54.619</v>
      </c>
      <c r="I30" s="356">
        <f t="shared" si="0"/>
        <v>25.911816611951341</v>
      </c>
      <c r="J30" s="357">
        <f>H30</f>
        <v>54.619</v>
      </c>
      <c r="K30" s="354">
        <f>I30</f>
        <v>25.911816611951341</v>
      </c>
      <c r="L30" s="354">
        <f>H30+84</f>
        <v>138.619</v>
      </c>
      <c r="M30" s="354">
        <f t="shared" ref="M30:M93" si="2">L30*100/D30</f>
        <v>65.762282482873786</v>
      </c>
      <c r="N30" s="353"/>
      <c r="O30" s="358" t="s">
        <v>605</v>
      </c>
    </row>
    <row r="31" spans="1:15" ht="15" x14ac:dyDescent="0.2">
      <c r="A31" s="343">
        <v>24</v>
      </c>
      <c r="B31" s="47" t="s">
        <v>619</v>
      </c>
      <c r="C31" s="344" t="s">
        <v>620</v>
      </c>
      <c r="D31" s="48">
        <v>94</v>
      </c>
      <c r="E31" s="345"/>
      <c r="F31" s="51"/>
      <c r="G31" s="345"/>
      <c r="H31" s="346">
        <v>8</v>
      </c>
      <c r="I31" s="347">
        <f t="shared" si="0"/>
        <v>8.5106382978723403</v>
      </c>
      <c r="J31" s="360"/>
      <c r="K31" s="51"/>
      <c r="L31" s="51">
        <f>H31</f>
        <v>8</v>
      </c>
      <c r="M31" s="51">
        <f t="shared" si="2"/>
        <v>8.5106382978723403</v>
      </c>
      <c r="N31" s="345" t="s">
        <v>979</v>
      </c>
      <c r="O31" s="348" t="s">
        <v>712</v>
      </c>
    </row>
    <row r="32" spans="1:15" ht="15" x14ac:dyDescent="0.2">
      <c r="A32" s="343">
        <v>25</v>
      </c>
      <c r="B32" s="47" t="s">
        <v>621</v>
      </c>
      <c r="C32" s="344" t="s">
        <v>622</v>
      </c>
      <c r="D32" s="48">
        <v>8.85</v>
      </c>
      <c r="E32" s="345"/>
      <c r="F32" s="51"/>
      <c r="G32" s="345"/>
      <c r="H32" s="346">
        <v>8.85</v>
      </c>
      <c r="I32" s="347">
        <f t="shared" si="0"/>
        <v>100</v>
      </c>
      <c r="J32" s="360"/>
      <c r="K32" s="51"/>
      <c r="L32" s="51">
        <f t="shared" ref="L32:L68" si="3">H32</f>
        <v>8.85</v>
      </c>
      <c r="M32" s="51">
        <f t="shared" si="2"/>
        <v>100</v>
      </c>
      <c r="N32" s="345" t="s">
        <v>979</v>
      </c>
      <c r="O32" s="348" t="s">
        <v>786</v>
      </c>
    </row>
    <row r="33" spans="1:15" ht="15" x14ac:dyDescent="0.2">
      <c r="A33" s="343">
        <v>26</v>
      </c>
      <c r="B33" s="47" t="s">
        <v>623</v>
      </c>
      <c r="C33" s="344" t="s">
        <v>624</v>
      </c>
      <c r="D33" s="48">
        <v>14</v>
      </c>
      <c r="E33" s="345"/>
      <c r="F33" s="51"/>
      <c r="G33" s="345"/>
      <c r="H33" s="346">
        <v>14</v>
      </c>
      <c r="I33" s="347">
        <f t="shared" si="0"/>
        <v>100</v>
      </c>
      <c r="J33" s="360"/>
      <c r="K33" s="51"/>
      <c r="L33" s="51">
        <f t="shared" si="3"/>
        <v>14</v>
      </c>
      <c r="M33" s="51">
        <f t="shared" si="2"/>
        <v>100</v>
      </c>
      <c r="N33" s="345" t="s">
        <v>979</v>
      </c>
      <c r="O33" s="348" t="s">
        <v>786</v>
      </c>
    </row>
    <row r="34" spans="1:15" ht="15" x14ac:dyDescent="0.2">
      <c r="A34" s="343">
        <v>27</v>
      </c>
      <c r="B34" s="47" t="s">
        <v>625</v>
      </c>
      <c r="C34" s="344" t="s">
        <v>626</v>
      </c>
      <c r="D34" s="48">
        <v>3</v>
      </c>
      <c r="E34" s="345"/>
      <c r="F34" s="51"/>
      <c r="G34" s="345"/>
      <c r="H34" s="346">
        <v>3</v>
      </c>
      <c r="I34" s="347">
        <f t="shared" si="0"/>
        <v>100</v>
      </c>
      <c r="J34" s="360"/>
      <c r="K34" s="51"/>
      <c r="L34" s="51">
        <f t="shared" si="3"/>
        <v>3</v>
      </c>
      <c r="M34" s="51">
        <f t="shared" si="2"/>
        <v>100</v>
      </c>
      <c r="N34" s="345" t="s">
        <v>979</v>
      </c>
      <c r="O34" s="348" t="s">
        <v>786</v>
      </c>
    </row>
    <row r="35" spans="1:15" ht="15" x14ac:dyDescent="0.2">
      <c r="A35" s="343">
        <v>28</v>
      </c>
      <c r="B35" s="47" t="s">
        <v>627</v>
      </c>
      <c r="C35" s="344" t="s">
        <v>628</v>
      </c>
      <c r="D35" s="48">
        <v>2</v>
      </c>
      <c r="E35" s="345"/>
      <c r="F35" s="51"/>
      <c r="G35" s="345"/>
      <c r="H35" s="346">
        <v>2</v>
      </c>
      <c r="I35" s="347">
        <f t="shared" si="0"/>
        <v>100</v>
      </c>
      <c r="J35" s="360"/>
      <c r="K35" s="51"/>
      <c r="L35" s="51">
        <f t="shared" si="3"/>
        <v>2</v>
      </c>
      <c r="M35" s="51">
        <f t="shared" si="2"/>
        <v>100</v>
      </c>
      <c r="N35" s="345" t="s">
        <v>979</v>
      </c>
      <c r="O35" s="348" t="s">
        <v>786</v>
      </c>
    </row>
    <row r="36" spans="1:15" ht="30" x14ac:dyDescent="0.2">
      <c r="A36" s="343">
        <v>29</v>
      </c>
      <c r="B36" s="47" t="s">
        <v>629</v>
      </c>
      <c r="C36" s="344" t="s">
        <v>630</v>
      </c>
      <c r="D36" s="48">
        <v>17</v>
      </c>
      <c r="E36" s="345"/>
      <c r="F36" s="51"/>
      <c r="G36" s="345"/>
      <c r="H36" s="346">
        <v>0</v>
      </c>
      <c r="I36" s="51">
        <f t="shared" si="0"/>
        <v>0</v>
      </c>
      <c r="J36" s="360"/>
      <c r="K36" s="51"/>
      <c r="L36" s="51">
        <f t="shared" si="3"/>
        <v>0</v>
      </c>
      <c r="M36" s="51">
        <f t="shared" si="2"/>
        <v>0</v>
      </c>
      <c r="N36" s="345"/>
      <c r="O36" s="348"/>
    </row>
    <row r="37" spans="1:15" ht="15" x14ac:dyDescent="0.2">
      <c r="A37" s="343">
        <v>30</v>
      </c>
      <c r="B37" s="47" t="s">
        <v>631</v>
      </c>
      <c r="C37" s="344" t="s">
        <v>632</v>
      </c>
      <c r="D37" s="48">
        <v>14</v>
      </c>
      <c r="E37" s="345"/>
      <c r="F37" s="51"/>
      <c r="G37" s="345"/>
      <c r="H37" s="346">
        <v>0</v>
      </c>
      <c r="I37" s="51">
        <f t="shared" si="0"/>
        <v>0</v>
      </c>
      <c r="J37" s="360"/>
      <c r="K37" s="51"/>
      <c r="L37" s="51">
        <f t="shared" si="3"/>
        <v>0</v>
      </c>
      <c r="M37" s="51">
        <f t="shared" si="2"/>
        <v>0</v>
      </c>
      <c r="N37" s="345"/>
      <c r="O37" s="348"/>
    </row>
    <row r="38" spans="1:15" ht="15" x14ac:dyDescent="0.2">
      <c r="A38" s="343">
        <v>31</v>
      </c>
      <c r="B38" s="47" t="s">
        <v>633</v>
      </c>
      <c r="C38" s="344" t="s">
        <v>634</v>
      </c>
      <c r="D38" s="48">
        <v>2.5</v>
      </c>
      <c r="E38" s="345"/>
      <c r="F38" s="51"/>
      <c r="G38" s="345"/>
      <c r="H38" s="346">
        <v>2.5</v>
      </c>
      <c r="I38" s="347">
        <f t="shared" si="0"/>
        <v>100</v>
      </c>
      <c r="J38" s="360"/>
      <c r="K38" s="51"/>
      <c r="L38" s="51">
        <f t="shared" si="3"/>
        <v>2.5</v>
      </c>
      <c r="M38" s="51">
        <f t="shared" si="2"/>
        <v>100</v>
      </c>
      <c r="N38" s="345" t="s">
        <v>979</v>
      </c>
      <c r="O38" s="348" t="s">
        <v>786</v>
      </c>
    </row>
    <row r="39" spans="1:15" ht="15" x14ac:dyDescent="0.2">
      <c r="A39" s="343">
        <v>32</v>
      </c>
      <c r="B39" s="47" t="s">
        <v>635</v>
      </c>
      <c r="C39" s="344" t="s">
        <v>636</v>
      </c>
      <c r="D39" s="48">
        <v>5.5</v>
      </c>
      <c r="E39" s="345"/>
      <c r="F39" s="51"/>
      <c r="G39" s="345"/>
      <c r="H39" s="346">
        <v>0</v>
      </c>
      <c r="I39" s="51">
        <f t="shared" si="0"/>
        <v>0</v>
      </c>
      <c r="J39" s="360"/>
      <c r="K39" s="51"/>
      <c r="L39" s="51">
        <f t="shared" si="3"/>
        <v>0</v>
      </c>
      <c r="M39" s="51">
        <f t="shared" si="2"/>
        <v>0</v>
      </c>
      <c r="N39" s="345"/>
      <c r="O39" s="348"/>
    </row>
    <row r="40" spans="1:15" ht="15" x14ac:dyDescent="0.2">
      <c r="A40" s="343">
        <v>33</v>
      </c>
      <c r="B40" s="47" t="s">
        <v>637</v>
      </c>
      <c r="C40" s="344" t="s">
        <v>638</v>
      </c>
      <c r="D40" s="48">
        <v>13</v>
      </c>
      <c r="E40" s="345"/>
      <c r="F40" s="51"/>
      <c r="G40" s="345"/>
      <c r="H40" s="346">
        <v>0</v>
      </c>
      <c r="I40" s="51">
        <f t="shared" si="0"/>
        <v>0</v>
      </c>
      <c r="J40" s="360"/>
      <c r="K40" s="51"/>
      <c r="L40" s="51">
        <f t="shared" si="3"/>
        <v>0</v>
      </c>
      <c r="M40" s="51">
        <f t="shared" si="2"/>
        <v>0</v>
      </c>
      <c r="N40" s="345"/>
      <c r="O40" s="348"/>
    </row>
    <row r="41" spans="1:15" ht="15" x14ac:dyDescent="0.2">
      <c r="A41" s="343">
        <v>34</v>
      </c>
      <c r="B41" s="47" t="s">
        <v>639</v>
      </c>
      <c r="C41" s="344" t="s">
        <v>640</v>
      </c>
      <c r="D41" s="48">
        <v>4</v>
      </c>
      <c r="E41" s="345"/>
      <c r="F41" s="51"/>
      <c r="G41" s="345"/>
      <c r="H41" s="346">
        <v>0</v>
      </c>
      <c r="I41" s="51">
        <f t="shared" si="0"/>
        <v>0</v>
      </c>
      <c r="J41" s="360"/>
      <c r="K41" s="51"/>
      <c r="L41" s="51">
        <f t="shared" si="3"/>
        <v>0</v>
      </c>
      <c r="M41" s="51">
        <f t="shared" si="2"/>
        <v>0</v>
      </c>
      <c r="N41" s="345"/>
      <c r="O41" s="348"/>
    </row>
    <row r="42" spans="1:15" ht="15" x14ac:dyDescent="0.2">
      <c r="A42" s="343">
        <v>35</v>
      </c>
      <c r="B42" s="47" t="s">
        <v>641</v>
      </c>
      <c r="C42" s="344" t="s">
        <v>642</v>
      </c>
      <c r="D42" s="48">
        <v>6</v>
      </c>
      <c r="E42" s="345"/>
      <c r="F42" s="51"/>
      <c r="G42" s="345"/>
      <c r="H42" s="346">
        <v>0</v>
      </c>
      <c r="I42" s="51">
        <f t="shared" si="0"/>
        <v>0</v>
      </c>
      <c r="J42" s="360"/>
      <c r="K42" s="51"/>
      <c r="L42" s="51">
        <f t="shared" si="3"/>
        <v>0</v>
      </c>
      <c r="M42" s="51">
        <f t="shared" si="2"/>
        <v>0</v>
      </c>
      <c r="N42" s="345"/>
      <c r="O42" s="348"/>
    </row>
    <row r="43" spans="1:15" ht="15" x14ac:dyDescent="0.2">
      <c r="A43" s="343">
        <v>36</v>
      </c>
      <c r="B43" s="47" t="s">
        <v>643</v>
      </c>
      <c r="C43" s="344" t="s">
        <v>644</v>
      </c>
      <c r="D43" s="48">
        <v>12</v>
      </c>
      <c r="E43" s="345"/>
      <c r="F43" s="51"/>
      <c r="G43" s="345"/>
      <c r="H43" s="346">
        <v>0</v>
      </c>
      <c r="I43" s="51">
        <f t="shared" si="0"/>
        <v>0</v>
      </c>
      <c r="J43" s="360"/>
      <c r="K43" s="51"/>
      <c r="L43" s="51">
        <f t="shared" si="3"/>
        <v>0</v>
      </c>
      <c r="M43" s="51">
        <f t="shared" si="2"/>
        <v>0</v>
      </c>
      <c r="N43" s="345"/>
      <c r="O43" s="348"/>
    </row>
    <row r="44" spans="1:15" ht="15" x14ac:dyDescent="0.2">
      <c r="A44" s="343">
        <v>37</v>
      </c>
      <c r="B44" s="47" t="s">
        <v>645</v>
      </c>
      <c r="C44" s="344" t="s">
        <v>646</v>
      </c>
      <c r="D44" s="48">
        <v>19</v>
      </c>
      <c r="E44" s="345"/>
      <c r="F44" s="51"/>
      <c r="G44" s="345"/>
      <c r="H44" s="346">
        <f>5-1</f>
        <v>4</v>
      </c>
      <c r="I44" s="347">
        <f t="shared" si="0"/>
        <v>21.05263157894737</v>
      </c>
      <c r="J44" s="360"/>
      <c r="K44" s="51"/>
      <c r="L44" s="51">
        <f t="shared" si="3"/>
        <v>4</v>
      </c>
      <c r="M44" s="51">
        <f t="shared" si="2"/>
        <v>21.05263157894737</v>
      </c>
      <c r="N44" s="345" t="s">
        <v>979</v>
      </c>
      <c r="O44" s="348" t="s">
        <v>786</v>
      </c>
    </row>
    <row r="45" spans="1:15" ht="15" x14ac:dyDescent="0.2">
      <c r="A45" s="343">
        <v>38</v>
      </c>
      <c r="B45" s="47" t="s">
        <v>647</v>
      </c>
      <c r="C45" s="344" t="s">
        <v>648</v>
      </c>
      <c r="D45" s="48">
        <v>7</v>
      </c>
      <c r="E45" s="345"/>
      <c r="F45" s="51"/>
      <c r="G45" s="345"/>
      <c r="H45" s="346">
        <v>1</v>
      </c>
      <c r="I45" s="347">
        <f t="shared" si="0"/>
        <v>14.285714285714286</v>
      </c>
      <c r="J45" s="360"/>
      <c r="K45" s="51"/>
      <c r="L45" s="51">
        <f t="shared" si="3"/>
        <v>1</v>
      </c>
      <c r="M45" s="51">
        <f t="shared" si="2"/>
        <v>14.285714285714286</v>
      </c>
      <c r="N45" s="345" t="s">
        <v>979</v>
      </c>
      <c r="O45" s="348" t="s">
        <v>786</v>
      </c>
    </row>
    <row r="46" spans="1:15" ht="15" x14ac:dyDescent="0.2">
      <c r="A46" s="343">
        <v>39</v>
      </c>
      <c r="B46" s="47" t="s">
        <v>649</v>
      </c>
      <c r="C46" s="344" t="s">
        <v>650</v>
      </c>
      <c r="D46" s="48">
        <v>16</v>
      </c>
      <c r="E46" s="345"/>
      <c r="F46" s="51"/>
      <c r="G46" s="345"/>
      <c r="H46" s="346">
        <v>0</v>
      </c>
      <c r="I46" s="51">
        <f t="shared" si="0"/>
        <v>0</v>
      </c>
      <c r="J46" s="360"/>
      <c r="K46" s="51"/>
      <c r="L46" s="51">
        <f t="shared" si="3"/>
        <v>0</v>
      </c>
      <c r="M46" s="51">
        <f t="shared" si="2"/>
        <v>0</v>
      </c>
      <c r="N46" s="345"/>
      <c r="O46" s="348"/>
    </row>
    <row r="47" spans="1:15" ht="15" x14ac:dyDescent="0.2">
      <c r="A47" s="343">
        <v>40</v>
      </c>
      <c r="B47" s="47" t="s">
        <v>651</v>
      </c>
      <c r="C47" s="344" t="s">
        <v>652</v>
      </c>
      <c r="D47" s="48">
        <v>5</v>
      </c>
      <c r="E47" s="345"/>
      <c r="F47" s="51"/>
      <c r="G47" s="345"/>
      <c r="H47" s="346">
        <v>0</v>
      </c>
      <c r="I47" s="51">
        <f t="shared" si="0"/>
        <v>0</v>
      </c>
      <c r="J47" s="360"/>
      <c r="K47" s="51"/>
      <c r="L47" s="51">
        <f t="shared" si="3"/>
        <v>0</v>
      </c>
      <c r="M47" s="51">
        <f t="shared" si="2"/>
        <v>0</v>
      </c>
      <c r="N47" s="345"/>
      <c r="O47" s="348"/>
    </row>
    <row r="48" spans="1:15" ht="15" x14ac:dyDescent="0.2">
      <c r="A48" s="343">
        <v>41</v>
      </c>
      <c r="B48" s="47" t="s">
        <v>653</v>
      </c>
      <c r="C48" s="344" t="s">
        <v>654</v>
      </c>
      <c r="D48" s="48">
        <v>5</v>
      </c>
      <c r="E48" s="345"/>
      <c r="F48" s="51"/>
      <c r="G48" s="345"/>
      <c r="H48" s="346">
        <v>0</v>
      </c>
      <c r="I48" s="51">
        <f t="shared" si="0"/>
        <v>0</v>
      </c>
      <c r="J48" s="360"/>
      <c r="K48" s="51"/>
      <c r="L48" s="51">
        <f t="shared" si="3"/>
        <v>0</v>
      </c>
      <c r="M48" s="51">
        <f t="shared" si="2"/>
        <v>0</v>
      </c>
      <c r="N48" s="345"/>
      <c r="O48" s="348"/>
    </row>
    <row r="49" spans="1:15" ht="15" x14ac:dyDescent="0.2">
      <c r="A49" s="343">
        <v>42</v>
      </c>
      <c r="B49" s="47" t="s">
        <v>655</v>
      </c>
      <c r="C49" s="344" t="s">
        <v>656</v>
      </c>
      <c r="D49" s="48">
        <v>5</v>
      </c>
      <c r="E49" s="345"/>
      <c r="F49" s="51"/>
      <c r="G49" s="345"/>
      <c r="H49" s="346">
        <v>0</v>
      </c>
      <c r="I49" s="51">
        <f t="shared" si="0"/>
        <v>0</v>
      </c>
      <c r="J49" s="360"/>
      <c r="K49" s="51"/>
      <c r="L49" s="51">
        <f t="shared" si="3"/>
        <v>0</v>
      </c>
      <c r="M49" s="51">
        <f t="shared" si="2"/>
        <v>0</v>
      </c>
      <c r="N49" s="345"/>
      <c r="O49" s="348"/>
    </row>
    <row r="50" spans="1:15" ht="15" x14ac:dyDescent="0.2">
      <c r="A50" s="343">
        <v>43</v>
      </c>
      <c r="B50" s="47" t="s">
        <v>657</v>
      </c>
      <c r="C50" s="344" t="s">
        <v>658</v>
      </c>
      <c r="D50" s="48">
        <v>19</v>
      </c>
      <c r="E50" s="345"/>
      <c r="F50" s="51"/>
      <c r="G50" s="345"/>
      <c r="H50" s="346">
        <v>5</v>
      </c>
      <c r="I50" s="347">
        <f t="shared" si="0"/>
        <v>26.315789473684209</v>
      </c>
      <c r="J50" s="360"/>
      <c r="K50" s="51"/>
      <c r="L50" s="51">
        <f t="shared" si="3"/>
        <v>5</v>
      </c>
      <c r="M50" s="51">
        <f t="shared" si="2"/>
        <v>26.315789473684209</v>
      </c>
      <c r="N50" s="345" t="s">
        <v>979</v>
      </c>
      <c r="O50" s="348" t="s">
        <v>786</v>
      </c>
    </row>
    <row r="51" spans="1:15" ht="15" x14ac:dyDescent="0.2">
      <c r="A51" s="343">
        <v>44</v>
      </c>
      <c r="B51" s="47" t="s">
        <v>659</v>
      </c>
      <c r="C51" s="344" t="s">
        <v>660</v>
      </c>
      <c r="D51" s="48">
        <v>11</v>
      </c>
      <c r="E51" s="345"/>
      <c r="F51" s="51"/>
      <c r="G51" s="345"/>
      <c r="H51" s="346">
        <v>0</v>
      </c>
      <c r="I51" s="347">
        <f t="shared" si="0"/>
        <v>0</v>
      </c>
      <c r="J51" s="360"/>
      <c r="K51" s="51"/>
      <c r="L51" s="51">
        <f t="shared" si="3"/>
        <v>0</v>
      </c>
      <c r="M51" s="51">
        <f t="shared" si="2"/>
        <v>0</v>
      </c>
      <c r="N51" s="345"/>
      <c r="O51" s="348"/>
    </row>
    <row r="52" spans="1:15" ht="15" x14ac:dyDescent="0.2">
      <c r="A52" s="343">
        <v>45</v>
      </c>
      <c r="B52" s="47" t="s">
        <v>661</v>
      </c>
      <c r="C52" s="344" t="s">
        <v>662</v>
      </c>
      <c r="D52" s="48">
        <v>5</v>
      </c>
      <c r="E52" s="345"/>
      <c r="F52" s="51"/>
      <c r="G52" s="345"/>
      <c r="H52" s="346">
        <v>2</v>
      </c>
      <c r="I52" s="347">
        <f t="shared" si="0"/>
        <v>40</v>
      </c>
      <c r="J52" s="360"/>
      <c r="K52" s="51"/>
      <c r="L52" s="51">
        <f t="shared" si="3"/>
        <v>2</v>
      </c>
      <c r="M52" s="51">
        <f t="shared" si="2"/>
        <v>40</v>
      </c>
      <c r="N52" s="345" t="s">
        <v>979</v>
      </c>
      <c r="O52" s="348" t="s">
        <v>786</v>
      </c>
    </row>
    <row r="53" spans="1:15" ht="15" x14ac:dyDescent="0.2">
      <c r="A53" s="343">
        <v>46</v>
      </c>
      <c r="B53" s="47" t="s">
        <v>663</v>
      </c>
      <c r="C53" s="344" t="s">
        <v>664</v>
      </c>
      <c r="D53" s="48">
        <v>16</v>
      </c>
      <c r="E53" s="345"/>
      <c r="F53" s="51"/>
      <c r="G53" s="345"/>
      <c r="H53" s="346">
        <v>0</v>
      </c>
      <c r="I53" s="347">
        <f t="shared" si="0"/>
        <v>0</v>
      </c>
      <c r="J53" s="360"/>
      <c r="K53" s="51"/>
      <c r="L53" s="51">
        <f t="shared" si="3"/>
        <v>0</v>
      </c>
      <c r="M53" s="51">
        <f t="shared" si="2"/>
        <v>0</v>
      </c>
      <c r="N53" s="345"/>
      <c r="O53" s="348"/>
    </row>
    <row r="54" spans="1:15" ht="15" x14ac:dyDescent="0.2">
      <c r="A54" s="343">
        <v>47</v>
      </c>
      <c r="B54" s="47" t="s">
        <v>665</v>
      </c>
      <c r="C54" s="344" t="s">
        <v>666</v>
      </c>
      <c r="D54" s="48">
        <v>11</v>
      </c>
      <c r="E54" s="345"/>
      <c r="F54" s="51"/>
      <c r="G54" s="345"/>
      <c r="H54" s="346">
        <v>0</v>
      </c>
      <c r="I54" s="347">
        <f t="shared" si="0"/>
        <v>0</v>
      </c>
      <c r="J54" s="360"/>
      <c r="K54" s="51"/>
      <c r="L54" s="51">
        <f t="shared" si="3"/>
        <v>0</v>
      </c>
      <c r="M54" s="51">
        <f t="shared" si="2"/>
        <v>0</v>
      </c>
      <c r="N54" s="345"/>
      <c r="O54" s="348"/>
    </row>
    <row r="55" spans="1:15" ht="15" x14ac:dyDescent="0.2">
      <c r="A55" s="343">
        <v>48</v>
      </c>
      <c r="B55" s="47" t="s">
        <v>667</v>
      </c>
      <c r="C55" s="344" t="s">
        <v>668</v>
      </c>
      <c r="D55" s="48">
        <v>143</v>
      </c>
      <c r="E55" s="345"/>
      <c r="F55" s="51"/>
      <c r="G55" s="345"/>
      <c r="H55" s="346">
        <f>25+8.6+18</f>
        <v>51.6</v>
      </c>
      <c r="I55" s="347">
        <f t="shared" si="0"/>
        <v>36.083916083916087</v>
      </c>
      <c r="J55" s="360"/>
      <c r="K55" s="51"/>
      <c r="L55" s="51">
        <f t="shared" si="3"/>
        <v>51.6</v>
      </c>
      <c r="M55" s="51">
        <f t="shared" si="2"/>
        <v>36.083916083916087</v>
      </c>
      <c r="N55" s="345" t="s">
        <v>979</v>
      </c>
      <c r="O55" s="348" t="s">
        <v>786</v>
      </c>
    </row>
    <row r="56" spans="1:15" ht="15" x14ac:dyDescent="0.2">
      <c r="A56" s="343">
        <v>49</v>
      </c>
      <c r="B56" s="47" t="s">
        <v>669</v>
      </c>
      <c r="C56" s="344" t="s">
        <v>670</v>
      </c>
      <c r="D56" s="48">
        <v>104.8</v>
      </c>
      <c r="E56" s="345"/>
      <c r="F56" s="51"/>
      <c r="G56" s="345"/>
      <c r="H56" s="346">
        <f>5+10+16.854</f>
        <v>31.853999999999999</v>
      </c>
      <c r="I56" s="347">
        <f t="shared" si="0"/>
        <v>30.395038167938932</v>
      </c>
      <c r="J56" s="360"/>
      <c r="K56" s="51"/>
      <c r="L56" s="51">
        <f t="shared" si="3"/>
        <v>31.853999999999999</v>
      </c>
      <c r="M56" s="51">
        <f t="shared" si="2"/>
        <v>30.395038167938932</v>
      </c>
      <c r="N56" s="345" t="s">
        <v>979</v>
      </c>
      <c r="O56" s="348" t="s">
        <v>786</v>
      </c>
    </row>
    <row r="57" spans="1:15" ht="15" x14ac:dyDescent="0.2">
      <c r="A57" s="343">
        <v>50</v>
      </c>
      <c r="B57" s="47" t="s">
        <v>671</v>
      </c>
      <c r="C57" s="344" t="s">
        <v>672</v>
      </c>
      <c r="D57" s="48">
        <v>3.7</v>
      </c>
      <c r="E57" s="345"/>
      <c r="F57" s="51"/>
      <c r="G57" s="345"/>
      <c r="H57" s="346">
        <v>0</v>
      </c>
      <c r="I57" s="347">
        <f t="shared" si="0"/>
        <v>0</v>
      </c>
      <c r="J57" s="360"/>
      <c r="K57" s="51"/>
      <c r="L57" s="51">
        <f t="shared" si="3"/>
        <v>0</v>
      </c>
      <c r="M57" s="51">
        <f t="shared" si="2"/>
        <v>0</v>
      </c>
      <c r="N57" s="345"/>
      <c r="O57" s="348"/>
    </row>
    <row r="58" spans="1:15" ht="15" x14ac:dyDescent="0.2">
      <c r="A58" s="343">
        <v>51</v>
      </c>
      <c r="B58" s="47" t="s">
        <v>673</v>
      </c>
      <c r="C58" s="344" t="s">
        <v>674</v>
      </c>
      <c r="D58" s="48">
        <v>8</v>
      </c>
      <c r="E58" s="345"/>
      <c r="F58" s="51"/>
      <c r="G58" s="345"/>
      <c r="H58" s="346">
        <v>0</v>
      </c>
      <c r="I58" s="347">
        <f t="shared" si="0"/>
        <v>0</v>
      </c>
      <c r="J58" s="360"/>
      <c r="K58" s="51"/>
      <c r="L58" s="51">
        <f t="shared" si="3"/>
        <v>0</v>
      </c>
      <c r="M58" s="51">
        <f t="shared" si="2"/>
        <v>0</v>
      </c>
      <c r="N58" s="345"/>
      <c r="O58" s="348"/>
    </row>
    <row r="59" spans="1:15" ht="15" x14ac:dyDescent="0.2">
      <c r="A59" s="343">
        <v>52</v>
      </c>
      <c r="B59" s="47" t="s">
        <v>675</v>
      </c>
      <c r="C59" s="344" t="s">
        <v>676</v>
      </c>
      <c r="D59" s="48">
        <v>23.7</v>
      </c>
      <c r="E59" s="345"/>
      <c r="F59" s="51"/>
      <c r="G59" s="345"/>
      <c r="H59" s="346">
        <v>4</v>
      </c>
      <c r="I59" s="347">
        <f t="shared" si="0"/>
        <v>16.877637130801688</v>
      </c>
      <c r="J59" s="360"/>
      <c r="K59" s="51"/>
      <c r="L59" s="51">
        <f t="shared" si="3"/>
        <v>4</v>
      </c>
      <c r="M59" s="51">
        <f t="shared" si="2"/>
        <v>16.877637130801688</v>
      </c>
      <c r="N59" s="345" t="s">
        <v>979</v>
      </c>
      <c r="O59" s="348" t="s">
        <v>786</v>
      </c>
    </row>
    <row r="60" spans="1:15" ht="15" x14ac:dyDescent="0.2">
      <c r="A60" s="343">
        <v>53</v>
      </c>
      <c r="B60" s="47" t="s">
        <v>677</v>
      </c>
      <c r="C60" s="344" t="s">
        <v>678</v>
      </c>
      <c r="D60" s="48">
        <v>9</v>
      </c>
      <c r="E60" s="345"/>
      <c r="F60" s="51"/>
      <c r="G60" s="345"/>
      <c r="H60" s="346">
        <v>0</v>
      </c>
      <c r="I60" s="347">
        <f t="shared" si="0"/>
        <v>0</v>
      </c>
      <c r="J60" s="360"/>
      <c r="K60" s="51"/>
      <c r="L60" s="51">
        <f t="shared" si="3"/>
        <v>0</v>
      </c>
      <c r="M60" s="51">
        <f t="shared" si="2"/>
        <v>0</v>
      </c>
      <c r="N60" s="345"/>
      <c r="O60" s="348"/>
    </row>
    <row r="61" spans="1:15" ht="15" x14ac:dyDescent="0.2">
      <c r="A61" s="343">
        <v>54</v>
      </c>
      <c r="B61" s="47" t="s">
        <v>679</v>
      </c>
      <c r="C61" s="344" t="s">
        <v>680</v>
      </c>
      <c r="D61" s="616">
        <v>67</v>
      </c>
      <c r="E61" s="345"/>
      <c r="F61" s="51"/>
      <c r="G61" s="345"/>
      <c r="H61" s="346">
        <f>2.477+10+2.6</f>
        <v>15.077</v>
      </c>
      <c r="I61" s="347">
        <f t="shared" si="0"/>
        <v>22.502985074626867</v>
      </c>
      <c r="J61" s="360"/>
      <c r="K61" s="51"/>
      <c r="L61" s="51">
        <f t="shared" si="3"/>
        <v>15.077</v>
      </c>
      <c r="M61" s="51">
        <f t="shared" si="2"/>
        <v>22.502985074626867</v>
      </c>
      <c r="N61" s="345" t="s">
        <v>979</v>
      </c>
      <c r="O61" s="348" t="s">
        <v>786</v>
      </c>
    </row>
    <row r="62" spans="1:15" ht="30" x14ac:dyDescent="0.25">
      <c r="A62" s="343">
        <v>55</v>
      </c>
      <c r="B62" s="47" t="s">
        <v>681</v>
      </c>
      <c r="C62" s="371" t="s">
        <v>682</v>
      </c>
      <c r="D62" s="48">
        <v>13</v>
      </c>
      <c r="E62" s="345"/>
      <c r="F62" s="51"/>
      <c r="G62" s="345"/>
      <c r="H62" s="346">
        <v>0</v>
      </c>
      <c r="I62" s="347">
        <f t="shared" si="0"/>
        <v>0</v>
      </c>
      <c r="J62" s="360"/>
      <c r="K62" s="51"/>
      <c r="L62" s="51">
        <f t="shared" si="3"/>
        <v>0</v>
      </c>
      <c r="M62" s="51">
        <f t="shared" si="2"/>
        <v>0</v>
      </c>
      <c r="N62" s="345"/>
      <c r="O62" s="348"/>
    </row>
    <row r="63" spans="1:15" ht="15" x14ac:dyDescent="0.2">
      <c r="A63" s="343">
        <v>56</v>
      </c>
      <c r="B63" s="47" t="s">
        <v>683</v>
      </c>
      <c r="C63" s="344" t="s">
        <v>684</v>
      </c>
      <c r="D63" s="48">
        <v>47</v>
      </c>
      <c r="E63" s="345"/>
      <c r="F63" s="51"/>
      <c r="G63" s="345"/>
      <c r="H63" s="346">
        <v>0</v>
      </c>
      <c r="I63" s="347">
        <f t="shared" si="0"/>
        <v>0</v>
      </c>
      <c r="J63" s="360"/>
      <c r="K63" s="51"/>
      <c r="L63" s="51">
        <f t="shared" si="3"/>
        <v>0</v>
      </c>
      <c r="M63" s="51">
        <f t="shared" si="2"/>
        <v>0</v>
      </c>
      <c r="N63" s="345"/>
      <c r="O63" s="348"/>
    </row>
    <row r="64" spans="1:15" ht="15" x14ac:dyDescent="0.2">
      <c r="A64" s="343">
        <v>57</v>
      </c>
      <c r="B64" s="47" t="s">
        <v>685</v>
      </c>
      <c r="C64" s="344" t="s">
        <v>686</v>
      </c>
      <c r="D64" s="48">
        <v>39</v>
      </c>
      <c r="E64" s="345"/>
      <c r="F64" s="51"/>
      <c r="G64" s="345"/>
      <c r="H64" s="346">
        <v>0</v>
      </c>
      <c r="I64" s="347">
        <f t="shared" si="0"/>
        <v>0</v>
      </c>
      <c r="J64" s="360"/>
      <c r="K64" s="51"/>
      <c r="L64" s="51">
        <f t="shared" si="3"/>
        <v>0</v>
      </c>
      <c r="M64" s="51">
        <f t="shared" si="2"/>
        <v>0</v>
      </c>
      <c r="N64" s="345"/>
      <c r="O64" s="348"/>
    </row>
    <row r="65" spans="1:15" ht="15" x14ac:dyDescent="0.2">
      <c r="A65" s="343">
        <v>58</v>
      </c>
      <c r="B65" s="47" t="s">
        <v>687</v>
      </c>
      <c r="C65" s="344" t="s">
        <v>688</v>
      </c>
      <c r="D65" s="48">
        <v>26</v>
      </c>
      <c r="E65" s="345"/>
      <c r="F65" s="51"/>
      <c r="G65" s="345"/>
      <c r="H65" s="346">
        <v>0</v>
      </c>
      <c r="I65" s="347">
        <f t="shared" si="0"/>
        <v>0</v>
      </c>
      <c r="J65" s="360"/>
      <c r="K65" s="51"/>
      <c r="L65" s="51">
        <f t="shared" si="3"/>
        <v>0</v>
      </c>
      <c r="M65" s="51">
        <f t="shared" si="2"/>
        <v>0</v>
      </c>
      <c r="N65" s="345"/>
      <c r="O65" s="348"/>
    </row>
    <row r="66" spans="1:15" ht="15" x14ac:dyDescent="0.2">
      <c r="A66" s="343">
        <v>59</v>
      </c>
      <c r="B66" s="47" t="s">
        <v>689</v>
      </c>
      <c r="C66" s="344" t="s">
        <v>690</v>
      </c>
      <c r="D66" s="48">
        <v>7</v>
      </c>
      <c r="E66" s="345"/>
      <c r="F66" s="51"/>
      <c r="G66" s="345"/>
      <c r="H66" s="346">
        <v>0</v>
      </c>
      <c r="I66" s="347">
        <f t="shared" si="0"/>
        <v>0</v>
      </c>
      <c r="J66" s="360"/>
      <c r="K66" s="51"/>
      <c r="L66" s="51">
        <f t="shared" si="3"/>
        <v>0</v>
      </c>
      <c r="M66" s="51">
        <f t="shared" si="2"/>
        <v>0</v>
      </c>
      <c r="N66" s="345"/>
      <c r="O66" s="348"/>
    </row>
    <row r="67" spans="1:15" ht="15" x14ac:dyDescent="0.2">
      <c r="A67" s="343">
        <v>60</v>
      </c>
      <c r="B67" s="47" t="s">
        <v>691</v>
      </c>
      <c r="C67" s="344" t="s">
        <v>692</v>
      </c>
      <c r="D67" s="48">
        <v>17</v>
      </c>
      <c r="E67" s="345"/>
      <c r="F67" s="51"/>
      <c r="G67" s="345"/>
      <c r="H67" s="346">
        <v>0</v>
      </c>
      <c r="I67" s="347">
        <f t="shared" si="0"/>
        <v>0</v>
      </c>
      <c r="J67" s="360"/>
      <c r="K67" s="51"/>
      <c r="L67" s="51">
        <f t="shared" si="3"/>
        <v>0</v>
      </c>
      <c r="M67" s="51">
        <f t="shared" si="2"/>
        <v>0</v>
      </c>
      <c r="N67" s="345"/>
      <c r="O67" s="348"/>
    </row>
    <row r="68" spans="1:15" ht="15" x14ac:dyDescent="0.2">
      <c r="A68" s="343">
        <v>61</v>
      </c>
      <c r="B68" s="47" t="s">
        <v>693</v>
      </c>
      <c r="C68" s="344" t="s">
        <v>694</v>
      </c>
      <c r="D68" s="48">
        <v>21</v>
      </c>
      <c r="E68" s="345"/>
      <c r="F68" s="51"/>
      <c r="G68" s="345"/>
      <c r="H68" s="346">
        <v>0</v>
      </c>
      <c r="I68" s="347">
        <f t="shared" si="0"/>
        <v>0</v>
      </c>
      <c r="J68" s="360"/>
      <c r="K68" s="51"/>
      <c r="L68" s="51">
        <f t="shared" si="3"/>
        <v>0</v>
      </c>
      <c r="M68" s="51">
        <f t="shared" si="2"/>
        <v>0</v>
      </c>
      <c r="N68" s="345"/>
      <c r="O68" s="348"/>
    </row>
    <row r="69" spans="1:15" ht="15" x14ac:dyDescent="0.2">
      <c r="A69" s="349">
        <v>62</v>
      </c>
      <c r="B69" s="350" t="s">
        <v>145</v>
      </c>
      <c r="C69" s="351" t="s">
        <v>695</v>
      </c>
      <c r="D69" s="352">
        <v>16</v>
      </c>
      <c r="E69" s="353"/>
      <c r="F69" s="354"/>
      <c r="G69" s="353"/>
      <c r="H69" s="355">
        <v>0</v>
      </c>
      <c r="I69" s="356">
        <f t="shared" si="0"/>
        <v>0</v>
      </c>
      <c r="J69" s="357">
        <v>16</v>
      </c>
      <c r="K69" s="354">
        <f>J69/D69*100</f>
        <v>100</v>
      </c>
      <c r="L69" s="354">
        <v>16</v>
      </c>
      <c r="M69" s="354">
        <f t="shared" si="2"/>
        <v>100</v>
      </c>
      <c r="N69" s="353" t="s">
        <v>696</v>
      </c>
      <c r="O69" s="358" t="s">
        <v>577</v>
      </c>
    </row>
    <row r="70" spans="1:15" ht="15" x14ac:dyDescent="0.2">
      <c r="A70" s="343">
        <v>63</v>
      </c>
      <c r="B70" s="47" t="s">
        <v>697</v>
      </c>
      <c r="C70" s="344" t="s">
        <v>698</v>
      </c>
      <c r="D70" s="48">
        <v>37</v>
      </c>
      <c r="E70" s="345"/>
      <c r="F70" s="51"/>
      <c r="G70" s="345"/>
      <c r="H70" s="346">
        <f>6+7</f>
        <v>13</v>
      </c>
      <c r="I70" s="347">
        <f t="shared" si="0"/>
        <v>35.135135135135137</v>
      </c>
      <c r="J70" s="360"/>
      <c r="K70" s="51"/>
      <c r="L70" s="51">
        <f>H70</f>
        <v>13</v>
      </c>
      <c r="M70" s="51">
        <f t="shared" si="2"/>
        <v>35.135135135135137</v>
      </c>
      <c r="N70" s="345" t="s">
        <v>979</v>
      </c>
      <c r="O70" s="348" t="s">
        <v>786</v>
      </c>
    </row>
    <row r="71" spans="1:15" ht="15" x14ac:dyDescent="0.2">
      <c r="A71" s="343">
        <v>64</v>
      </c>
      <c r="B71" s="47" t="s">
        <v>699</v>
      </c>
      <c r="C71" s="344" t="s">
        <v>700</v>
      </c>
      <c r="D71" s="48">
        <v>61</v>
      </c>
      <c r="E71" s="345"/>
      <c r="F71" s="51"/>
      <c r="G71" s="345"/>
      <c r="H71" s="346">
        <v>10</v>
      </c>
      <c r="I71" s="372">
        <f t="shared" si="0"/>
        <v>16.393442622950818</v>
      </c>
      <c r="J71" s="360"/>
      <c r="K71" s="51"/>
      <c r="L71" s="51">
        <v>10</v>
      </c>
      <c r="M71" s="51">
        <f t="shared" si="2"/>
        <v>16.393442622950818</v>
      </c>
      <c r="N71" s="345" t="s">
        <v>979</v>
      </c>
      <c r="O71" s="348" t="s">
        <v>786</v>
      </c>
    </row>
    <row r="72" spans="1:15" ht="15" x14ac:dyDescent="0.2">
      <c r="A72" s="343">
        <v>65</v>
      </c>
      <c r="B72" s="47" t="s">
        <v>701</v>
      </c>
      <c r="C72" s="344" t="s">
        <v>702</v>
      </c>
      <c r="D72" s="48">
        <v>169</v>
      </c>
      <c r="E72" s="345"/>
      <c r="F72" s="51"/>
      <c r="G72" s="345"/>
      <c r="H72" s="346">
        <v>8</v>
      </c>
      <c r="I72" s="347">
        <f t="shared" si="0"/>
        <v>4.7337278106508878</v>
      </c>
      <c r="J72" s="360"/>
      <c r="K72" s="51"/>
      <c r="L72" s="51">
        <f>H72</f>
        <v>8</v>
      </c>
      <c r="M72" s="51">
        <f t="shared" si="2"/>
        <v>4.7337278106508878</v>
      </c>
      <c r="N72" s="345" t="s">
        <v>979</v>
      </c>
      <c r="O72" s="348" t="s">
        <v>786</v>
      </c>
    </row>
    <row r="73" spans="1:15" ht="15" x14ac:dyDescent="0.2">
      <c r="A73" s="364">
        <v>66</v>
      </c>
      <c r="B73" s="68" t="s">
        <v>703</v>
      </c>
      <c r="C73" s="365" t="s">
        <v>704</v>
      </c>
      <c r="D73" s="616">
        <v>107</v>
      </c>
      <c r="E73" s="366"/>
      <c r="F73" s="146"/>
      <c r="G73" s="366"/>
      <c r="H73" s="367">
        <v>30</v>
      </c>
      <c r="I73" s="368">
        <f t="shared" ref="I73:I136" si="4">H73*100/D73</f>
        <v>28.037383177570092</v>
      </c>
      <c r="J73" s="360"/>
      <c r="K73" s="51"/>
      <c r="L73" s="146">
        <v>30</v>
      </c>
      <c r="M73" s="146">
        <f t="shared" si="2"/>
        <v>28.037383177570092</v>
      </c>
      <c r="N73" s="345" t="s">
        <v>979</v>
      </c>
      <c r="O73" s="348" t="s">
        <v>786</v>
      </c>
    </row>
    <row r="74" spans="1:15" ht="15" x14ac:dyDescent="0.2">
      <c r="A74" s="343">
        <v>67</v>
      </c>
      <c r="B74" s="47" t="s">
        <v>705</v>
      </c>
      <c r="C74" s="344" t="s">
        <v>706</v>
      </c>
      <c r="D74" s="48">
        <v>45</v>
      </c>
      <c r="E74" s="345"/>
      <c r="F74" s="51"/>
      <c r="G74" s="345"/>
      <c r="H74" s="346">
        <v>2</v>
      </c>
      <c r="I74" s="347">
        <f t="shared" si="4"/>
        <v>4.4444444444444446</v>
      </c>
      <c r="J74" s="360"/>
      <c r="K74" s="51"/>
      <c r="L74" s="51">
        <f t="shared" ref="L74:L76" si="5">H74</f>
        <v>2</v>
      </c>
      <c r="M74" s="51">
        <f t="shared" si="2"/>
        <v>4.4444444444444446</v>
      </c>
      <c r="N74" s="345" t="s">
        <v>979</v>
      </c>
      <c r="O74" s="348" t="s">
        <v>786</v>
      </c>
    </row>
    <row r="75" spans="1:15" ht="15" x14ac:dyDescent="0.2">
      <c r="A75" s="343">
        <v>68</v>
      </c>
      <c r="B75" s="47" t="s">
        <v>707</v>
      </c>
      <c r="C75" s="344" t="s">
        <v>708</v>
      </c>
      <c r="D75" s="48">
        <v>8</v>
      </c>
      <c r="E75" s="345"/>
      <c r="F75" s="51"/>
      <c r="G75" s="345"/>
      <c r="H75" s="346">
        <v>2</v>
      </c>
      <c r="I75" s="347">
        <f t="shared" si="4"/>
        <v>25</v>
      </c>
      <c r="J75" s="360"/>
      <c r="K75" s="51"/>
      <c r="L75" s="51">
        <f t="shared" si="5"/>
        <v>2</v>
      </c>
      <c r="M75" s="51">
        <f t="shared" si="2"/>
        <v>25</v>
      </c>
      <c r="N75" s="345" t="s">
        <v>979</v>
      </c>
      <c r="O75" s="348" t="s">
        <v>786</v>
      </c>
    </row>
    <row r="76" spans="1:15" ht="15" x14ac:dyDescent="0.2">
      <c r="A76" s="343">
        <v>69</v>
      </c>
      <c r="B76" s="47" t="s">
        <v>709</v>
      </c>
      <c r="C76" s="344" t="s">
        <v>710</v>
      </c>
      <c r="D76" s="48">
        <v>22</v>
      </c>
      <c r="E76" s="345"/>
      <c r="F76" s="51"/>
      <c r="G76" s="345"/>
      <c r="H76" s="346">
        <v>8</v>
      </c>
      <c r="I76" s="347">
        <f t="shared" si="4"/>
        <v>36.363636363636367</v>
      </c>
      <c r="J76" s="360"/>
      <c r="K76" s="51"/>
      <c r="L76" s="51">
        <f t="shared" si="5"/>
        <v>8</v>
      </c>
      <c r="M76" s="51">
        <f t="shared" si="2"/>
        <v>36.363636363636367</v>
      </c>
      <c r="N76" s="345" t="s">
        <v>979</v>
      </c>
      <c r="O76" s="348" t="s">
        <v>786</v>
      </c>
    </row>
    <row r="77" spans="1:15" ht="15" x14ac:dyDescent="0.2">
      <c r="A77" s="349">
        <v>70</v>
      </c>
      <c r="B77" s="56" t="s">
        <v>199</v>
      </c>
      <c r="C77" s="351" t="s">
        <v>711</v>
      </c>
      <c r="D77" s="352">
        <v>68</v>
      </c>
      <c r="E77" s="353"/>
      <c r="F77" s="354"/>
      <c r="G77" s="353"/>
      <c r="H77" s="355">
        <f>30-7</f>
        <v>23</v>
      </c>
      <c r="I77" s="356">
        <f t="shared" si="4"/>
        <v>33.823529411764703</v>
      </c>
      <c r="J77" s="357">
        <f>H77</f>
        <v>23</v>
      </c>
      <c r="K77" s="354">
        <f>I77</f>
        <v>33.823529411764703</v>
      </c>
      <c r="L77" s="354">
        <v>30</v>
      </c>
      <c r="M77" s="354">
        <f t="shared" si="2"/>
        <v>44.117647058823529</v>
      </c>
      <c r="N77" s="353" t="s">
        <v>979</v>
      </c>
      <c r="O77" s="358" t="s">
        <v>712</v>
      </c>
    </row>
    <row r="78" spans="1:15" ht="15" x14ac:dyDescent="0.2">
      <c r="A78" s="343">
        <v>71</v>
      </c>
      <c r="B78" s="47" t="s">
        <v>713</v>
      </c>
      <c r="C78" s="344" t="s">
        <v>714</v>
      </c>
      <c r="D78" s="48">
        <v>46</v>
      </c>
      <c r="E78" s="345"/>
      <c r="F78" s="51"/>
      <c r="G78" s="345"/>
      <c r="H78" s="346">
        <v>5</v>
      </c>
      <c r="I78" s="347">
        <f t="shared" si="4"/>
        <v>10.869565217391305</v>
      </c>
      <c r="J78" s="360"/>
      <c r="K78" s="51"/>
      <c r="L78" s="51">
        <f>H78</f>
        <v>5</v>
      </c>
      <c r="M78" s="51">
        <f t="shared" si="2"/>
        <v>10.869565217391305</v>
      </c>
      <c r="N78" s="345" t="s">
        <v>979</v>
      </c>
      <c r="O78" s="348" t="s">
        <v>786</v>
      </c>
    </row>
    <row r="79" spans="1:15" ht="15" x14ac:dyDescent="0.2">
      <c r="A79" s="343">
        <v>72</v>
      </c>
      <c r="B79" s="47" t="s">
        <v>715</v>
      </c>
      <c r="C79" s="344" t="s">
        <v>716</v>
      </c>
      <c r="D79" s="48">
        <v>3</v>
      </c>
      <c r="E79" s="345"/>
      <c r="F79" s="51"/>
      <c r="G79" s="345"/>
      <c r="H79" s="346">
        <v>0</v>
      </c>
      <c r="I79" s="347">
        <f t="shared" si="4"/>
        <v>0</v>
      </c>
      <c r="J79" s="360"/>
      <c r="K79" s="51"/>
      <c r="L79" s="51">
        <f t="shared" ref="L79:L128" si="6">H79</f>
        <v>0</v>
      </c>
      <c r="M79" s="51">
        <f t="shared" si="2"/>
        <v>0</v>
      </c>
      <c r="N79" s="345"/>
      <c r="O79" s="348"/>
    </row>
    <row r="80" spans="1:15" ht="15" x14ac:dyDescent="0.2">
      <c r="A80" s="343">
        <v>73</v>
      </c>
      <c r="B80" s="47" t="s">
        <v>717</v>
      </c>
      <c r="C80" s="344" t="s">
        <v>718</v>
      </c>
      <c r="D80" s="48">
        <v>33</v>
      </c>
      <c r="E80" s="345"/>
      <c r="F80" s="51"/>
      <c r="G80" s="345"/>
      <c r="H80" s="346">
        <v>15</v>
      </c>
      <c r="I80" s="347">
        <f t="shared" si="4"/>
        <v>45.454545454545453</v>
      </c>
      <c r="J80" s="360"/>
      <c r="K80" s="51"/>
      <c r="L80" s="51">
        <f t="shared" si="6"/>
        <v>15</v>
      </c>
      <c r="M80" s="51">
        <f t="shared" si="2"/>
        <v>45.454545454545453</v>
      </c>
      <c r="N80" s="345" t="s">
        <v>979</v>
      </c>
      <c r="O80" s="348" t="s">
        <v>786</v>
      </c>
    </row>
    <row r="81" spans="1:15" ht="15" x14ac:dyDescent="0.2">
      <c r="A81" s="343">
        <v>74</v>
      </c>
      <c r="B81" s="47" t="s">
        <v>719</v>
      </c>
      <c r="C81" s="344" t="s">
        <v>720</v>
      </c>
      <c r="D81" s="48">
        <v>29.183</v>
      </c>
      <c r="E81" s="345"/>
      <c r="F81" s="51"/>
      <c r="G81" s="345"/>
      <c r="H81" s="346">
        <v>29.183</v>
      </c>
      <c r="I81" s="347">
        <f t="shared" si="4"/>
        <v>100</v>
      </c>
      <c r="J81" s="360"/>
      <c r="K81" s="51"/>
      <c r="L81" s="51">
        <f t="shared" si="6"/>
        <v>29.183</v>
      </c>
      <c r="M81" s="51">
        <f t="shared" si="2"/>
        <v>100</v>
      </c>
      <c r="N81" s="345" t="s">
        <v>979</v>
      </c>
      <c r="O81" s="348" t="s">
        <v>786</v>
      </c>
    </row>
    <row r="82" spans="1:15" ht="15" x14ac:dyDescent="0.2">
      <c r="A82" s="343">
        <v>75</v>
      </c>
      <c r="B82" s="47" t="s">
        <v>721</v>
      </c>
      <c r="C82" s="344" t="s">
        <v>722</v>
      </c>
      <c r="D82" s="48">
        <v>11</v>
      </c>
      <c r="E82" s="345"/>
      <c r="F82" s="51"/>
      <c r="G82" s="345"/>
      <c r="H82" s="346">
        <v>0</v>
      </c>
      <c r="I82" s="347">
        <f t="shared" si="4"/>
        <v>0</v>
      </c>
      <c r="J82" s="360"/>
      <c r="K82" s="51"/>
      <c r="L82" s="51">
        <f t="shared" si="6"/>
        <v>0</v>
      </c>
      <c r="M82" s="51">
        <f t="shared" si="2"/>
        <v>0</v>
      </c>
      <c r="N82" s="345"/>
      <c r="O82" s="348"/>
    </row>
    <row r="83" spans="1:15" ht="15" x14ac:dyDescent="0.2">
      <c r="A83" s="343">
        <v>76</v>
      </c>
      <c r="B83" s="47" t="s">
        <v>723</v>
      </c>
      <c r="C83" s="344" t="s">
        <v>724</v>
      </c>
      <c r="D83" s="48">
        <v>5</v>
      </c>
      <c r="E83" s="345"/>
      <c r="F83" s="51"/>
      <c r="G83" s="345"/>
      <c r="H83" s="346">
        <v>0</v>
      </c>
      <c r="I83" s="347">
        <f t="shared" si="4"/>
        <v>0</v>
      </c>
      <c r="J83" s="360"/>
      <c r="K83" s="51"/>
      <c r="L83" s="51">
        <f t="shared" si="6"/>
        <v>0</v>
      </c>
      <c r="M83" s="51">
        <f t="shared" si="2"/>
        <v>0</v>
      </c>
      <c r="N83" s="345"/>
      <c r="O83" s="348"/>
    </row>
    <row r="84" spans="1:15" ht="15" x14ac:dyDescent="0.2">
      <c r="A84" s="343">
        <v>77</v>
      </c>
      <c r="B84" s="47" t="s">
        <v>725</v>
      </c>
      <c r="C84" s="344" t="s">
        <v>726</v>
      </c>
      <c r="D84" s="48">
        <v>40</v>
      </c>
      <c r="E84" s="345"/>
      <c r="F84" s="51"/>
      <c r="G84" s="345"/>
      <c r="H84" s="346">
        <v>0</v>
      </c>
      <c r="I84" s="347">
        <f t="shared" si="4"/>
        <v>0</v>
      </c>
      <c r="J84" s="360"/>
      <c r="K84" s="51"/>
      <c r="L84" s="51">
        <f t="shared" si="6"/>
        <v>0</v>
      </c>
      <c r="M84" s="51">
        <f t="shared" si="2"/>
        <v>0</v>
      </c>
      <c r="N84" s="345"/>
      <c r="O84" s="348"/>
    </row>
    <row r="85" spans="1:15" ht="15" x14ac:dyDescent="0.2">
      <c r="A85" s="343">
        <v>78</v>
      </c>
      <c r="B85" s="47" t="s">
        <v>727</v>
      </c>
      <c r="C85" s="344" t="s">
        <v>728</v>
      </c>
      <c r="D85" s="48">
        <v>16.5</v>
      </c>
      <c r="E85" s="345"/>
      <c r="F85" s="51"/>
      <c r="G85" s="345"/>
      <c r="H85" s="346">
        <v>0</v>
      </c>
      <c r="I85" s="347">
        <f t="shared" si="4"/>
        <v>0</v>
      </c>
      <c r="J85" s="360"/>
      <c r="K85" s="51"/>
      <c r="L85" s="51">
        <f t="shared" si="6"/>
        <v>0</v>
      </c>
      <c r="M85" s="51">
        <f t="shared" si="2"/>
        <v>0</v>
      </c>
      <c r="N85" s="345"/>
      <c r="O85" s="348"/>
    </row>
    <row r="86" spans="1:15" ht="15" x14ac:dyDescent="0.2">
      <c r="A86" s="343">
        <v>79</v>
      </c>
      <c r="B86" s="47" t="s">
        <v>729</v>
      </c>
      <c r="C86" s="344" t="s">
        <v>730</v>
      </c>
      <c r="D86" s="48">
        <v>10</v>
      </c>
      <c r="E86" s="345"/>
      <c r="F86" s="51"/>
      <c r="G86" s="345"/>
      <c r="H86" s="346">
        <v>0</v>
      </c>
      <c r="I86" s="347">
        <f t="shared" si="4"/>
        <v>0</v>
      </c>
      <c r="J86" s="360"/>
      <c r="K86" s="51"/>
      <c r="L86" s="51">
        <f t="shared" si="6"/>
        <v>0</v>
      </c>
      <c r="M86" s="51">
        <f t="shared" si="2"/>
        <v>0</v>
      </c>
      <c r="N86" s="345"/>
      <c r="O86" s="348"/>
    </row>
    <row r="87" spans="1:15" ht="15" x14ac:dyDescent="0.2">
      <c r="A87" s="343">
        <v>80</v>
      </c>
      <c r="B87" s="47" t="s">
        <v>731</v>
      </c>
      <c r="C87" s="344" t="s">
        <v>732</v>
      </c>
      <c r="D87" s="48">
        <v>3</v>
      </c>
      <c r="E87" s="345"/>
      <c r="F87" s="51"/>
      <c r="G87" s="345"/>
      <c r="H87" s="346">
        <v>0</v>
      </c>
      <c r="I87" s="347">
        <f t="shared" si="4"/>
        <v>0</v>
      </c>
      <c r="J87" s="360"/>
      <c r="K87" s="51"/>
      <c r="L87" s="51">
        <f t="shared" si="6"/>
        <v>0</v>
      </c>
      <c r="M87" s="51">
        <f t="shared" si="2"/>
        <v>0</v>
      </c>
      <c r="N87" s="345"/>
      <c r="O87" s="348"/>
    </row>
    <row r="88" spans="1:15" ht="15" x14ac:dyDescent="0.2">
      <c r="A88" s="343">
        <v>81</v>
      </c>
      <c r="B88" s="47" t="s">
        <v>733</v>
      </c>
      <c r="C88" s="344" t="s">
        <v>734</v>
      </c>
      <c r="D88" s="48">
        <v>25.85</v>
      </c>
      <c r="E88" s="345"/>
      <c r="F88" s="51"/>
      <c r="G88" s="345"/>
      <c r="H88" s="346">
        <v>25.85</v>
      </c>
      <c r="I88" s="347">
        <f t="shared" si="4"/>
        <v>100</v>
      </c>
      <c r="J88" s="360"/>
      <c r="K88" s="51"/>
      <c r="L88" s="51">
        <f t="shared" si="6"/>
        <v>25.85</v>
      </c>
      <c r="M88" s="51">
        <f t="shared" si="2"/>
        <v>100</v>
      </c>
      <c r="N88" s="345" t="s">
        <v>1214</v>
      </c>
      <c r="O88" s="348" t="s">
        <v>974</v>
      </c>
    </row>
    <row r="89" spans="1:15" ht="15" x14ac:dyDescent="0.2">
      <c r="A89" s="343">
        <v>82</v>
      </c>
      <c r="B89" s="47" t="s">
        <v>735</v>
      </c>
      <c r="C89" s="344" t="s">
        <v>736</v>
      </c>
      <c r="D89" s="48">
        <v>39</v>
      </c>
      <c r="E89" s="345"/>
      <c r="F89" s="51"/>
      <c r="G89" s="345"/>
      <c r="H89" s="346">
        <v>12</v>
      </c>
      <c r="I89" s="347">
        <f t="shared" si="4"/>
        <v>30.76923076923077</v>
      </c>
      <c r="J89" s="360"/>
      <c r="K89" s="51"/>
      <c r="L89" s="51">
        <f t="shared" si="6"/>
        <v>12</v>
      </c>
      <c r="M89" s="51">
        <f t="shared" si="2"/>
        <v>30.76923076923077</v>
      </c>
      <c r="N89" s="345" t="s">
        <v>1214</v>
      </c>
      <c r="O89" s="348" t="s">
        <v>974</v>
      </c>
    </row>
    <row r="90" spans="1:15" ht="15" x14ac:dyDescent="0.2">
      <c r="A90" s="343">
        <v>83</v>
      </c>
      <c r="B90" s="47" t="s">
        <v>737</v>
      </c>
      <c r="C90" s="344" t="s">
        <v>738</v>
      </c>
      <c r="D90" s="48">
        <v>57</v>
      </c>
      <c r="E90" s="345"/>
      <c r="F90" s="51"/>
      <c r="G90" s="345"/>
      <c r="H90" s="346">
        <v>15</v>
      </c>
      <c r="I90" s="347">
        <f t="shared" si="4"/>
        <v>26.315789473684209</v>
      </c>
      <c r="J90" s="360"/>
      <c r="K90" s="51"/>
      <c r="L90" s="51">
        <f t="shared" si="6"/>
        <v>15</v>
      </c>
      <c r="M90" s="51">
        <f t="shared" si="2"/>
        <v>26.315789473684209</v>
      </c>
      <c r="N90" s="345" t="s">
        <v>1214</v>
      </c>
      <c r="O90" s="348" t="s">
        <v>974</v>
      </c>
    </row>
    <row r="91" spans="1:15" ht="15" x14ac:dyDescent="0.2">
      <c r="A91" s="343">
        <v>84</v>
      </c>
      <c r="B91" s="47" t="s">
        <v>739</v>
      </c>
      <c r="C91" s="344" t="s">
        <v>740</v>
      </c>
      <c r="D91" s="48">
        <v>31</v>
      </c>
      <c r="E91" s="345"/>
      <c r="F91" s="51"/>
      <c r="G91" s="345"/>
      <c r="H91" s="346">
        <v>0</v>
      </c>
      <c r="I91" s="347">
        <f t="shared" si="4"/>
        <v>0</v>
      </c>
      <c r="J91" s="360"/>
      <c r="K91" s="51"/>
      <c r="L91" s="51">
        <f t="shared" si="6"/>
        <v>0</v>
      </c>
      <c r="M91" s="51">
        <f t="shared" si="2"/>
        <v>0</v>
      </c>
      <c r="N91" s="345"/>
      <c r="O91" s="348"/>
    </row>
    <row r="92" spans="1:15" ht="15" x14ac:dyDescent="0.2">
      <c r="A92" s="343">
        <v>85</v>
      </c>
      <c r="B92" s="47" t="s">
        <v>741</v>
      </c>
      <c r="C92" s="344" t="s">
        <v>742</v>
      </c>
      <c r="D92" s="48">
        <v>10</v>
      </c>
      <c r="E92" s="345"/>
      <c r="F92" s="51"/>
      <c r="G92" s="345"/>
      <c r="H92" s="346">
        <v>0</v>
      </c>
      <c r="I92" s="347">
        <f t="shared" si="4"/>
        <v>0</v>
      </c>
      <c r="J92" s="360"/>
      <c r="K92" s="51"/>
      <c r="L92" s="51">
        <f t="shared" si="6"/>
        <v>0</v>
      </c>
      <c r="M92" s="51">
        <f t="shared" si="2"/>
        <v>0</v>
      </c>
      <c r="N92" s="345"/>
      <c r="O92" s="348"/>
    </row>
    <row r="93" spans="1:15" ht="15" x14ac:dyDescent="0.2">
      <c r="A93" s="343">
        <v>86</v>
      </c>
      <c r="B93" s="47" t="s">
        <v>743</v>
      </c>
      <c r="C93" s="344" t="s">
        <v>744</v>
      </c>
      <c r="D93" s="48">
        <v>8</v>
      </c>
      <c r="E93" s="345"/>
      <c r="F93" s="51"/>
      <c r="G93" s="345"/>
      <c r="H93" s="346">
        <v>0</v>
      </c>
      <c r="I93" s="347">
        <f t="shared" si="4"/>
        <v>0</v>
      </c>
      <c r="J93" s="360"/>
      <c r="K93" s="51"/>
      <c r="L93" s="51">
        <f t="shared" si="6"/>
        <v>0</v>
      </c>
      <c r="M93" s="51">
        <f t="shared" si="2"/>
        <v>0</v>
      </c>
      <c r="N93" s="345"/>
      <c r="O93" s="348"/>
    </row>
    <row r="94" spans="1:15" ht="15" x14ac:dyDescent="0.2">
      <c r="A94" s="343">
        <v>87</v>
      </c>
      <c r="B94" s="47" t="s">
        <v>745</v>
      </c>
      <c r="C94" s="344" t="s">
        <v>746</v>
      </c>
      <c r="D94" s="48">
        <v>7</v>
      </c>
      <c r="E94" s="345"/>
      <c r="F94" s="51"/>
      <c r="G94" s="345"/>
      <c r="H94" s="346">
        <v>0</v>
      </c>
      <c r="I94" s="347">
        <f t="shared" si="4"/>
        <v>0</v>
      </c>
      <c r="J94" s="360"/>
      <c r="K94" s="51"/>
      <c r="L94" s="51">
        <f t="shared" si="6"/>
        <v>0</v>
      </c>
      <c r="M94" s="51">
        <f t="shared" ref="M94:M157" si="7">L94*100/D94</f>
        <v>0</v>
      </c>
      <c r="N94" s="345"/>
      <c r="O94" s="348"/>
    </row>
    <row r="95" spans="1:15" ht="15" x14ac:dyDescent="0.2">
      <c r="A95" s="343">
        <v>88</v>
      </c>
      <c r="B95" s="47" t="s">
        <v>747</v>
      </c>
      <c r="C95" s="344" t="s">
        <v>748</v>
      </c>
      <c r="D95" s="48">
        <v>26</v>
      </c>
      <c r="E95" s="345"/>
      <c r="F95" s="51"/>
      <c r="G95" s="345"/>
      <c r="H95" s="346">
        <v>8</v>
      </c>
      <c r="I95" s="347">
        <f t="shared" si="4"/>
        <v>30.76923076923077</v>
      </c>
      <c r="J95" s="360"/>
      <c r="K95" s="51"/>
      <c r="L95" s="51">
        <f t="shared" si="6"/>
        <v>8</v>
      </c>
      <c r="M95" s="51">
        <f t="shared" si="7"/>
        <v>30.76923076923077</v>
      </c>
      <c r="N95" s="345" t="s">
        <v>1214</v>
      </c>
      <c r="O95" s="348" t="s">
        <v>974</v>
      </c>
    </row>
    <row r="96" spans="1:15" ht="15" x14ac:dyDescent="0.2">
      <c r="A96" s="343">
        <v>89</v>
      </c>
      <c r="B96" s="47" t="s">
        <v>749</v>
      </c>
      <c r="C96" s="344" t="s">
        <v>750</v>
      </c>
      <c r="D96" s="48">
        <v>12</v>
      </c>
      <c r="E96" s="345"/>
      <c r="F96" s="51"/>
      <c r="G96" s="345"/>
      <c r="H96" s="346">
        <v>0</v>
      </c>
      <c r="I96" s="347">
        <f t="shared" si="4"/>
        <v>0</v>
      </c>
      <c r="J96" s="360"/>
      <c r="K96" s="51"/>
      <c r="L96" s="51">
        <f t="shared" si="6"/>
        <v>0</v>
      </c>
      <c r="M96" s="51">
        <f t="shared" si="7"/>
        <v>0</v>
      </c>
      <c r="N96" s="345"/>
      <c r="O96" s="348"/>
    </row>
    <row r="97" spans="1:15" ht="15" x14ac:dyDescent="0.2">
      <c r="A97" s="343">
        <v>90</v>
      </c>
      <c r="B97" s="47" t="s">
        <v>751</v>
      </c>
      <c r="C97" s="344" t="s">
        <v>752</v>
      </c>
      <c r="D97" s="48">
        <v>4</v>
      </c>
      <c r="E97" s="345"/>
      <c r="F97" s="51"/>
      <c r="G97" s="345"/>
      <c r="H97" s="346">
        <v>0</v>
      </c>
      <c r="I97" s="347">
        <f t="shared" si="4"/>
        <v>0</v>
      </c>
      <c r="J97" s="360"/>
      <c r="K97" s="51"/>
      <c r="L97" s="51">
        <f t="shared" si="6"/>
        <v>0</v>
      </c>
      <c r="M97" s="51">
        <f t="shared" si="7"/>
        <v>0</v>
      </c>
      <c r="N97" s="345"/>
      <c r="O97" s="348"/>
    </row>
    <row r="98" spans="1:15" ht="15" x14ac:dyDescent="0.2">
      <c r="A98" s="343">
        <v>91</v>
      </c>
      <c r="B98" s="47" t="s">
        <v>753</v>
      </c>
      <c r="C98" s="344" t="s">
        <v>754</v>
      </c>
      <c r="D98" s="48">
        <v>48.1</v>
      </c>
      <c r="E98" s="345"/>
      <c r="F98" s="51"/>
      <c r="G98" s="345"/>
      <c r="H98" s="346">
        <v>12</v>
      </c>
      <c r="I98" s="347">
        <f t="shared" si="4"/>
        <v>24.948024948024948</v>
      </c>
      <c r="J98" s="360"/>
      <c r="K98" s="51"/>
      <c r="L98" s="51">
        <f t="shared" si="6"/>
        <v>12</v>
      </c>
      <c r="M98" s="51">
        <f t="shared" si="7"/>
        <v>24.948024948024948</v>
      </c>
      <c r="N98" s="345" t="s">
        <v>1214</v>
      </c>
      <c r="O98" s="348" t="s">
        <v>974</v>
      </c>
    </row>
    <row r="99" spans="1:15" ht="15" x14ac:dyDescent="0.2">
      <c r="A99" s="343">
        <v>92</v>
      </c>
      <c r="B99" s="47" t="s">
        <v>755</v>
      </c>
      <c r="C99" s="344" t="s">
        <v>756</v>
      </c>
      <c r="D99" s="48">
        <v>54</v>
      </c>
      <c r="E99" s="345"/>
      <c r="F99" s="51"/>
      <c r="G99" s="345"/>
      <c r="H99" s="346">
        <v>8</v>
      </c>
      <c r="I99" s="347">
        <f t="shared" si="4"/>
        <v>14.814814814814815</v>
      </c>
      <c r="J99" s="360"/>
      <c r="K99" s="51"/>
      <c r="L99" s="51">
        <f t="shared" si="6"/>
        <v>8</v>
      </c>
      <c r="M99" s="51">
        <f t="shared" si="7"/>
        <v>14.814814814814815</v>
      </c>
      <c r="N99" s="345" t="s">
        <v>1214</v>
      </c>
      <c r="O99" s="348" t="s">
        <v>974</v>
      </c>
    </row>
    <row r="100" spans="1:15" ht="15" x14ac:dyDescent="0.2">
      <c r="A100" s="343">
        <v>93</v>
      </c>
      <c r="B100" s="47" t="s">
        <v>757</v>
      </c>
      <c r="C100" s="344" t="s">
        <v>758</v>
      </c>
      <c r="D100" s="48">
        <v>30</v>
      </c>
      <c r="E100" s="345"/>
      <c r="F100" s="51"/>
      <c r="G100" s="345"/>
      <c r="H100" s="346">
        <v>0</v>
      </c>
      <c r="I100" s="347">
        <f t="shared" si="4"/>
        <v>0</v>
      </c>
      <c r="J100" s="360"/>
      <c r="K100" s="51"/>
      <c r="L100" s="51">
        <f t="shared" si="6"/>
        <v>0</v>
      </c>
      <c r="M100" s="51">
        <f t="shared" si="7"/>
        <v>0</v>
      </c>
      <c r="N100" s="345"/>
      <c r="O100" s="348"/>
    </row>
    <row r="101" spans="1:15" ht="15" x14ac:dyDescent="0.2">
      <c r="A101" s="343">
        <v>94</v>
      </c>
      <c r="B101" s="47" t="s">
        <v>759</v>
      </c>
      <c r="C101" s="344" t="s">
        <v>760</v>
      </c>
      <c r="D101" s="48">
        <v>14</v>
      </c>
      <c r="E101" s="345"/>
      <c r="F101" s="51"/>
      <c r="G101" s="345"/>
      <c r="H101" s="346">
        <v>0</v>
      </c>
      <c r="I101" s="347">
        <f t="shared" si="4"/>
        <v>0</v>
      </c>
      <c r="J101" s="360"/>
      <c r="K101" s="51"/>
      <c r="L101" s="51">
        <f t="shared" si="6"/>
        <v>0</v>
      </c>
      <c r="M101" s="51">
        <f t="shared" si="7"/>
        <v>0</v>
      </c>
      <c r="N101" s="345"/>
      <c r="O101" s="348"/>
    </row>
    <row r="102" spans="1:15" ht="15" x14ac:dyDescent="0.2">
      <c r="A102" s="343">
        <v>95</v>
      </c>
      <c r="B102" s="47" t="s">
        <v>761</v>
      </c>
      <c r="C102" s="344" t="s">
        <v>762</v>
      </c>
      <c r="D102" s="48">
        <v>12</v>
      </c>
      <c r="E102" s="345"/>
      <c r="F102" s="51"/>
      <c r="G102" s="345"/>
      <c r="H102" s="346">
        <v>0</v>
      </c>
      <c r="I102" s="347">
        <f t="shared" si="4"/>
        <v>0</v>
      </c>
      <c r="J102" s="360"/>
      <c r="K102" s="51"/>
      <c r="L102" s="51">
        <f t="shared" si="6"/>
        <v>0</v>
      </c>
      <c r="M102" s="51">
        <f t="shared" si="7"/>
        <v>0</v>
      </c>
      <c r="N102" s="345"/>
      <c r="O102" s="348"/>
    </row>
    <row r="103" spans="1:15" ht="15" x14ac:dyDescent="0.2">
      <c r="A103" s="343">
        <v>96</v>
      </c>
      <c r="B103" s="47" t="s">
        <v>763</v>
      </c>
      <c r="C103" s="344" t="s">
        <v>764</v>
      </c>
      <c r="D103" s="48">
        <v>2</v>
      </c>
      <c r="E103" s="345"/>
      <c r="F103" s="51"/>
      <c r="G103" s="345"/>
      <c r="H103" s="346">
        <v>0</v>
      </c>
      <c r="I103" s="347">
        <f t="shared" si="4"/>
        <v>0</v>
      </c>
      <c r="J103" s="360"/>
      <c r="K103" s="51"/>
      <c r="L103" s="51">
        <f t="shared" si="6"/>
        <v>0</v>
      </c>
      <c r="M103" s="51">
        <f t="shared" si="7"/>
        <v>0</v>
      </c>
      <c r="N103" s="345"/>
      <c r="O103" s="348"/>
    </row>
    <row r="104" spans="1:15" ht="15" x14ac:dyDescent="0.2">
      <c r="A104" s="343">
        <v>97</v>
      </c>
      <c r="B104" s="47" t="s">
        <v>765</v>
      </c>
      <c r="C104" s="344" t="s">
        <v>766</v>
      </c>
      <c r="D104" s="48">
        <v>25</v>
      </c>
      <c r="E104" s="345"/>
      <c r="F104" s="51"/>
      <c r="G104" s="345"/>
      <c r="H104" s="346">
        <v>6</v>
      </c>
      <c r="I104" s="347">
        <f t="shared" si="4"/>
        <v>24</v>
      </c>
      <c r="J104" s="360"/>
      <c r="K104" s="51"/>
      <c r="L104" s="51">
        <f t="shared" si="6"/>
        <v>6</v>
      </c>
      <c r="M104" s="51">
        <f t="shared" si="7"/>
        <v>24</v>
      </c>
      <c r="N104" s="345" t="s">
        <v>1214</v>
      </c>
      <c r="O104" s="348" t="s">
        <v>974</v>
      </c>
    </row>
    <row r="105" spans="1:15" ht="15" x14ac:dyDescent="0.2">
      <c r="A105" s="343">
        <v>98</v>
      </c>
      <c r="B105" s="47" t="s">
        <v>767</v>
      </c>
      <c r="C105" s="344" t="s">
        <v>768</v>
      </c>
      <c r="D105" s="48">
        <v>4.5</v>
      </c>
      <c r="E105" s="345"/>
      <c r="F105" s="51"/>
      <c r="G105" s="345"/>
      <c r="H105" s="346">
        <v>0</v>
      </c>
      <c r="I105" s="347">
        <f t="shared" si="4"/>
        <v>0</v>
      </c>
      <c r="J105" s="360"/>
      <c r="K105" s="51"/>
      <c r="L105" s="51">
        <f t="shared" si="6"/>
        <v>0</v>
      </c>
      <c r="M105" s="51">
        <f t="shared" si="7"/>
        <v>0</v>
      </c>
      <c r="N105" s="345"/>
      <c r="O105" s="348"/>
    </row>
    <row r="106" spans="1:15" ht="15" x14ac:dyDescent="0.2">
      <c r="A106" s="343">
        <v>99</v>
      </c>
      <c r="B106" s="47" t="s">
        <v>769</v>
      </c>
      <c r="C106" s="344" t="s">
        <v>770</v>
      </c>
      <c r="D106" s="48">
        <v>32</v>
      </c>
      <c r="E106" s="345"/>
      <c r="F106" s="51"/>
      <c r="G106" s="345"/>
      <c r="H106" s="346">
        <v>10</v>
      </c>
      <c r="I106" s="347">
        <f t="shared" si="4"/>
        <v>31.25</v>
      </c>
      <c r="J106" s="360"/>
      <c r="K106" s="51"/>
      <c r="L106" s="51">
        <f t="shared" si="6"/>
        <v>10</v>
      </c>
      <c r="M106" s="51">
        <f t="shared" si="7"/>
        <v>31.25</v>
      </c>
      <c r="N106" s="345" t="s">
        <v>1214</v>
      </c>
      <c r="O106" s="348" t="s">
        <v>974</v>
      </c>
    </row>
    <row r="107" spans="1:15" ht="15" x14ac:dyDescent="0.2">
      <c r="A107" s="343">
        <v>100</v>
      </c>
      <c r="B107" s="47" t="s">
        <v>771</v>
      </c>
      <c r="C107" s="344" t="s">
        <v>772</v>
      </c>
      <c r="D107" s="48">
        <v>5</v>
      </c>
      <c r="E107" s="345"/>
      <c r="F107" s="51"/>
      <c r="G107" s="345"/>
      <c r="H107" s="346">
        <v>0</v>
      </c>
      <c r="I107" s="347">
        <f t="shared" si="4"/>
        <v>0</v>
      </c>
      <c r="J107" s="360"/>
      <c r="K107" s="51"/>
      <c r="L107" s="51">
        <f t="shared" si="6"/>
        <v>0</v>
      </c>
      <c r="M107" s="51">
        <f t="shared" si="7"/>
        <v>0</v>
      </c>
      <c r="N107" s="345"/>
      <c r="O107" s="348"/>
    </row>
    <row r="108" spans="1:15" ht="15" x14ac:dyDescent="0.2">
      <c r="A108" s="343">
        <v>101</v>
      </c>
      <c r="B108" s="47" t="s">
        <v>773</v>
      </c>
      <c r="C108" s="344" t="s">
        <v>774</v>
      </c>
      <c r="D108" s="48">
        <v>12</v>
      </c>
      <c r="E108" s="345"/>
      <c r="F108" s="51"/>
      <c r="G108" s="345"/>
      <c r="H108" s="346">
        <v>12</v>
      </c>
      <c r="I108" s="347">
        <f t="shared" si="4"/>
        <v>100</v>
      </c>
      <c r="J108" s="360"/>
      <c r="K108" s="51"/>
      <c r="L108" s="51">
        <f t="shared" si="6"/>
        <v>12</v>
      </c>
      <c r="M108" s="51">
        <f t="shared" si="7"/>
        <v>100</v>
      </c>
      <c r="N108" s="345" t="s">
        <v>1214</v>
      </c>
      <c r="O108" s="348" t="s">
        <v>974</v>
      </c>
    </row>
    <row r="109" spans="1:15" ht="15" x14ac:dyDescent="0.2">
      <c r="A109" s="343">
        <v>102</v>
      </c>
      <c r="B109" s="47" t="s">
        <v>775</v>
      </c>
      <c r="C109" s="344" t="s">
        <v>776</v>
      </c>
      <c r="D109" s="48">
        <v>1</v>
      </c>
      <c r="E109" s="345"/>
      <c r="F109" s="51"/>
      <c r="G109" s="345"/>
      <c r="H109" s="346">
        <v>0</v>
      </c>
      <c r="I109" s="347">
        <f t="shared" si="4"/>
        <v>0</v>
      </c>
      <c r="J109" s="360"/>
      <c r="K109" s="51"/>
      <c r="L109" s="51">
        <f t="shared" si="6"/>
        <v>0</v>
      </c>
      <c r="M109" s="51">
        <f t="shared" si="7"/>
        <v>0</v>
      </c>
      <c r="N109" s="345"/>
      <c r="O109" s="348"/>
    </row>
    <row r="110" spans="1:15" ht="15" x14ac:dyDescent="0.2">
      <c r="A110" s="343">
        <v>103</v>
      </c>
      <c r="B110" s="47" t="s">
        <v>777</v>
      </c>
      <c r="C110" s="344" t="s">
        <v>778</v>
      </c>
      <c r="D110" s="48">
        <v>15</v>
      </c>
      <c r="E110" s="345"/>
      <c r="F110" s="51"/>
      <c r="G110" s="345"/>
      <c r="H110" s="346">
        <v>1</v>
      </c>
      <c r="I110" s="347">
        <f t="shared" si="4"/>
        <v>6.666666666666667</v>
      </c>
      <c r="J110" s="360"/>
      <c r="K110" s="51"/>
      <c r="L110" s="51">
        <f t="shared" si="6"/>
        <v>1</v>
      </c>
      <c r="M110" s="51">
        <f t="shared" si="7"/>
        <v>6.666666666666667</v>
      </c>
      <c r="N110" s="345" t="s">
        <v>1214</v>
      </c>
      <c r="O110" s="348" t="s">
        <v>974</v>
      </c>
    </row>
    <row r="111" spans="1:15" ht="15" x14ac:dyDescent="0.2">
      <c r="A111" s="343">
        <v>104</v>
      </c>
      <c r="B111" s="47" t="s">
        <v>779</v>
      </c>
      <c r="C111" s="344" t="s">
        <v>780</v>
      </c>
      <c r="D111" s="48">
        <v>4</v>
      </c>
      <c r="E111" s="345"/>
      <c r="F111" s="51"/>
      <c r="G111" s="345"/>
      <c r="H111" s="346">
        <v>0</v>
      </c>
      <c r="I111" s="347">
        <f t="shared" si="4"/>
        <v>0</v>
      </c>
      <c r="J111" s="360"/>
      <c r="K111" s="51"/>
      <c r="L111" s="51">
        <f t="shared" si="6"/>
        <v>0</v>
      </c>
      <c r="M111" s="51">
        <f t="shared" si="7"/>
        <v>0</v>
      </c>
      <c r="N111" s="345"/>
      <c r="O111" s="348"/>
    </row>
    <row r="112" spans="1:15" ht="15" x14ac:dyDescent="0.2">
      <c r="A112" s="343">
        <v>105</v>
      </c>
      <c r="B112" s="47" t="s">
        <v>781</v>
      </c>
      <c r="C112" s="344" t="s">
        <v>782</v>
      </c>
      <c r="D112" s="48">
        <v>3</v>
      </c>
      <c r="E112" s="345"/>
      <c r="F112" s="51"/>
      <c r="G112" s="345"/>
      <c r="H112" s="346">
        <v>3</v>
      </c>
      <c r="I112" s="347">
        <f t="shared" si="4"/>
        <v>100</v>
      </c>
      <c r="J112" s="360"/>
      <c r="K112" s="51"/>
      <c r="L112" s="51">
        <f t="shared" si="6"/>
        <v>3</v>
      </c>
      <c r="M112" s="51">
        <f t="shared" si="7"/>
        <v>100</v>
      </c>
      <c r="N112" s="345" t="s">
        <v>1214</v>
      </c>
      <c r="O112" s="348" t="s">
        <v>974</v>
      </c>
    </row>
    <row r="113" spans="1:15" ht="15" x14ac:dyDescent="0.2">
      <c r="A113" s="343">
        <v>106</v>
      </c>
      <c r="B113" s="47" t="s">
        <v>783</v>
      </c>
      <c r="C113" s="344" t="s">
        <v>784</v>
      </c>
      <c r="D113" s="48">
        <v>9</v>
      </c>
      <c r="E113" s="345"/>
      <c r="F113" s="51"/>
      <c r="G113" s="345"/>
      <c r="H113" s="346">
        <v>0</v>
      </c>
      <c r="I113" s="347">
        <f t="shared" si="4"/>
        <v>0</v>
      </c>
      <c r="J113" s="360"/>
      <c r="K113" s="51"/>
      <c r="L113" s="51">
        <f t="shared" si="6"/>
        <v>0</v>
      </c>
      <c r="M113" s="51">
        <f t="shared" si="7"/>
        <v>0</v>
      </c>
      <c r="N113" s="345"/>
      <c r="O113" s="348"/>
    </row>
    <row r="114" spans="1:15" ht="15" x14ac:dyDescent="0.2">
      <c r="A114" s="349">
        <v>107</v>
      </c>
      <c r="B114" s="350" t="s">
        <v>184</v>
      </c>
      <c r="C114" s="351" t="s">
        <v>785</v>
      </c>
      <c r="D114" s="352">
        <v>51</v>
      </c>
      <c r="E114" s="353"/>
      <c r="F114" s="354"/>
      <c r="G114" s="353"/>
      <c r="H114" s="355">
        <v>14</v>
      </c>
      <c r="I114" s="356">
        <f t="shared" si="4"/>
        <v>27.450980392156861</v>
      </c>
      <c r="J114" s="357">
        <f>H114</f>
        <v>14</v>
      </c>
      <c r="K114" s="354">
        <f>I114</f>
        <v>27.450980392156861</v>
      </c>
      <c r="L114" s="354">
        <f>H114+28.4</f>
        <v>42.4</v>
      </c>
      <c r="M114" s="354">
        <f t="shared" si="7"/>
        <v>83.137254901960787</v>
      </c>
      <c r="N114" s="353"/>
      <c r="O114" s="358" t="s">
        <v>786</v>
      </c>
    </row>
    <row r="115" spans="1:15" ht="15" x14ac:dyDescent="0.2">
      <c r="A115" s="343">
        <v>108</v>
      </c>
      <c r="B115" s="47" t="s">
        <v>787</v>
      </c>
      <c r="C115" s="344" t="s">
        <v>788</v>
      </c>
      <c r="D115" s="48">
        <v>45</v>
      </c>
      <c r="E115" s="345"/>
      <c r="F115" s="51"/>
      <c r="G115" s="345"/>
      <c r="H115" s="346">
        <v>0</v>
      </c>
      <c r="I115" s="347">
        <f t="shared" si="4"/>
        <v>0</v>
      </c>
      <c r="J115" s="360"/>
      <c r="K115" s="51"/>
      <c r="L115" s="51">
        <f t="shared" si="6"/>
        <v>0</v>
      </c>
      <c r="M115" s="51">
        <f t="shared" si="7"/>
        <v>0</v>
      </c>
      <c r="N115" s="345"/>
      <c r="O115" s="348"/>
    </row>
    <row r="116" spans="1:15" ht="15" x14ac:dyDescent="0.2">
      <c r="A116" s="343">
        <v>109</v>
      </c>
      <c r="B116" s="47" t="s">
        <v>789</v>
      </c>
      <c r="C116" s="344" t="s">
        <v>790</v>
      </c>
      <c r="D116" s="48">
        <v>29.5</v>
      </c>
      <c r="E116" s="51"/>
      <c r="F116" s="51"/>
      <c r="G116" s="51"/>
      <c r="H116" s="346">
        <v>0</v>
      </c>
      <c r="I116" s="347">
        <f t="shared" si="4"/>
        <v>0</v>
      </c>
      <c r="J116" s="360"/>
      <c r="K116" s="51"/>
      <c r="L116" s="51">
        <f t="shared" si="6"/>
        <v>0</v>
      </c>
      <c r="M116" s="51">
        <f t="shared" si="7"/>
        <v>0</v>
      </c>
      <c r="N116" s="51"/>
      <c r="O116" s="373"/>
    </row>
    <row r="117" spans="1:15" ht="15" x14ac:dyDescent="0.2">
      <c r="A117" s="343">
        <v>110</v>
      </c>
      <c r="B117" s="47" t="s">
        <v>791</v>
      </c>
      <c r="C117" s="344" t="s">
        <v>792</v>
      </c>
      <c r="D117" s="48">
        <v>3</v>
      </c>
      <c r="E117" s="51"/>
      <c r="F117" s="51"/>
      <c r="G117" s="51"/>
      <c r="H117" s="346">
        <v>3</v>
      </c>
      <c r="I117" s="347">
        <f t="shared" si="4"/>
        <v>100</v>
      </c>
      <c r="J117" s="360"/>
      <c r="K117" s="51"/>
      <c r="L117" s="51">
        <f t="shared" si="6"/>
        <v>3</v>
      </c>
      <c r="M117" s="51">
        <f t="shared" si="7"/>
        <v>100</v>
      </c>
      <c r="N117" s="51" t="s">
        <v>979</v>
      </c>
      <c r="O117" s="377">
        <v>2024</v>
      </c>
    </row>
    <row r="118" spans="1:15" ht="15" x14ac:dyDescent="0.2">
      <c r="A118" s="343">
        <v>111</v>
      </c>
      <c r="B118" s="47" t="s">
        <v>793</v>
      </c>
      <c r="C118" s="344" t="s">
        <v>794</v>
      </c>
      <c r="D118" s="48">
        <v>4</v>
      </c>
      <c r="E118" s="51"/>
      <c r="F118" s="51"/>
      <c r="G118" s="51"/>
      <c r="H118" s="346">
        <v>4</v>
      </c>
      <c r="I118" s="347">
        <f t="shared" si="4"/>
        <v>100</v>
      </c>
      <c r="J118" s="360"/>
      <c r="K118" s="51"/>
      <c r="L118" s="51">
        <f t="shared" si="6"/>
        <v>4</v>
      </c>
      <c r="M118" s="51">
        <f t="shared" si="7"/>
        <v>100</v>
      </c>
      <c r="N118" s="51" t="s">
        <v>979</v>
      </c>
      <c r="O118" s="377">
        <v>2024</v>
      </c>
    </row>
    <row r="119" spans="1:15" ht="15" x14ac:dyDescent="0.2">
      <c r="A119" s="343">
        <v>112</v>
      </c>
      <c r="B119" s="47" t="s">
        <v>795</v>
      </c>
      <c r="C119" s="344" t="s">
        <v>796</v>
      </c>
      <c r="D119" s="48">
        <v>58</v>
      </c>
      <c r="E119" s="51"/>
      <c r="F119" s="51"/>
      <c r="G119" s="51"/>
      <c r="H119" s="346">
        <v>10</v>
      </c>
      <c r="I119" s="347">
        <f t="shared" si="4"/>
        <v>17.241379310344829</v>
      </c>
      <c r="J119" s="360"/>
      <c r="K119" s="51"/>
      <c r="L119" s="51">
        <f t="shared" si="6"/>
        <v>10</v>
      </c>
      <c r="M119" s="51">
        <f t="shared" si="7"/>
        <v>17.241379310344829</v>
      </c>
      <c r="N119" s="51" t="s">
        <v>979</v>
      </c>
      <c r="O119" s="377">
        <v>2024</v>
      </c>
    </row>
    <row r="120" spans="1:15" ht="15" x14ac:dyDescent="0.2">
      <c r="A120" s="343">
        <v>113</v>
      </c>
      <c r="B120" s="47" t="s">
        <v>797</v>
      </c>
      <c r="C120" s="344" t="s">
        <v>798</v>
      </c>
      <c r="D120" s="48">
        <v>103.35</v>
      </c>
      <c r="E120" s="51"/>
      <c r="F120" s="51"/>
      <c r="G120" s="51"/>
      <c r="H120" s="346">
        <f>35</f>
        <v>35</v>
      </c>
      <c r="I120" s="347">
        <f t="shared" si="4"/>
        <v>33.865505563618775</v>
      </c>
      <c r="J120" s="360"/>
      <c r="K120" s="51"/>
      <c r="L120" s="51">
        <f t="shared" si="6"/>
        <v>35</v>
      </c>
      <c r="M120" s="51">
        <f t="shared" si="7"/>
        <v>33.865505563618775</v>
      </c>
      <c r="N120" s="51" t="s">
        <v>979</v>
      </c>
      <c r="O120" s="377">
        <v>2024</v>
      </c>
    </row>
    <row r="121" spans="1:15" ht="15" x14ac:dyDescent="0.2">
      <c r="A121" s="343">
        <v>114</v>
      </c>
      <c r="B121" s="47" t="s">
        <v>799</v>
      </c>
      <c r="C121" s="344" t="s">
        <v>800</v>
      </c>
      <c r="D121" s="48">
        <v>52.45</v>
      </c>
      <c r="E121" s="51"/>
      <c r="F121" s="51"/>
      <c r="G121" s="51"/>
      <c r="H121" s="346">
        <v>0</v>
      </c>
      <c r="I121" s="347">
        <f t="shared" si="4"/>
        <v>0</v>
      </c>
      <c r="J121" s="360"/>
      <c r="K121" s="51"/>
      <c r="L121" s="51">
        <f t="shared" si="6"/>
        <v>0</v>
      </c>
      <c r="M121" s="51">
        <f t="shared" si="7"/>
        <v>0</v>
      </c>
      <c r="N121" s="51"/>
      <c r="O121" s="377"/>
    </row>
    <row r="122" spans="1:15" ht="15" x14ac:dyDescent="0.2">
      <c r="A122" s="343">
        <v>115</v>
      </c>
      <c r="B122" s="47" t="s">
        <v>801</v>
      </c>
      <c r="C122" s="344" t="s">
        <v>802</v>
      </c>
      <c r="D122" s="48">
        <v>5</v>
      </c>
      <c r="E122" s="51"/>
      <c r="F122" s="51"/>
      <c r="G122" s="51"/>
      <c r="H122" s="346">
        <v>0</v>
      </c>
      <c r="I122" s="347">
        <f t="shared" si="4"/>
        <v>0</v>
      </c>
      <c r="J122" s="360"/>
      <c r="K122" s="51"/>
      <c r="L122" s="51">
        <f t="shared" si="6"/>
        <v>0</v>
      </c>
      <c r="M122" s="51">
        <f t="shared" si="7"/>
        <v>0</v>
      </c>
      <c r="N122" s="51"/>
      <c r="O122" s="377"/>
    </row>
    <row r="123" spans="1:15" ht="15" x14ac:dyDescent="0.2">
      <c r="A123" s="343">
        <v>116</v>
      </c>
      <c r="B123" s="47" t="s">
        <v>803</v>
      </c>
      <c r="C123" s="344" t="s">
        <v>804</v>
      </c>
      <c r="D123" s="48">
        <v>24</v>
      </c>
      <c r="E123" s="51"/>
      <c r="F123" s="51"/>
      <c r="G123" s="51"/>
      <c r="H123" s="346">
        <v>8</v>
      </c>
      <c r="I123" s="347">
        <f t="shared" si="4"/>
        <v>33.333333333333336</v>
      </c>
      <c r="J123" s="360"/>
      <c r="K123" s="51"/>
      <c r="L123" s="51">
        <f t="shared" si="6"/>
        <v>8</v>
      </c>
      <c r="M123" s="51">
        <f t="shared" si="7"/>
        <v>33.333333333333336</v>
      </c>
      <c r="N123" s="51" t="s">
        <v>979</v>
      </c>
      <c r="O123" s="377">
        <v>2024</v>
      </c>
    </row>
    <row r="124" spans="1:15" ht="15" x14ac:dyDescent="0.2">
      <c r="A124" s="343">
        <v>117</v>
      </c>
      <c r="B124" s="47" t="s">
        <v>805</v>
      </c>
      <c r="C124" s="344" t="s">
        <v>806</v>
      </c>
      <c r="D124" s="48">
        <v>8</v>
      </c>
      <c r="E124" s="51"/>
      <c r="F124" s="51"/>
      <c r="G124" s="51"/>
      <c r="H124" s="346">
        <v>0</v>
      </c>
      <c r="I124" s="347">
        <f t="shared" si="4"/>
        <v>0</v>
      </c>
      <c r="J124" s="360"/>
      <c r="K124" s="51"/>
      <c r="L124" s="51">
        <f t="shared" si="6"/>
        <v>0</v>
      </c>
      <c r="M124" s="51">
        <f t="shared" si="7"/>
        <v>0</v>
      </c>
      <c r="N124" s="51"/>
      <c r="O124" s="377"/>
    </row>
    <row r="125" spans="1:15" ht="15" x14ac:dyDescent="0.2">
      <c r="A125" s="343">
        <v>118</v>
      </c>
      <c r="B125" s="47" t="s">
        <v>807</v>
      </c>
      <c r="C125" s="344" t="s">
        <v>808</v>
      </c>
      <c r="D125" s="48">
        <v>3</v>
      </c>
      <c r="E125" s="51"/>
      <c r="F125" s="51"/>
      <c r="G125" s="51"/>
      <c r="H125" s="346">
        <v>0</v>
      </c>
      <c r="I125" s="347">
        <f t="shared" si="4"/>
        <v>0</v>
      </c>
      <c r="J125" s="360"/>
      <c r="K125" s="51"/>
      <c r="L125" s="51">
        <f t="shared" si="6"/>
        <v>0</v>
      </c>
      <c r="M125" s="51">
        <f t="shared" si="7"/>
        <v>0</v>
      </c>
      <c r="N125" s="51"/>
      <c r="O125" s="377"/>
    </row>
    <row r="126" spans="1:15" ht="15" x14ac:dyDescent="0.2">
      <c r="A126" s="343">
        <v>119</v>
      </c>
      <c r="B126" s="47" t="s">
        <v>809</v>
      </c>
      <c r="C126" s="365" t="s">
        <v>1208</v>
      </c>
      <c r="D126" s="48">
        <v>135.80000000000001</v>
      </c>
      <c r="E126" s="51"/>
      <c r="F126" s="51"/>
      <c r="G126" s="51"/>
      <c r="H126" s="346">
        <v>30</v>
      </c>
      <c r="I126" s="347">
        <f t="shared" si="4"/>
        <v>22.091310751104565</v>
      </c>
      <c r="J126" s="360"/>
      <c r="K126" s="51"/>
      <c r="L126" s="51">
        <f t="shared" si="6"/>
        <v>30</v>
      </c>
      <c r="M126" s="51">
        <f t="shared" si="7"/>
        <v>22.091310751104565</v>
      </c>
      <c r="N126" s="51" t="s">
        <v>979</v>
      </c>
      <c r="O126" s="377">
        <v>2024</v>
      </c>
    </row>
    <row r="127" spans="1:15" ht="15" x14ac:dyDescent="0.2">
      <c r="A127" s="343">
        <v>120</v>
      </c>
      <c r="B127" s="47" t="s">
        <v>811</v>
      </c>
      <c r="C127" s="344" t="s">
        <v>812</v>
      </c>
      <c r="D127" s="48">
        <v>19</v>
      </c>
      <c r="E127" s="51"/>
      <c r="F127" s="51"/>
      <c r="G127" s="51"/>
      <c r="H127" s="346">
        <v>10</v>
      </c>
      <c r="I127" s="347">
        <f t="shared" si="4"/>
        <v>52.631578947368418</v>
      </c>
      <c r="J127" s="360"/>
      <c r="K127" s="51"/>
      <c r="L127" s="51">
        <f t="shared" si="6"/>
        <v>10</v>
      </c>
      <c r="M127" s="51">
        <f t="shared" si="7"/>
        <v>52.631578947368418</v>
      </c>
      <c r="N127" s="51" t="s">
        <v>979</v>
      </c>
      <c r="O127" s="377">
        <v>2024</v>
      </c>
    </row>
    <row r="128" spans="1:15" ht="15" x14ac:dyDescent="0.2">
      <c r="A128" s="343">
        <v>121</v>
      </c>
      <c r="B128" s="47" t="s">
        <v>813</v>
      </c>
      <c r="C128" s="344" t="s">
        <v>814</v>
      </c>
      <c r="D128" s="48">
        <v>57</v>
      </c>
      <c r="E128" s="51"/>
      <c r="F128" s="51"/>
      <c r="G128" s="51"/>
      <c r="H128" s="346">
        <f>40+7</f>
        <v>47</v>
      </c>
      <c r="I128" s="347">
        <f t="shared" si="4"/>
        <v>82.456140350877192</v>
      </c>
      <c r="J128" s="360"/>
      <c r="K128" s="51"/>
      <c r="L128" s="51">
        <f t="shared" si="6"/>
        <v>47</v>
      </c>
      <c r="M128" s="51">
        <f t="shared" si="7"/>
        <v>82.456140350877192</v>
      </c>
      <c r="N128" s="51" t="s">
        <v>979</v>
      </c>
      <c r="O128" s="377">
        <v>2024</v>
      </c>
    </row>
    <row r="129" spans="1:15" ht="15" x14ac:dyDescent="0.2">
      <c r="A129" s="349">
        <v>122</v>
      </c>
      <c r="B129" s="350" t="s">
        <v>100</v>
      </c>
      <c r="C129" s="351" t="s">
        <v>815</v>
      </c>
      <c r="D129" s="352">
        <v>12</v>
      </c>
      <c r="E129" s="354"/>
      <c r="F129" s="354"/>
      <c r="G129" s="354"/>
      <c r="H129" s="355">
        <v>0</v>
      </c>
      <c r="I129" s="356">
        <f t="shared" si="4"/>
        <v>0</v>
      </c>
      <c r="J129" s="357">
        <v>8.15</v>
      </c>
      <c r="K129" s="354">
        <f>J129/D129*100</f>
        <v>67.916666666666671</v>
      </c>
      <c r="L129" s="354">
        <f>8.15</f>
        <v>8.15</v>
      </c>
      <c r="M129" s="354">
        <f t="shared" si="7"/>
        <v>67.916666666666671</v>
      </c>
      <c r="N129" s="354" t="s">
        <v>592</v>
      </c>
      <c r="O129" s="374">
        <v>2019</v>
      </c>
    </row>
    <row r="130" spans="1:15" ht="15" x14ac:dyDescent="0.2">
      <c r="A130" s="343">
        <v>123</v>
      </c>
      <c r="B130" s="47" t="s">
        <v>816</v>
      </c>
      <c r="C130" s="344" t="s">
        <v>817</v>
      </c>
      <c r="D130" s="48">
        <v>7</v>
      </c>
      <c r="E130" s="51"/>
      <c r="F130" s="51"/>
      <c r="G130" s="51"/>
      <c r="H130" s="346">
        <v>7</v>
      </c>
      <c r="I130" s="347">
        <f t="shared" si="4"/>
        <v>100</v>
      </c>
      <c r="J130" s="360"/>
      <c r="K130" s="51"/>
      <c r="L130" s="51">
        <f t="shared" ref="L130:L143" si="8">H130</f>
        <v>7</v>
      </c>
      <c r="M130" s="51">
        <f t="shared" si="7"/>
        <v>100</v>
      </c>
      <c r="N130" s="51" t="s">
        <v>1214</v>
      </c>
      <c r="O130" s="377">
        <v>2024</v>
      </c>
    </row>
    <row r="131" spans="1:15" ht="15" x14ac:dyDescent="0.2">
      <c r="A131" s="343">
        <v>124</v>
      </c>
      <c r="B131" s="47" t="s">
        <v>818</v>
      </c>
      <c r="C131" s="344" t="s">
        <v>819</v>
      </c>
      <c r="D131" s="48">
        <v>1</v>
      </c>
      <c r="E131" s="51"/>
      <c r="F131" s="51"/>
      <c r="G131" s="51"/>
      <c r="H131" s="346">
        <v>1</v>
      </c>
      <c r="I131" s="347">
        <f t="shared" si="4"/>
        <v>100</v>
      </c>
      <c r="J131" s="360"/>
      <c r="K131" s="51"/>
      <c r="L131" s="51">
        <f t="shared" si="8"/>
        <v>1</v>
      </c>
      <c r="M131" s="51">
        <f t="shared" si="7"/>
        <v>100</v>
      </c>
      <c r="N131" s="51" t="s">
        <v>1214</v>
      </c>
      <c r="O131" s="377">
        <v>2024</v>
      </c>
    </row>
    <row r="132" spans="1:15" ht="15" x14ac:dyDescent="0.2">
      <c r="A132" s="343">
        <v>125</v>
      </c>
      <c r="B132" s="47" t="s">
        <v>820</v>
      </c>
      <c r="C132" s="344" t="s">
        <v>821</v>
      </c>
      <c r="D132" s="48">
        <v>1</v>
      </c>
      <c r="E132" s="51"/>
      <c r="F132" s="51"/>
      <c r="G132" s="51"/>
      <c r="H132" s="346">
        <v>0</v>
      </c>
      <c r="I132" s="347">
        <f t="shared" si="4"/>
        <v>0</v>
      </c>
      <c r="J132" s="360"/>
      <c r="K132" s="51"/>
      <c r="L132" s="51">
        <f t="shared" si="8"/>
        <v>0</v>
      </c>
      <c r="M132" s="51">
        <f t="shared" si="7"/>
        <v>0</v>
      </c>
      <c r="N132" s="51"/>
      <c r="O132" s="377"/>
    </row>
    <row r="133" spans="1:15" ht="15" x14ac:dyDescent="0.2">
      <c r="A133" s="343">
        <v>126</v>
      </c>
      <c r="B133" s="47" t="s">
        <v>822</v>
      </c>
      <c r="C133" s="344" t="s">
        <v>823</v>
      </c>
      <c r="D133" s="48">
        <v>7</v>
      </c>
      <c r="E133" s="51"/>
      <c r="F133" s="51"/>
      <c r="G133" s="51"/>
      <c r="H133" s="346">
        <v>7</v>
      </c>
      <c r="I133" s="347">
        <f t="shared" si="4"/>
        <v>100</v>
      </c>
      <c r="J133" s="360"/>
      <c r="K133" s="51"/>
      <c r="L133" s="51">
        <f t="shared" si="8"/>
        <v>7</v>
      </c>
      <c r="M133" s="51">
        <f t="shared" si="7"/>
        <v>100</v>
      </c>
      <c r="N133" s="51" t="s">
        <v>1214</v>
      </c>
      <c r="O133" s="377">
        <v>2024</v>
      </c>
    </row>
    <row r="134" spans="1:15" ht="15" x14ac:dyDescent="0.2">
      <c r="A134" s="343">
        <v>127</v>
      </c>
      <c r="B134" s="47" t="s">
        <v>824</v>
      </c>
      <c r="C134" s="344" t="s">
        <v>825</v>
      </c>
      <c r="D134" s="48">
        <v>4</v>
      </c>
      <c r="E134" s="51"/>
      <c r="F134" s="51"/>
      <c r="G134" s="51"/>
      <c r="H134" s="346">
        <v>4</v>
      </c>
      <c r="I134" s="347">
        <f t="shared" si="4"/>
        <v>100</v>
      </c>
      <c r="J134" s="360"/>
      <c r="K134" s="51"/>
      <c r="L134" s="51">
        <f t="shared" si="8"/>
        <v>4</v>
      </c>
      <c r="M134" s="51">
        <f t="shared" si="7"/>
        <v>100</v>
      </c>
      <c r="N134" s="51" t="s">
        <v>1214</v>
      </c>
      <c r="O134" s="377">
        <v>2024</v>
      </c>
    </row>
    <row r="135" spans="1:15" ht="15" x14ac:dyDescent="0.2">
      <c r="A135" s="343">
        <v>128</v>
      </c>
      <c r="B135" s="47" t="s">
        <v>826</v>
      </c>
      <c r="C135" s="344" t="s">
        <v>827</v>
      </c>
      <c r="D135" s="48">
        <v>29</v>
      </c>
      <c r="E135" s="51"/>
      <c r="F135" s="51"/>
      <c r="G135" s="51"/>
      <c r="H135" s="346">
        <v>0</v>
      </c>
      <c r="I135" s="347">
        <f t="shared" si="4"/>
        <v>0</v>
      </c>
      <c r="J135" s="360"/>
      <c r="K135" s="51"/>
      <c r="L135" s="51">
        <f t="shared" si="8"/>
        <v>0</v>
      </c>
      <c r="M135" s="51">
        <f t="shared" si="7"/>
        <v>0</v>
      </c>
      <c r="N135" s="51"/>
      <c r="O135" s="373"/>
    </row>
    <row r="136" spans="1:15" ht="15" x14ac:dyDescent="0.2">
      <c r="A136" s="343">
        <v>129</v>
      </c>
      <c r="B136" s="47" t="s">
        <v>828</v>
      </c>
      <c r="C136" s="344" t="s">
        <v>829</v>
      </c>
      <c r="D136" s="48">
        <v>70</v>
      </c>
      <c r="E136" s="51"/>
      <c r="F136" s="51"/>
      <c r="G136" s="51"/>
      <c r="H136" s="346">
        <f>1.3+20+1</f>
        <v>22.3</v>
      </c>
      <c r="I136" s="347">
        <f t="shared" si="4"/>
        <v>31.857142857142858</v>
      </c>
      <c r="J136" s="360"/>
      <c r="K136" s="51"/>
      <c r="L136" s="51">
        <f t="shared" si="8"/>
        <v>22.3</v>
      </c>
      <c r="M136" s="51">
        <f t="shared" si="7"/>
        <v>31.857142857142858</v>
      </c>
      <c r="N136" s="51" t="s">
        <v>979</v>
      </c>
      <c r="O136" s="377">
        <v>2024</v>
      </c>
    </row>
    <row r="137" spans="1:15" ht="15" x14ac:dyDescent="0.2">
      <c r="A137" s="343">
        <v>130</v>
      </c>
      <c r="B137" s="47" t="s">
        <v>830</v>
      </c>
      <c r="C137" s="344" t="s">
        <v>831</v>
      </c>
      <c r="D137" s="48">
        <v>22</v>
      </c>
      <c r="E137" s="51"/>
      <c r="F137" s="51"/>
      <c r="G137" s="51"/>
      <c r="H137" s="346">
        <v>10</v>
      </c>
      <c r="I137" s="347">
        <f t="shared" ref="I137:I200" si="9">H137*100/D137</f>
        <v>45.454545454545453</v>
      </c>
      <c r="J137" s="360"/>
      <c r="K137" s="51"/>
      <c r="L137" s="51">
        <f t="shared" si="8"/>
        <v>10</v>
      </c>
      <c r="M137" s="51">
        <f t="shared" si="7"/>
        <v>45.454545454545453</v>
      </c>
      <c r="N137" s="51" t="s">
        <v>979</v>
      </c>
      <c r="O137" s="377">
        <v>2024</v>
      </c>
    </row>
    <row r="138" spans="1:15" ht="15" x14ac:dyDescent="0.2">
      <c r="A138" s="343">
        <v>131</v>
      </c>
      <c r="B138" s="47" t="s">
        <v>832</v>
      </c>
      <c r="C138" s="344" t="s">
        <v>833</v>
      </c>
      <c r="D138" s="48">
        <v>24</v>
      </c>
      <c r="E138" s="51"/>
      <c r="F138" s="51"/>
      <c r="G138" s="51"/>
      <c r="H138" s="346">
        <v>1.35</v>
      </c>
      <c r="I138" s="347">
        <f t="shared" si="9"/>
        <v>5.625</v>
      </c>
      <c r="J138" s="360"/>
      <c r="K138" s="51"/>
      <c r="L138" s="51">
        <f t="shared" si="8"/>
        <v>1.35</v>
      </c>
      <c r="M138" s="51">
        <f t="shared" si="7"/>
        <v>5.625</v>
      </c>
      <c r="N138" s="51" t="s">
        <v>979</v>
      </c>
      <c r="O138" s="377">
        <v>2024</v>
      </c>
    </row>
    <row r="139" spans="1:15" ht="15" x14ac:dyDescent="0.2">
      <c r="A139" s="343">
        <v>132</v>
      </c>
      <c r="B139" s="47" t="s">
        <v>834</v>
      </c>
      <c r="C139" s="344" t="s">
        <v>835</v>
      </c>
      <c r="D139" s="48">
        <v>12</v>
      </c>
      <c r="E139" s="51"/>
      <c r="F139" s="51"/>
      <c r="G139" s="51"/>
      <c r="H139" s="346">
        <v>0</v>
      </c>
      <c r="I139" s="347">
        <f t="shared" si="9"/>
        <v>0</v>
      </c>
      <c r="J139" s="360"/>
      <c r="K139" s="51"/>
      <c r="L139" s="51">
        <f t="shared" si="8"/>
        <v>0</v>
      </c>
      <c r="M139" s="51">
        <f t="shared" si="7"/>
        <v>0</v>
      </c>
      <c r="N139" s="51"/>
      <c r="O139" s="377"/>
    </row>
    <row r="140" spans="1:15" ht="15" x14ac:dyDescent="0.2">
      <c r="A140" s="343">
        <v>133</v>
      </c>
      <c r="B140" s="47" t="s">
        <v>836</v>
      </c>
      <c r="C140" s="344" t="s">
        <v>837</v>
      </c>
      <c r="D140" s="48">
        <v>12</v>
      </c>
      <c r="E140" s="51"/>
      <c r="F140" s="51"/>
      <c r="G140" s="51"/>
      <c r="H140" s="346">
        <v>0</v>
      </c>
      <c r="I140" s="347">
        <f t="shared" si="9"/>
        <v>0</v>
      </c>
      <c r="J140" s="360"/>
      <c r="K140" s="51"/>
      <c r="L140" s="51">
        <f t="shared" si="8"/>
        <v>0</v>
      </c>
      <c r="M140" s="51">
        <f t="shared" si="7"/>
        <v>0</v>
      </c>
      <c r="N140" s="51"/>
      <c r="O140" s="377"/>
    </row>
    <row r="141" spans="1:15" ht="15" x14ac:dyDescent="0.2">
      <c r="A141" s="343">
        <v>134</v>
      </c>
      <c r="B141" s="47" t="s">
        <v>838</v>
      </c>
      <c r="C141" s="344" t="s">
        <v>839</v>
      </c>
      <c r="D141" s="48">
        <v>32</v>
      </c>
      <c r="E141" s="51"/>
      <c r="F141" s="51"/>
      <c r="G141" s="51"/>
      <c r="H141" s="346">
        <v>15</v>
      </c>
      <c r="I141" s="347">
        <f t="shared" si="9"/>
        <v>46.875</v>
      </c>
      <c r="J141" s="360"/>
      <c r="K141" s="51"/>
      <c r="L141" s="51">
        <f t="shared" si="8"/>
        <v>15</v>
      </c>
      <c r="M141" s="51">
        <f t="shared" si="7"/>
        <v>46.875</v>
      </c>
      <c r="N141" s="51" t="s">
        <v>1214</v>
      </c>
      <c r="O141" s="377">
        <v>2024</v>
      </c>
    </row>
    <row r="142" spans="1:15" ht="14.25" customHeight="1" x14ac:dyDescent="0.2">
      <c r="A142" s="343">
        <v>135</v>
      </c>
      <c r="B142" s="47" t="s">
        <v>840</v>
      </c>
      <c r="C142" s="344" t="s">
        <v>841</v>
      </c>
      <c r="D142" s="48">
        <v>20.350000000000001</v>
      </c>
      <c r="E142" s="51"/>
      <c r="F142" s="51"/>
      <c r="G142" s="51"/>
      <c r="H142" s="346">
        <v>0.93899999999999995</v>
      </c>
      <c r="I142" s="347">
        <f t="shared" si="9"/>
        <v>4.6142506142506132</v>
      </c>
      <c r="J142" s="360"/>
      <c r="K142" s="51"/>
      <c r="L142" s="51">
        <f t="shared" si="8"/>
        <v>0.93899999999999995</v>
      </c>
      <c r="M142" s="51">
        <f t="shared" si="7"/>
        <v>4.6142506142506132</v>
      </c>
      <c r="N142" s="51" t="s">
        <v>1214</v>
      </c>
      <c r="O142" s="377">
        <v>2024</v>
      </c>
    </row>
    <row r="143" spans="1:15" ht="15" x14ac:dyDescent="0.2">
      <c r="A143" s="343">
        <v>136</v>
      </c>
      <c r="B143" s="47" t="s">
        <v>842</v>
      </c>
      <c r="C143" s="344" t="s">
        <v>843</v>
      </c>
      <c r="D143" s="48">
        <v>43</v>
      </c>
      <c r="E143" s="51"/>
      <c r="F143" s="51"/>
      <c r="G143" s="51"/>
      <c r="H143" s="346">
        <v>0</v>
      </c>
      <c r="I143" s="347">
        <f t="shared" si="9"/>
        <v>0</v>
      </c>
      <c r="J143" s="360"/>
      <c r="K143" s="51"/>
      <c r="L143" s="51">
        <f t="shared" si="8"/>
        <v>0</v>
      </c>
      <c r="M143" s="51">
        <f t="shared" si="7"/>
        <v>0</v>
      </c>
      <c r="N143" s="51"/>
      <c r="O143" s="373"/>
    </row>
    <row r="144" spans="1:15" s="595" customFormat="1" ht="15" x14ac:dyDescent="0.2">
      <c r="A144" s="585">
        <v>137</v>
      </c>
      <c r="B144" s="586" t="s">
        <v>237</v>
      </c>
      <c r="C144" s="587" t="s">
        <v>844</v>
      </c>
      <c r="D144" s="57">
        <v>48.48</v>
      </c>
      <c r="E144" s="588">
        <v>6</v>
      </c>
      <c r="F144" s="588">
        <v>12</v>
      </c>
      <c r="G144" s="588">
        <v>2016</v>
      </c>
      <c r="H144" s="589">
        <v>48.48</v>
      </c>
      <c r="I144" s="590">
        <f t="shared" si="9"/>
        <v>100</v>
      </c>
      <c r="J144" s="591"/>
      <c r="K144" s="592"/>
      <c r="L144" s="592">
        <v>48.48</v>
      </c>
      <c r="M144" s="592">
        <f t="shared" si="7"/>
        <v>100</v>
      </c>
      <c r="N144" s="592"/>
      <c r="O144" s="593" t="s">
        <v>971</v>
      </c>
    </row>
    <row r="145" spans="1:15" ht="14.25" customHeight="1" x14ac:dyDescent="0.2">
      <c r="A145" s="343">
        <v>138</v>
      </c>
      <c r="B145" s="47" t="s">
        <v>221</v>
      </c>
      <c r="C145" s="344" t="s">
        <v>845</v>
      </c>
      <c r="D145" s="48">
        <v>15</v>
      </c>
      <c r="E145" s="375">
        <v>9</v>
      </c>
      <c r="F145" s="375">
        <v>60</v>
      </c>
      <c r="G145" s="375">
        <v>2016</v>
      </c>
      <c r="H145" s="346">
        <v>6</v>
      </c>
      <c r="I145" s="347">
        <f t="shared" si="9"/>
        <v>40</v>
      </c>
      <c r="J145" s="360"/>
      <c r="K145" s="51"/>
      <c r="L145" s="51">
        <f>H145</f>
        <v>6</v>
      </c>
      <c r="M145" s="51">
        <f t="shared" si="7"/>
        <v>40</v>
      </c>
      <c r="N145" s="51" t="s">
        <v>1214</v>
      </c>
      <c r="O145" s="377">
        <v>2023</v>
      </c>
    </row>
    <row r="146" spans="1:15" ht="15" x14ac:dyDescent="0.2">
      <c r="A146" s="349">
        <v>139</v>
      </c>
      <c r="B146" s="350" t="s">
        <v>207</v>
      </c>
      <c r="C146" s="351" t="s">
        <v>846</v>
      </c>
      <c r="D146" s="352">
        <v>22.3</v>
      </c>
      <c r="E146" s="359"/>
      <c r="F146" s="359"/>
      <c r="G146" s="359"/>
      <c r="H146" s="355">
        <v>10</v>
      </c>
      <c r="I146" s="356">
        <f t="shared" si="9"/>
        <v>44.843049327354258</v>
      </c>
      <c r="J146" s="357">
        <f>H146</f>
        <v>10</v>
      </c>
      <c r="K146" s="354">
        <f>I146</f>
        <v>44.843049327354258</v>
      </c>
      <c r="L146" s="354">
        <f>12.3+H146</f>
        <v>22.3</v>
      </c>
      <c r="M146" s="354">
        <f t="shared" si="7"/>
        <v>100</v>
      </c>
      <c r="N146" s="354"/>
      <c r="O146" s="376" t="s">
        <v>847</v>
      </c>
    </row>
    <row r="147" spans="1:15" ht="15" x14ac:dyDescent="0.2">
      <c r="A147" s="349">
        <v>140</v>
      </c>
      <c r="B147" s="350" t="s">
        <v>203</v>
      </c>
      <c r="C147" s="351" t="s">
        <v>848</v>
      </c>
      <c r="D147" s="352">
        <v>9.125</v>
      </c>
      <c r="E147" s="359"/>
      <c r="F147" s="359"/>
      <c r="G147" s="359"/>
      <c r="H147" s="355">
        <v>0</v>
      </c>
      <c r="I147" s="356">
        <f t="shared" si="9"/>
        <v>0</v>
      </c>
      <c r="J147" s="357">
        <v>0</v>
      </c>
      <c r="K147" s="354">
        <v>0</v>
      </c>
      <c r="L147" s="357">
        <v>9.125</v>
      </c>
      <c r="M147" s="354">
        <f t="shared" si="7"/>
        <v>100</v>
      </c>
      <c r="N147" s="354"/>
      <c r="O147" s="374">
        <v>2022</v>
      </c>
    </row>
    <row r="148" spans="1:15" ht="15" x14ac:dyDescent="0.2">
      <c r="A148" s="343">
        <v>141</v>
      </c>
      <c r="B148" s="47" t="s">
        <v>849</v>
      </c>
      <c r="C148" s="344" t="s">
        <v>850</v>
      </c>
      <c r="D148" s="48">
        <v>9</v>
      </c>
      <c r="E148" s="375"/>
      <c r="F148" s="375"/>
      <c r="G148" s="375"/>
      <c r="H148" s="346">
        <v>9</v>
      </c>
      <c r="I148" s="347">
        <f t="shared" si="9"/>
        <v>100</v>
      </c>
      <c r="J148" s="360"/>
      <c r="K148" s="51"/>
      <c r="L148" s="51">
        <f>H148</f>
        <v>9</v>
      </c>
      <c r="M148" s="51">
        <f t="shared" si="7"/>
        <v>100</v>
      </c>
      <c r="N148" s="51" t="s">
        <v>979</v>
      </c>
      <c r="O148" s="377">
        <v>2019</v>
      </c>
    </row>
    <row r="149" spans="1:15" ht="15" x14ac:dyDescent="0.2">
      <c r="A149" s="343">
        <v>142</v>
      </c>
      <c r="B149" s="47" t="s">
        <v>851</v>
      </c>
      <c r="C149" s="344" t="s">
        <v>852</v>
      </c>
      <c r="D149" s="48">
        <v>4</v>
      </c>
      <c r="E149" s="375">
        <v>4</v>
      </c>
      <c r="F149" s="375">
        <v>100</v>
      </c>
      <c r="G149" s="375" t="s">
        <v>853</v>
      </c>
      <c r="H149" s="346">
        <v>4</v>
      </c>
      <c r="I149" s="347">
        <f t="shared" si="9"/>
        <v>100</v>
      </c>
      <c r="J149" s="360"/>
      <c r="K149" s="51"/>
      <c r="L149" s="51">
        <f>H149</f>
        <v>4</v>
      </c>
      <c r="M149" s="51">
        <f t="shared" si="7"/>
        <v>100</v>
      </c>
      <c r="N149" s="51" t="s">
        <v>979</v>
      </c>
      <c r="O149" s="377">
        <v>2019</v>
      </c>
    </row>
    <row r="150" spans="1:15" ht="15" x14ac:dyDescent="0.2">
      <c r="A150" s="349">
        <v>143</v>
      </c>
      <c r="B150" s="350" t="s">
        <v>106</v>
      </c>
      <c r="C150" s="351" t="s">
        <v>854</v>
      </c>
      <c r="D150" s="352">
        <v>55</v>
      </c>
      <c r="E150" s="359"/>
      <c r="F150" s="359"/>
      <c r="G150" s="359"/>
      <c r="H150" s="355">
        <v>0</v>
      </c>
      <c r="I150" s="356">
        <v>0</v>
      </c>
      <c r="J150" s="357">
        <v>10</v>
      </c>
      <c r="K150" s="354">
        <f>J150/D150*100</f>
        <v>18.181818181818183</v>
      </c>
      <c r="L150" s="354">
        <v>55</v>
      </c>
      <c r="M150" s="354">
        <f t="shared" si="7"/>
        <v>100</v>
      </c>
      <c r="N150" s="354" t="s">
        <v>696</v>
      </c>
      <c r="O150" s="374" t="s">
        <v>855</v>
      </c>
    </row>
    <row r="151" spans="1:15" ht="15" x14ac:dyDescent="0.2">
      <c r="A151" s="343">
        <v>144</v>
      </c>
      <c r="B151" s="47" t="s">
        <v>856</v>
      </c>
      <c r="C151" s="344" t="s">
        <v>857</v>
      </c>
      <c r="D151" s="48">
        <v>7</v>
      </c>
      <c r="E151" s="375"/>
      <c r="F151" s="375"/>
      <c r="G151" s="375"/>
      <c r="H151" s="346">
        <f>7-7</f>
        <v>0</v>
      </c>
      <c r="I151" s="347">
        <f t="shared" si="9"/>
        <v>0</v>
      </c>
      <c r="J151" s="360"/>
      <c r="K151" s="51"/>
      <c r="L151" s="51">
        <v>0</v>
      </c>
      <c r="M151" s="51">
        <f t="shared" si="7"/>
        <v>0</v>
      </c>
      <c r="N151" s="51"/>
      <c r="O151" s="377"/>
    </row>
    <row r="152" spans="1:15" ht="15" x14ac:dyDescent="0.2">
      <c r="A152" s="343">
        <v>145</v>
      </c>
      <c r="B152" s="47" t="s">
        <v>858</v>
      </c>
      <c r="C152" s="344" t="s">
        <v>859</v>
      </c>
      <c r="D152" s="48">
        <v>32</v>
      </c>
      <c r="E152" s="375"/>
      <c r="F152" s="375"/>
      <c r="G152" s="375"/>
      <c r="H152" s="346">
        <v>0</v>
      </c>
      <c r="I152" s="347">
        <f t="shared" si="9"/>
        <v>0</v>
      </c>
      <c r="J152" s="360"/>
      <c r="K152" s="51"/>
      <c r="L152" s="51">
        <f>H152</f>
        <v>0</v>
      </c>
      <c r="M152" s="51">
        <f t="shared" si="7"/>
        <v>0</v>
      </c>
      <c r="N152" s="51"/>
      <c r="O152" s="373"/>
    </row>
    <row r="153" spans="1:15" ht="15" x14ac:dyDescent="0.2">
      <c r="A153" s="343">
        <v>146</v>
      </c>
      <c r="B153" s="47" t="s">
        <v>860</v>
      </c>
      <c r="C153" s="344" t="s">
        <v>861</v>
      </c>
      <c r="D153" s="48">
        <v>3.6</v>
      </c>
      <c r="E153" s="378">
        <v>3.6</v>
      </c>
      <c r="F153" s="375">
        <v>100</v>
      </c>
      <c r="G153" s="375" t="s">
        <v>862</v>
      </c>
      <c r="H153" s="346">
        <v>3.6</v>
      </c>
      <c r="I153" s="347">
        <f t="shared" si="9"/>
        <v>100</v>
      </c>
      <c r="J153" s="360"/>
      <c r="K153" s="51"/>
      <c r="L153" s="51">
        <f>H153</f>
        <v>3.6</v>
      </c>
      <c r="M153" s="51">
        <f t="shared" si="7"/>
        <v>100</v>
      </c>
      <c r="N153" s="51" t="s">
        <v>979</v>
      </c>
      <c r="O153" s="377">
        <v>2019</v>
      </c>
    </row>
    <row r="154" spans="1:15" ht="15" x14ac:dyDescent="0.2">
      <c r="A154" s="343">
        <v>147</v>
      </c>
      <c r="B154" s="47" t="s">
        <v>863</v>
      </c>
      <c r="C154" s="344" t="s">
        <v>864</v>
      </c>
      <c r="D154" s="48">
        <v>7</v>
      </c>
      <c r="E154" s="51"/>
      <c r="F154" s="51"/>
      <c r="G154" s="51"/>
      <c r="H154" s="346">
        <v>7</v>
      </c>
      <c r="I154" s="347">
        <f t="shared" si="9"/>
        <v>100</v>
      </c>
      <c r="J154" s="360"/>
      <c r="K154" s="51"/>
      <c r="L154" s="51">
        <f t="shared" ref="L154:L184" si="10">H154</f>
        <v>7</v>
      </c>
      <c r="M154" s="51">
        <f t="shared" si="7"/>
        <v>100</v>
      </c>
      <c r="N154" s="51" t="s">
        <v>979</v>
      </c>
      <c r="O154" s="377">
        <v>2019</v>
      </c>
    </row>
    <row r="155" spans="1:15" ht="15" x14ac:dyDescent="0.2">
      <c r="A155" s="343">
        <v>148</v>
      </c>
      <c r="B155" s="47" t="s">
        <v>865</v>
      </c>
      <c r="C155" s="344" t="s">
        <v>866</v>
      </c>
      <c r="D155" s="48">
        <v>10</v>
      </c>
      <c r="E155" s="51"/>
      <c r="F155" s="51"/>
      <c r="G155" s="51"/>
      <c r="H155" s="346">
        <v>0</v>
      </c>
      <c r="I155" s="347">
        <f t="shared" si="9"/>
        <v>0</v>
      </c>
      <c r="J155" s="360"/>
      <c r="K155" s="51"/>
      <c r="L155" s="51">
        <f t="shared" si="10"/>
        <v>0</v>
      </c>
      <c r="M155" s="51">
        <f t="shared" si="7"/>
        <v>0</v>
      </c>
      <c r="N155" s="51"/>
      <c r="O155" s="373"/>
    </row>
    <row r="156" spans="1:15" ht="15" x14ac:dyDescent="0.2">
      <c r="A156" s="343">
        <v>149</v>
      </c>
      <c r="B156" s="47" t="s">
        <v>867</v>
      </c>
      <c r="C156" s="344" t="s">
        <v>868</v>
      </c>
      <c r="D156" s="48">
        <v>30.5</v>
      </c>
      <c r="E156" s="51"/>
      <c r="F156" s="51"/>
      <c r="G156" s="51"/>
      <c r="H156" s="346">
        <v>0</v>
      </c>
      <c r="I156" s="347">
        <f t="shared" si="9"/>
        <v>0</v>
      </c>
      <c r="J156" s="360"/>
      <c r="K156" s="51"/>
      <c r="L156" s="51">
        <f t="shared" si="10"/>
        <v>0</v>
      </c>
      <c r="M156" s="51">
        <f t="shared" si="7"/>
        <v>0</v>
      </c>
      <c r="N156" s="51"/>
      <c r="O156" s="373"/>
    </row>
    <row r="157" spans="1:15" ht="15" x14ac:dyDescent="0.2">
      <c r="A157" s="343">
        <v>150</v>
      </c>
      <c r="B157" s="47" t="s">
        <v>869</v>
      </c>
      <c r="C157" s="344" t="s">
        <v>870</v>
      </c>
      <c r="D157" s="48">
        <v>22</v>
      </c>
      <c r="E157" s="51"/>
      <c r="F157" s="51"/>
      <c r="G157" s="51"/>
      <c r="H157" s="346">
        <v>0</v>
      </c>
      <c r="I157" s="347">
        <f t="shared" si="9"/>
        <v>0</v>
      </c>
      <c r="J157" s="360"/>
      <c r="K157" s="51"/>
      <c r="L157" s="51">
        <f t="shared" si="10"/>
        <v>0</v>
      </c>
      <c r="M157" s="51">
        <f t="shared" si="7"/>
        <v>0</v>
      </c>
      <c r="N157" s="51"/>
      <c r="O157" s="377"/>
    </row>
    <row r="158" spans="1:15" ht="15" x14ac:dyDescent="0.2">
      <c r="A158" s="343">
        <v>151</v>
      </c>
      <c r="B158" s="47" t="s">
        <v>871</v>
      </c>
      <c r="C158" s="344" t="s">
        <v>872</v>
      </c>
      <c r="D158" s="48">
        <v>1.3</v>
      </c>
      <c r="E158" s="51"/>
      <c r="F158" s="51"/>
      <c r="G158" s="51"/>
      <c r="H158" s="346">
        <v>1.3</v>
      </c>
      <c r="I158" s="347">
        <f t="shared" si="9"/>
        <v>100</v>
      </c>
      <c r="J158" s="360"/>
      <c r="K158" s="51"/>
      <c r="L158" s="51">
        <f t="shared" si="10"/>
        <v>1.3</v>
      </c>
      <c r="M158" s="51">
        <f t="shared" ref="M158:M207" si="11">L158*100/D158</f>
        <v>100</v>
      </c>
      <c r="N158" s="51" t="s">
        <v>979</v>
      </c>
      <c r="O158" s="377">
        <v>2019</v>
      </c>
    </row>
    <row r="159" spans="1:15" ht="15" x14ac:dyDescent="0.2">
      <c r="A159" s="343">
        <v>152</v>
      </c>
      <c r="B159" s="47" t="s">
        <v>873</v>
      </c>
      <c r="C159" s="344" t="s">
        <v>874</v>
      </c>
      <c r="D159" s="48">
        <v>3</v>
      </c>
      <c r="E159" s="51"/>
      <c r="F159" s="51"/>
      <c r="G159" s="51"/>
      <c r="H159" s="346">
        <v>0</v>
      </c>
      <c r="I159" s="347">
        <f t="shared" si="9"/>
        <v>0</v>
      </c>
      <c r="J159" s="360"/>
      <c r="K159" s="51"/>
      <c r="L159" s="51">
        <f t="shared" si="10"/>
        <v>0</v>
      </c>
      <c r="M159" s="51">
        <f t="shared" si="11"/>
        <v>0</v>
      </c>
      <c r="N159" s="51"/>
      <c r="O159" s="377"/>
    </row>
    <row r="160" spans="1:15" ht="15" x14ac:dyDescent="0.2">
      <c r="A160" s="343">
        <v>153</v>
      </c>
      <c r="B160" s="47" t="s">
        <v>875</v>
      </c>
      <c r="C160" s="344" t="s">
        <v>876</v>
      </c>
      <c r="D160" s="48">
        <v>19</v>
      </c>
      <c r="E160" s="51"/>
      <c r="F160" s="51"/>
      <c r="G160" s="51"/>
      <c r="H160" s="346">
        <v>19</v>
      </c>
      <c r="I160" s="347">
        <f t="shared" si="9"/>
        <v>100</v>
      </c>
      <c r="J160" s="360"/>
      <c r="K160" s="51"/>
      <c r="L160" s="51">
        <f t="shared" si="10"/>
        <v>19</v>
      </c>
      <c r="M160" s="51">
        <f t="shared" si="11"/>
        <v>100</v>
      </c>
      <c r="N160" s="51" t="s">
        <v>1214</v>
      </c>
      <c r="O160" s="377">
        <v>2020</v>
      </c>
    </row>
    <row r="161" spans="1:15" ht="15" x14ac:dyDescent="0.2">
      <c r="A161" s="343">
        <v>154</v>
      </c>
      <c r="B161" s="47" t="s">
        <v>877</v>
      </c>
      <c r="C161" s="344" t="s">
        <v>878</v>
      </c>
      <c r="D161" s="48">
        <v>2</v>
      </c>
      <c r="E161" s="51"/>
      <c r="F161" s="51"/>
      <c r="G161" s="51"/>
      <c r="H161" s="346">
        <v>0</v>
      </c>
      <c r="I161" s="347">
        <f t="shared" si="9"/>
        <v>0</v>
      </c>
      <c r="J161" s="360"/>
      <c r="K161" s="51"/>
      <c r="L161" s="51">
        <f t="shared" si="10"/>
        <v>0</v>
      </c>
      <c r="M161" s="51">
        <f t="shared" si="11"/>
        <v>0</v>
      </c>
      <c r="N161" s="51"/>
      <c r="O161" s="377"/>
    </row>
    <row r="162" spans="1:15" ht="15" x14ac:dyDescent="0.2">
      <c r="A162" s="343">
        <v>155</v>
      </c>
      <c r="B162" s="47" t="s">
        <v>879</v>
      </c>
      <c r="C162" s="344" t="s">
        <v>880</v>
      </c>
      <c r="D162" s="48">
        <v>4</v>
      </c>
      <c r="E162" s="51"/>
      <c r="F162" s="51"/>
      <c r="G162" s="51"/>
      <c r="H162" s="346">
        <v>0</v>
      </c>
      <c r="I162" s="347">
        <f t="shared" si="9"/>
        <v>0</v>
      </c>
      <c r="J162" s="360"/>
      <c r="K162" s="51"/>
      <c r="L162" s="51">
        <f t="shared" si="10"/>
        <v>0</v>
      </c>
      <c r="M162" s="51">
        <f t="shared" si="11"/>
        <v>0</v>
      </c>
      <c r="N162" s="51"/>
      <c r="O162" s="377"/>
    </row>
    <row r="163" spans="1:15" ht="15" x14ac:dyDescent="0.2">
      <c r="A163" s="343">
        <v>156</v>
      </c>
      <c r="B163" s="47" t="s">
        <v>881</v>
      </c>
      <c r="C163" s="344" t="s">
        <v>882</v>
      </c>
      <c r="D163" s="48">
        <v>9</v>
      </c>
      <c r="E163" s="51"/>
      <c r="F163" s="51"/>
      <c r="G163" s="51"/>
      <c r="H163" s="346">
        <v>0</v>
      </c>
      <c r="I163" s="347">
        <f t="shared" si="9"/>
        <v>0</v>
      </c>
      <c r="J163" s="360"/>
      <c r="K163" s="51"/>
      <c r="L163" s="51">
        <f t="shared" si="10"/>
        <v>0</v>
      </c>
      <c r="M163" s="51">
        <f t="shared" si="11"/>
        <v>0</v>
      </c>
      <c r="N163" s="51"/>
      <c r="O163" s="377"/>
    </row>
    <row r="164" spans="1:15" ht="15" x14ac:dyDescent="0.2">
      <c r="A164" s="343">
        <v>157</v>
      </c>
      <c r="B164" s="47" t="s">
        <v>883</v>
      </c>
      <c r="C164" s="344" t="s">
        <v>884</v>
      </c>
      <c r="D164" s="48">
        <v>9</v>
      </c>
      <c r="E164" s="51"/>
      <c r="F164" s="51"/>
      <c r="G164" s="51"/>
      <c r="H164" s="346">
        <v>0</v>
      </c>
      <c r="I164" s="347">
        <f t="shared" si="9"/>
        <v>0</v>
      </c>
      <c r="J164" s="360"/>
      <c r="K164" s="51"/>
      <c r="L164" s="51">
        <f t="shared" si="10"/>
        <v>0</v>
      </c>
      <c r="M164" s="51">
        <f t="shared" si="11"/>
        <v>0</v>
      </c>
      <c r="N164" s="51"/>
      <c r="O164" s="377"/>
    </row>
    <row r="165" spans="1:15" ht="15" x14ac:dyDescent="0.2">
      <c r="A165" s="343">
        <v>158</v>
      </c>
      <c r="B165" s="47" t="s">
        <v>885</v>
      </c>
      <c r="C165" s="344" t="s">
        <v>886</v>
      </c>
      <c r="D165" s="48">
        <v>8</v>
      </c>
      <c r="E165" s="51"/>
      <c r="F165" s="51"/>
      <c r="G165" s="51"/>
      <c r="H165" s="346">
        <v>0</v>
      </c>
      <c r="I165" s="347">
        <f t="shared" si="9"/>
        <v>0</v>
      </c>
      <c r="J165" s="360"/>
      <c r="K165" s="51"/>
      <c r="L165" s="51">
        <f t="shared" si="10"/>
        <v>0</v>
      </c>
      <c r="M165" s="51">
        <f t="shared" si="11"/>
        <v>0</v>
      </c>
      <c r="N165" s="51"/>
      <c r="O165" s="377"/>
    </row>
    <row r="166" spans="1:15" ht="15" x14ac:dyDescent="0.2">
      <c r="A166" s="343">
        <v>159</v>
      </c>
      <c r="B166" s="47" t="s">
        <v>887</v>
      </c>
      <c r="C166" s="344" t="s">
        <v>888</v>
      </c>
      <c r="D166" s="48">
        <v>1</v>
      </c>
      <c r="E166" s="51"/>
      <c r="F166" s="51"/>
      <c r="G166" s="51"/>
      <c r="H166" s="346">
        <v>1</v>
      </c>
      <c r="I166" s="347">
        <f t="shared" si="9"/>
        <v>100</v>
      </c>
      <c r="J166" s="360"/>
      <c r="K166" s="51"/>
      <c r="L166" s="51">
        <f t="shared" si="10"/>
        <v>1</v>
      </c>
      <c r="M166" s="51">
        <f t="shared" si="11"/>
        <v>100</v>
      </c>
      <c r="N166" s="51" t="s">
        <v>1214</v>
      </c>
      <c r="O166" s="377">
        <v>2020</v>
      </c>
    </row>
    <row r="167" spans="1:15" ht="15" x14ac:dyDescent="0.2">
      <c r="A167" s="343">
        <v>160</v>
      </c>
      <c r="B167" s="47" t="s">
        <v>889</v>
      </c>
      <c r="C167" s="344" t="s">
        <v>890</v>
      </c>
      <c r="D167" s="48">
        <v>17</v>
      </c>
      <c r="E167" s="51"/>
      <c r="F167" s="51"/>
      <c r="G167" s="51"/>
      <c r="H167" s="346">
        <v>0</v>
      </c>
      <c r="I167" s="347">
        <f t="shared" si="9"/>
        <v>0</v>
      </c>
      <c r="J167" s="360"/>
      <c r="K167" s="51"/>
      <c r="L167" s="51">
        <f t="shared" si="10"/>
        <v>0</v>
      </c>
      <c r="M167" s="51">
        <f t="shared" si="11"/>
        <v>0</v>
      </c>
      <c r="N167" s="51"/>
      <c r="O167" s="377"/>
    </row>
    <row r="168" spans="1:15" ht="15" x14ac:dyDescent="0.2">
      <c r="A168" s="343">
        <v>161</v>
      </c>
      <c r="B168" s="47" t="s">
        <v>891</v>
      </c>
      <c r="C168" s="344" t="s">
        <v>892</v>
      </c>
      <c r="D168" s="48">
        <v>11</v>
      </c>
      <c r="E168" s="51"/>
      <c r="F168" s="51"/>
      <c r="G168" s="51"/>
      <c r="H168" s="346">
        <v>11</v>
      </c>
      <c r="I168" s="347">
        <f t="shared" si="9"/>
        <v>100</v>
      </c>
      <c r="J168" s="360"/>
      <c r="K168" s="51"/>
      <c r="L168" s="51">
        <f t="shared" si="10"/>
        <v>11</v>
      </c>
      <c r="M168" s="51">
        <f t="shared" si="11"/>
        <v>100</v>
      </c>
      <c r="N168" s="51" t="s">
        <v>1214</v>
      </c>
      <c r="O168" s="377">
        <v>2020</v>
      </c>
    </row>
    <row r="169" spans="1:15" ht="15" x14ac:dyDescent="0.2">
      <c r="A169" s="343">
        <v>162</v>
      </c>
      <c r="B169" s="47" t="s">
        <v>893</v>
      </c>
      <c r="C169" s="344" t="s">
        <v>894</v>
      </c>
      <c r="D169" s="48">
        <v>18</v>
      </c>
      <c r="E169" s="51"/>
      <c r="F169" s="51"/>
      <c r="G169" s="51"/>
      <c r="H169" s="346">
        <v>0</v>
      </c>
      <c r="I169" s="347">
        <f t="shared" si="9"/>
        <v>0</v>
      </c>
      <c r="J169" s="360"/>
      <c r="K169" s="51"/>
      <c r="L169" s="51">
        <f t="shared" si="10"/>
        <v>0</v>
      </c>
      <c r="M169" s="51">
        <f t="shared" si="11"/>
        <v>0</v>
      </c>
      <c r="N169" s="51"/>
      <c r="O169" s="377"/>
    </row>
    <row r="170" spans="1:15" ht="15" x14ac:dyDescent="0.2">
      <c r="A170" s="343">
        <v>163</v>
      </c>
      <c r="B170" s="47" t="s">
        <v>895</v>
      </c>
      <c r="C170" s="344" t="s">
        <v>896</v>
      </c>
      <c r="D170" s="48">
        <v>51</v>
      </c>
      <c r="E170" s="51"/>
      <c r="F170" s="51"/>
      <c r="G170" s="51"/>
      <c r="H170" s="346">
        <v>0</v>
      </c>
      <c r="I170" s="347">
        <f t="shared" si="9"/>
        <v>0</v>
      </c>
      <c r="J170" s="360"/>
      <c r="K170" s="51"/>
      <c r="L170" s="51">
        <f t="shared" si="10"/>
        <v>0</v>
      </c>
      <c r="M170" s="51">
        <f t="shared" si="11"/>
        <v>0</v>
      </c>
      <c r="N170" s="51"/>
      <c r="O170" s="377"/>
    </row>
    <row r="171" spans="1:15" ht="15" x14ac:dyDescent="0.2">
      <c r="A171" s="343">
        <v>164</v>
      </c>
      <c r="B171" s="47" t="s">
        <v>897</v>
      </c>
      <c r="C171" s="344" t="s">
        <v>898</v>
      </c>
      <c r="D171" s="48">
        <v>6</v>
      </c>
      <c r="E171" s="51"/>
      <c r="F171" s="51"/>
      <c r="G171" s="51"/>
      <c r="H171" s="346">
        <v>0</v>
      </c>
      <c r="I171" s="347">
        <f t="shared" si="9"/>
        <v>0</v>
      </c>
      <c r="J171" s="360"/>
      <c r="K171" s="51"/>
      <c r="L171" s="51">
        <f t="shared" si="10"/>
        <v>0</v>
      </c>
      <c r="M171" s="51">
        <f t="shared" si="11"/>
        <v>0</v>
      </c>
      <c r="N171" s="51"/>
      <c r="O171" s="377"/>
    </row>
    <row r="172" spans="1:15" ht="15" x14ac:dyDescent="0.2">
      <c r="A172" s="343">
        <v>165</v>
      </c>
      <c r="B172" s="47" t="s">
        <v>899</v>
      </c>
      <c r="C172" s="344" t="s">
        <v>900</v>
      </c>
      <c r="D172" s="48">
        <v>18</v>
      </c>
      <c r="E172" s="51"/>
      <c r="F172" s="51"/>
      <c r="G172" s="51"/>
      <c r="H172" s="346">
        <v>0</v>
      </c>
      <c r="I172" s="347">
        <f t="shared" si="9"/>
        <v>0</v>
      </c>
      <c r="J172" s="360"/>
      <c r="K172" s="51"/>
      <c r="L172" s="51">
        <f t="shared" si="10"/>
        <v>0</v>
      </c>
      <c r="M172" s="51">
        <f t="shared" si="11"/>
        <v>0</v>
      </c>
      <c r="N172" s="51"/>
      <c r="O172" s="377"/>
    </row>
    <row r="173" spans="1:15" ht="15" x14ac:dyDescent="0.2">
      <c r="A173" s="343">
        <v>166</v>
      </c>
      <c r="B173" s="47" t="s">
        <v>901</v>
      </c>
      <c r="C173" s="344" t="s">
        <v>902</v>
      </c>
      <c r="D173" s="48">
        <v>30</v>
      </c>
      <c r="E173" s="51"/>
      <c r="F173" s="51"/>
      <c r="G173" s="51"/>
      <c r="H173" s="346">
        <v>0</v>
      </c>
      <c r="I173" s="347">
        <f t="shared" si="9"/>
        <v>0</v>
      </c>
      <c r="J173" s="360"/>
      <c r="K173" s="51"/>
      <c r="L173" s="51">
        <f t="shared" si="10"/>
        <v>0</v>
      </c>
      <c r="M173" s="51">
        <f t="shared" si="11"/>
        <v>0</v>
      </c>
      <c r="N173" s="51"/>
      <c r="O173" s="377"/>
    </row>
    <row r="174" spans="1:15" ht="15" x14ac:dyDescent="0.2">
      <c r="A174" s="343">
        <v>167</v>
      </c>
      <c r="B174" s="47" t="s">
        <v>903</v>
      </c>
      <c r="C174" s="344" t="s">
        <v>904</v>
      </c>
      <c r="D174" s="48">
        <v>46</v>
      </c>
      <c r="E174" s="51"/>
      <c r="F174" s="51"/>
      <c r="G174" s="51"/>
      <c r="H174" s="346">
        <v>0</v>
      </c>
      <c r="I174" s="347">
        <f t="shared" si="9"/>
        <v>0</v>
      </c>
      <c r="J174" s="360"/>
      <c r="K174" s="51"/>
      <c r="L174" s="51">
        <f t="shared" si="10"/>
        <v>0</v>
      </c>
      <c r="M174" s="51">
        <f t="shared" si="11"/>
        <v>0</v>
      </c>
      <c r="N174" s="51"/>
      <c r="O174" s="377"/>
    </row>
    <row r="175" spans="1:15" ht="15" x14ac:dyDescent="0.2">
      <c r="A175" s="343">
        <v>168</v>
      </c>
      <c r="B175" s="47" t="s">
        <v>905</v>
      </c>
      <c r="C175" s="344" t="s">
        <v>906</v>
      </c>
      <c r="D175" s="48">
        <v>3</v>
      </c>
      <c r="E175" s="51"/>
      <c r="F175" s="51"/>
      <c r="G175" s="51"/>
      <c r="H175" s="346">
        <v>3</v>
      </c>
      <c r="I175" s="347">
        <f t="shared" si="9"/>
        <v>100</v>
      </c>
      <c r="J175" s="360"/>
      <c r="K175" s="51"/>
      <c r="L175" s="51">
        <f t="shared" si="10"/>
        <v>3</v>
      </c>
      <c r="M175" s="51">
        <f t="shared" si="11"/>
        <v>100</v>
      </c>
      <c r="N175" s="51" t="s">
        <v>1214</v>
      </c>
      <c r="O175" s="377">
        <v>2020</v>
      </c>
    </row>
    <row r="176" spans="1:15" ht="15" x14ac:dyDescent="0.2">
      <c r="A176" s="343">
        <v>169</v>
      </c>
      <c r="B176" s="47" t="s">
        <v>907</v>
      </c>
      <c r="C176" s="344" t="s">
        <v>908</v>
      </c>
      <c r="D176" s="48">
        <v>29</v>
      </c>
      <c r="E176" s="51"/>
      <c r="F176" s="51"/>
      <c r="G176" s="51"/>
      <c r="H176" s="346">
        <v>0</v>
      </c>
      <c r="I176" s="347">
        <f t="shared" si="9"/>
        <v>0</v>
      </c>
      <c r="J176" s="360"/>
      <c r="K176" s="51"/>
      <c r="L176" s="51">
        <f t="shared" si="10"/>
        <v>0</v>
      </c>
      <c r="M176" s="51">
        <f t="shared" si="11"/>
        <v>0</v>
      </c>
      <c r="N176" s="51"/>
      <c r="O176" s="377"/>
    </row>
    <row r="177" spans="1:15" ht="15" x14ac:dyDescent="0.2">
      <c r="A177" s="343">
        <v>170</v>
      </c>
      <c r="B177" s="47" t="s">
        <v>909</v>
      </c>
      <c r="C177" s="344" t="s">
        <v>910</v>
      </c>
      <c r="D177" s="48">
        <v>27.5</v>
      </c>
      <c r="E177" s="51"/>
      <c r="F177" s="51"/>
      <c r="G177" s="51"/>
      <c r="H177" s="346">
        <f>11.246+3+14.865-1.611</f>
        <v>27.5</v>
      </c>
      <c r="I177" s="347">
        <f t="shared" si="9"/>
        <v>100</v>
      </c>
      <c r="J177" s="360"/>
      <c r="K177" s="51"/>
      <c r="L177" s="51">
        <f t="shared" si="10"/>
        <v>27.5</v>
      </c>
      <c r="M177" s="51">
        <f t="shared" si="11"/>
        <v>100</v>
      </c>
      <c r="N177" s="51" t="s">
        <v>979</v>
      </c>
      <c r="O177" s="377">
        <v>2019</v>
      </c>
    </row>
    <row r="178" spans="1:15" ht="15" x14ac:dyDescent="0.2">
      <c r="A178" s="343">
        <v>171</v>
      </c>
      <c r="B178" s="47" t="s">
        <v>911</v>
      </c>
      <c r="C178" s="344" t="s">
        <v>912</v>
      </c>
      <c r="D178" s="48">
        <v>4</v>
      </c>
      <c r="E178" s="51"/>
      <c r="F178" s="51"/>
      <c r="G178" s="51"/>
      <c r="H178" s="346">
        <v>4</v>
      </c>
      <c r="I178" s="347">
        <f t="shared" si="9"/>
        <v>100</v>
      </c>
      <c r="J178" s="360"/>
      <c r="K178" s="51"/>
      <c r="L178" s="51">
        <f t="shared" si="10"/>
        <v>4</v>
      </c>
      <c r="M178" s="51">
        <f t="shared" si="11"/>
        <v>100</v>
      </c>
      <c r="N178" s="51" t="s">
        <v>1214</v>
      </c>
      <c r="O178" s="377">
        <v>2020</v>
      </c>
    </row>
    <row r="179" spans="1:15" ht="15" x14ac:dyDescent="0.2">
      <c r="A179" s="343">
        <v>172</v>
      </c>
      <c r="B179" s="47" t="s">
        <v>913</v>
      </c>
      <c r="C179" s="344" t="s">
        <v>914</v>
      </c>
      <c r="D179" s="48">
        <v>21</v>
      </c>
      <c r="E179" s="51"/>
      <c r="F179" s="51"/>
      <c r="G179" s="51"/>
      <c r="H179" s="346">
        <v>1.611</v>
      </c>
      <c r="I179" s="347">
        <f t="shared" si="9"/>
        <v>7.6714285714285708</v>
      </c>
      <c r="J179" s="360"/>
      <c r="K179" s="51"/>
      <c r="L179" s="51">
        <f t="shared" si="10"/>
        <v>1.611</v>
      </c>
      <c r="M179" s="51">
        <f t="shared" si="11"/>
        <v>7.6714285714285708</v>
      </c>
      <c r="N179" s="51" t="s">
        <v>1214</v>
      </c>
      <c r="O179" s="377">
        <v>2020</v>
      </c>
    </row>
    <row r="180" spans="1:15" ht="15" x14ac:dyDescent="0.2">
      <c r="A180" s="343">
        <v>173</v>
      </c>
      <c r="B180" s="47" t="s">
        <v>915</v>
      </c>
      <c r="C180" s="344" t="s">
        <v>916</v>
      </c>
      <c r="D180" s="48">
        <v>14.5</v>
      </c>
      <c r="E180" s="51"/>
      <c r="F180" s="51"/>
      <c r="G180" s="51"/>
      <c r="H180" s="346">
        <v>0</v>
      </c>
      <c r="I180" s="347">
        <f t="shared" si="9"/>
        <v>0</v>
      </c>
      <c r="J180" s="360"/>
      <c r="K180" s="51"/>
      <c r="L180" s="51">
        <f t="shared" si="10"/>
        <v>0</v>
      </c>
      <c r="M180" s="51">
        <f t="shared" si="11"/>
        <v>0</v>
      </c>
      <c r="N180" s="51" t="s">
        <v>979</v>
      </c>
      <c r="O180" s="377">
        <v>2024</v>
      </c>
    </row>
    <row r="181" spans="1:15" ht="15" x14ac:dyDescent="0.2">
      <c r="A181" s="343">
        <v>174</v>
      </c>
      <c r="B181" s="47" t="s">
        <v>917</v>
      </c>
      <c r="C181" s="344" t="s">
        <v>918</v>
      </c>
      <c r="D181" s="48">
        <v>87</v>
      </c>
      <c r="E181" s="51"/>
      <c r="F181" s="51"/>
      <c r="G181" s="51"/>
      <c r="H181" s="346">
        <f>20+10</f>
        <v>30</v>
      </c>
      <c r="I181" s="347">
        <f t="shared" si="9"/>
        <v>34.482758620689658</v>
      </c>
      <c r="J181" s="360"/>
      <c r="K181" s="51"/>
      <c r="L181" s="51">
        <f t="shared" si="10"/>
        <v>30</v>
      </c>
      <c r="M181" s="51">
        <f t="shared" si="11"/>
        <v>34.482758620689658</v>
      </c>
      <c r="N181" s="51" t="s">
        <v>979</v>
      </c>
      <c r="O181" s="377">
        <v>2024</v>
      </c>
    </row>
    <row r="182" spans="1:15" ht="15" x14ac:dyDescent="0.2">
      <c r="A182" s="343">
        <v>175</v>
      </c>
      <c r="B182" s="47" t="s">
        <v>919</v>
      </c>
      <c r="C182" s="344" t="s">
        <v>920</v>
      </c>
      <c r="D182" s="48">
        <v>14</v>
      </c>
      <c r="E182" s="51"/>
      <c r="F182" s="51"/>
      <c r="G182" s="51"/>
      <c r="H182" s="346">
        <v>0</v>
      </c>
      <c r="I182" s="347">
        <f t="shared" si="9"/>
        <v>0</v>
      </c>
      <c r="J182" s="360"/>
      <c r="K182" s="51"/>
      <c r="L182" s="51">
        <f t="shared" si="10"/>
        <v>0</v>
      </c>
      <c r="M182" s="51">
        <f t="shared" si="11"/>
        <v>0</v>
      </c>
      <c r="N182" s="51"/>
      <c r="O182" s="377"/>
    </row>
    <row r="183" spans="1:15" ht="15" x14ac:dyDescent="0.2">
      <c r="A183" s="343">
        <v>176</v>
      </c>
      <c r="B183" s="47" t="s">
        <v>921</v>
      </c>
      <c r="C183" s="344" t="s">
        <v>922</v>
      </c>
      <c r="D183" s="48">
        <v>43</v>
      </c>
      <c r="E183" s="51"/>
      <c r="F183" s="51"/>
      <c r="G183" s="51"/>
      <c r="H183" s="346">
        <v>10</v>
      </c>
      <c r="I183" s="347">
        <f t="shared" si="9"/>
        <v>23.255813953488371</v>
      </c>
      <c r="J183" s="360"/>
      <c r="K183" s="51"/>
      <c r="L183" s="51">
        <f t="shared" si="10"/>
        <v>10</v>
      </c>
      <c r="M183" s="51">
        <f t="shared" si="11"/>
        <v>23.255813953488371</v>
      </c>
      <c r="N183" s="51" t="s">
        <v>979</v>
      </c>
      <c r="O183" s="377">
        <v>2024</v>
      </c>
    </row>
    <row r="184" spans="1:15" ht="15" x14ac:dyDescent="0.2">
      <c r="A184" s="343">
        <v>177</v>
      </c>
      <c r="B184" s="47" t="s">
        <v>923</v>
      </c>
      <c r="C184" s="344" t="s">
        <v>924</v>
      </c>
      <c r="D184" s="48">
        <v>2.5</v>
      </c>
      <c r="E184" s="51"/>
      <c r="F184" s="51"/>
      <c r="G184" s="51"/>
      <c r="H184" s="346">
        <v>2.5</v>
      </c>
      <c r="I184" s="347">
        <f t="shared" si="9"/>
        <v>100</v>
      </c>
      <c r="J184" s="360"/>
      <c r="K184" s="51"/>
      <c r="L184" s="51">
        <f t="shared" si="10"/>
        <v>2.5</v>
      </c>
      <c r="M184" s="51">
        <f t="shared" si="11"/>
        <v>100</v>
      </c>
      <c r="N184" s="51" t="s">
        <v>1214</v>
      </c>
      <c r="O184" s="377">
        <v>2021</v>
      </c>
    </row>
    <row r="185" spans="1:15" ht="15" x14ac:dyDescent="0.2">
      <c r="A185" s="349">
        <v>178</v>
      </c>
      <c r="B185" s="350" t="s">
        <v>142</v>
      </c>
      <c r="C185" s="351" t="s">
        <v>925</v>
      </c>
      <c r="D185" s="352">
        <v>8</v>
      </c>
      <c r="E185" s="354"/>
      <c r="F185" s="354"/>
      <c r="G185" s="354"/>
      <c r="H185" s="355">
        <f>3-3</f>
        <v>0</v>
      </c>
      <c r="I185" s="356">
        <f t="shared" si="9"/>
        <v>0</v>
      </c>
      <c r="J185" s="357">
        <v>0</v>
      </c>
      <c r="K185" s="354">
        <v>0</v>
      </c>
      <c r="L185" s="354">
        <v>8</v>
      </c>
      <c r="M185" s="354">
        <f t="shared" si="11"/>
        <v>100</v>
      </c>
      <c r="N185" s="354" t="s">
        <v>592</v>
      </c>
      <c r="O185" s="374">
        <v>2020</v>
      </c>
    </row>
    <row r="186" spans="1:15" ht="15" x14ac:dyDescent="0.2">
      <c r="A186" s="349">
        <v>179</v>
      </c>
      <c r="B186" s="350" t="s">
        <v>186</v>
      </c>
      <c r="C186" s="351" t="s">
        <v>926</v>
      </c>
      <c r="D186" s="352">
        <v>10</v>
      </c>
      <c r="E186" s="354"/>
      <c r="F186" s="354"/>
      <c r="G186" s="354"/>
      <c r="H186" s="355">
        <v>0</v>
      </c>
      <c r="I186" s="356">
        <f t="shared" si="9"/>
        <v>0</v>
      </c>
      <c r="J186" s="357">
        <v>0</v>
      </c>
      <c r="K186" s="354">
        <v>0</v>
      </c>
      <c r="L186" s="354">
        <v>10</v>
      </c>
      <c r="M186" s="354">
        <f t="shared" si="11"/>
        <v>100</v>
      </c>
      <c r="N186" s="354"/>
      <c r="O186" s="374">
        <v>2022</v>
      </c>
    </row>
    <row r="187" spans="1:15" ht="30" x14ac:dyDescent="0.2">
      <c r="A187" s="343">
        <v>180</v>
      </c>
      <c r="B187" s="47" t="s">
        <v>927</v>
      </c>
      <c r="C187" s="344" t="s">
        <v>928</v>
      </c>
      <c r="D187" s="48">
        <v>17</v>
      </c>
      <c r="E187" s="51"/>
      <c r="F187" s="51"/>
      <c r="G187" s="51"/>
      <c r="H187" s="346">
        <v>0</v>
      </c>
      <c r="I187" s="347">
        <f t="shared" si="9"/>
        <v>0</v>
      </c>
      <c r="J187" s="360"/>
      <c r="K187" s="51"/>
      <c r="L187" s="51">
        <f t="shared" ref="L187:L200" si="12">H187</f>
        <v>0</v>
      </c>
      <c r="M187" s="51">
        <f t="shared" si="11"/>
        <v>0</v>
      </c>
      <c r="N187" s="51"/>
      <c r="O187" s="377"/>
    </row>
    <row r="188" spans="1:15" ht="15" x14ac:dyDescent="0.2">
      <c r="A188" s="343">
        <v>181</v>
      </c>
      <c r="B188" s="47" t="s">
        <v>929</v>
      </c>
      <c r="C188" s="344" t="s">
        <v>930</v>
      </c>
      <c r="D188" s="48">
        <v>51</v>
      </c>
      <c r="E188" s="51"/>
      <c r="F188" s="51"/>
      <c r="G188" s="51"/>
      <c r="H188" s="346">
        <f>10-8.3</f>
        <v>1.6999999999999993</v>
      </c>
      <c r="I188" s="347">
        <f t="shared" si="9"/>
        <v>3.3333333333333321</v>
      </c>
      <c r="J188" s="360"/>
      <c r="K188" s="51"/>
      <c r="L188" s="51">
        <f t="shared" si="12"/>
        <v>1.6999999999999993</v>
      </c>
      <c r="M188" s="51">
        <f t="shared" si="11"/>
        <v>3.3333333333333321</v>
      </c>
      <c r="N188" s="51" t="s">
        <v>1214</v>
      </c>
      <c r="O188" s="377">
        <v>2021</v>
      </c>
    </row>
    <row r="189" spans="1:15" ht="15" x14ac:dyDescent="0.2">
      <c r="A189" s="343">
        <v>182</v>
      </c>
      <c r="B189" s="47" t="s">
        <v>931</v>
      </c>
      <c r="C189" s="344" t="s">
        <v>932</v>
      </c>
      <c r="D189" s="48">
        <v>16</v>
      </c>
      <c r="E189" s="51"/>
      <c r="F189" s="51"/>
      <c r="G189" s="51"/>
      <c r="H189" s="346">
        <v>0</v>
      </c>
      <c r="I189" s="347">
        <f t="shared" si="9"/>
        <v>0</v>
      </c>
      <c r="J189" s="360"/>
      <c r="K189" s="51"/>
      <c r="L189" s="51">
        <f t="shared" si="12"/>
        <v>0</v>
      </c>
      <c r="M189" s="51">
        <f t="shared" si="11"/>
        <v>0</v>
      </c>
      <c r="N189" s="51"/>
      <c r="O189" s="377"/>
    </row>
    <row r="190" spans="1:15" ht="15" x14ac:dyDescent="0.2">
      <c r="A190" s="343">
        <v>183</v>
      </c>
      <c r="B190" s="47" t="s">
        <v>933</v>
      </c>
      <c r="C190" s="344" t="s">
        <v>934</v>
      </c>
      <c r="D190" s="48">
        <v>1.0900000000000001</v>
      </c>
      <c r="E190" s="51"/>
      <c r="F190" s="51"/>
      <c r="G190" s="51"/>
      <c r="H190" s="346">
        <v>1.0900000000000001</v>
      </c>
      <c r="I190" s="347">
        <f t="shared" si="9"/>
        <v>100</v>
      </c>
      <c r="J190" s="360"/>
      <c r="K190" s="51"/>
      <c r="L190" s="51">
        <f t="shared" si="12"/>
        <v>1.0900000000000001</v>
      </c>
      <c r="M190" s="51">
        <f t="shared" si="11"/>
        <v>100</v>
      </c>
      <c r="N190" s="51" t="s">
        <v>979</v>
      </c>
      <c r="O190" s="377">
        <v>2024</v>
      </c>
    </row>
    <row r="191" spans="1:15" ht="15" x14ac:dyDescent="0.2">
      <c r="A191" s="343">
        <v>184</v>
      </c>
      <c r="B191" s="47" t="s">
        <v>935</v>
      </c>
      <c r="C191" s="344" t="s">
        <v>936</v>
      </c>
      <c r="D191" s="48">
        <v>5.9569999999999999</v>
      </c>
      <c r="E191" s="51"/>
      <c r="F191" s="51"/>
      <c r="G191" s="51"/>
      <c r="H191" s="346">
        <v>5.96</v>
      </c>
      <c r="I191" s="347">
        <f t="shared" si="9"/>
        <v>100.05036091992613</v>
      </c>
      <c r="J191" s="360"/>
      <c r="K191" s="51"/>
      <c r="L191" s="51">
        <f t="shared" si="12"/>
        <v>5.96</v>
      </c>
      <c r="M191" s="51">
        <f t="shared" si="11"/>
        <v>100.05036091992613</v>
      </c>
      <c r="N191" s="51" t="s">
        <v>979</v>
      </c>
      <c r="O191" s="377">
        <v>2024</v>
      </c>
    </row>
    <row r="192" spans="1:15" ht="15" x14ac:dyDescent="0.2">
      <c r="A192" s="343">
        <v>185</v>
      </c>
      <c r="B192" s="47" t="s">
        <v>937</v>
      </c>
      <c r="C192" s="344" t="s">
        <v>938</v>
      </c>
      <c r="D192" s="48">
        <v>11</v>
      </c>
      <c r="E192" s="51"/>
      <c r="F192" s="51"/>
      <c r="G192" s="51"/>
      <c r="H192" s="346">
        <v>11</v>
      </c>
      <c r="I192" s="347">
        <f t="shared" si="9"/>
        <v>100</v>
      </c>
      <c r="J192" s="360"/>
      <c r="K192" s="51"/>
      <c r="L192" s="51">
        <f t="shared" si="12"/>
        <v>11</v>
      </c>
      <c r="M192" s="51">
        <f t="shared" si="11"/>
        <v>100</v>
      </c>
      <c r="N192" s="51" t="s">
        <v>979</v>
      </c>
      <c r="O192" s="377">
        <v>2024</v>
      </c>
    </row>
    <row r="193" spans="1:16" ht="15" x14ac:dyDescent="0.2">
      <c r="A193" s="343">
        <v>186</v>
      </c>
      <c r="B193" s="47" t="s">
        <v>939</v>
      </c>
      <c r="C193" s="344" t="s">
        <v>940</v>
      </c>
      <c r="D193" s="48">
        <v>78.650000000000006</v>
      </c>
      <c r="E193" s="51"/>
      <c r="F193" s="51"/>
      <c r="G193" s="51"/>
      <c r="H193" s="346">
        <v>0</v>
      </c>
      <c r="I193" s="347">
        <f t="shared" si="9"/>
        <v>0</v>
      </c>
      <c r="J193" s="360"/>
      <c r="K193" s="51"/>
      <c r="L193" s="51">
        <f t="shared" si="12"/>
        <v>0</v>
      </c>
      <c r="M193" s="51">
        <f t="shared" si="11"/>
        <v>0</v>
      </c>
      <c r="N193" s="51"/>
      <c r="O193" s="377"/>
    </row>
    <row r="194" spans="1:16" ht="15" x14ac:dyDescent="0.2">
      <c r="A194" s="343">
        <v>187</v>
      </c>
      <c r="B194" s="47" t="s">
        <v>941</v>
      </c>
      <c r="C194" s="344" t="s">
        <v>942</v>
      </c>
      <c r="D194" s="48">
        <v>58</v>
      </c>
      <c r="E194" s="51"/>
      <c r="F194" s="51"/>
      <c r="G194" s="51"/>
      <c r="H194" s="346">
        <v>55.86</v>
      </c>
      <c r="I194" s="347">
        <f t="shared" si="9"/>
        <v>96.310344827586206</v>
      </c>
      <c r="J194" s="360"/>
      <c r="K194" s="51"/>
      <c r="L194" s="51">
        <f t="shared" si="12"/>
        <v>55.86</v>
      </c>
      <c r="M194" s="51">
        <f t="shared" si="11"/>
        <v>96.310344827586206</v>
      </c>
      <c r="N194" s="51" t="s">
        <v>979</v>
      </c>
      <c r="O194" s="377">
        <v>2024</v>
      </c>
      <c r="P194" s="596"/>
    </row>
    <row r="195" spans="1:16" ht="15" x14ac:dyDescent="0.2">
      <c r="A195" s="343">
        <v>188</v>
      </c>
      <c r="B195" s="47" t="s">
        <v>943</v>
      </c>
      <c r="C195" s="344" t="s">
        <v>944</v>
      </c>
      <c r="D195" s="48">
        <v>12</v>
      </c>
      <c r="E195" s="51"/>
      <c r="F195" s="51"/>
      <c r="G195" s="51"/>
      <c r="H195" s="346">
        <v>0</v>
      </c>
      <c r="I195" s="347">
        <f t="shared" si="9"/>
        <v>0</v>
      </c>
      <c r="J195" s="360"/>
      <c r="K195" s="51"/>
      <c r="L195" s="51">
        <f t="shared" si="12"/>
        <v>0</v>
      </c>
      <c r="M195" s="51">
        <f t="shared" si="11"/>
        <v>0</v>
      </c>
      <c r="N195" s="51"/>
      <c r="O195" s="377"/>
    </row>
    <row r="196" spans="1:16" ht="45" x14ac:dyDescent="0.2">
      <c r="A196" s="343">
        <v>189</v>
      </c>
      <c r="B196" s="47" t="s">
        <v>945</v>
      </c>
      <c r="C196" s="379" t="s">
        <v>946</v>
      </c>
      <c r="D196" s="48">
        <v>3.26</v>
      </c>
      <c r="E196" s="51"/>
      <c r="F196" s="51"/>
      <c r="G196" s="51"/>
      <c r="H196" s="346">
        <v>3.26</v>
      </c>
      <c r="I196" s="347">
        <f t="shared" si="9"/>
        <v>100</v>
      </c>
      <c r="J196" s="360"/>
      <c r="K196" s="51"/>
      <c r="L196" s="51">
        <f t="shared" si="12"/>
        <v>3.26</v>
      </c>
      <c r="M196" s="51">
        <f t="shared" si="11"/>
        <v>100</v>
      </c>
      <c r="N196" s="51" t="s">
        <v>1214</v>
      </c>
      <c r="O196" s="377">
        <v>2020</v>
      </c>
    </row>
    <row r="197" spans="1:16" ht="15" x14ac:dyDescent="0.2">
      <c r="A197" s="343">
        <v>190</v>
      </c>
      <c r="B197" s="47" t="s">
        <v>947</v>
      </c>
      <c r="C197" s="379" t="s">
        <v>948</v>
      </c>
      <c r="D197" s="48">
        <v>12.5</v>
      </c>
      <c r="E197" s="51"/>
      <c r="F197" s="51"/>
      <c r="G197" s="51"/>
      <c r="H197" s="346">
        <v>0</v>
      </c>
      <c r="I197" s="347">
        <f t="shared" si="9"/>
        <v>0</v>
      </c>
      <c r="J197" s="360"/>
      <c r="K197" s="51"/>
      <c r="L197" s="51">
        <f t="shared" si="12"/>
        <v>0</v>
      </c>
      <c r="M197" s="51">
        <f t="shared" si="11"/>
        <v>0</v>
      </c>
      <c r="N197" s="51"/>
      <c r="O197" s="377"/>
    </row>
    <row r="198" spans="1:16" ht="15" x14ac:dyDescent="0.2">
      <c r="A198" s="343">
        <v>191</v>
      </c>
      <c r="B198" s="47" t="s">
        <v>949</v>
      </c>
      <c r="C198" s="379" t="s">
        <v>950</v>
      </c>
      <c r="D198" s="48">
        <v>0.624</v>
      </c>
      <c r="E198" s="51"/>
      <c r="F198" s="51"/>
      <c r="G198" s="51"/>
      <c r="H198" s="346">
        <v>0.624</v>
      </c>
      <c r="I198" s="347">
        <f t="shared" si="9"/>
        <v>100</v>
      </c>
      <c r="J198" s="360"/>
      <c r="K198" s="51"/>
      <c r="L198" s="51">
        <f t="shared" si="12"/>
        <v>0.624</v>
      </c>
      <c r="M198" s="51">
        <f t="shared" si="11"/>
        <v>100</v>
      </c>
      <c r="N198" s="51" t="s">
        <v>1214</v>
      </c>
      <c r="O198" s="377">
        <v>2024</v>
      </c>
    </row>
    <row r="199" spans="1:16" ht="15" x14ac:dyDescent="0.2">
      <c r="A199" s="343">
        <v>192</v>
      </c>
      <c r="B199" s="47" t="s">
        <v>951</v>
      </c>
      <c r="C199" s="379" t="s">
        <v>952</v>
      </c>
      <c r="D199" s="48">
        <v>1.5</v>
      </c>
      <c r="E199" s="51"/>
      <c r="F199" s="51"/>
      <c r="G199" s="51"/>
      <c r="H199" s="346">
        <v>1.5</v>
      </c>
      <c r="I199" s="347">
        <f t="shared" si="9"/>
        <v>100</v>
      </c>
      <c r="J199" s="360"/>
      <c r="K199" s="51"/>
      <c r="L199" s="51">
        <f t="shared" si="12"/>
        <v>1.5</v>
      </c>
      <c r="M199" s="51">
        <f t="shared" si="11"/>
        <v>100</v>
      </c>
      <c r="N199" s="51" t="s">
        <v>1214</v>
      </c>
      <c r="O199" s="377">
        <v>2024</v>
      </c>
    </row>
    <row r="200" spans="1:16" ht="15" x14ac:dyDescent="0.2">
      <c r="A200" s="343">
        <v>193</v>
      </c>
      <c r="B200" s="47" t="s">
        <v>953</v>
      </c>
      <c r="C200" s="379" t="s">
        <v>954</v>
      </c>
      <c r="D200" s="48">
        <v>52</v>
      </c>
      <c r="E200" s="51"/>
      <c r="F200" s="51"/>
      <c r="G200" s="51"/>
      <c r="H200" s="346">
        <f>8.3-0.215</f>
        <v>8.0850000000000009</v>
      </c>
      <c r="I200" s="347">
        <f t="shared" si="9"/>
        <v>15.548076923076925</v>
      </c>
      <c r="J200" s="360"/>
      <c r="K200" s="51"/>
      <c r="L200" s="51">
        <f t="shared" si="12"/>
        <v>8.0850000000000009</v>
      </c>
      <c r="M200" s="51">
        <f t="shared" si="11"/>
        <v>15.548076923076925</v>
      </c>
      <c r="N200" s="51" t="s">
        <v>1214</v>
      </c>
      <c r="O200" s="377">
        <v>2024</v>
      </c>
    </row>
    <row r="201" spans="1:16" ht="15" x14ac:dyDescent="0.2">
      <c r="A201" s="349">
        <v>194</v>
      </c>
      <c r="B201" s="56" t="s">
        <v>955</v>
      </c>
      <c r="C201" s="380" t="s">
        <v>956</v>
      </c>
      <c r="D201" s="352">
        <v>7.62</v>
      </c>
      <c r="E201" s="354"/>
      <c r="F201" s="354"/>
      <c r="G201" s="354"/>
      <c r="H201" s="355">
        <v>0</v>
      </c>
      <c r="I201" s="356">
        <f t="shared" ref="I201:I207" si="13">H201*100/D201</f>
        <v>0</v>
      </c>
      <c r="J201" s="357">
        <v>0</v>
      </c>
      <c r="K201" s="354">
        <v>0</v>
      </c>
      <c r="L201" s="354">
        <v>7.62</v>
      </c>
      <c r="M201" s="354">
        <f t="shared" si="11"/>
        <v>100</v>
      </c>
      <c r="N201" s="354"/>
      <c r="O201" s="376" t="s">
        <v>467</v>
      </c>
    </row>
    <row r="202" spans="1:16" ht="15" x14ac:dyDescent="0.2">
      <c r="A202" s="349">
        <v>195</v>
      </c>
      <c r="B202" s="350" t="s">
        <v>201</v>
      </c>
      <c r="C202" s="380" t="s">
        <v>957</v>
      </c>
      <c r="D202" s="352">
        <v>2.8540000000000001</v>
      </c>
      <c r="E202" s="354"/>
      <c r="F202" s="354"/>
      <c r="G202" s="354"/>
      <c r="H202" s="355">
        <v>0</v>
      </c>
      <c r="I202" s="356">
        <f t="shared" si="13"/>
        <v>0</v>
      </c>
      <c r="J202" s="357">
        <v>0</v>
      </c>
      <c r="K202" s="354">
        <v>0</v>
      </c>
      <c r="L202" s="354">
        <v>2.8540000000000001</v>
      </c>
      <c r="M202" s="354">
        <f t="shared" si="11"/>
        <v>100.00000000000001</v>
      </c>
      <c r="N202" s="354"/>
      <c r="O202" s="374">
        <v>2023</v>
      </c>
    </row>
    <row r="203" spans="1:16" ht="15" x14ac:dyDescent="0.2">
      <c r="A203" s="343">
        <v>196</v>
      </c>
      <c r="B203" s="47" t="s">
        <v>958</v>
      </c>
      <c r="C203" s="379" t="s">
        <v>959</v>
      </c>
      <c r="D203" s="48">
        <v>3</v>
      </c>
      <c r="E203" s="51"/>
      <c r="F203" s="51"/>
      <c r="G203" s="51"/>
      <c r="H203" s="346">
        <v>3</v>
      </c>
      <c r="I203" s="347">
        <f t="shared" si="13"/>
        <v>100</v>
      </c>
      <c r="J203" s="360"/>
      <c r="K203" s="51"/>
      <c r="L203" s="51">
        <f t="shared" ref="L203:L207" si="14">H203</f>
        <v>3</v>
      </c>
      <c r="M203" s="51">
        <f t="shared" si="11"/>
        <v>100</v>
      </c>
      <c r="N203" s="51" t="s">
        <v>979</v>
      </c>
      <c r="O203" s="377">
        <v>2023</v>
      </c>
    </row>
    <row r="204" spans="1:16" ht="15" x14ac:dyDescent="0.2">
      <c r="A204" s="343">
        <v>197</v>
      </c>
      <c r="B204" s="47" t="s">
        <v>960</v>
      </c>
      <c r="C204" s="379" t="s">
        <v>961</v>
      </c>
      <c r="D204" s="48">
        <v>3</v>
      </c>
      <c r="E204" s="51"/>
      <c r="F204" s="51"/>
      <c r="G204" s="51"/>
      <c r="H204" s="346">
        <v>3</v>
      </c>
      <c r="I204" s="347">
        <f t="shared" si="13"/>
        <v>100</v>
      </c>
      <c r="J204" s="360"/>
      <c r="K204" s="51"/>
      <c r="L204" s="51">
        <f t="shared" si="14"/>
        <v>3</v>
      </c>
      <c r="M204" s="51">
        <f t="shared" si="11"/>
        <v>100</v>
      </c>
      <c r="N204" s="51" t="s">
        <v>979</v>
      </c>
      <c r="O204" s="377">
        <v>2023</v>
      </c>
    </row>
    <row r="205" spans="1:16" ht="15" x14ac:dyDescent="0.2">
      <c r="A205" s="349">
        <v>198</v>
      </c>
      <c r="B205" s="350" t="s">
        <v>202</v>
      </c>
      <c r="C205" s="380" t="s">
        <v>962</v>
      </c>
      <c r="D205" s="352">
        <v>14</v>
      </c>
      <c r="E205" s="354"/>
      <c r="F205" s="354"/>
      <c r="G205" s="354"/>
      <c r="H205" s="355">
        <v>0</v>
      </c>
      <c r="I205" s="356">
        <f t="shared" si="13"/>
        <v>0</v>
      </c>
      <c r="J205" s="357">
        <v>0</v>
      </c>
      <c r="K205" s="354">
        <v>0</v>
      </c>
      <c r="L205" s="354">
        <v>14</v>
      </c>
      <c r="M205" s="354">
        <f t="shared" si="11"/>
        <v>100</v>
      </c>
      <c r="N205" s="354"/>
      <c r="O205" s="376" t="s">
        <v>467</v>
      </c>
    </row>
    <row r="206" spans="1:16" ht="15" x14ac:dyDescent="0.2">
      <c r="A206" s="343">
        <v>199</v>
      </c>
      <c r="B206" s="47" t="s">
        <v>963</v>
      </c>
      <c r="C206" s="379" t="s">
        <v>964</v>
      </c>
      <c r="D206" s="48">
        <v>9.3699999999999992</v>
      </c>
      <c r="E206" s="51"/>
      <c r="F206" s="51"/>
      <c r="G206" s="51"/>
      <c r="H206" s="346">
        <v>9.3699999999999992</v>
      </c>
      <c r="I206" s="347">
        <f t="shared" si="13"/>
        <v>100</v>
      </c>
      <c r="J206" s="360"/>
      <c r="K206" s="51"/>
      <c r="L206" s="51">
        <f t="shared" si="14"/>
        <v>9.3699999999999992</v>
      </c>
      <c r="M206" s="51">
        <f t="shared" si="11"/>
        <v>100</v>
      </c>
      <c r="N206" s="51" t="s">
        <v>979</v>
      </c>
      <c r="O206" s="377">
        <v>2021</v>
      </c>
    </row>
    <row r="207" spans="1:16" ht="15" x14ac:dyDescent="0.2">
      <c r="A207" s="343">
        <v>200</v>
      </c>
      <c r="B207" s="47" t="s">
        <v>965</v>
      </c>
      <c r="C207" s="379" t="s">
        <v>966</v>
      </c>
      <c r="D207" s="48">
        <v>8.4</v>
      </c>
      <c r="E207" s="51"/>
      <c r="F207" s="51"/>
      <c r="G207" s="51"/>
      <c r="H207" s="346">
        <f>0.5+0.1</f>
        <v>0.6</v>
      </c>
      <c r="I207" s="347">
        <f t="shared" si="13"/>
        <v>7.1428571428571423</v>
      </c>
      <c r="J207" s="360"/>
      <c r="K207" s="51"/>
      <c r="L207" s="51">
        <f t="shared" si="14"/>
        <v>0.6</v>
      </c>
      <c r="M207" s="51">
        <f t="shared" si="11"/>
        <v>7.1428571428571423</v>
      </c>
      <c r="N207" s="51" t="s">
        <v>979</v>
      </c>
      <c r="O207" s="377">
        <v>2021</v>
      </c>
    </row>
    <row r="208" spans="1:16" ht="15" thickBot="1" x14ac:dyDescent="0.25">
      <c r="A208" s="978" t="s">
        <v>1211</v>
      </c>
      <c r="B208" s="979"/>
      <c r="C208" s="980"/>
      <c r="D208" s="381">
        <f>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94+D95+D96+D97+D98+D99+D100+D101+D102+D103+D104+D106+D105+D107+D108+D109+D110+D111+D112+D113+D114+D115+D116+D117+D118+D119+D120+D121+D122+D123+D124+D125+D126+D127+D128+D129+D130+D131+D132+D133+D134+D135+D136+D137+D138+D139+D140+D141+D142+D143+D144+D145+D146+D147+D148+D149+D150+D151+D152+D153+D154+D155+D156+D157+D158+D159+D160+D161+D162+D163+D164+D165+D166+D167+D168+D169+D170+D171+D172+D173+D174+D175+D176+D177+D178+D179+D180+D181+D182+D183+D184+D185+D186+D187+D188+D189+D190+D191+D192+D193+D194+D195+D196+D197+D198+D199+D200+D201+D202+D203+D204+D205+D206+D207</f>
        <v>7518.197000000001</v>
      </c>
      <c r="E208" s="381">
        <f>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94+E95+E96+E97+E98+E99+E100+E101+E102+E103+E104+E106+E105+E107+E108+E109+E110+E111+E112+E113+E114+E115+E116+E117+E118+E119+E120+E121+E122+E123+E124+E125+E126+E127+E128+E129+E130+E131+E132+E133+E134+E135+E136+E137+E138+E139+E140+E141+E142+E143+E144+E145+E146+E147+E148+E149+E150+E151+E152+E153+E154+E155+E156+E157+E158+E159+E160+E161+E162+E163+E164+E165+E166+E167+E168+E169+E170+E171+E172+E173+E174+E175+E176+E177+E178+E179+E180+E181+E182+E183+E184+E185+E186+E187+E188+E189+E190+E191+E192+E193+E194+E195+E196+E197+E198+E199+E200+E201+E202+E203+E204+E205+E206+E207</f>
        <v>32.6</v>
      </c>
      <c r="F208" s="381">
        <f>E208/D208*100</f>
        <v>0.43361460201162594</v>
      </c>
      <c r="G208" s="381"/>
      <c r="H208" s="381">
        <f>SUM(H8:H207)</f>
        <v>2011.5389999999995</v>
      </c>
      <c r="I208" s="381">
        <f>H208/D208*100</f>
        <v>26.755603770425267</v>
      </c>
      <c r="J208" s="382">
        <f>SUM(J8:J207)</f>
        <v>871.35599999999999</v>
      </c>
      <c r="K208" s="381">
        <f>J208/D208*100</f>
        <v>11.589959667191481</v>
      </c>
      <c r="L208" s="381">
        <f>SUM(L8:L207)</f>
        <v>3089.9789999999998</v>
      </c>
      <c r="M208" s="382">
        <f>L208/D208*100</f>
        <v>41.10000043893502</v>
      </c>
      <c r="N208" s="381"/>
      <c r="O208" s="383"/>
    </row>
    <row r="209" spans="3:4" ht="90" x14ac:dyDescent="0.2">
      <c r="C209" s="268" t="s">
        <v>1212</v>
      </c>
      <c r="D209" s="597"/>
    </row>
  </sheetData>
  <mergeCells count="13">
    <mergeCell ref="A208:C208"/>
    <mergeCell ref="H4:I5"/>
    <mergeCell ref="A1:O1"/>
    <mergeCell ref="J3:K5"/>
    <mergeCell ref="N2:O5"/>
    <mergeCell ref="E2:M2"/>
    <mergeCell ref="E3:I3"/>
    <mergeCell ref="A2:A6"/>
    <mergeCell ref="B2:B6"/>
    <mergeCell ref="C2:C6"/>
    <mergeCell ref="D2:D6"/>
    <mergeCell ref="L3:M5"/>
    <mergeCell ref="E4:G5"/>
  </mergeCells>
  <pageMargins left="0.7" right="0.7" top="0.75" bottom="0.75" header="0.3" footer="0.3"/>
  <pageSetup paperSize="9" scale="6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146"/>
  <sheetViews>
    <sheetView view="pageBreakPreview" topLeftCell="A127" zoomScale="90" zoomScaleSheetLayoutView="90" workbookViewId="0">
      <selection activeCell="N148" sqref="N148"/>
    </sheetView>
  </sheetViews>
  <sheetFormatPr defaultColWidth="8.85546875" defaultRowHeight="12.75" x14ac:dyDescent="0.2"/>
  <cols>
    <col min="1" max="1" width="5.28515625" customWidth="1"/>
    <col min="2" max="2" width="9.140625" customWidth="1"/>
    <col min="3" max="3" width="32.42578125" customWidth="1"/>
    <col min="4" max="4" width="11.42578125" customWidth="1"/>
    <col min="5" max="5" width="14" customWidth="1"/>
    <col min="6" max="7" width="8.140625" customWidth="1"/>
    <col min="8" max="8" width="13" customWidth="1"/>
    <col min="9" max="9" width="10.85546875" customWidth="1"/>
    <col min="10" max="10" width="11.42578125" customWidth="1"/>
    <col min="11" max="11" width="11" customWidth="1"/>
    <col min="15" max="15" width="10.28515625" customWidth="1"/>
  </cols>
  <sheetData>
    <row r="1" spans="1:16" ht="31.5" customHeight="1" x14ac:dyDescent="0.2">
      <c r="A1" s="1015" t="s">
        <v>990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32"/>
      <c r="P1" s="932"/>
    </row>
    <row r="2" spans="1:16" ht="15" customHeight="1" x14ac:dyDescent="0.2">
      <c r="A2" s="1020" t="s">
        <v>0</v>
      </c>
      <c r="B2" s="940" t="s">
        <v>25</v>
      </c>
      <c r="C2" s="940" t="s">
        <v>73</v>
      </c>
      <c r="D2" s="940" t="s">
        <v>62</v>
      </c>
      <c r="E2" s="940"/>
      <c r="F2" s="1007" t="s">
        <v>1</v>
      </c>
      <c r="G2" s="1007"/>
      <c r="H2" s="1007"/>
      <c r="I2" s="1007"/>
      <c r="J2" s="1007"/>
      <c r="K2" s="1007"/>
      <c r="L2" s="1007"/>
      <c r="M2" s="1007"/>
      <c r="N2" s="1007"/>
      <c r="O2" s="940" t="s">
        <v>573</v>
      </c>
      <c r="P2" s="940"/>
    </row>
    <row r="3" spans="1:16" ht="12.75" customHeight="1" x14ac:dyDescent="0.2">
      <c r="A3" s="1020"/>
      <c r="B3" s="940"/>
      <c r="C3" s="940"/>
      <c r="D3" s="940"/>
      <c r="E3" s="940"/>
      <c r="F3" s="1007" t="s">
        <v>2</v>
      </c>
      <c r="G3" s="1007"/>
      <c r="H3" s="1007"/>
      <c r="I3" s="1007"/>
      <c r="J3" s="1007"/>
      <c r="K3" s="1007" t="s">
        <v>63</v>
      </c>
      <c r="L3" s="1007"/>
      <c r="M3" s="1007" t="s">
        <v>69</v>
      </c>
      <c r="N3" s="1007"/>
      <c r="O3" s="940"/>
      <c r="P3" s="940"/>
    </row>
    <row r="4" spans="1:16" ht="16.5" customHeight="1" x14ac:dyDescent="0.2">
      <c r="A4" s="1020"/>
      <c r="B4" s="940"/>
      <c r="C4" s="940"/>
      <c r="D4" s="940"/>
      <c r="E4" s="940"/>
      <c r="F4" s="1007" t="s">
        <v>64</v>
      </c>
      <c r="G4" s="1007"/>
      <c r="H4" s="1007"/>
      <c r="I4" s="1007" t="s">
        <v>3</v>
      </c>
      <c r="J4" s="1007"/>
      <c r="K4" s="1007"/>
      <c r="L4" s="1007"/>
      <c r="M4" s="1007"/>
      <c r="N4" s="1007"/>
      <c r="O4" s="940"/>
      <c r="P4" s="940"/>
    </row>
    <row r="5" spans="1:16" ht="12.75" customHeight="1" x14ac:dyDescent="0.2">
      <c r="A5" s="1020"/>
      <c r="B5" s="940"/>
      <c r="C5" s="940"/>
      <c r="D5" s="940"/>
      <c r="E5" s="940"/>
      <c r="F5" s="1007"/>
      <c r="G5" s="1007"/>
      <c r="H5" s="1007"/>
      <c r="I5" s="1007"/>
      <c r="J5" s="1007"/>
      <c r="K5" s="1007"/>
      <c r="L5" s="1007"/>
      <c r="M5" s="1007"/>
      <c r="N5" s="1007"/>
      <c r="O5" s="940"/>
      <c r="P5" s="940"/>
    </row>
    <row r="6" spans="1:16" ht="30" x14ac:dyDescent="0.2">
      <c r="A6" s="1020"/>
      <c r="B6" s="940"/>
      <c r="C6" s="940"/>
      <c r="D6" s="620" t="s">
        <v>70</v>
      </c>
      <c r="E6" s="620" t="s">
        <v>47</v>
      </c>
      <c r="F6" s="621" t="s">
        <v>5</v>
      </c>
      <c r="G6" s="621" t="s">
        <v>7</v>
      </c>
      <c r="H6" s="621" t="s">
        <v>67</v>
      </c>
      <c r="I6" s="621" t="s">
        <v>5</v>
      </c>
      <c r="J6" s="621" t="s">
        <v>7</v>
      </c>
      <c r="K6" s="621" t="s">
        <v>5</v>
      </c>
      <c r="L6" s="621" t="s">
        <v>7</v>
      </c>
      <c r="M6" s="621" t="s">
        <v>5</v>
      </c>
      <c r="N6" s="621" t="s">
        <v>7</v>
      </c>
      <c r="O6" s="621" t="s">
        <v>65</v>
      </c>
      <c r="P6" s="620" t="s">
        <v>66</v>
      </c>
    </row>
    <row r="7" spans="1:16" ht="14.25" customHeight="1" x14ac:dyDescent="0.2">
      <c r="A7" s="624">
        <v>1</v>
      </c>
      <c r="B7" s="624">
        <v>2</v>
      </c>
      <c r="C7" s="620">
        <v>3</v>
      </c>
      <c r="D7" s="620">
        <v>4</v>
      </c>
      <c r="E7" s="620">
        <v>5</v>
      </c>
      <c r="F7" s="620">
        <v>6</v>
      </c>
      <c r="G7" s="620">
        <v>7</v>
      </c>
      <c r="H7" s="620">
        <v>8</v>
      </c>
      <c r="I7" s="620">
        <v>9</v>
      </c>
      <c r="J7" s="620">
        <v>10</v>
      </c>
      <c r="K7" s="620">
        <v>11</v>
      </c>
      <c r="L7" s="620">
        <v>12</v>
      </c>
      <c r="M7" s="620">
        <v>13</v>
      </c>
      <c r="N7" s="620">
        <v>14</v>
      </c>
      <c r="O7" s="620">
        <v>15</v>
      </c>
      <c r="P7" s="620">
        <v>16</v>
      </c>
    </row>
    <row r="8" spans="1:16" ht="14.25" customHeight="1" x14ac:dyDescent="0.2">
      <c r="A8" s="1016" t="s">
        <v>52</v>
      </c>
      <c r="B8" s="1016"/>
      <c r="C8" s="1016"/>
      <c r="D8" s="1016"/>
      <c r="E8" s="1016"/>
      <c r="F8" s="1016"/>
      <c r="G8" s="1016"/>
      <c r="H8" s="1016"/>
      <c r="I8" s="1016"/>
      <c r="J8" s="1016"/>
      <c r="K8" s="1016"/>
      <c r="L8" s="1016"/>
      <c r="M8" s="1016"/>
      <c r="N8" s="1016"/>
      <c r="O8" s="1016"/>
      <c r="P8" s="1016"/>
    </row>
    <row r="9" spans="1:16" ht="30" x14ac:dyDescent="0.2">
      <c r="A9" s="384">
        <v>1</v>
      </c>
      <c r="B9" s="384"/>
      <c r="C9" s="385" t="s">
        <v>967</v>
      </c>
      <c r="D9" s="386">
        <v>493.6</v>
      </c>
      <c r="E9" s="386">
        <v>50.710999999999999</v>
      </c>
      <c r="F9" s="386">
        <f>E9</f>
        <v>50.710999999999999</v>
      </c>
      <c r="G9" s="386">
        <f>F9/E9*100</f>
        <v>100</v>
      </c>
      <c r="H9" s="387"/>
      <c r="I9" s="22"/>
      <c r="J9" s="22"/>
      <c r="K9" s="386" t="s">
        <v>431</v>
      </c>
      <c r="L9" s="386" t="s">
        <v>431</v>
      </c>
      <c r="M9" s="386">
        <f>F9</f>
        <v>50.710999999999999</v>
      </c>
      <c r="N9" s="386">
        <f>M9/E9*100</f>
        <v>100</v>
      </c>
      <c r="O9" s="388" t="s">
        <v>968</v>
      </c>
      <c r="P9" s="386">
        <v>2018</v>
      </c>
    </row>
    <row r="10" spans="1:16" ht="45" x14ac:dyDescent="0.2">
      <c r="A10" s="384">
        <v>2</v>
      </c>
      <c r="B10" s="384"/>
      <c r="C10" s="385" t="s">
        <v>969</v>
      </c>
      <c r="D10" s="386">
        <v>742</v>
      </c>
      <c r="E10" s="386">
        <v>27.12</v>
      </c>
      <c r="F10" s="386">
        <f>E10</f>
        <v>27.12</v>
      </c>
      <c r="G10" s="386">
        <f>F10/E10*100</f>
        <v>100</v>
      </c>
      <c r="H10" s="387"/>
      <c r="I10" s="22"/>
      <c r="J10" s="22"/>
      <c r="K10" s="386" t="s">
        <v>431</v>
      </c>
      <c r="L10" s="386" t="s">
        <v>431</v>
      </c>
      <c r="M10" s="386">
        <f>F10</f>
        <v>27.12</v>
      </c>
      <c r="N10" s="386">
        <f t="shared" ref="N10:N11" si="0">M10/E10*100</f>
        <v>100</v>
      </c>
      <c r="O10" s="388" t="s">
        <v>968</v>
      </c>
      <c r="P10" s="386">
        <v>2018</v>
      </c>
    </row>
    <row r="11" spans="1:16" ht="14.25" customHeight="1" x14ac:dyDescent="0.2">
      <c r="A11" s="384">
        <v>3</v>
      </c>
      <c r="B11" s="384"/>
      <c r="C11" s="385" t="s">
        <v>970</v>
      </c>
      <c r="D11" s="386">
        <v>486</v>
      </c>
      <c r="E11" s="386">
        <v>74.010000000000005</v>
      </c>
      <c r="F11" s="386">
        <f>E11</f>
        <v>74.010000000000005</v>
      </c>
      <c r="G11" s="386">
        <f>F11/E11*100</f>
        <v>100</v>
      </c>
      <c r="H11" s="387"/>
      <c r="I11" s="22"/>
      <c r="J11" s="22"/>
      <c r="K11" s="386" t="s">
        <v>431</v>
      </c>
      <c r="L11" s="386" t="s">
        <v>431</v>
      </c>
      <c r="M11" s="386">
        <f>F11</f>
        <v>74.010000000000005</v>
      </c>
      <c r="N11" s="386">
        <f t="shared" si="0"/>
        <v>100</v>
      </c>
      <c r="O11" s="388" t="s">
        <v>968</v>
      </c>
      <c r="P11" s="386">
        <v>2018</v>
      </c>
    </row>
    <row r="12" spans="1:16" ht="14.25" customHeight="1" x14ac:dyDescent="0.2">
      <c r="A12" s="1008" t="s">
        <v>57</v>
      </c>
      <c r="B12" s="1008"/>
      <c r="C12" s="1008"/>
      <c r="D12" s="623">
        <f>D9+D10+D11</f>
        <v>1721.6</v>
      </c>
      <c r="E12" s="623">
        <f>E9+E10+E11</f>
        <v>151.84100000000001</v>
      </c>
      <c r="F12" s="623">
        <f>SUM(F9+F10+F11)</f>
        <v>151.84100000000001</v>
      </c>
      <c r="G12" s="623"/>
      <c r="H12" s="623"/>
      <c r="I12" s="623"/>
      <c r="J12" s="623"/>
      <c r="K12" s="623"/>
      <c r="L12" s="623"/>
      <c r="M12" s="623">
        <f>M9+M10+M11</f>
        <v>151.84100000000001</v>
      </c>
      <c r="N12" s="623"/>
      <c r="O12" s="623"/>
      <c r="P12" s="26"/>
    </row>
    <row r="13" spans="1:16" ht="14.25" customHeight="1" x14ac:dyDescent="0.2">
      <c r="A13" s="1016" t="s">
        <v>60</v>
      </c>
      <c r="B13" s="1016"/>
      <c r="C13" s="1016"/>
      <c r="D13" s="1016"/>
      <c r="E13" s="1016"/>
      <c r="F13" s="1016"/>
      <c r="G13" s="1016"/>
      <c r="H13" s="1016"/>
      <c r="I13" s="1016"/>
      <c r="J13" s="1016"/>
      <c r="K13" s="1016"/>
      <c r="L13" s="1016"/>
      <c r="M13" s="1016"/>
      <c r="N13" s="1016"/>
      <c r="O13" s="1016"/>
      <c r="P13" s="1016"/>
    </row>
    <row r="14" spans="1:16" ht="15.75" x14ac:dyDescent="0.2">
      <c r="A14" s="389">
        <v>1</v>
      </c>
      <c r="B14" s="390" t="s">
        <v>237</v>
      </c>
      <c r="C14" s="391" t="s">
        <v>844</v>
      </c>
      <c r="D14" s="392">
        <v>48.48</v>
      </c>
      <c r="E14" s="392">
        <v>9.2840000000000007</v>
      </c>
      <c r="F14" s="393">
        <v>6</v>
      </c>
      <c r="G14" s="393">
        <v>12.38</v>
      </c>
      <c r="H14" s="394" t="s">
        <v>853</v>
      </c>
      <c r="I14" s="393" t="s">
        <v>1245</v>
      </c>
      <c r="J14" s="395">
        <f>I14*100/D14</f>
        <v>6.7739273927392736</v>
      </c>
      <c r="K14" s="394"/>
      <c r="L14" s="394"/>
      <c r="M14" s="396">
        <v>9.2840000000000007</v>
      </c>
      <c r="N14" s="395">
        <v>100</v>
      </c>
      <c r="O14" s="394"/>
      <c r="P14" s="397" t="s">
        <v>971</v>
      </c>
    </row>
    <row r="15" spans="1:16" ht="14.25" customHeight="1" x14ac:dyDescent="0.2">
      <c r="A15" s="389">
        <v>2</v>
      </c>
      <c r="B15" s="398" t="s">
        <v>955</v>
      </c>
      <c r="C15" s="399" t="s">
        <v>222</v>
      </c>
      <c r="D15" s="389">
        <v>7.62</v>
      </c>
      <c r="E15" s="389">
        <v>7.62</v>
      </c>
      <c r="F15" s="394"/>
      <c r="G15" s="394"/>
      <c r="H15" s="394"/>
      <c r="I15" s="394" t="s">
        <v>972</v>
      </c>
      <c r="J15" s="395">
        <f t="shared" ref="J15:J20" si="1">I15*100/D15</f>
        <v>0</v>
      </c>
      <c r="K15" s="394"/>
      <c r="L15" s="394"/>
      <c r="M15" s="396">
        <v>7.62</v>
      </c>
      <c r="N15" s="395">
        <f t="shared" ref="N15:N20" si="2">M15*100/D15</f>
        <v>100</v>
      </c>
      <c r="O15" s="394"/>
      <c r="P15" s="397" t="s">
        <v>467</v>
      </c>
    </row>
    <row r="16" spans="1:16" ht="15.75" x14ac:dyDescent="0.2">
      <c r="A16" s="389">
        <v>3</v>
      </c>
      <c r="B16" s="390" t="s">
        <v>202</v>
      </c>
      <c r="C16" s="391" t="s">
        <v>973</v>
      </c>
      <c r="D16" s="389">
        <v>14</v>
      </c>
      <c r="E16" s="389">
        <v>14</v>
      </c>
      <c r="F16" s="394"/>
      <c r="G16" s="394"/>
      <c r="H16" s="394"/>
      <c r="I16" s="394" t="s">
        <v>972</v>
      </c>
      <c r="J16" s="395">
        <f t="shared" si="1"/>
        <v>0</v>
      </c>
      <c r="K16" s="394"/>
      <c r="L16" s="394"/>
      <c r="M16" s="396">
        <v>14</v>
      </c>
      <c r="N16" s="395">
        <f t="shared" si="2"/>
        <v>100</v>
      </c>
      <c r="O16" s="394"/>
      <c r="P16" s="397" t="s">
        <v>712</v>
      </c>
    </row>
    <row r="17" spans="1:16" ht="15.75" x14ac:dyDescent="0.2">
      <c r="A17" s="389">
        <v>4</v>
      </c>
      <c r="B17" s="390" t="s">
        <v>201</v>
      </c>
      <c r="C17" s="391" t="s">
        <v>957</v>
      </c>
      <c r="D17" s="389">
        <v>2.8540000000000001</v>
      </c>
      <c r="E17" s="389">
        <v>2.8540000000000001</v>
      </c>
      <c r="F17" s="394"/>
      <c r="G17" s="394"/>
      <c r="H17" s="394"/>
      <c r="I17" s="394" t="s">
        <v>972</v>
      </c>
      <c r="J17" s="395">
        <f t="shared" si="1"/>
        <v>0</v>
      </c>
      <c r="K17" s="394"/>
      <c r="L17" s="394"/>
      <c r="M17" s="396">
        <v>2.8540000000000001</v>
      </c>
      <c r="N17" s="395">
        <f t="shared" si="2"/>
        <v>100.00000000000001</v>
      </c>
      <c r="O17" s="394"/>
      <c r="P17" s="397" t="s">
        <v>974</v>
      </c>
    </row>
    <row r="18" spans="1:16" ht="15.75" x14ac:dyDescent="0.2">
      <c r="A18" s="389">
        <v>5</v>
      </c>
      <c r="B18" s="390" t="s">
        <v>203</v>
      </c>
      <c r="C18" s="391" t="s">
        <v>975</v>
      </c>
      <c r="D18" s="389">
        <v>9.125</v>
      </c>
      <c r="E18" s="389">
        <v>9.125</v>
      </c>
      <c r="F18" s="394"/>
      <c r="G18" s="394"/>
      <c r="H18" s="394"/>
      <c r="I18" s="394" t="s">
        <v>972</v>
      </c>
      <c r="J18" s="395">
        <f t="shared" si="1"/>
        <v>0</v>
      </c>
      <c r="K18" s="394"/>
      <c r="L18" s="394"/>
      <c r="M18" s="396">
        <v>9.125</v>
      </c>
      <c r="N18" s="395">
        <f t="shared" si="2"/>
        <v>100</v>
      </c>
      <c r="O18" s="394"/>
      <c r="P18" s="397" t="s">
        <v>786</v>
      </c>
    </row>
    <row r="19" spans="1:16" ht="15.75" x14ac:dyDescent="0.2">
      <c r="A19" s="389">
        <v>6</v>
      </c>
      <c r="B19" s="390" t="s">
        <v>207</v>
      </c>
      <c r="C19" s="391" t="s">
        <v>240</v>
      </c>
      <c r="D19" s="389">
        <v>22.3</v>
      </c>
      <c r="E19" s="389">
        <v>22.3</v>
      </c>
      <c r="F19" s="394"/>
      <c r="G19" s="394"/>
      <c r="H19" s="394"/>
      <c r="I19" s="394" t="s">
        <v>585</v>
      </c>
      <c r="J19" s="395">
        <f t="shared" si="1"/>
        <v>44.843049327354258</v>
      </c>
      <c r="K19" s="394"/>
      <c r="L19" s="394"/>
      <c r="M19" s="396">
        <f>I19+12.3</f>
        <v>22.3</v>
      </c>
      <c r="N19" s="395">
        <f t="shared" si="2"/>
        <v>100</v>
      </c>
      <c r="O19" s="394"/>
      <c r="P19" s="397" t="s">
        <v>847</v>
      </c>
    </row>
    <row r="20" spans="1:16" ht="15.75" x14ac:dyDescent="0.2">
      <c r="A20" s="389">
        <v>7</v>
      </c>
      <c r="B20" s="390" t="s">
        <v>849</v>
      </c>
      <c r="C20" s="391" t="s">
        <v>976</v>
      </c>
      <c r="D20" s="389">
        <v>9</v>
      </c>
      <c r="E20" s="389">
        <v>9</v>
      </c>
      <c r="F20" s="394"/>
      <c r="G20" s="394"/>
      <c r="H20" s="394"/>
      <c r="I20" s="394" t="s">
        <v>977</v>
      </c>
      <c r="J20" s="395">
        <f t="shared" si="1"/>
        <v>100</v>
      </c>
      <c r="K20" s="394"/>
      <c r="L20" s="394"/>
      <c r="M20" s="396">
        <v>9</v>
      </c>
      <c r="N20" s="395">
        <f t="shared" si="2"/>
        <v>100</v>
      </c>
      <c r="O20" s="394"/>
      <c r="P20" s="397" t="s">
        <v>978</v>
      </c>
    </row>
    <row r="21" spans="1:16" ht="15" x14ac:dyDescent="0.2">
      <c r="A21" s="1008" t="s">
        <v>57</v>
      </c>
      <c r="B21" s="1008"/>
      <c r="C21" s="1008"/>
      <c r="D21" s="623">
        <f>D14+D15+D16+D17+D18+D19+D20</f>
        <v>113.37899999999999</v>
      </c>
      <c r="E21" s="623">
        <f t="shared" ref="E21:F21" si="3">E14+E15+E16+E17+E18+E19+E20</f>
        <v>74.183000000000007</v>
      </c>
      <c r="F21" s="623">
        <f t="shared" si="3"/>
        <v>6</v>
      </c>
      <c r="G21" s="623"/>
      <c r="H21" s="623"/>
      <c r="I21" s="623">
        <f t="shared" ref="I21" si="4">I14+I15+I16+I17+I18+I19+I20</f>
        <v>22.283999999999999</v>
      </c>
      <c r="J21" s="623"/>
      <c r="K21" s="623"/>
      <c r="L21" s="623"/>
      <c r="M21" s="623">
        <f t="shared" ref="M21" si="5">M14+M15+M16+M17+M18+M19+M20</f>
        <v>74.183000000000007</v>
      </c>
      <c r="N21" s="623"/>
      <c r="O21" s="623"/>
      <c r="P21" s="26"/>
    </row>
    <row r="22" spans="1:16" ht="14.25" customHeight="1" x14ac:dyDescent="0.2">
      <c r="A22" s="1016" t="s">
        <v>56</v>
      </c>
      <c r="B22" s="1016"/>
      <c r="C22" s="1016"/>
      <c r="D22" s="1016"/>
      <c r="E22" s="1016"/>
      <c r="F22" s="1016"/>
      <c r="G22" s="1016"/>
      <c r="H22" s="1016"/>
      <c r="I22" s="1016"/>
      <c r="J22" s="1016"/>
      <c r="K22" s="1016"/>
      <c r="L22" s="1016"/>
      <c r="M22" s="1016"/>
      <c r="N22" s="1016"/>
      <c r="O22" s="1016"/>
      <c r="P22" s="1016"/>
    </row>
    <row r="23" spans="1:16" ht="14.25" customHeight="1" x14ac:dyDescent="0.2">
      <c r="A23" s="1017" t="s">
        <v>246</v>
      </c>
      <c r="B23" s="1018"/>
      <c r="C23" s="1018"/>
      <c r="D23" s="1018"/>
      <c r="E23" s="1018"/>
      <c r="F23" s="1018"/>
      <c r="G23" s="1018"/>
      <c r="H23" s="1018"/>
      <c r="I23" s="1018"/>
      <c r="J23" s="1018"/>
      <c r="K23" s="1018"/>
      <c r="L23" s="1018"/>
      <c r="M23" s="1018"/>
      <c r="N23" s="1018"/>
      <c r="O23" s="1018"/>
      <c r="P23" s="1019"/>
    </row>
    <row r="24" spans="1:16" ht="15" x14ac:dyDescent="0.2">
      <c r="A24" s="622">
        <v>1</v>
      </c>
      <c r="B24" s="622">
        <v>2227659</v>
      </c>
      <c r="C24" s="625" t="s">
        <v>310</v>
      </c>
      <c r="D24" s="401">
        <v>2.46</v>
      </c>
      <c r="E24" s="401">
        <v>2.46</v>
      </c>
      <c r="F24" s="622"/>
      <c r="G24" s="622"/>
      <c r="H24" s="402"/>
      <c r="I24" s="3">
        <v>0</v>
      </c>
      <c r="J24" s="620">
        <v>0</v>
      </c>
      <c r="K24" s="401">
        <v>1.95</v>
      </c>
      <c r="L24" s="620">
        <v>100</v>
      </c>
      <c r="M24" s="626">
        <v>1.95</v>
      </c>
      <c r="N24" s="617">
        <v>100</v>
      </c>
      <c r="O24" s="617" t="s">
        <v>979</v>
      </c>
      <c r="P24" s="617">
        <v>2020</v>
      </c>
    </row>
    <row r="25" spans="1:16" ht="15" x14ac:dyDescent="0.2">
      <c r="A25" s="622">
        <v>2</v>
      </c>
      <c r="B25" s="627">
        <v>2224682</v>
      </c>
      <c r="C25" s="403" t="s">
        <v>321</v>
      </c>
      <c r="D25" s="404">
        <v>1.43</v>
      </c>
      <c r="E25" s="404">
        <v>1.43</v>
      </c>
      <c r="F25" s="622"/>
      <c r="G25" s="622"/>
      <c r="H25" s="622"/>
      <c r="I25" s="3">
        <v>0</v>
      </c>
      <c r="J25" s="620">
        <v>0</v>
      </c>
      <c r="K25" s="404">
        <v>1.43</v>
      </c>
      <c r="L25" s="620">
        <v>100</v>
      </c>
      <c r="M25" s="404">
        <v>1.43</v>
      </c>
      <c r="N25" s="617">
        <v>100</v>
      </c>
      <c r="O25" s="617" t="s">
        <v>979</v>
      </c>
      <c r="P25" s="617">
        <v>2023</v>
      </c>
    </row>
    <row r="26" spans="1:16" ht="15" x14ac:dyDescent="0.2">
      <c r="A26" s="622">
        <v>3</v>
      </c>
      <c r="B26" s="622">
        <v>2219715</v>
      </c>
      <c r="C26" s="405" t="s">
        <v>980</v>
      </c>
      <c r="D26" s="406">
        <v>0.98</v>
      </c>
      <c r="E26" s="406">
        <v>0.98</v>
      </c>
      <c r="F26" s="402"/>
      <c r="G26" s="402"/>
      <c r="H26" s="402"/>
      <c r="I26" s="400">
        <v>0</v>
      </c>
      <c r="J26" s="617">
        <v>0</v>
      </c>
      <c r="K26" s="400">
        <v>0.98</v>
      </c>
      <c r="L26" s="617">
        <v>100</v>
      </c>
      <c r="M26" s="406">
        <v>0.98</v>
      </c>
      <c r="N26" s="617">
        <v>100</v>
      </c>
      <c r="O26" s="617" t="s">
        <v>979</v>
      </c>
      <c r="P26" s="617">
        <v>2019</v>
      </c>
    </row>
    <row r="27" spans="1:16" ht="15" x14ac:dyDescent="0.2">
      <c r="A27" s="622">
        <v>4</v>
      </c>
      <c r="B27" s="622">
        <v>2222052</v>
      </c>
      <c r="C27" s="405" t="s">
        <v>279</v>
      </c>
      <c r="D27" s="406">
        <v>2.82</v>
      </c>
      <c r="E27" s="406">
        <v>2.82</v>
      </c>
      <c r="F27" s="402"/>
      <c r="G27" s="402"/>
      <c r="H27" s="402"/>
      <c r="I27" s="400">
        <v>2.2200000000000002</v>
      </c>
      <c r="J27" s="617">
        <v>78.7</v>
      </c>
      <c r="K27" s="400">
        <v>2.82</v>
      </c>
      <c r="L27" s="617">
        <v>100</v>
      </c>
      <c r="M27" s="406">
        <v>2.82</v>
      </c>
      <c r="N27" s="617">
        <v>100</v>
      </c>
      <c r="O27" s="617" t="s">
        <v>979</v>
      </c>
      <c r="P27" s="617">
        <v>2019</v>
      </c>
    </row>
    <row r="28" spans="1:16" ht="15" x14ac:dyDescent="0.2">
      <c r="A28" s="622">
        <v>5</v>
      </c>
      <c r="B28" s="622">
        <v>2227974</v>
      </c>
      <c r="C28" s="628" t="s">
        <v>347</v>
      </c>
      <c r="D28" s="406">
        <v>1.08</v>
      </c>
      <c r="E28" s="406">
        <v>1.08</v>
      </c>
      <c r="F28" s="622"/>
      <c r="G28" s="622"/>
      <c r="H28" s="622"/>
      <c r="I28" s="3">
        <v>0</v>
      </c>
      <c r="J28" s="620">
        <v>0</v>
      </c>
      <c r="K28" s="3">
        <v>0.56100000000000005</v>
      </c>
      <c r="L28" s="620">
        <v>100</v>
      </c>
      <c r="M28" s="406">
        <v>1.08</v>
      </c>
      <c r="N28" s="617">
        <v>100</v>
      </c>
      <c r="O28" s="617" t="s">
        <v>979</v>
      </c>
      <c r="P28" s="617">
        <v>2022</v>
      </c>
    </row>
    <row r="29" spans="1:16" ht="15" x14ac:dyDescent="0.2">
      <c r="A29" s="622">
        <v>6</v>
      </c>
      <c r="B29" s="622">
        <v>2221880</v>
      </c>
      <c r="C29" s="403" t="s">
        <v>282</v>
      </c>
      <c r="D29" s="404">
        <v>1.06</v>
      </c>
      <c r="E29" s="404">
        <v>1.06</v>
      </c>
      <c r="F29" s="622"/>
      <c r="G29" s="622"/>
      <c r="H29" s="622"/>
      <c r="I29" s="3">
        <v>0</v>
      </c>
      <c r="J29" s="620">
        <v>0</v>
      </c>
      <c r="K29" s="3">
        <v>1.43</v>
      </c>
      <c r="L29" s="620">
        <v>100</v>
      </c>
      <c r="M29" s="406">
        <v>1.06</v>
      </c>
      <c r="N29" s="617">
        <v>100</v>
      </c>
      <c r="O29" s="617" t="s">
        <v>979</v>
      </c>
      <c r="P29" s="617">
        <v>2019</v>
      </c>
    </row>
    <row r="30" spans="1:16" ht="15" x14ac:dyDescent="0.2">
      <c r="A30" s="622">
        <v>7</v>
      </c>
      <c r="B30" s="622">
        <v>2224723</v>
      </c>
      <c r="C30" s="403" t="s">
        <v>272</v>
      </c>
      <c r="D30" s="404">
        <v>2.35</v>
      </c>
      <c r="E30" s="404">
        <v>2.35</v>
      </c>
      <c r="F30" s="622"/>
      <c r="G30" s="622"/>
      <c r="H30" s="622"/>
      <c r="I30" s="3">
        <v>0</v>
      </c>
      <c r="J30" s="620">
        <v>0</v>
      </c>
      <c r="K30" s="3">
        <v>1.9</v>
      </c>
      <c r="L30" s="620">
        <v>100</v>
      </c>
      <c r="M30" s="406">
        <v>2.35</v>
      </c>
      <c r="N30" s="617">
        <v>100</v>
      </c>
      <c r="O30" s="617" t="s">
        <v>979</v>
      </c>
      <c r="P30" s="617">
        <v>2019</v>
      </c>
    </row>
    <row r="31" spans="1:16" ht="15" x14ac:dyDescent="0.2">
      <c r="A31" s="622">
        <v>8</v>
      </c>
      <c r="B31" s="622">
        <v>2225490</v>
      </c>
      <c r="C31" s="403" t="s">
        <v>252</v>
      </c>
      <c r="D31" s="406">
        <v>1.95</v>
      </c>
      <c r="E31" s="406">
        <v>1.95</v>
      </c>
      <c r="F31" s="622"/>
      <c r="G31" s="622"/>
      <c r="H31" s="402"/>
      <c r="I31" s="251">
        <v>0</v>
      </c>
      <c r="J31" s="620">
        <v>0</v>
      </c>
      <c r="K31" s="251">
        <v>1.65</v>
      </c>
      <c r="L31" s="620">
        <v>100</v>
      </c>
      <c r="M31" s="406">
        <v>0.88</v>
      </c>
      <c r="N31" s="617">
        <v>45</v>
      </c>
      <c r="O31" s="617" t="s">
        <v>979</v>
      </c>
      <c r="P31" s="617">
        <v>2019</v>
      </c>
    </row>
    <row r="32" spans="1:16" ht="30" x14ac:dyDescent="0.2">
      <c r="A32" s="622">
        <v>9</v>
      </c>
      <c r="B32" s="622">
        <v>2226803</v>
      </c>
      <c r="C32" s="403" t="s">
        <v>277</v>
      </c>
      <c r="D32" s="406">
        <v>11.52</v>
      </c>
      <c r="E32" s="406">
        <v>11.52</v>
      </c>
      <c r="F32" s="622"/>
      <c r="G32" s="622"/>
      <c r="H32" s="402"/>
      <c r="I32" s="3">
        <v>2.5</v>
      </c>
      <c r="J32" s="620">
        <v>32.1</v>
      </c>
      <c r="K32" s="3">
        <v>5.5</v>
      </c>
      <c r="L32" s="620">
        <v>70.510000000000005</v>
      </c>
      <c r="M32" s="406">
        <v>7.8</v>
      </c>
      <c r="N32" s="617">
        <v>67</v>
      </c>
      <c r="O32" s="617" t="s">
        <v>979</v>
      </c>
      <c r="P32" s="617" t="s">
        <v>971</v>
      </c>
    </row>
    <row r="33" spans="1:16" ht="15" x14ac:dyDescent="0.2">
      <c r="A33" s="622">
        <v>10</v>
      </c>
      <c r="B33" s="622">
        <v>2221908</v>
      </c>
      <c r="C33" s="403" t="s">
        <v>274</v>
      </c>
      <c r="D33" s="404">
        <v>2.1</v>
      </c>
      <c r="E33" s="404">
        <v>2.1</v>
      </c>
      <c r="F33" s="622"/>
      <c r="G33" s="622"/>
      <c r="H33" s="622"/>
      <c r="I33" s="3">
        <v>0</v>
      </c>
      <c r="J33" s="620">
        <v>0</v>
      </c>
      <c r="K33" s="400">
        <v>1.25</v>
      </c>
      <c r="L33" s="620">
        <v>100</v>
      </c>
      <c r="M33" s="406">
        <v>2.1</v>
      </c>
      <c r="N33" s="617">
        <v>100</v>
      </c>
      <c r="O33" s="617" t="s">
        <v>979</v>
      </c>
      <c r="P33" s="617">
        <v>2019</v>
      </c>
    </row>
    <row r="34" spans="1:16" ht="15" x14ac:dyDescent="0.2">
      <c r="A34" s="622">
        <v>11</v>
      </c>
      <c r="B34" s="622">
        <v>2226986</v>
      </c>
      <c r="C34" s="403" t="s">
        <v>273</v>
      </c>
      <c r="D34" s="404">
        <v>0.66900000000000004</v>
      </c>
      <c r="E34" s="404">
        <v>0.66900000000000004</v>
      </c>
      <c r="F34" s="622"/>
      <c r="G34" s="622"/>
      <c r="H34" s="622"/>
      <c r="I34" s="3">
        <v>0</v>
      </c>
      <c r="J34" s="620">
        <v>0</v>
      </c>
      <c r="K34" s="410">
        <v>3.6</v>
      </c>
      <c r="L34" s="620">
        <v>100</v>
      </c>
      <c r="M34" s="406">
        <v>0.66900000000000004</v>
      </c>
      <c r="N34" s="617">
        <v>100</v>
      </c>
      <c r="O34" s="617" t="s">
        <v>979</v>
      </c>
      <c r="P34" s="617">
        <v>2019</v>
      </c>
    </row>
    <row r="35" spans="1:16" ht="15" x14ac:dyDescent="0.2">
      <c r="A35" s="622">
        <v>12</v>
      </c>
      <c r="B35" s="622">
        <v>2224751</v>
      </c>
      <c r="C35" s="403" t="s">
        <v>276</v>
      </c>
      <c r="D35" s="404">
        <v>5.6390000000000002</v>
      </c>
      <c r="E35" s="404">
        <v>5.6390000000000002</v>
      </c>
      <c r="F35" s="622"/>
      <c r="G35" s="622"/>
      <c r="H35" s="622"/>
      <c r="I35" s="3">
        <v>0</v>
      </c>
      <c r="J35" s="620">
        <v>0</v>
      </c>
      <c r="K35" s="3">
        <v>0</v>
      </c>
      <c r="L35" s="620">
        <v>0</v>
      </c>
      <c r="M35" s="406">
        <v>5.6390000000000002</v>
      </c>
      <c r="N35" s="617">
        <v>100</v>
      </c>
      <c r="O35" s="617" t="s">
        <v>979</v>
      </c>
      <c r="P35" s="617">
        <v>2019</v>
      </c>
    </row>
    <row r="36" spans="1:16" ht="15" x14ac:dyDescent="0.2">
      <c r="A36" s="622">
        <v>13</v>
      </c>
      <c r="B36" s="622">
        <v>2220122</v>
      </c>
      <c r="C36" s="405" t="s">
        <v>263</v>
      </c>
      <c r="D36" s="406">
        <v>4.88</v>
      </c>
      <c r="E36" s="406">
        <v>4.88</v>
      </c>
      <c r="F36" s="402"/>
      <c r="G36" s="402"/>
      <c r="H36" s="402"/>
      <c r="I36" s="400">
        <v>1.98</v>
      </c>
      <c r="J36" s="617">
        <v>41</v>
      </c>
      <c r="K36" s="400">
        <v>3.88</v>
      </c>
      <c r="L36" s="619">
        <v>79.5</v>
      </c>
      <c r="M36" s="406">
        <v>4.88</v>
      </c>
      <c r="N36" s="617">
        <v>100</v>
      </c>
      <c r="O36" s="617" t="s">
        <v>979</v>
      </c>
      <c r="P36" s="617">
        <v>2019</v>
      </c>
    </row>
    <row r="37" spans="1:16" ht="15" x14ac:dyDescent="0.2">
      <c r="A37" s="622">
        <v>14</v>
      </c>
      <c r="B37" s="622">
        <v>2219637</v>
      </c>
      <c r="C37" s="403" t="s">
        <v>265</v>
      </c>
      <c r="D37" s="406">
        <v>1.94</v>
      </c>
      <c r="E37" s="406">
        <v>1.94</v>
      </c>
      <c r="F37" s="622"/>
      <c r="G37" s="622"/>
      <c r="H37" s="402"/>
      <c r="I37" s="400">
        <v>0</v>
      </c>
      <c r="J37" s="620">
        <v>0</v>
      </c>
      <c r="K37" s="400">
        <v>0</v>
      </c>
      <c r="L37" s="620">
        <v>0</v>
      </c>
      <c r="M37" s="406">
        <v>1.25</v>
      </c>
      <c r="N37" s="617">
        <v>64</v>
      </c>
      <c r="O37" s="617" t="s">
        <v>979</v>
      </c>
      <c r="P37" s="616">
        <v>2020</v>
      </c>
    </row>
    <row r="38" spans="1:16" ht="15" x14ac:dyDescent="0.2">
      <c r="A38" s="622">
        <v>15</v>
      </c>
      <c r="B38" s="622">
        <v>2220364</v>
      </c>
      <c r="C38" s="403" t="s">
        <v>294</v>
      </c>
      <c r="D38" s="404">
        <v>0.56100000000000005</v>
      </c>
      <c r="E38" s="404">
        <v>0.56100000000000005</v>
      </c>
      <c r="F38" s="622"/>
      <c r="G38" s="622"/>
      <c r="H38" s="622"/>
      <c r="I38" s="3">
        <v>0</v>
      </c>
      <c r="J38" s="620">
        <v>0</v>
      </c>
      <c r="K38" s="3">
        <v>0</v>
      </c>
      <c r="L38" s="620">
        <v>0</v>
      </c>
      <c r="M38" s="406">
        <v>0.56100000000000005</v>
      </c>
      <c r="N38" s="617">
        <v>100</v>
      </c>
      <c r="O38" s="617" t="s">
        <v>979</v>
      </c>
      <c r="P38" s="617">
        <v>2020</v>
      </c>
    </row>
    <row r="39" spans="1:16" ht="15" x14ac:dyDescent="0.2">
      <c r="A39" s="622">
        <v>16</v>
      </c>
      <c r="B39" s="622">
        <v>2222596</v>
      </c>
      <c r="C39" s="403" t="s">
        <v>296</v>
      </c>
      <c r="D39" s="404">
        <v>3.95</v>
      </c>
      <c r="E39" s="404">
        <v>3.95</v>
      </c>
      <c r="F39" s="622"/>
      <c r="G39" s="622"/>
      <c r="H39" s="622"/>
      <c r="I39" s="3">
        <v>0</v>
      </c>
      <c r="J39" s="620">
        <v>0</v>
      </c>
      <c r="K39" s="3">
        <v>0</v>
      </c>
      <c r="L39" s="620">
        <v>0</v>
      </c>
      <c r="M39" s="406">
        <v>3.95</v>
      </c>
      <c r="N39" s="617">
        <v>100</v>
      </c>
      <c r="O39" s="617" t="s">
        <v>979</v>
      </c>
      <c r="P39" s="617">
        <v>2020</v>
      </c>
    </row>
    <row r="40" spans="1:16" ht="15" x14ac:dyDescent="0.2">
      <c r="A40" s="622">
        <v>17</v>
      </c>
      <c r="B40" s="622">
        <v>2229556</v>
      </c>
      <c r="C40" s="403" t="s">
        <v>254</v>
      </c>
      <c r="D40" s="404">
        <v>3.786</v>
      </c>
      <c r="E40" s="404">
        <v>3.786</v>
      </c>
      <c r="F40" s="622"/>
      <c r="G40" s="622"/>
      <c r="H40" s="622"/>
      <c r="I40" s="251">
        <v>0</v>
      </c>
      <c r="J40" s="620">
        <v>0</v>
      </c>
      <c r="K40" s="251">
        <v>0</v>
      </c>
      <c r="L40" s="620">
        <v>0</v>
      </c>
      <c r="M40" s="406">
        <v>3.786</v>
      </c>
      <c r="N40" s="617">
        <v>100</v>
      </c>
      <c r="O40" s="617" t="s">
        <v>979</v>
      </c>
      <c r="P40" s="617">
        <v>2020</v>
      </c>
    </row>
    <row r="41" spans="1:16" ht="15" x14ac:dyDescent="0.2">
      <c r="A41" s="622">
        <v>18</v>
      </c>
      <c r="B41" s="622">
        <v>2229537</v>
      </c>
      <c r="C41" s="403" t="s">
        <v>299</v>
      </c>
      <c r="D41" s="404">
        <v>2.11</v>
      </c>
      <c r="E41" s="404">
        <v>2.11</v>
      </c>
      <c r="F41" s="622"/>
      <c r="G41" s="622"/>
      <c r="H41" s="622"/>
      <c r="I41" s="3">
        <v>0</v>
      </c>
      <c r="J41" s="620">
        <v>0</v>
      </c>
      <c r="K41" s="3">
        <v>0</v>
      </c>
      <c r="L41" s="620">
        <v>0</v>
      </c>
      <c r="M41" s="406">
        <v>2.11</v>
      </c>
      <c r="N41" s="617">
        <v>100</v>
      </c>
      <c r="O41" s="617" t="s">
        <v>979</v>
      </c>
      <c r="P41" s="617">
        <v>2020</v>
      </c>
    </row>
    <row r="42" spans="1:16" ht="15" x14ac:dyDescent="0.2">
      <c r="A42" s="622">
        <v>19</v>
      </c>
      <c r="B42" s="622">
        <v>2229301</v>
      </c>
      <c r="C42" s="403" t="s">
        <v>301</v>
      </c>
      <c r="D42" s="404">
        <v>1.87</v>
      </c>
      <c r="E42" s="404">
        <v>1.87</v>
      </c>
      <c r="F42" s="622"/>
      <c r="G42" s="622"/>
      <c r="H42" s="622"/>
      <c r="I42" s="3">
        <v>0</v>
      </c>
      <c r="J42" s="620">
        <v>0</v>
      </c>
      <c r="K42" s="3">
        <v>0</v>
      </c>
      <c r="L42" s="620">
        <v>0</v>
      </c>
      <c r="M42" s="406">
        <v>1.87</v>
      </c>
      <c r="N42" s="617">
        <v>100</v>
      </c>
      <c r="O42" s="617" t="s">
        <v>979</v>
      </c>
      <c r="P42" s="617">
        <v>2020</v>
      </c>
    </row>
    <row r="43" spans="1:16" ht="15" x14ac:dyDescent="0.2">
      <c r="A43" s="622">
        <v>20</v>
      </c>
      <c r="B43" s="622">
        <v>2223406</v>
      </c>
      <c r="C43" s="403" t="s">
        <v>298</v>
      </c>
      <c r="D43" s="404">
        <v>0.9</v>
      </c>
      <c r="E43" s="404">
        <v>0.9</v>
      </c>
      <c r="F43" s="622"/>
      <c r="G43" s="622"/>
      <c r="H43" s="622"/>
      <c r="I43" s="3">
        <v>0</v>
      </c>
      <c r="J43" s="620">
        <v>0</v>
      </c>
      <c r="K43" s="3">
        <v>0</v>
      </c>
      <c r="L43" s="620">
        <v>0</v>
      </c>
      <c r="M43" s="406">
        <v>0.9</v>
      </c>
      <c r="N43" s="617">
        <v>100</v>
      </c>
      <c r="O43" s="617" t="s">
        <v>979</v>
      </c>
      <c r="P43" s="617">
        <v>2020</v>
      </c>
    </row>
    <row r="44" spans="1:16" ht="15" x14ac:dyDescent="0.2">
      <c r="A44" s="622">
        <v>21</v>
      </c>
      <c r="B44" s="622">
        <v>2220671</v>
      </c>
      <c r="C44" s="403" t="s">
        <v>304</v>
      </c>
      <c r="D44" s="404">
        <v>3.06</v>
      </c>
      <c r="E44" s="404">
        <v>3.06</v>
      </c>
      <c r="F44" s="622"/>
      <c r="G44" s="622"/>
      <c r="H44" s="622"/>
      <c r="I44" s="3">
        <v>0</v>
      </c>
      <c r="J44" s="620">
        <v>0</v>
      </c>
      <c r="K44" s="3">
        <v>0</v>
      </c>
      <c r="L44" s="620">
        <v>0</v>
      </c>
      <c r="M44" s="406">
        <v>3.06</v>
      </c>
      <c r="N44" s="617">
        <v>100</v>
      </c>
      <c r="O44" s="617" t="s">
        <v>979</v>
      </c>
      <c r="P44" s="617">
        <v>2020</v>
      </c>
    </row>
    <row r="45" spans="1:16" ht="15" x14ac:dyDescent="0.2">
      <c r="A45" s="622">
        <v>22</v>
      </c>
      <c r="B45" s="622">
        <v>2223930</v>
      </c>
      <c r="C45" s="403" t="s">
        <v>981</v>
      </c>
      <c r="D45" s="404">
        <v>3.4750000000000001</v>
      </c>
      <c r="E45" s="404">
        <v>3.4750000000000001</v>
      </c>
      <c r="F45" s="622"/>
      <c r="G45" s="622"/>
      <c r="H45" s="622"/>
      <c r="I45" s="3">
        <v>0</v>
      </c>
      <c r="J45" s="620">
        <v>0</v>
      </c>
      <c r="K45" s="3">
        <v>0</v>
      </c>
      <c r="L45" s="620">
        <v>0</v>
      </c>
      <c r="M45" s="406">
        <v>3.4750000000000001</v>
      </c>
      <c r="N45" s="617">
        <v>100</v>
      </c>
      <c r="O45" s="617" t="s">
        <v>979</v>
      </c>
      <c r="P45" s="617">
        <v>2020</v>
      </c>
    </row>
    <row r="46" spans="1:16" ht="15" x14ac:dyDescent="0.2">
      <c r="A46" s="622">
        <v>23</v>
      </c>
      <c r="B46" s="622">
        <v>2223792</v>
      </c>
      <c r="C46" s="403" t="s">
        <v>313</v>
      </c>
      <c r="D46" s="404">
        <v>4.1399999999999997</v>
      </c>
      <c r="E46" s="404">
        <v>4.1399999999999997</v>
      </c>
      <c r="F46" s="622"/>
      <c r="G46" s="622"/>
      <c r="H46" s="622"/>
      <c r="I46" s="3">
        <v>0</v>
      </c>
      <c r="J46" s="620">
        <v>0</v>
      </c>
      <c r="K46" s="3">
        <v>0</v>
      </c>
      <c r="L46" s="620">
        <v>0</v>
      </c>
      <c r="M46" s="406">
        <v>4.1399999999999997</v>
      </c>
      <c r="N46" s="617">
        <v>100</v>
      </c>
      <c r="O46" s="617" t="s">
        <v>979</v>
      </c>
      <c r="P46" s="617">
        <v>2021</v>
      </c>
    </row>
    <row r="47" spans="1:16" ht="15" x14ac:dyDescent="0.2">
      <c r="A47" s="622">
        <v>24</v>
      </c>
      <c r="B47" s="622">
        <v>2226298</v>
      </c>
      <c r="C47" s="403" t="s">
        <v>316</v>
      </c>
      <c r="D47" s="406">
        <v>2.69</v>
      </c>
      <c r="E47" s="406">
        <v>2.69</v>
      </c>
      <c r="F47" s="622"/>
      <c r="G47" s="622"/>
      <c r="H47" s="402"/>
      <c r="I47" s="3">
        <v>0</v>
      </c>
      <c r="J47" s="620">
        <v>0</v>
      </c>
      <c r="K47" s="3">
        <v>0</v>
      </c>
      <c r="L47" s="620">
        <v>0</v>
      </c>
      <c r="M47" s="406">
        <v>2.5</v>
      </c>
      <c r="N47" s="617">
        <v>92</v>
      </c>
      <c r="O47" s="617" t="s">
        <v>979</v>
      </c>
      <c r="P47" s="617">
        <v>2021</v>
      </c>
    </row>
    <row r="48" spans="1:16" ht="15" x14ac:dyDescent="0.2">
      <c r="A48" s="622">
        <v>25</v>
      </c>
      <c r="B48" s="622">
        <v>2221937</v>
      </c>
      <c r="C48" s="403" t="s">
        <v>291</v>
      </c>
      <c r="D48" s="404">
        <v>2.16</v>
      </c>
      <c r="E48" s="404">
        <v>2.16</v>
      </c>
      <c r="F48" s="622"/>
      <c r="G48" s="622"/>
      <c r="H48" s="622"/>
      <c r="I48" s="3">
        <v>0</v>
      </c>
      <c r="J48" s="620">
        <v>0</v>
      </c>
      <c r="K48" s="3">
        <v>0</v>
      </c>
      <c r="L48" s="620">
        <v>0</v>
      </c>
      <c r="M48" s="406">
        <v>2.16</v>
      </c>
      <c r="N48" s="617">
        <v>100</v>
      </c>
      <c r="O48" s="617" t="s">
        <v>979</v>
      </c>
      <c r="P48" s="617">
        <v>2021</v>
      </c>
    </row>
    <row r="49" spans="1:16" ht="15" x14ac:dyDescent="0.2">
      <c r="A49" s="622">
        <v>26</v>
      </c>
      <c r="B49" s="622">
        <v>2227016</v>
      </c>
      <c r="C49" s="403" t="s">
        <v>247</v>
      </c>
      <c r="D49" s="404">
        <v>1.97</v>
      </c>
      <c r="E49" s="404">
        <v>1.97</v>
      </c>
      <c r="F49" s="622"/>
      <c r="G49" s="622"/>
      <c r="H49" s="622"/>
      <c r="I49" s="3">
        <v>0</v>
      </c>
      <c r="J49" s="620">
        <v>0</v>
      </c>
      <c r="K49" s="3">
        <v>0</v>
      </c>
      <c r="L49" s="620">
        <v>0</v>
      </c>
      <c r="M49" s="406">
        <v>1.97</v>
      </c>
      <c r="N49" s="617">
        <v>100</v>
      </c>
      <c r="O49" s="617" t="s">
        <v>979</v>
      </c>
      <c r="P49" s="617">
        <v>2019</v>
      </c>
    </row>
    <row r="50" spans="1:16" ht="15" x14ac:dyDescent="0.2">
      <c r="A50" s="622">
        <v>27</v>
      </c>
      <c r="B50" s="622">
        <v>2225570</v>
      </c>
      <c r="C50" s="403" t="s">
        <v>290</v>
      </c>
      <c r="D50" s="406">
        <v>1.99</v>
      </c>
      <c r="E50" s="406">
        <v>1.99</v>
      </c>
      <c r="F50" s="622"/>
      <c r="G50" s="622"/>
      <c r="H50" s="402"/>
      <c r="I50" s="3">
        <v>0</v>
      </c>
      <c r="J50" s="620">
        <v>0</v>
      </c>
      <c r="K50" s="3">
        <v>0</v>
      </c>
      <c r="L50" s="620">
        <v>0</v>
      </c>
      <c r="M50" s="400">
        <v>0.67</v>
      </c>
      <c r="N50" s="617">
        <v>34</v>
      </c>
      <c r="O50" s="617" t="s">
        <v>979</v>
      </c>
      <c r="P50" s="617">
        <v>2019</v>
      </c>
    </row>
    <row r="51" spans="1:16" ht="15" x14ac:dyDescent="0.2">
      <c r="A51" s="622">
        <v>28</v>
      </c>
      <c r="B51" s="622">
        <v>2220732</v>
      </c>
      <c r="C51" s="403" t="s">
        <v>319</v>
      </c>
      <c r="D51" s="404">
        <v>1.1200000000000001</v>
      </c>
      <c r="E51" s="404">
        <v>1.1200000000000001</v>
      </c>
      <c r="F51" s="622"/>
      <c r="G51" s="622"/>
      <c r="H51" s="622"/>
      <c r="I51" s="400">
        <v>0</v>
      </c>
      <c r="J51" s="620">
        <v>0</v>
      </c>
      <c r="K51" s="400">
        <v>0</v>
      </c>
      <c r="L51" s="620">
        <v>0</v>
      </c>
      <c r="M51" s="406">
        <v>1.1200000000000001</v>
      </c>
      <c r="N51" s="617">
        <v>100</v>
      </c>
      <c r="O51" s="617" t="s">
        <v>979</v>
      </c>
      <c r="P51" s="617">
        <v>2021</v>
      </c>
    </row>
    <row r="52" spans="1:16" ht="15" x14ac:dyDescent="0.2">
      <c r="A52" s="622">
        <v>29</v>
      </c>
      <c r="B52" s="622">
        <v>2220181</v>
      </c>
      <c r="C52" s="403" t="s">
        <v>268</v>
      </c>
      <c r="D52" s="404">
        <v>1.135</v>
      </c>
      <c r="E52" s="404">
        <v>1.135</v>
      </c>
      <c r="F52" s="622"/>
      <c r="G52" s="622"/>
      <c r="H52" s="622"/>
      <c r="I52" s="3">
        <v>0</v>
      </c>
      <c r="J52" s="620">
        <v>0</v>
      </c>
      <c r="K52" s="3">
        <v>0</v>
      </c>
      <c r="L52" s="620">
        <v>0</v>
      </c>
      <c r="M52" s="406">
        <v>1.135</v>
      </c>
      <c r="N52" s="617">
        <v>100</v>
      </c>
      <c r="O52" s="617" t="s">
        <v>979</v>
      </c>
      <c r="P52" s="617">
        <v>2021</v>
      </c>
    </row>
    <row r="53" spans="1:16" ht="15" x14ac:dyDescent="0.2">
      <c r="A53" s="622">
        <v>30</v>
      </c>
      <c r="B53" s="622">
        <v>2229366</v>
      </c>
      <c r="C53" s="403" t="s">
        <v>323</v>
      </c>
      <c r="D53" s="404">
        <v>1.43</v>
      </c>
      <c r="E53" s="404">
        <v>1.43</v>
      </c>
      <c r="F53" s="622"/>
      <c r="G53" s="622"/>
      <c r="H53" s="622"/>
      <c r="I53" s="3">
        <v>0</v>
      </c>
      <c r="J53" s="620">
        <v>0</v>
      </c>
      <c r="K53" s="3">
        <v>0</v>
      </c>
      <c r="L53" s="620">
        <v>0</v>
      </c>
      <c r="M53" s="406">
        <v>1.43</v>
      </c>
      <c r="N53" s="617">
        <v>100</v>
      </c>
      <c r="O53" s="617" t="s">
        <v>979</v>
      </c>
      <c r="P53" s="617">
        <v>2021</v>
      </c>
    </row>
    <row r="54" spans="1:16" ht="15" x14ac:dyDescent="0.2">
      <c r="A54" s="622">
        <v>31</v>
      </c>
      <c r="B54" s="622">
        <v>2226713</v>
      </c>
      <c r="C54" s="403" t="s">
        <v>324</v>
      </c>
      <c r="D54" s="404">
        <v>2.7229999999999999</v>
      </c>
      <c r="E54" s="404">
        <v>2.7229999999999999</v>
      </c>
      <c r="F54" s="622"/>
      <c r="G54" s="622"/>
      <c r="H54" s="622"/>
      <c r="I54" s="3">
        <v>0</v>
      </c>
      <c r="J54" s="620">
        <v>0</v>
      </c>
      <c r="K54" s="3">
        <v>0</v>
      </c>
      <c r="L54" s="620">
        <v>0</v>
      </c>
      <c r="M54" s="406">
        <v>2.7229999999999999</v>
      </c>
      <c r="N54" s="617">
        <v>100</v>
      </c>
      <c r="O54" s="617" t="s">
        <v>979</v>
      </c>
      <c r="P54" s="617">
        <v>2021</v>
      </c>
    </row>
    <row r="55" spans="1:16" ht="15" x14ac:dyDescent="0.2">
      <c r="A55" s="622">
        <v>32</v>
      </c>
      <c r="B55" s="622">
        <v>2227841</v>
      </c>
      <c r="C55" s="403" t="s">
        <v>286</v>
      </c>
      <c r="D55" s="406">
        <v>5.12</v>
      </c>
      <c r="E55" s="406">
        <v>5.12</v>
      </c>
      <c r="F55" s="622"/>
      <c r="G55" s="622"/>
      <c r="H55" s="402"/>
      <c r="I55" s="3">
        <v>0</v>
      </c>
      <c r="J55" s="620">
        <v>0</v>
      </c>
      <c r="K55" s="3">
        <v>0</v>
      </c>
      <c r="L55" s="620">
        <v>0</v>
      </c>
      <c r="M55" s="406">
        <v>3.6</v>
      </c>
      <c r="N55" s="617">
        <v>70</v>
      </c>
      <c r="O55" s="617" t="s">
        <v>979</v>
      </c>
      <c r="P55" s="617">
        <v>2021</v>
      </c>
    </row>
    <row r="56" spans="1:16" ht="15" x14ac:dyDescent="0.2">
      <c r="A56" s="622">
        <v>33</v>
      </c>
      <c r="B56" s="622">
        <v>2220994</v>
      </c>
      <c r="C56" s="403" t="s">
        <v>255</v>
      </c>
      <c r="D56" s="406">
        <v>1.44</v>
      </c>
      <c r="E56" s="406">
        <v>1.44</v>
      </c>
      <c r="F56" s="402"/>
      <c r="G56" s="402"/>
      <c r="H56" s="402"/>
      <c r="I56" s="400">
        <v>0</v>
      </c>
      <c r="J56" s="617">
        <v>0</v>
      </c>
      <c r="K56" s="400">
        <v>0</v>
      </c>
      <c r="L56" s="617">
        <v>0</v>
      </c>
      <c r="M56" s="406">
        <v>1.44</v>
      </c>
      <c r="N56" s="617">
        <v>100</v>
      </c>
      <c r="O56" s="617" t="s">
        <v>979</v>
      </c>
      <c r="P56" s="617">
        <v>2019</v>
      </c>
    </row>
    <row r="57" spans="1:16" ht="15" x14ac:dyDescent="0.2">
      <c r="A57" s="622">
        <v>34</v>
      </c>
      <c r="B57" s="622">
        <v>2228356</v>
      </c>
      <c r="C57" s="403" t="s">
        <v>327</v>
      </c>
      <c r="D57" s="404">
        <v>2.1629999999999998</v>
      </c>
      <c r="E57" s="404">
        <v>2.1629999999999998</v>
      </c>
      <c r="F57" s="622"/>
      <c r="G57" s="622"/>
      <c r="H57" s="622"/>
      <c r="I57" s="3">
        <v>0</v>
      </c>
      <c r="J57" s="620">
        <v>0</v>
      </c>
      <c r="K57" s="3">
        <v>0</v>
      </c>
      <c r="L57" s="620">
        <v>0</v>
      </c>
      <c r="M57" s="406">
        <v>2.1629999999999998</v>
      </c>
      <c r="N57" s="617">
        <v>100</v>
      </c>
      <c r="O57" s="617" t="s">
        <v>979</v>
      </c>
      <c r="P57" s="617">
        <v>2022</v>
      </c>
    </row>
    <row r="58" spans="1:16" ht="15" x14ac:dyDescent="0.2">
      <c r="A58" s="622">
        <v>35</v>
      </c>
      <c r="B58" s="622">
        <v>2226132</v>
      </c>
      <c r="C58" s="403" t="s">
        <v>317</v>
      </c>
      <c r="D58" s="404">
        <v>1.29</v>
      </c>
      <c r="E58" s="404">
        <v>1.29</v>
      </c>
      <c r="F58" s="622"/>
      <c r="G58" s="622"/>
      <c r="H58" s="622"/>
      <c r="I58" s="3">
        <v>0</v>
      </c>
      <c r="J58" s="620">
        <v>0</v>
      </c>
      <c r="K58" s="3">
        <v>0</v>
      </c>
      <c r="L58" s="620">
        <v>0</v>
      </c>
      <c r="M58" s="406">
        <v>1.29</v>
      </c>
      <c r="N58" s="617">
        <v>100</v>
      </c>
      <c r="O58" s="617" t="s">
        <v>979</v>
      </c>
      <c r="P58" s="617">
        <v>2022</v>
      </c>
    </row>
    <row r="59" spans="1:16" ht="15" x14ac:dyDescent="0.2">
      <c r="A59" s="622">
        <v>36</v>
      </c>
      <c r="B59" s="622">
        <v>2223545</v>
      </c>
      <c r="C59" s="403" t="s">
        <v>331</v>
      </c>
      <c r="D59" s="404">
        <v>1.87</v>
      </c>
      <c r="E59" s="404">
        <v>1.87</v>
      </c>
      <c r="F59" s="622"/>
      <c r="G59" s="622"/>
      <c r="H59" s="622"/>
      <c r="I59" s="3">
        <v>0</v>
      </c>
      <c r="J59" s="620">
        <v>0</v>
      </c>
      <c r="K59" s="3">
        <v>0</v>
      </c>
      <c r="L59" s="620">
        <v>0</v>
      </c>
      <c r="M59" s="406">
        <v>1.87</v>
      </c>
      <c r="N59" s="617">
        <v>100</v>
      </c>
      <c r="O59" s="617" t="s">
        <v>979</v>
      </c>
      <c r="P59" s="617">
        <v>2022</v>
      </c>
    </row>
    <row r="60" spans="1:16" ht="15" x14ac:dyDescent="0.2">
      <c r="A60" s="622">
        <v>37</v>
      </c>
      <c r="B60" s="622">
        <v>2220903</v>
      </c>
      <c r="C60" s="403" t="s">
        <v>334</v>
      </c>
      <c r="D60" s="404">
        <v>2.89</v>
      </c>
      <c r="E60" s="404">
        <v>2.89</v>
      </c>
      <c r="F60" s="622"/>
      <c r="G60" s="622"/>
      <c r="H60" s="622"/>
      <c r="I60" s="3">
        <v>0</v>
      </c>
      <c r="J60" s="620">
        <v>0</v>
      </c>
      <c r="K60" s="3">
        <v>0</v>
      </c>
      <c r="L60" s="620">
        <v>0</v>
      </c>
      <c r="M60" s="406">
        <v>2.89</v>
      </c>
      <c r="N60" s="617">
        <v>100</v>
      </c>
      <c r="O60" s="617" t="s">
        <v>979</v>
      </c>
      <c r="P60" s="617">
        <v>2022</v>
      </c>
    </row>
    <row r="61" spans="1:16" ht="15" x14ac:dyDescent="0.2">
      <c r="A61" s="622">
        <v>38</v>
      </c>
      <c r="B61" s="622">
        <v>2223092</v>
      </c>
      <c r="C61" s="403" t="s">
        <v>300</v>
      </c>
      <c r="D61" s="404">
        <v>4.1399999999999997</v>
      </c>
      <c r="E61" s="404">
        <v>4.1399999999999997</v>
      </c>
      <c r="F61" s="622"/>
      <c r="G61" s="622"/>
      <c r="H61" s="622"/>
      <c r="I61" s="3">
        <v>0</v>
      </c>
      <c r="J61" s="620">
        <v>0</v>
      </c>
      <c r="K61" s="3">
        <v>0</v>
      </c>
      <c r="L61" s="620">
        <v>0</v>
      </c>
      <c r="M61" s="406">
        <v>4.1399999999999997</v>
      </c>
      <c r="N61" s="617">
        <v>100</v>
      </c>
      <c r="O61" s="617" t="s">
        <v>979</v>
      </c>
      <c r="P61" s="617">
        <v>2022</v>
      </c>
    </row>
    <row r="62" spans="1:16" ht="15" x14ac:dyDescent="0.2">
      <c r="A62" s="622">
        <v>39</v>
      </c>
      <c r="B62" s="622">
        <v>2221310</v>
      </c>
      <c r="C62" s="403" t="s">
        <v>337</v>
      </c>
      <c r="D62" s="406">
        <v>2.5299999999999998</v>
      </c>
      <c r="E62" s="406">
        <v>2.5299999999999998</v>
      </c>
      <c r="F62" s="622"/>
      <c r="G62" s="622"/>
      <c r="H62" s="402"/>
      <c r="I62" s="3">
        <v>0</v>
      </c>
      <c r="J62" s="620">
        <v>0</v>
      </c>
      <c r="K62" s="3">
        <v>0</v>
      </c>
      <c r="L62" s="620">
        <v>0</v>
      </c>
      <c r="M62" s="406">
        <v>2</v>
      </c>
      <c r="N62" s="617">
        <v>79</v>
      </c>
      <c r="O62" s="617" t="s">
        <v>979</v>
      </c>
      <c r="P62" s="617">
        <v>2022</v>
      </c>
    </row>
    <row r="63" spans="1:16" ht="15" x14ac:dyDescent="0.2">
      <c r="A63" s="622">
        <v>40</v>
      </c>
      <c r="B63" s="622">
        <v>2224454</v>
      </c>
      <c r="C63" s="403" t="s">
        <v>339</v>
      </c>
      <c r="D63" s="404">
        <v>3.54</v>
      </c>
      <c r="E63" s="404">
        <v>3.54</v>
      </c>
      <c r="F63" s="622"/>
      <c r="G63" s="622"/>
      <c r="H63" s="622"/>
      <c r="I63" s="3">
        <v>0</v>
      </c>
      <c r="J63" s="620">
        <v>0</v>
      </c>
      <c r="K63" s="3">
        <v>0</v>
      </c>
      <c r="L63" s="620">
        <v>0</v>
      </c>
      <c r="M63" s="406">
        <v>3.54</v>
      </c>
      <c r="N63" s="617">
        <v>100</v>
      </c>
      <c r="O63" s="617" t="s">
        <v>979</v>
      </c>
      <c r="P63" s="617">
        <v>2022</v>
      </c>
    </row>
    <row r="64" spans="1:16" ht="15" x14ac:dyDescent="0.2">
      <c r="A64" s="622">
        <v>41</v>
      </c>
      <c r="B64" s="622">
        <v>2220514</v>
      </c>
      <c r="C64" s="403" t="s">
        <v>308</v>
      </c>
      <c r="D64" s="406">
        <v>2.04</v>
      </c>
      <c r="E64" s="406">
        <v>2.04</v>
      </c>
      <c r="F64" s="622"/>
      <c r="G64" s="622"/>
      <c r="H64" s="402"/>
      <c r="I64" s="3">
        <v>0</v>
      </c>
      <c r="J64" s="620">
        <v>0</v>
      </c>
      <c r="K64" s="3">
        <v>0</v>
      </c>
      <c r="L64" s="620">
        <v>0</v>
      </c>
      <c r="M64" s="406">
        <v>2</v>
      </c>
      <c r="N64" s="617">
        <v>100</v>
      </c>
      <c r="O64" s="617" t="s">
        <v>979</v>
      </c>
      <c r="P64" s="617">
        <v>2022</v>
      </c>
    </row>
    <row r="65" spans="1:16" ht="15" x14ac:dyDescent="0.2">
      <c r="A65" s="622">
        <v>42</v>
      </c>
      <c r="B65" s="622">
        <v>2220085</v>
      </c>
      <c r="C65" s="405" t="s">
        <v>982</v>
      </c>
      <c r="D65" s="404">
        <v>1.7</v>
      </c>
      <c r="E65" s="404">
        <v>1.7</v>
      </c>
      <c r="F65" s="622"/>
      <c r="G65" s="622"/>
      <c r="H65" s="622"/>
      <c r="I65" s="3">
        <v>0</v>
      </c>
      <c r="J65" s="620">
        <v>0</v>
      </c>
      <c r="K65" s="3">
        <v>0</v>
      </c>
      <c r="L65" s="620">
        <v>0</v>
      </c>
      <c r="M65" s="406">
        <v>1.7</v>
      </c>
      <c r="N65" s="617">
        <v>100</v>
      </c>
      <c r="O65" s="617" t="s">
        <v>979</v>
      </c>
      <c r="P65" s="617">
        <v>2022</v>
      </c>
    </row>
    <row r="66" spans="1:16" ht="15" x14ac:dyDescent="0.2">
      <c r="A66" s="622">
        <v>43</v>
      </c>
      <c r="B66" s="622">
        <v>2227548</v>
      </c>
      <c r="C66" s="403" t="s">
        <v>346</v>
      </c>
      <c r="D66" s="406">
        <v>1.768</v>
      </c>
      <c r="E66" s="406">
        <v>1.768</v>
      </c>
      <c r="F66" s="622"/>
      <c r="G66" s="622"/>
      <c r="H66" s="411"/>
      <c r="I66" s="3">
        <v>0.57999999999999996</v>
      </c>
      <c r="J66" s="620">
        <v>32.799999999999997</v>
      </c>
      <c r="K66" s="3">
        <v>0.57999999999999996</v>
      </c>
      <c r="L66" s="620">
        <v>32.799999999999997</v>
      </c>
      <c r="M66" s="400">
        <v>1.48</v>
      </c>
      <c r="N66" s="617">
        <v>85</v>
      </c>
      <c r="O66" s="617" t="s">
        <v>979</v>
      </c>
      <c r="P66" s="617">
        <v>2022</v>
      </c>
    </row>
    <row r="67" spans="1:16" ht="15" x14ac:dyDescent="0.2">
      <c r="A67" s="622">
        <v>44</v>
      </c>
      <c r="B67" s="622">
        <v>2224554</v>
      </c>
      <c r="C67" s="403" t="s">
        <v>271</v>
      </c>
      <c r="D67" s="404">
        <v>1.806</v>
      </c>
      <c r="E67" s="404">
        <v>1.806</v>
      </c>
      <c r="F67" s="622"/>
      <c r="G67" s="622"/>
      <c r="H67" s="622"/>
      <c r="I67" s="3">
        <v>0</v>
      </c>
      <c r="J67" s="620">
        <v>0</v>
      </c>
      <c r="K67" s="3">
        <v>0</v>
      </c>
      <c r="L67" s="620">
        <v>0</v>
      </c>
      <c r="M67" s="406">
        <v>1.806</v>
      </c>
      <c r="N67" s="617">
        <v>100</v>
      </c>
      <c r="O67" s="617" t="s">
        <v>979</v>
      </c>
      <c r="P67" s="617">
        <v>2023</v>
      </c>
    </row>
    <row r="68" spans="1:16" ht="15" x14ac:dyDescent="0.2">
      <c r="A68" s="622">
        <v>45</v>
      </c>
      <c r="B68" s="622">
        <v>2228456</v>
      </c>
      <c r="C68" s="403" t="s">
        <v>270</v>
      </c>
      <c r="D68" s="404">
        <v>1.27</v>
      </c>
      <c r="E68" s="404">
        <v>1.27</v>
      </c>
      <c r="F68" s="402"/>
      <c r="G68" s="402"/>
      <c r="H68" s="402"/>
      <c r="I68" s="400">
        <v>0</v>
      </c>
      <c r="J68" s="617">
        <v>0</v>
      </c>
      <c r="K68" s="400">
        <v>0</v>
      </c>
      <c r="L68" s="617">
        <v>0</v>
      </c>
      <c r="M68" s="400">
        <v>0.5</v>
      </c>
      <c r="N68" s="617">
        <v>39</v>
      </c>
      <c r="O68" s="617" t="s">
        <v>979</v>
      </c>
      <c r="P68" s="617">
        <v>2019</v>
      </c>
    </row>
    <row r="69" spans="1:16" ht="15" x14ac:dyDescent="0.2">
      <c r="A69" s="622">
        <v>46</v>
      </c>
      <c r="B69" s="622">
        <v>2225710</v>
      </c>
      <c r="C69" s="403" t="s">
        <v>351</v>
      </c>
      <c r="D69" s="404">
        <v>1.1499999999999999</v>
      </c>
      <c r="E69" s="404">
        <v>1.1499999999999999</v>
      </c>
      <c r="F69" s="622"/>
      <c r="G69" s="622"/>
      <c r="H69" s="622"/>
      <c r="I69" s="3">
        <v>0</v>
      </c>
      <c r="J69" s="620">
        <v>0</v>
      </c>
      <c r="K69" s="3">
        <v>0</v>
      </c>
      <c r="L69" s="620">
        <v>0</v>
      </c>
      <c r="M69" s="406">
        <v>1.1499999999999999</v>
      </c>
      <c r="N69" s="617">
        <v>100</v>
      </c>
      <c r="O69" s="617" t="s">
        <v>979</v>
      </c>
      <c r="P69" s="617">
        <v>2023</v>
      </c>
    </row>
    <row r="70" spans="1:16" ht="15" x14ac:dyDescent="0.2">
      <c r="A70" s="622">
        <v>47</v>
      </c>
      <c r="B70" s="622">
        <v>2220362</v>
      </c>
      <c r="C70" s="403" t="s">
        <v>285</v>
      </c>
      <c r="D70" s="404">
        <v>0.95</v>
      </c>
      <c r="E70" s="404">
        <v>0.95</v>
      </c>
      <c r="F70" s="622"/>
      <c r="G70" s="622"/>
      <c r="H70" s="622"/>
      <c r="I70" s="3">
        <v>0</v>
      </c>
      <c r="J70" s="620">
        <v>0</v>
      </c>
      <c r="K70" s="3">
        <v>0</v>
      </c>
      <c r="L70" s="620">
        <v>0</v>
      </c>
      <c r="M70" s="406">
        <v>0.95</v>
      </c>
      <c r="N70" s="617">
        <v>100</v>
      </c>
      <c r="O70" s="617" t="s">
        <v>979</v>
      </c>
      <c r="P70" s="617">
        <v>2019</v>
      </c>
    </row>
    <row r="71" spans="1:16" ht="15" x14ac:dyDescent="0.2">
      <c r="A71" s="622">
        <v>48</v>
      </c>
      <c r="B71" s="622">
        <v>2222517</v>
      </c>
      <c r="C71" s="403" t="s">
        <v>258</v>
      </c>
      <c r="D71" s="404">
        <v>2.621</v>
      </c>
      <c r="E71" s="404">
        <v>2.621</v>
      </c>
      <c r="F71" s="408"/>
      <c r="G71" s="408"/>
      <c r="H71" s="408"/>
      <c r="I71" s="409">
        <v>0.81</v>
      </c>
      <c r="J71" s="57">
        <v>30.9</v>
      </c>
      <c r="K71" s="409">
        <v>0.81</v>
      </c>
      <c r="L71" s="57">
        <v>30.9</v>
      </c>
      <c r="M71" s="407">
        <v>2.621</v>
      </c>
      <c r="N71" s="617">
        <v>100</v>
      </c>
      <c r="O71" s="617" t="s">
        <v>979</v>
      </c>
      <c r="P71" s="617">
        <v>2023</v>
      </c>
    </row>
    <row r="72" spans="1:16" ht="15" x14ac:dyDescent="0.2">
      <c r="A72" s="622">
        <v>49</v>
      </c>
      <c r="B72" s="622">
        <v>2228605</v>
      </c>
      <c r="C72" s="403" t="s">
        <v>354</v>
      </c>
      <c r="D72" s="404">
        <v>1.37</v>
      </c>
      <c r="E72" s="404">
        <v>1.37</v>
      </c>
      <c r="F72" s="622"/>
      <c r="G72" s="622"/>
      <c r="H72" s="622"/>
      <c r="I72" s="3">
        <v>0</v>
      </c>
      <c r="J72" s="620">
        <v>0</v>
      </c>
      <c r="K72" s="3">
        <v>0</v>
      </c>
      <c r="L72" s="620">
        <v>0</v>
      </c>
      <c r="M72" s="406">
        <v>1.37</v>
      </c>
      <c r="N72" s="617">
        <v>100</v>
      </c>
      <c r="O72" s="617" t="s">
        <v>979</v>
      </c>
      <c r="P72" s="617">
        <v>2023</v>
      </c>
    </row>
    <row r="73" spans="1:16" ht="15" x14ac:dyDescent="0.2">
      <c r="A73" s="622">
        <v>50</v>
      </c>
      <c r="B73" s="622">
        <v>2229174</v>
      </c>
      <c r="C73" s="403" t="s">
        <v>357</v>
      </c>
      <c r="D73" s="404">
        <v>1.27</v>
      </c>
      <c r="E73" s="404">
        <v>1.27</v>
      </c>
      <c r="F73" s="622"/>
      <c r="G73" s="622"/>
      <c r="H73" s="622"/>
      <c r="I73" s="3">
        <v>0</v>
      </c>
      <c r="J73" s="620">
        <v>0</v>
      </c>
      <c r="K73" s="3">
        <v>0</v>
      </c>
      <c r="L73" s="620">
        <v>0</v>
      </c>
      <c r="M73" s="406">
        <v>1.27</v>
      </c>
      <c r="N73" s="617">
        <v>100</v>
      </c>
      <c r="O73" s="617" t="s">
        <v>979</v>
      </c>
      <c r="P73" s="617">
        <v>2023</v>
      </c>
    </row>
    <row r="74" spans="1:16" ht="15" x14ac:dyDescent="0.2">
      <c r="A74" s="622">
        <v>51</v>
      </c>
      <c r="B74" s="622">
        <v>2228801</v>
      </c>
      <c r="C74" s="403" t="s">
        <v>359</v>
      </c>
      <c r="D74" s="404">
        <v>1.0349999999999999</v>
      </c>
      <c r="E74" s="404">
        <v>1.0349999999999999</v>
      </c>
      <c r="F74" s="622"/>
      <c r="G74" s="622"/>
      <c r="H74" s="622"/>
      <c r="I74" s="3">
        <v>0</v>
      </c>
      <c r="J74" s="620">
        <v>0</v>
      </c>
      <c r="K74" s="3">
        <v>0</v>
      </c>
      <c r="L74" s="620">
        <v>0</v>
      </c>
      <c r="M74" s="406">
        <v>1.0349999999999999</v>
      </c>
      <c r="N74" s="617">
        <v>100</v>
      </c>
      <c r="O74" s="617" t="s">
        <v>979</v>
      </c>
      <c r="P74" s="617">
        <v>2023</v>
      </c>
    </row>
    <row r="75" spans="1:16" ht="15" x14ac:dyDescent="0.2">
      <c r="A75" s="622">
        <v>52</v>
      </c>
      <c r="B75" s="622">
        <v>2228404</v>
      </c>
      <c r="C75" s="403" t="s">
        <v>267</v>
      </c>
      <c r="D75" s="404">
        <v>2.9</v>
      </c>
      <c r="E75" s="404">
        <v>2.9</v>
      </c>
      <c r="F75" s="622"/>
      <c r="G75" s="622"/>
      <c r="H75" s="622"/>
      <c r="I75" s="3">
        <v>0</v>
      </c>
      <c r="J75" s="620">
        <v>0</v>
      </c>
      <c r="K75" s="3">
        <v>0</v>
      </c>
      <c r="L75" s="620">
        <v>0</v>
      </c>
      <c r="M75" s="406">
        <v>2.9</v>
      </c>
      <c r="N75" s="617">
        <v>100</v>
      </c>
      <c r="O75" s="617" t="s">
        <v>979</v>
      </c>
      <c r="P75" s="617">
        <v>2019</v>
      </c>
    </row>
    <row r="76" spans="1:16" ht="15" x14ac:dyDescent="0.2">
      <c r="A76" s="622">
        <v>53</v>
      </c>
      <c r="B76" s="622">
        <v>2227796</v>
      </c>
      <c r="C76" s="403" t="s">
        <v>361</v>
      </c>
      <c r="D76" s="404">
        <v>1.4159999999999999</v>
      </c>
      <c r="E76" s="404">
        <v>1.4159999999999999</v>
      </c>
      <c r="F76" s="622"/>
      <c r="G76" s="622"/>
      <c r="H76" s="622"/>
      <c r="I76" s="3">
        <v>0</v>
      </c>
      <c r="J76" s="620">
        <v>0</v>
      </c>
      <c r="K76" s="3">
        <v>0</v>
      </c>
      <c r="L76" s="620">
        <v>0</v>
      </c>
      <c r="M76" s="406">
        <v>1.4159999999999999</v>
      </c>
      <c r="N76" s="617">
        <v>100</v>
      </c>
      <c r="O76" s="617" t="s">
        <v>979</v>
      </c>
      <c r="P76" s="617">
        <v>2023</v>
      </c>
    </row>
    <row r="77" spans="1:16" ht="15" x14ac:dyDescent="0.2">
      <c r="A77" s="622">
        <v>54</v>
      </c>
      <c r="B77" s="622">
        <v>2228574</v>
      </c>
      <c r="C77" s="403" t="s">
        <v>363</v>
      </c>
      <c r="D77" s="404">
        <v>2.34</v>
      </c>
      <c r="E77" s="404">
        <v>2.34</v>
      </c>
      <c r="F77" s="622"/>
      <c r="G77" s="622"/>
      <c r="H77" s="622"/>
      <c r="I77" s="3">
        <v>0</v>
      </c>
      <c r="J77" s="620">
        <v>0</v>
      </c>
      <c r="K77" s="3">
        <v>0</v>
      </c>
      <c r="L77" s="620">
        <v>0</v>
      </c>
      <c r="M77" s="406">
        <v>2.34</v>
      </c>
      <c r="N77" s="617">
        <v>100</v>
      </c>
      <c r="O77" s="617" t="s">
        <v>979</v>
      </c>
      <c r="P77" s="617">
        <v>2023</v>
      </c>
    </row>
    <row r="78" spans="1:16" ht="15" x14ac:dyDescent="0.2">
      <c r="A78" s="622">
        <v>55</v>
      </c>
      <c r="B78" s="622">
        <v>2225207</v>
      </c>
      <c r="C78" s="403" t="s">
        <v>348</v>
      </c>
      <c r="D78" s="404">
        <v>2.1</v>
      </c>
      <c r="E78" s="404">
        <v>2.1</v>
      </c>
      <c r="F78" s="622"/>
      <c r="G78" s="622"/>
      <c r="H78" s="622"/>
      <c r="I78" s="3">
        <v>0</v>
      </c>
      <c r="J78" s="620">
        <v>0</v>
      </c>
      <c r="K78" s="3">
        <v>0</v>
      </c>
      <c r="L78" s="620">
        <v>0</v>
      </c>
      <c r="M78" s="406">
        <v>2.1</v>
      </c>
      <c r="N78" s="617">
        <v>100</v>
      </c>
      <c r="O78" s="617" t="s">
        <v>979</v>
      </c>
      <c r="P78" s="617">
        <v>2023</v>
      </c>
    </row>
    <row r="79" spans="1:16" ht="15" x14ac:dyDescent="0.2">
      <c r="A79" s="622">
        <v>56</v>
      </c>
      <c r="B79" s="622">
        <v>2229400</v>
      </c>
      <c r="C79" s="403" t="s">
        <v>350</v>
      </c>
      <c r="D79" s="404">
        <v>3.29</v>
      </c>
      <c r="E79" s="404">
        <v>3.29</v>
      </c>
      <c r="F79" s="622"/>
      <c r="G79" s="622"/>
      <c r="H79" s="622"/>
      <c r="I79" s="3">
        <v>0</v>
      </c>
      <c r="J79" s="620">
        <v>0</v>
      </c>
      <c r="K79" s="3">
        <v>0</v>
      </c>
      <c r="L79" s="620">
        <v>0</v>
      </c>
      <c r="M79" s="406">
        <v>3.29</v>
      </c>
      <c r="N79" s="617">
        <v>100</v>
      </c>
      <c r="O79" s="617" t="s">
        <v>979</v>
      </c>
      <c r="P79" s="617">
        <v>2023</v>
      </c>
    </row>
    <row r="80" spans="1:16" ht="15" x14ac:dyDescent="0.2">
      <c r="A80" s="622">
        <v>57</v>
      </c>
      <c r="B80" s="622">
        <v>2225980</v>
      </c>
      <c r="C80" s="403" t="s">
        <v>349</v>
      </c>
      <c r="D80" s="406">
        <v>1.262</v>
      </c>
      <c r="E80" s="406">
        <v>1.262</v>
      </c>
      <c r="F80" s="622"/>
      <c r="G80" s="622"/>
      <c r="H80" s="402"/>
      <c r="I80" s="3">
        <v>0</v>
      </c>
      <c r="J80" s="620">
        <v>0</v>
      </c>
      <c r="K80" s="3">
        <v>0</v>
      </c>
      <c r="L80" s="620">
        <v>0</v>
      </c>
      <c r="M80" s="406">
        <v>1.216</v>
      </c>
      <c r="N80" s="617">
        <v>98</v>
      </c>
      <c r="O80" s="617" t="s">
        <v>979</v>
      </c>
      <c r="P80" s="617">
        <v>2024</v>
      </c>
    </row>
    <row r="81" spans="1:16" ht="15" x14ac:dyDescent="0.2">
      <c r="A81" s="622">
        <v>58</v>
      </c>
      <c r="B81" s="622">
        <v>2224247</v>
      </c>
      <c r="C81" s="403" t="s">
        <v>264</v>
      </c>
      <c r="D81" s="404">
        <v>0.71399999999999997</v>
      </c>
      <c r="E81" s="404">
        <v>0.71399999999999997</v>
      </c>
      <c r="F81" s="622"/>
      <c r="G81" s="622"/>
      <c r="H81" s="622"/>
      <c r="I81" s="3">
        <v>0</v>
      </c>
      <c r="J81" s="620">
        <v>0</v>
      </c>
      <c r="K81" s="3">
        <v>0</v>
      </c>
      <c r="L81" s="620">
        <v>0</v>
      </c>
      <c r="M81" s="406">
        <v>0.71399999999999997</v>
      </c>
      <c r="N81" s="617">
        <v>100</v>
      </c>
      <c r="O81" s="617" t="s">
        <v>979</v>
      </c>
      <c r="P81" s="617">
        <v>2024</v>
      </c>
    </row>
    <row r="82" spans="1:16" ht="15" x14ac:dyDescent="0.2">
      <c r="A82" s="622">
        <v>59</v>
      </c>
      <c r="B82" s="622">
        <v>2219828</v>
      </c>
      <c r="C82" s="403" t="s">
        <v>364</v>
      </c>
      <c r="D82" s="404">
        <v>1.2230000000000001</v>
      </c>
      <c r="E82" s="404">
        <v>1.2230000000000001</v>
      </c>
      <c r="F82" s="622"/>
      <c r="G82" s="622"/>
      <c r="H82" s="622"/>
      <c r="I82" s="3">
        <v>0</v>
      </c>
      <c r="J82" s="620">
        <v>0</v>
      </c>
      <c r="K82" s="3">
        <v>0</v>
      </c>
      <c r="L82" s="620">
        <v>0</v>
      </c>
      <c r="M82" s="406">
        <v>1.2230000000000001</v>
      </c>
      <c r="N82" s="617">
        <v>100</v>
      </c>
      <c r="O82" s="617" t="s">
        <v>979</v>
      </c>
      <c r="P82" s="617">
        <v>2024</v>
      </c>
    </row>
    <row r="83" spans="1:16" ht="15" x14ac:dyDescent="0.2">
      <c r="A83" s="622">
        <v>60</v>
      </c>
      <c r="B83" s="622">
        <v>2223488</v>
      </c>
      <c r="C83" s="403" t="s">
        <v>292</v>
      </c>
      <c r="D83" s="404">
        <v>1.7909999999999999</v>
      </c>
      <c r="E83" s="404">
        <v>1.7909999999999999</v>
      </c>
      <c r="F83" s="622"/>
      <c r="G83" s="622"/>
      <c r="H83" s="622"/>
      <c r="I83" s="3">
        <v>0</v>
      </c>
      <c r="J83" s="620">
        <v>0</v>
      </c>
      <c r="K83" s="3">
        <v>0</v>
      </c>
      <c r="L83" s="620">
        <v>0</v>
      </c>
      <c r="M83" s="406">
        <v>1.7909999999999999</v>
      </c>
      <c r="N83" s="617">
        <v>100</v>
      </c>
      <c r="O83" s="617" t="s">
        <v>979</v>
      </c>
      <c r="P83" s="215" t="s">
        <v>586</v>
      </c>
    </row>
    <row r="84" spans="1:16" ht="15" x14ac:dyDescent="0.2">
      <c r="A84" s="622">
        <v>61</v>
      </c>
      <c r="B84" s="622">
        <v>2222592</v>
      </c>
      <c r="C84" s="403" t="s">
        <v>376</v>
      </c>
      <c r="D84" s="404">
        <v>1.8</v>
      </c>
      <c r="E84" s="404">
        <v>1.8</v>
      </c>
      <c r="F84" s="622"/>
      <c r="G84" s="622"/>
      <c r="H84" s="622"/>
      <c r="I84" s="3">
        <v>0</v>
      </c>
      <c r="J84" s="620">
        <v>0</v>
      </c>
      <c r="K84" s="3">
        <v>0</v>
      </c>
      <c r="L84" s="620">
        <v>0</v>
      </c>
      <c r="M84" s="406">
        <v>1.8</v>
      </c>
      <c r="N84" s="617">
        <v>100</v>
      </c>
      <c r="O84" s="617" t="s">
        <v>979</v>
      </c>
      <c r="P84" s="617">
        <v>2024</v>
      </c>
    </row>
    <row r="85" spans="1:16" ht="15" x14ac:dyDescent="0.2">
      <c r="A85" s="622">
        <v>62</v>
      </c>
      <c r="B85" s="622">
        <v>2221607</v>
      </c>
      <c r="C85" s="403" t="s">
        <v>303</v>
      </c>
      <c r="D85" s="404">
        <v>1.502</v>
      </c>
      <c r="E85" s="404">
        <v>1.502</v>
      </c>
      <c r="F85" s="622"/>
      <c r="G85" s="622"/>
      <c r="H85" s="622"/>
      <c r="I85" s="3">
        <v>0</v>
      </c>
      <c r="J85" s="620">
        <v>0</v>
      </c>
      <c r="K85" s="3">
        <v>0</v>
      </c>
      <c r="L85" s="620">
        <v>0</v>
      </c>
      <c r="M85" s="406">
        <v>1.502</v>
      </c>
      <c r="N85" s="617">
        <v>100</v>
      </c>
      <c r="O85" s="617" t="s">
        <v>979</v>
      </c>
      <c r="P85" s="617">
        <v>2024</v>
      </c>
    </row>
    <row r="86" spans="1:16" ht="15" x14ac:dyDescent="0.2">
      <c r="A86" s="412">
        <v>63</v>
      </c>
      <c r="B86" s="412">
        <v>2225081</v>
      </c>
      <c r="C86" s="403" t="s">
        <v>983</v>
      </c>
      <c r="D86" s="413">
        <v>2.97</v>
      </c>
      <c r="E86" s="413">
        <v>2.97</v>
      </c>
      <c r="F86" s="412"/>
      <c r="G86" s="412"/>
      <c r="H86" s="412"/>
      <c r="I86" s="3">
        <v>0</v>
      </c>
      <c r="J86" s="75">
        <v>0</v>
      </c>
      <c r="K86" s="3">
        <v>0</v>
      </c>
      <c r="L86" s="75">
        <v>0</v>
      </c>
      <c r="M86" s="414">
        <v>1.675</v>
      </c>
      <c r="N86" s="616">
        <v>56</v>
      </c>
      <c r="O86" s="616" t="s">
        <v>979</v>
      </c>
      <c r="P86" s="616">
        <v>2024</v>
      </c>
    </row>
    <row r="87" spans="1:16" ht="15" x14ac:dyDescent="0.2">
      <c r="A87" s="622">
        <v>64</v>
      </c>
      <c r="B87" s="622">
        <v>2224267</v>
      </c>
      <c r="C87" s="403" t="s">
        <v>380</v>
      </c>
      <c r="D87" s="404">
        <v>1.837</v>
      </c>
      <c r="E87" s="404">
        <v>1.837</v>
      </c>
      <c r="F87" s="622"/>
      <c r="G87" s="622"/>
      <c r="H87" s="622"/>
      <c r="I87" s="3">
        <v>0</v>
      </c>
      <c r="J87" s="620">
        <v>0</v>
      </c>
      <c r="K87" s="3">
        <v>0</v>
      </c>
      <c r="L87" s="620">
        <v>0</v>
      </c>
      <c r="M87" s="406">
        <v>1.837</v>
      </c>
      <c r="N87" s="617">
        <v>100</v>
      </c>
      <c r="O87" s="617" t="s">
        <v>979</v>
      </c>
      <c r="P87" s="617">
        <v>2024</v>
      </c>
    </row>
    <row r="88" spans="1:16" ht="15" x14ac:dyDescent="0.2">
      <c r="A88" s="622">
        <v>65</v>
      </c>
      <c r="B88" s="622">
        <v>2219833</v>
      </c>
      <c r="C88" s="403" t="s">
        <v>383</v>
      </c>
      <c r="D88" s="406">
        <v>3.55</v>
      </c>
      <c r="E88" s="406">
        <v>3.55</v>
      </c>
      <c r="F88" s="402"/>
      <c r="G88" s="622"/>
      <c r="H88" s="402"/>
      <c r="I88" s="3">
        <v>0</v>
      </c>
      <c r="J88" s="620">
        <v>0</v>
      </c>
      <c r="K88" s="3">
        <v>0</v>
      </c>
      <c r="L88" s="620">
        <v>0</v>
      </c>
      <c r="M88" s="406">
        <v>3.55</v>
      </c>
      <c r="N88" s="617">
        <v>100</v>
      </c>
      <c r="O88" s="617" t="s">
        <v>979</v>
      </c>
      <c r="P88" s="617">
        <v>2024</v>
      </c>
    </row>
    <row r="89" spans="1:16" ht="15" x14ac:dyDescent="0.2">
      <c r="A89" s="622">
        <v>66</v>
      </c>
      <c r="B89" s="622">
        <v>2224658</v>
      </c>
      <c r="C89" s="403" t="s">
        <v>386</v>
      </c>
      <c r="D89" s="404">
        <v>0.94099999999999995</v>
      </c>
      <c r="E89" s="404">
        <v>0.94099999999999995</v>
      </c>
      <c r="F89" s="622"/>
      <c r="G89" s="622"/>
      <c r="H89" s="622"/>
      <c r="I89" s="3">
        <v>0</v>
      </c>
      <c r="J89" s="620">
        <v>0</v>
      </c>
      <c r="K89" s="3">
        <v>0</v>
      </c>
      <c r="L89" s="620">
        <v>0</v>
      </c>
      <c r="M89" s="406">
        <v>0.94099999999999995</v>
      </c>
      <c r="N89" s="617">
        <v>100</v>
      </c>
      <c r="O89" s="617" t="s">
        <v>979</v>
      </c>
      <c r="P89" s="617">
        <v>2024</v>
      </c>
    </row>
    <row r="90" spans="1:16" ht="15" x14ac:dyDescent="0.2">
      <c r="A90" s="622">
        <v>67</v>
      </c>
      <c r="B90" s="622">
        <v>2223385</v>
      </c>
      <c r="C90" s="403" t="s">
        <v>389</v>
      </c>
      <c r="D90" s="406">
        <v>0.47</v>
      </c>
      <c r="E90" s="406">
        <v>0.47</v>
      </c>
      <c r="F90" s="622"/>
      <c r="G90" s="622"/>
      <c r="H90" s="622"/>
      <c r="I90" s="3">
        <v>0</v>
      </c>
      <c r="J90" s="620">
        <v>0</v>
      </c>
      <c r="K90" s="3">
        <v>0</v>
      </c>
      <c r="L90" s="620">
        <v>0</v>
      </c>
      <c r="M90" s="406">
        <v>0.47</v>
      </c>
      <c r="N90" s="617">
        <v>100</v>
      </c>
      <c r="O90" s="617" t="s">
        <v>979</v>
      </c>
      <c r="P90" s="617">
        <v>2024</v>
      </c>
    </row>
    <row r="91" spans="1:16" ht="15" x14ac:dyDescent="0.2">
      <c r="A91" s="622">
        <v>68</v>
      </c>
      <c r="B91" s="622">
        <v>2227459</v>
      </c>
      <c r="C91" s="403" t="s">
        <v>391</v>
      </c>
      <c r="D91" s="404">
        <v>2.2090000000000001</v>
      </c>
      <c r="E91" s="404">
        <v>2.2090000000000001</v>
      </c>
      <c r="F91" s="622"/>
      <c r="G91" s="622"/>
      <c r="H91" s="622"/>
      <c r="I91" s="3">
        <v>0</v>
      </c>
      <c r="J91" s="620">
        <v>0</v>
      </c>
      <c r="K91" s="3">
        <v>0</v>
      </c>
      <c r="L91" s="620">
        <v>0</v>
      </c>
      <c r="M91" s="406">
        <v>2.2090000000000001</v>
      </c>
      <c r="N91" s="617">
        <v>100</v>
      </c>
      <c r="O91" s="620" t="s">
        <v>979</v>
      </c>
      <c r="P91" s="620">
        <v>2024</v>
      </c>
    </row>
    <row r="92" spans="1:16" ht="15" x14ac:dyDescent="0.2">
      <c r="A92" s="622">
        <v>69</v>
      </c>
      <c r="B92" s="622"/>
      <c r="C92" s="403" t="s">
        <v>314</v>
      </c>
      <c r="D92" s="404">
        <v>1.61</v>
      </c>
      <c r="E92" s="404">
        <v>1.61</v>
      </c>
      <c r="F92" s="622"/>
      <c r="G92" s="622"/>
      <c r="H92" s="622"/>
      <c r="I92" s="3">
        <v>0</v>
      </c>
      <c r="J92" s="620">
        <v>0</v>
      </c>
      <c r="K92" s="3">
        <v>0</v>
      </c>
      <c r="L92" s="620">
        <v>0</v>
      </c>
      <c r="M92" s="406"/>
      <c r="N92" s="617">
        <v>0</v>
      </c>
      <c r="O92" s="620"/>
      <c r="P92" s="620"/>
    </row>
    <row r="93" spans="1:16" ht="15" x14ac:dyDescent="0.2">
      <c r="A93" s="622">
        <v>70</v>
      </c>
      <c r="B93" s="622"/>
      <c r="C93" s="403" t="s">
        <v>1218</v>
      </c>
      <c r="D93" s="404">
        <v>1.69</v>
      </c>
      <c r="E93" s="404">
        <v>1.69</v>
      </c>
      <c r="F93" s="622"/>
      <c r="G93" s="622"/>
      <c r="H93" s="622"/>
      <c r="I93" s="3">
        <v>0</v>
      </c>
      <c r="J93" s="620">
        <v>0</v>
      </c>
      <c r="K93" s="3">
        <v>0</v>
      </c>
      <c r="L93" s="620">
        <v>0</v>
      </c>
      <c r="M93" s="406"/>
      <c r="N93" s="617">
        <v>0</v>
      </c>
      <c r="O93" s="620"/>
      <c r="P93" s="620"/>
    </row>
    <row r="94" spans="1:16" ht="15" x14ac:dyDescent="0.2">
      <c r="A94" s="622">
        <v>71</v>
      </c>
      <c r="B94" s="622"/>
      <c r="C94" s="403" t="s">
        <v>1219</v>
      </c>
      <c r="D94" s="404">
        <v>1.85</v>
      </c>
      <c r="E94" s="404">
        <v>1.85</v>
      </c>
      <c r="F94" s="622"/>
      <c r="G94" s="622"/>
      <c r="H94" s="622"/>
      <c r="I94" s="3">
        <v>0</v>
      </c>
      <c r="J94" s="620">
        <v>0</v>
      </c>
      <c r="K94" s="3">
        <v>0</v>
      </c>
      <c r="L94" s="620">
        <v>0</v>
      </c>
      <c r="M94" s="406"/>
      <c r="N94" s="617">
        <v>0</v>
      </c>
      <c r="O94" s="620"/>
      <c r="P94" s="620"/>
    </row>
    <row r="95" spans="1:16" ht="15" x14ac:dyDescent="0.2">
      <c r="A95" s="622">
        <v>72</v>
      </c>
      <c r="B95" s="622"/>
      <c r="C95" s="403" t="s">
        <v>1220</v>
      </c>
      <c r="D95" s="404">
        <v>1.42</v>
      </c>
      <c r="E95" s="404">
        <v>1.42</v>
      </c>
      <c r="F95" s="622"/>
      <c r="G95" s="622"/>
      <c r="H95" s="622"/>
      <c r="I95" s="3">
        <v>0</v>
      </c>
      <c r="J95" s="620">
        <v>0</v>
      </c>
      <c r="K95" s="3">
        <v>0</v>
      </c>
      <c r="L95" s="620">
        <v>0</v>
      </c>
      <c r="M95" s="406"/>
      <c r="N95" s="617">
        <v>0</v>
      </c>
      <c r="O95" s="620"/>
      <c r="P95" s="620"/>
    </row>
    <row r="96" spans="1:16" ht="15" x14ac:dyDescent="0.2">
      <c r="A96" s="622">
        <v>73</v>
      </c>
      <c r="B96" s="622"/>
      <c r="C96" s="403" t="s">
        <v>473</v>
      </c>
      <c r="D96" s="404">
        <v>2.68</v>
      </c>
      <c r="E96" s="404">
        <v>2.68</v>
      </c>
      <c r="F96" s="622"/>
      <c r="G96" s="622"/>
      <c r="H96" s="622"/>
      <c r="I96" s="3">
        <v>0</v>
      </c>
      <c r="J96" s="620">
        <v>0</v>
      </c>
      <c r="K96" s="3">
        <v>0</v>
      </c>
      <c r="L96" s="75">
        <v>0</v>
      </c>
      <c r="M96" s="406"/>
      <c r="N96" s="617">
        <v>0</v>
      </c>
      <c r="O96" s="620"/>
      <c r="P96" s="620"/>
    </row>
    <row r="97" spans="1:16" ht="15" x14ac:dyDescent="0.2">
      <c r="A97" s="622">
        <v>74</v>
      </c>
      <c r="B97" s="622"/>
      <c r="C97" s="403" t="s">
        <v>338</v>
      </c>
      <c r="D97" s="404">
        <v>3.25</v>
      </c>
      <c r="E97" s="404">
        <v>3.25</v>
      </c>
      <c r="F97" s="622"/>
      <c r="G97" s="622"/>
      <c r="H97" s="622"/>
      <c r="I97" s="3">
        <v>0</v>
      </c>
      <c r="J97" s="620">
        <v>0</v>
      </c>
      <c r="K97" s="3">
        <v>0</v>
      </c>
      <c r="L97" s="620">
        <v>0</v>
      </c>
      <c r="M97" s="406"/>
      <c r="N97" s="617">
        <v>0</v>
      </c>
      <c r="O97" s="620"/>
      <c r="P97" s="620"/>
    </row>
    <row r="98" spans="1:16" ht="15" x14ac:dyDescent="0.2">
      <c r="A98" s="622">
        <v>75</v>
      </c>
      <c r="B98" s="622"/>
      <c r="C98" s="403" t="s">
        <v>1221</v>
      </c>
      <c r="D98" s="404">
        <v>1.0900000000000001</v>
      </c>
      <c r="E98" s="404">
        <v>1.0900000000000001</v>
      </c>
      <c r="F98" s="622"/>
      <c r="G98" s="622"/>
      <c r="H98" s="622"/>
      <c r="I98" s="3">
        <v>0</v>
      </c>
      <c r="J98" s="620">
        <v>0</v>
      </c>
      <c r="K98" s="3">
        <v>0</v>
      </c>
      <c r="L98" s="620">
        <v>0</v>
      </c>
      <c r="M98" s="406"/>
      <c r="N98" s="617">
        <v>0</v>
      </c>
      <c r="O98" s="620"/>
      <c r="P98" s="620"/>
    </row>
    <row r="99" spans="1:16" ht="15" x14ac:dyDescent="0.2">
      <c r="A99" s="622">
        <v>76</v>
      </c>
      <c r="B99" s="622"/>
      <c r="C99" s="403" t="s">
        <v>1222</v>
      </c>
      <c r="D99" s="404">
        <v>0.43</v>
      </c>
      <c r="E99" s="404">
        <v>0.43</v>
      </c>
      <c r="F99" s="622"/>
      <c r="G99" s="622"/>
      <c r="H99" s="622"/>
      <c r="I99" s="3">
        <v>0</v>
      </c>
      <c r="J99" s="620">
        <v>0</v>
      </c>
      <c r="K99" s="3">
        <v>0</v>
      </c>
      <c r="L99" s="620">
        <v>0</v>
      </c>
      <c r="M99" s="406"/>
      <c r="N99" s="617">
        <v>0</v>
      </c>
      <c r="O99" s="620"/>
      <c r="P99" s="620"/>
    </row>
    <row r="100" spans="1:16" ht="15" x14ac:dyDescent="0.2">
      <c r="A100" s="622">
        <v>77</v>
      </c>
      <c r="B100" s="622"/>
      <c r="C100" s="403" t="s">
        <v>1223</v>
      </c>
      <c r="D100" s="404">
        <v>1.17</v>
      </c>
      <c r="E100" s="404">
        <v>1.17</v>
      </c>
      <c r="F100" s="622"/>
      <c r="G100" s="622"/>
      <c r="H100" s="622"/>
      <c r="I100" s="3">
        <v>0</v>
      </c>
      <c r="J100" s="620">
        <v>0</v>
      </c>
      <c r="K100" s="3">
        <v>0</v>
      </c>
      <c r="L100" s="620">
        <v>0</v>
      </c>
      <c r="M100" s="406"/>
      <c r="N100" s="620">
        <v>0</v>
      </c>
      <c r="O100" s="620"/>
      <c r="P100" s="620"/>
    </row>
    <row r="101" spans="1:16" ht="15" x14ac:dyDescent="0.2">
      <c r="A101" s="622">
        <v>78</v>
      </c>
      <c r="B101" s="622"/>
      <c r="C101" s="403" t="s">
        <v>257</v>
      </c>
      <c r="D101" s="404">
        <v>2.97</v>
      </c>
      <c r="E101" s="404">
        <v>2.97</v>
      </c>
      <c r="F101" s="622"/>
      <c r="G101" s="622"/>
      <c r="H101" s="622"/>
      <c r="I101" s="3">
        <v>0</v>
      </c>
      <c r="J101" s="75">
        <v>0</v>
      </c>
      <c r="K101" s="3">
        <v>0</v>
      </c>
      <c r="L101" s="620">
        <v>0</v>
      </c>
      <c r="M101" s="406"/>
      <c r="N101" s="620">
        <v>0</v>
      </c>
      <c r="O101" s="620"/>
      <c r="P101" s="620"/>
    </row>
    <row r="102" spans="1:16" ht="15" x14ac:dyDescent="0.2">
      <c r="A102" s="622">
        <v>79</v>
      </c>
      <c r="B102" s="622"/>
      <c r="C102" s="403" t="s">
        <v>1224</v>
      </c>
      <c r="D102" s="404">
        <v>1.5</v>
      </c>
      <c r="E102" s="404">
        <v>1.5</v>
      </c>
      <c r="F102" s="622"/>
      <c r="G102" s="622"/>
      <c r="H102" s="622"/>
      <c r="I102" s="3">
        <v>0</v>
      </c>
      <c r="J102" s="620">
        <v>0</v>
      </c>
      <c r="K102" s="3">
        <v>0</v>
      </c>
      <c r="L102" s="620">
        <v>0</v>
      </c>
      <c r="M102" s="406"/>
      <c r="N102" s="620">
        <v>0</v>
      </c>
      <c r="O102" s="620"/>
      <c r="P102" s="620"/>
    </row>
    <row r="103" spans="1:16" ht="15" x14ac:dyDescent="0.2">
      <c r="A103" s="622">
        <v>80</v>
      </c>
      <c r="B103" s="622"/>
      <c r="C103" s="403" t="s">
        <v>253</v>
      </c>
      <c r="D103" s="404">
        <v>2.08</v>
      </c>
      <c r="E103" s="404">
        <v>2.08</v>
      </c>
      <c r="F103" s="622"/>
      <c r="G103" s="622"/>
      <c r="H103" s="622"/>
      <c r="I103" s="3">
        <v>0</v>
      </c>
      <c r="J103" s="620">
        <v>0</v>
      </c>
      <c r="K103" s="3">
        <v>0</v>
      </c>
      <c r="L103" s="620">
        <v>0</v>
      </c>
      <c r="M103" s="406"/>
      <c r="N103" s="620">
        <v>0</v>
      </c>
      <c r="O103" s="620"/>
      <c r="P103" s="620"/>
    </row>
    <row r="104" spans="1:16" ht="15" x14ac:dyDescent="0.2">
      <c r="A104" s="622">
        <v>81</v>
      </c>
      <c r="B104" s="622"/>
      <c r="C104" s="403" t="s">
        <v>481</v>
      </c>
      <c r="D104" s="404">
        <v>2.59</v>
      </c>
      <c r="E104" s="404">
        <v>2.59</v>
      </c>
      <c r="F104" s="622"/>
      <c r="G104" s="622"/>
      <c r="H104" s="622"/>
      <c r="I104" s="3">
        <v>0</v>
      </c>
      <c r="J104" s="620">
        <v>0</v>
      </c>
      <c r="K104" s="3">
        <v>0</v>
      </c>
      <c r="L104" s="620">
        <v>0</v>
      </c>
      <c r="M104" s="406"/>
      <c r="N104" s="620">
        <v>0</v>
      </c>
      <c r="O104" s="620"/>
      <c r="P104" s="620"/>
    </row>
    <row r="105" spans="1:16" ht="14.25" customHeight="1" x14ac:dyDescent="0.2">
      <c r="A105" s="622">
        <v>82</v>
      </c>
      <c r="B105" s="622"/>
      <c r="C105" s="403" t="s">
        <v>1225</v>
      </c>
      <c r="D105" s="404">
        <v>3.13</v>
      </c>
      <c r="E105" s="404">
        <v>3.13</v>
      </c>
      <c r="F105" s="622"/>
      <c r="G105" s="622"/>
      <c r="H105" s="622"/>
      <c r="I105" s="3">
        <v>0</v>
      </c>
      <c r="J105" s="620">
        <v>0</v>
      </c>
      <c r="K105" s="3">
        <v>0</v>
      </c>
      <c r="L105" s="620">
        <v>0</v>
      </c>
      <c r="M105" s="406"/>
      <c r="N105" s="620">
        <v>0</v>
      </c>
      <c r="O105" s="620"/>
      <c r="P105" s="620"/>
    </row>
    <row r="106" spans="1:16" ht="15" x14ac:dyDescent="0.2">
      <c r="A106" s="622">
        <v>83</v>
      </c>
      <c r="B106" s="622"/>
      <c r="C106" s="403" t="s">
        <v>297</v>
      </c>
      <c r="D106" s="404">
        <v>0.32</v>
      </c>
      <c r="E106" s="404">
        <v>0.32</v>
      </c>
      <c r="F106" s="622"/>
      <c r="G106" s="622"/>
      <c r="H106" s="622"/>
      <c r="I106" s="3">
        <v>0</v>
      </c>
      <c r="J106" s="620">
        <v>0</v>
      </c>
      <c r="K106" s="3">
        <v>0</v>
      </c>
      <c r="L106" s="75">
        <v>0</v>
      </c>
      <c r="M106" s="406"/>
      <c r="N106" s="620">
        <v>0</v>
      </c>
      <c r="O106" s="620"/>
      <c r="P106" s="620"/>
    </row>
    <row r="107" spans="1:16" ht="15" x14ac:dyDescent="0.2">
      <c r="A107" s="622">
        <v>84</v>
      </c>
      <c r="B107" s="622"/>
      <c r="C107" s="403" t="s">
        <v>1226</v>
      </c>
      <c r="D107" s="404">
        <v>1.4</v>
      </c>
      <c r="E107" s="404">
        <v>1.4</v>
      </c>
      <c r="F107" s="622"/>
      <c r="G107" s="622"/>
      <c r="H107" s="622"/>
      <c r="I107" s="3">
        <v>0</v>
      </c>
      <c r="J107" s="620">
        <v>0</v>
      </c>
      <c r="K107" s="3">
        <v>0</v>
      </c>
      <c r="L107" s="620">
        <v>0</v>
      </c>
      <c r="M107" s="406"/>
      <c r="N107" s="620">
        <v>0</v>
      </c>
      <c r="O107" s="620"/>
      <c r="P107" s="620"/>
    </row>
    <row r="108" spans="1:16" ht="14.25" customHeight="1" x14ac:dyDescent="0.2">
      <c r="A108" s="622">
        <v>85</v>
      </c>
      <c r="B108" s="622"/>
      <c r="C108" s="403" t="s">
        <v>1227</v>
      </c>
      <c r="D108" s="404">
        <v>0.91</v>
      </c>
      <c r="E108" s="404">
        <v>0.91</v>
      </c>
      <c r="F108" s="622"/>
      <c r="G108" s="622"/>
      <c r="H108" s="622"/>
      <c r="I108" s="3">
        <v>0</v>
      </c>
      <c r="J108" s="620">
        <v>0</v>
      </c>
      <c r="K108" s="3">
        <v>0</v>
      </c>
      <c r="L108" s="620">
        <v>0</v>
      </c>
      <c r="M108" s="406"/>
      <c r="N108" s="620">
        <v>0</v>
      </c>
      <c r="O108" s="620"/>
      <c r="P108" s="620"/>
    </row>
    <row r="109" spans="1:16" ht="15" x14ac:dyDescent="0.2">
      <c r="A109" s="622">
        <v>86</v>
      </c>
      <c r="B109" s="622"/>
      <c r="C109" s="403" t="s">
        <v>1228</v>
      </c>
      <c r="D109" s="404">
        <v>1.61</v>
      </c>
      <c r="E109" s="404">
        <v>1.61</v>
      </c>
      <c r="F109" s="263"/>
      <c r="G109" s="622"/>
      <c r="H109" s="622"/>
      <c r="I109" s="3">
        <v>0</v>
      </c>
      <c r="J109" s="620">
        <v>0</v>
      </c>
      <c r="K109" s="3">
        <v>0</v>
      </c>
      <c r="L109" s="620">
        <v>0</v>
      </c>
      <c r="M109" s="406"/>
      <c r="N109" s="620">
        <v>0</v>
      </c>
      <c r="O109" s="620"/>
      <c r="P109" s="620"/>
    </row>
    <row r="110" spans="1:16" ht="15" x14ac:dyDescent="0.2">
      <c r="A110" s="622">
        <v>87</v>
      </c>
      <c r="B110" s="622"/>
      <c r="C110" s="403" t="s">
        <v>287</v>
      </c>
      <c r="D110" s="404" t="s">
        <v>1229</v>
      </c>
      <c r="E110" s="404" t="s">
        <v>1229</v>
      </c>
      <c r="F110" s="622"/>
      <c r="G110" s="622"/>
      <c r="H110" s="622"/>
      <c r="I110" s="3">
        <v>0</v>
      </c>
      <c r="J110" s="620">
        <v>0</v>
      </c>
      <c r="K110" s="3">
        <v>0</v>
      </c>
      <c r="L110" s="620">
        <v>0</v>
      </c>
      <c r="M110" s="406"/>
      <c r="N110" s="620">
        <v>0</v>
      </c>
      <c r="O110" s="620"/>
      <c r="P110" s="620"/>
    </row>
    <row r="111" spans="1:16" ht="15" x14ac:dyDescent="0.2">
      <c r="A111" s="622">
        <v>88</v>
      </c>
      <c r="B111" s="622"/>
      <c r="C111" s="403" t="s">
        <v>1230</v>
      </c>
      <c r="D111" s="404">
        <v>0.91</v>
      </c>
      <c r="E111" s="404">
        <v>0.91</v>
      </c>
      <c r="F111" s="622"/>
      <c r="G111" s="622"/>
      <c r="H111" s="622"/>
      <c r="I111" s="3">
        <v>0</v>
      </c>
      <c r="J111" s="620">
        <v>0</v>
      </c>
      <c r="K111" s="3">
        <v>0</v>
      </c>
      <c r="L111" s="620">
        <v>0</v>
      </c>
      <c r="M111" s="406"/>
      <c r="N111" s="620">
        <v>0</v>
      </c>
      <c r="O111" s="620"/>
      <c r="P111" s="620"/>
    </row>
    <row r="112" spans="1:16" ht="15" x14ac:dyDescent="0.2">
      <c r="A112" s="622">
        <v>89</v>
      </c>
      <c r="B112" s="622"/>
      <c r="C112" s="403" t="s">
        <v>1231</v>
      </c>
      <c r="D112" s="404">
        <v>0.92</v>
      </c>
      <c r="E112" s="404">
        <v>0.92</v>
      </c>
      <c r="F112" s="622"/>
      <c r="G112" s="622"/>
      <c r="H112" s="622"/>
      <c r="I112" s="3">
        <v>0</v>
      </c>
      <c r="J112" s="620">
        <v>0</v>
      </c>
      <c r="K112" s="3">
        <v>0</v>
      </c>
      <c r="L112" s="620">
        <v>0</v>
      </c>
      <c r="M112" s="406"/>
      <c r="N112" s="620">
        <v>0</v>
      </c>
      <c r="O112" s="620"/>
      <c r="P112" s="620"/>
    </row>
    <row r="113" spans="1:16" ht="15" x14ac:dyDescent="0.2">
      <c r="A113" s="622">
        <v>90</v>
      </c>
      <c r="B113" s="622"/>
      <c r="C113" s="403" t="s">
        <v>1232</v>
      </c>
      <c r="D113" s="404">
        <v>0.53</v>
      </c>
      <c r="E113" s="404">
        <v>0.53</v>
      </c>
      <c r="F113" s="622"/>
      <c r="G113" s="622"/>
      <c r="H113" s="622"/>
      <c r="I113" s="3">
        <v>0</v>
      </c>
      <c r="J113" s="620">
        <v>0</v>
      </c>
      <c r="K113" s="3">
        <v>0</v>
      </c>
      <c r="L113" s="620">
        <v>0</v>
      </c>
      <c r="M113" s="406"/>
      <c r="N113" s="620">
        <v>0</v>
      </c>
      <c r="O113" s="620"/>
      <c r="P113" s="620"/>
    </row>
    <row r="114" spans="1:16" ht="15" x14ac:dyDescent="0.2">
      <c r="A114" s="622">
        <v>91</v>
      </c>
      <c r="B114" s="622"/>
      <c r="C114" s="403" t="s">
        <v>1233</v>
      </c>
      <c r="D114" s="404">
        <v>1</v>
      </c>
      <c r="E114" s="404">
        <v>1</v>
      </c>
      <c r="F114" s="622"/>
      <c r="G114" s="622"/>
      <c r="H114" s="622"/>
      <c r="I114" s="3">
        <v>0</v>
      </c>
      <c r="J114" s="620">
        <v>0</v>
      </c>
      <c r="K114" s="3">
        <v>0</v>
      </c>
      <c r="L114" s="620">
        <v>0</v>
      </c>
      <c r="M114" s="406"/>
      <c r="N114" s="620">
        <v>0</v>
      </c>
      <c r="O114" s="620"/>
      <c r="P114" s="620"/>
    </row>
    <row r="115" spans="1:16" ht="15" x14ac:dyDescent="0.2">
      <c r="A115" s="622">
        <v>92</v>
      </c>
      <c r="B115" s="622"/>
      <c r="C115" s="403" t="s">
        <v>372</v>
      </c>
      <c r="D115" s="404">
        <v>0.54</v>
      </c>
      <c r="E115" s="404">
        <v>0.54</v>
      </c>
      <c r="F115" s="622"/>
      <c r="G115" s="622"/>
      <c r="H115" s="622"/>
      <c r="I115" s="3">
        <v>0</v>
      </c>
      <c r="J115" s="620">
        <v>0</v>
      </c>
      <c r="K115" s="3">
        <v>0</v>
      </c>
      <c r="L115" s="620">
        <v>0</v>
      </c>
      <c r="M115" s="406"/>
      <c r="N115" s="620">
        <v>0</v>
      </c>
      <c r="O115" s="620"/>
      <c r="P115" s="620"/>
    </row>
    <row r="116" spans="1:16" ht="15" x14ac:dyDescent="0.2">
      <c r="A116" s="622">
        <v>93</v>
      </c>
      <c r="B116" s="622"/>
      <c r="C116" s="403" t="s">
        <v>1234</v>
      </c>
      <c r="D116" s="404">
        <v>1.1499999999999999</v>
      </c>
      <c r="E116" s="404">
        <v>1.1499999999999999</v>
      </c>
      <c r="F116" s="622"/>
      <c r="G116" s="622"/>
      <c r="H116" s="622"/>
      <c r="I116" s="3">
        <v>0</v>
      </c>
      <c r="J116" s="75">
        <v>0</v>
      </c>
      <c r="K116" s="3">
        <v>0</v>
      </c>
      <c r="L116" s="75">
        <v>0</v>
      </c>
      <c r="M116" s="406"/>
      <c r="N116" s="620">
        <v>0</v>
      </c>
      <c r="O116" s="620"/>
      <c r="P116" s="620"/>
    </row>
    <row r="117" spans="1:16" ht="15" x14ac:dyDescent="0.2">
      <c r="A117" s="622">
        <v>94</v>
      </c>
      <c r="B117" s="622"/>
      <c r="C117" s="403" t="s">
        <v>1235</v>
      </c>
      <c r="D117" s="404">
        <v>1.48</v>
      </c>
      <c r="E117" s="404">
        <v>1.48</v>
      </c>
      <c r="F117" s="622"/>
      <c r="G117" s="622"/>
      <c r="H117" s="622"/>
      <c r="I117" s="3">
        <v>0</v>
      </c>
      <c r="J117" s="620">
        <v>0</v>
      </c>
      <c r="K117" s="3">
        <v>0</v>
      </c>
      <c r="L117" s="620">
        <v>0</v>
      </c>
      <c r="M117" s="406"/>
      <c r="N117" s="620">
        <v>0</v>
      </c>
      <c r="O117" s="620"/>
      <c r="P117" s="620"/>
    </row>
    <row r="118" spans="1:16" ht="15" x14ac:dyDescent="0.2">
      <c r="A118" s="622">
        <v>95</v>
      </c>
      <c r="B118" s="622"/>
      <c r="C118" s="403" t="s">
        <v>561</v>
      </c>
      <c r="D118" s="404">
        <v>1.1100000000000001</v>
      </c>
      <c r="E118" s="404">
        <v>1.1100000000000001</v>
      </c>
      <c r="F118" s="622"/>
      <c r="G118" s="622"/>
      <c r="H118" s="622"/>
      <c r="I118" s="3">
        <v>0</v>
      </c>
      <c r="J118" s="620">
        <v>0</v>
      </c>
      <c r="K118" s="3">
        <v>0</v>
      </c>
      <c r="L118" s="620">
        <v>0</v>
      </c>
      <c r="M118" s="406"/>
      <c r="N118" s="620">
        <v>0</v>
      </c>
      <c r="O118" s="620"/>
      <c r="P118" s="620"/>
    </row>
    <row r="119" spans="1:16" ht="15" x14ac:dyDescent="0.2">
      <c r="A119" s="622">
        <v>96</v>
      </c>
      <c r="B119" s="622"/>
      <c r="C119" s="403" t="s">
        <v>1236</v>
      </c>
      <c r="D119" s="404">
        <v>0.78</v>
      </c>
      <c r="E119" s="404">
        <v>0.78</v>
      </c>
      <c r="F119" s="622"/>
      <c r="G119" s="622"/>
      <c r="H119" s="622"/>
      <c r="I119" s="3">
        <v>0</v>
      </c>
      <c r="J119" s="620">
        <v>0</v>
      </c>
      <c r="K119" s="3">
        <v>0</v>
      </c>
      <c r="L119" s="620">
        <v>0</v>
      </c>
      <c r="M119" s="406"/>
      <c r="N119" s="620">
        <v>0</v>
      </c>
      <c r="O119" s="620"/>
      <c r="P119" s="620"/>
    </row>
    <row r="120" spans="1:16" ht="15" x14ac:dyDescent="0.2">
      <c r="A120" s="622">
        <v>97</v>
      </c>
      <c r="B120" s="622"/>
      <c r="C120" s="403" t="s">
        <v>1237</v>
      </c>
      <c r="D120" s="404">
        <v>2.37</v>
      </c>
      <c r="E120" s="404">
        <v>2.37</v>
      </c>
      <c r="F120" s="622"/>
      <c r="G120" s="622"/>
      <c r="H120" s="622"/>
      <c r="I120" s="3">
        <v>0</v>
      </c>
      <c r="J120" s="620">
        <v>0</v>
      </c>
      <c r="K120" s="3">
        <v>0</v>
      </c>
      <c r="L120" s="620">
        <v>0</v>
      </c>
      <c r="M120" s="406"/>
      <c r="N120" s="620">
        <v>0</v>
      </c>
      <c r="O120" s="620"/>
      <c r="P120" s="620"/>
    </row>
    <row r="121" spans="1:16" ht="15" x14ac:dyDescent="0.2">
      <c r="A121" s="622">
        <v>98</v>
      </c>
      <c r="B121" s="622"/>
      <c r="C121" s="403" t="s">
        <v>1238</v>
      </c>
      <c r="D121" s="404">
        <v>1.17</v>
      </c>
      <c r="E121" s="404">
        <v>1.17</v>
      </c>
      <c r="F121" s="622"/>
      <c r="G121" s="622"/>
      <c r="H121" s="622"/>
      <c r="I121" s="3">
        <v>0</v>
      </c>
      <c r="J121" s="620">
        <v>0</v>
      </c>
      <c r="K121" s="3">
        <v>0</v>
      </c>
      <c r="L121" s="620">
        <v>0</v>
      </c>
      <c r="M121" s="406"/>
      <c r="N121" s="620">
        <v>0</v>
      </c>
      <c r="O121" s="620"/>
      <c r="P121" s="620"/>
    </row>
    <row r="122" spans="1:16" ht="15" x14ac:dyDescent="0.2">
      <c r="A122" s="622">
        <v>99</v>
      </c>
      <c r="B122" s="622"/>
      <c r="C122" s="403" t="s">
        <v>1239</v>
      </c>
      <c r="D122" s="404">
        <v>1.76</v>
      </c>
      <c r="E122" s="404">
        <v>1.76</v>
      </c>
      <c r="F122" s="622"/>
      <c r="G122" s="622"/>
      <c r="H122" s="622"/>
      <c r="I122" s="3">
        <v>0</v>
      </c>
      <c r="J122" s="620">
        <v>0</v>
      </c>
      <c r="K122" s="3">
        <v>0</v>
      </c>
      <c r="L122" s="620">
        <v>0</v>
      </c>
      <c r="M122" s="406"/>
      <c r="N122" s="620">
        <v>0</v>
      </c>
      <c r="O122" s="620"/>
      <c r="P122" s="620"/>
    </row>
    <row r="123" spans="1:16" ht="15" x14ac:dyDescent="0.2">
      <c r="A123" s="622">
        <v>100</v>
      </c>
      <c r="B123" s="622"/>
      <c r="C123" s="403" t="s">
        <v>1240</v>
      </c>
      <c r="D123" s="404">
        <v>0.92</v>
      </c>
      <c r="E123" s="404">
        <v>0.92</v>
      </c>
      <c r="F123" s="622"/>
      <c r="G123" s="622"/>
      <c r="H123" s="622"/>
      <c r="I123" s="3">
        <v>0</v>
      </c>
      <c r="J123" s="620">
        <v>0</v>
      </c>
      <c r="K123" s="3">
        <v>0</v>
      </c>
      <c r="L123" s="620">
        <v>0</v>
      </c>
      <c r="M123" s="406"/>
      <c r="N123" s="620">
        <v>0</v>
      </c>
      <c r="O123" s="620"/>
      <c r="P123" s="620"/>
    </row>
    <row r="124" spans="1:16" ht="15" x14ac:dyDescent="0.2">
      <c r="A124" s="622">
        <v>101</v>
      </c>
      <c r="B124" s="622"/>
      <c r="C124" s="403" t="s">
        <v>293</v>
      </c>
      <c r="D124" s="404">
        <v>4.5599999999999996</v>
      </c>
      <c r="E124" s="404">
        <v>4.5599999999999996</v>
      </c>
      <c r="F124" s="622"/>
      <c r="G124" s="622"/>
      <c r="H124" s="622"/>
      <c r="I124" s="3">
        <v>0</v>
      </c>
      <c r="J124" s="620">
        <v>0</v>
      </c>
      <c r="K124" s="3">
        <v>0</v>
      </c>
      <c r="L124" s="620">
        <v>0</v>
      </c>
      <c r="M124" s="406"/>
      <c r="N124" s="620">
        <v>0</v>
      </c>
      <c r="O124" s="620"/>
      <c r="P124" s="620"/>
    </row>
    <row r="125" spans="1:16" ht="15" x14ac:dyDescent="0.2">
      <c r="A125" s="622">
        <v>102</v>
      </c>
      <c r="B125" s="622"/>
      <c r="C125" s="403" t="s">
        <v>1241</v>
      </c>
      <c r="D125" s="404">
        <v>1.64</v>
      </c>
      <c r="E125" s="404">
        <v>1.64</v>
      </c>
      <c r="F125" s="622"/>
      <c r="G125" s="622"/>
      <c r="H125" s="622"/>
      <c r="I125" s="3">
        <v>0</v>
      </c>
      <c r="J125" s="620">
        <v>0</v>
      </c>
      <c r="K125" s="3">
        <v>0</v>
      </c>
      <c r="L125" s="620">
        <v>0</v>
      </c>
      <c r="M125" s="406"/>
      <c r="N125" s="620">
        <v>0</v>
      </c>
      <c r="O125" s="620"/>
      <c r="P125" s="620"/>
    </row>
    <row r="126" spans="1:16" ht="15" x14ac:dyDescent="0.2">
      <c r="A126" s="622">
        <v>103</v>
      </c>
      <c r="B126" s="622"/>
      <c r="C126" s="403" t="s">
        <v>1242</v>
      </c>
      <c r="D126" s="404">
        <v>1.69</v>
      </c>
      <c r="E126" s="404">
        <v>1.69</v>
      </c>
      <c r="F126" s="622"/>
      <c r="G126" s="622"/>
      <c r="H126" s="622"/>
      <c r="I126" s="3">
        <v>0</v>
      </c>
      <c r="J126" s="620">
        <v>0</v>
      </c>
      <c r="K126" s="3">
        <v>0</v>
      </c>
      <c r="L126" s="75">
        <v>0</v>
      </c>
      <c r="M126" s="406"/>
      <c r="N126" s="620">
        <v>0</v>
      </c>
      <c r="O126" s="620"/>
      <c r="P126" s="620"/>
    </row>
    <row r="127" spans="1:16" ht="15" x14ac:dyDescent="0.2">
      <c r="A127" s="622">
        <v>104</v>
      </c>
      <c r="B127" s="622"/>
      <c r="C127" s="403" t="s">
        <v>1243</v>
      </c>
      <c r="D127" s="404">
        <v>0.73</v>
      </c>
      <c r="E127" s="404">
        <v>0.73</v>
      </c>
      <c r="F127" s="622"/>
      <c r="G127" s="622"/>
      <c r="H127" s="622"/>
      <c r="I127" s="3">
        <v>0</v>
      </c>
      <c r="J127" s="620">
        <v>0</v>
      </c>
      <c r="K127" s="3">
        <v>0</v>
      </c>
      <c r="L127" s="620">
        <v>0</v>
      </c>
      <c r="M127" s="406"/>
      <c r="N127" s="620">
        <v>0</v>
      </c>
      <c r="O127" s="620"/>
      <c r="P127" s="620"/>
    </row>
    <row r="128" spans="1:16" ht="15" x14ac:dyDescent="0.2">
      <c r="A128" s="622">
        <v>105</v>
      </c>
      <c r="B128" s="622"/>
      <c r="C128" s="403" t="s">
        <v>1244</v>
      </c>
      <c r="D128" s="404">
        <v>1.4</v>
      </c>
      <c r="E128" s="404">
        <v>1.4</v>
      </c>
      <c r="F128" s="622"/>
      <c r="G128" s="622"/>
      <c r="H128" s="622"/>
      <c r="I128" s="3">
        <v>0</v>
      </c>
      <c r="J128" s="620">
        <v>0</v>
      </c>
      <c r="K128" s="3">
        <v>0</v>
      </c>
      <c r="L128" s="620">
        <v>0</v>
      </c>
      <c r="M128" s="406"/>
      <c r="N128" s="620">
        <v>0</v>
      </c>
      <c r="O128" s="620"/>
      <c r="P128" s="620"/>
    </row>
    <row r="129" spans="1:16" ht="14.25" x14ac:dyDescent="0.2">
      <c r="A129" s="1008" t="s">
        <v>984</v>
      </c>
      <c r="B129" s="1008"/>
      <c r="C129" s="1008"/>
      <c r="D129" s="623">
        <v>214.31</v>
      </c>
      <c r="E129" s="623">
        <v>214.31</v>
      </c>
      <c r="F129" s="623">
        <f>SUM(F24:F91)</f>
        <v>0</v>
      </c>
      <c r="G129" s="623"/>
      <c r="H129" s="623"/>
      <c r="I129" s="623">
        <f>SUM(I24:I91)</f>
        <v>8.0900000000000016</v>
      </c>
      <c r="J129" s="623"/>
      <c r="K129" s="623">
        <f>SUM(K24:K91)</f>
        <v>28.340999999999998</v>
      </c>
      <c r="L129" s="623"/>
      <c r="M129" s="623">
        <v>141.61000000000001</v>
      </c>
      <c r="N129" s="623"/>
      <c r="O129" s="623"/>
      <c r="P129" s="623"/>
    </row>
    <row r="130" spans="1:16" ht="14.25" x14ac:dyDescent="0.2">
      <c r="A130" s="1009" t="s">
        <v>393</v>
      </c>
      <c r="B130" s="1010"/>
      <c r="C130" s="1010"/>
      <c r="D130" s="1010"/>
      <c r="E130" s="1010"/>
      <c r="F130" s="1010"/>
      <c r="G130" s="1010"/>
      <c r="H130" s="1010"/>
      <c r="I130" s="1010"/>
      <c r="J130" s="1010"/>
      <c r="K130" s="1010"/>
      <c r="L130" s="1010"/>
      <c r="M130" s="1010"/>
      <c r="N130" s="1010"/>
      <c r="O130" s="1010"/>
      <c r="P130" s="1011"/>
    </row>
    <row r="131" spans="1:16" ht="15" x14ac:dyDescent="0.2">
      <c r="A131" s="629">
        <v>1</v>
      </c>
      <c r="B131" s="630" t="s">
        <v>395</v>
      </c>
      <c r="C131" s="618" t="s">
        <v>396</v>
      </c>
      <c r="D131" s="415">
        <f>E131</f>
        <v>4.55</v>
      </c>
      <c r="E131" s="50">
        <v>4.55</v>
      </c>
      <c r="F131" s="416"/>
      <c r="G131" s="416"/>
      <c r="H131" s="416"/>
      <c r="I131" s="3">
        <v>0</v>
      </c>
      <c r="J131" s="620">
        <v>0</v>
      </c>
      <c r="K131" s="3">
        <v>0</v>
      </c>
      <c r="L131" s="620">
        <v>0</v>
      </c>
      <c r="M131" s="415">
        <f>E131</f>
        <v>4.55</v>
      </c>
      <c r="N131" s="416">
        <v>100</v>
      </c>
      <c r="O131" s="416" t="s">
        <v>979</v>
      </c>
      <c r="P131" s="416">
        <v>2022</v>
      </c>
    </row>
    <row r="132" spans="1:16" ht="15" x14ac:dyDescent="0.2">
      <c r="A132" s="629">
        <v>2</v>
      </c>
      <c r="B132" s="630" t="s">
        <v>399</v>
      </c>
      <c r="C132" s="49" t="s">
        <v>400</v>
      </c>
      <c r="D132" s="415">
        <f t="shared" ref="D132:D140" si="6">E132</f>
        <v>0.45</v>
      </c>
      <c r="E132" s="50">
        <v>0.45</v>
      </c>
      <c r="F132" s="416"/>
      <c r="G132" s="416"/>
      <c r="H132" s="416"/>
      <c r="I132" s="3">
        <v>0</v>
      </c>
      <c r="J132" s="620">
        <v>0</v>
      </c>
      <c r="K132" s="3">
        <v>0</v>
      </c>
      <c r="L132" s="620">
        <v>0</v>
      </c>
      <c r="M132" s="415">
        <f t="shared" ref="M132:M141" si="7">E132</f>
        <v>0.45</v>
      </c>
      <c r="N132" s="416">
        <v>100</v>
      </c>
      <c r="O132" s="416" t="s">
        <v>979</v>
      </c>
      <c r="P132" s="416">
        <v>2021</v>
      </c>
    </row>
    <row r="133" spans="1:16" ht="15" x14ac:dyDescent="0.2">
      <c r="A133" s="629">
        <v>3</v>
      </c>
      <c r="B133" s="630" t="s">
        <v>403</v>
      </c>
      <c r="C133" s="49" t="s">
        <v>404</v>
      </c>
      <c r="D133" s="415">
        <f t="shared" si="6"/>
        <v>0.95</v>
      </c>
      <c r="E133" s="50">
        <v>0.95</v>
      </c>
      <c r="F133" s="416"/>
      <c r="G133" s="416"/>
      <c r="H133" s="416"/>
      <c r="I133" s="3">
        <v>0</v>
      </c>
      <c r="J133" s="620">
        <v>0</v>
      </c>
      <c r="K133" s="3">
        <v>0</v>
      </c>
      <c r="L133" s="620">
        <v>0</v>
      </c>
      <c r="M133" s="415">
        <f t="shared" si="7"/>
        <v>0.95</v>
      </c>
      <c r="N133" s="416">
        <v>100</v>
      </c>
      <c r="O133" s="416" t="s">
        <v>979</v>
      </c>
      <c r="P133" s="416">
        <v>2020</v>
      </c>
    </row>
    <row r="134" spans="1:16" ht="15" x14ac:dyDescent="0.2">
      <c r="A134" s="629">
        <v>4</v>
      </c>
      <c r="B134" s="630" t="s">
        <v>405</v>
      </c>
      <c r="C134" s="49" t="s">
        <v>406</v>
      </c>
      <c r="D134" s="415">
        <f t="shared" si="6"/>
        <v>0.25</v>
      </c>
      <c r="E134" s="50">
        <v>0.25</v>
      </c>
      <c r="F134" s="416"/>
      <c r="G134" s="416"/>
      <c r="H134" s="416"/>
      <c r="I134" s="3">
        <v>0</v>
      </c>
      <c r="J134" s="620">
        <v>0</v>
      </c>
      <c r="K134" s="3">
        <v>0</v>
      </c>
      <c r="L134" s="620">
        <v>0</v>
      </c>
      <c r="M134" s="415">
        <f t="shared" si="7"/>
        <v>0.25</v>
      </c>
      <c r="N134" s="416">
        <v>100</v>
      </c>
      <c r="O134" s="416" t="s">
        <v>979</v>
      </c>
      <c r="P134" s="416">
        <v>2021</v>
      </c>
    </row>
    <row r="135" spans="1:16" ht="15" x14ac:dyDescent="0.2">
      <c r="A135" s="629">
        <v>5</v>
      </c>
      <c r="B135" s="630" t="s">
        <v>409</v>
      </c>
      <c r="C135" s="49" t="s">
        <v>410</v>
      </c>
      <c r="D135" s="415">
        <f t="shared" si="6"/>
        <v>0.8</v>
      </c>
      <c r="E135" s="50">
        <v>0.8</v>
      </c>
      <c r="F135" s="416"/>
      <c r="G135" s="416"/>
      <c r="H135" s="416"/>
      <c r="I135" s="3">
        <v>0</v>
      </c>
      <c r="J135" s="620">
        <v>0</v>
      </c>
      <c r="K135" s="3">
        <v>0</v>
      </c>
      <c r="L135" s="620">
        <v>0</v>
      </c>
      <c r="M135" s="415">
        <f t="shared" si="7"/>
        <v>0.8</v>
      </c>
      <c r="N135" s="416">
        <v>100</v>
      </c>
      <c r="O135" s="416" t="s">
        <v>979</v>
      </c>
      <c r="P135" s="416">
        <v>2023</v>
      </c>
    </row>
    <row r="136" spans="1:16" ht="15" x14ac:dyDescent="0.2">
      <c r="A136" s="629">
        <v>6</v>
      </c>
      <c r="B136" s="630" t="s">
        <v>413</v>
      </c>
      <c r="C136" s="49" t="s">
        <v>414</v>
      </c>
      <c r="D136" s="415">
        <f t="shared" si="6"/>
        <v>0.5</v>
      </c>
      <c r="E136" s="50">
        <v>0.5</v>
      </c>
      <c r="F136" s="416"/>
      <c r="G136" s="416"/>
      <c r="H136" s="416"/>
      <c r="I136" s="3">
        <v>0</v>
      </c>
      <c r="J136" s="620">
        <v>0</v>
      </c>
      <c r="K136" s="3">
        <v>0</v>
      </c>
      <c r="L136" s="620">
        <v>0</v>
      </c>
      <c r="M136" s="415">
        <f t="shared" si="7"/>
        <v>0.5</v>
      </c>
      <c r="N136" s="416">
        <v>100</v>
      </c>
      <c r="O136" s="416" t="s">
        <v>979</v>
      </c>
      <c r="P136" s="416">
        <v>2024</v>
      </c>
    </row>
    <row r="137" spans="1:16" ht="15" x14ac:dyDescent="0.2">
      <c r="A137" s="629">
        <v>7</v>
      </c>
      <c r="B137" s="630"/>
      <c r="C137" s="49" t="s">
        <v>417</v>
      </c>
      <c r="D137" s="415">
        <f t="shared" si="6"/>
        <v>1.8</v>
      </c>
      <c r="E137" s="50">
        <v>1.8</v>
      </c>
      <c r="F137" s="416"/>
      <c r="G137" s="416"/>
      <c r="H137" s="416"/>
      <c r="I137" s="3">
        <v>0</v>
      </c>
      <c r="J137" s="620">
        <v>0</v>
      </c>
      <c r="K137" s="3">
        <v>0</v>
      </c>
      <c r="L137" s="620">
        <v>0</v>
      </c>
      <c r="M137" s="415">
        <f t="shared" si="7"/>
        <v>1.8</v>
      </c>
      <c r="N137" s="416">
        <v>100</v>
      </c>
      <c r="O137" s="416" t="s">
        <v>979</v>
      </c>
      <c r="P137" s="416">
        <v>2024</v>
      </c>
    </row>
    <row r="138" spans="1:16" ht="15" x14ac:dyDescent="0.2">
      <c r="A138" s="629">
        <v>8</v>
      </c>
      <c r="B138" s="630"/>
      <c r="C138" s="49" t="s">
        <v>418</v>
      </c>
      <c r="D138" s="415">
        <f t="shared" si="6"/>
        <v>7.13</v>
      </c>
      <c r="E138" s="417">
        <v>7.13</v>
      </c>
      <c r="F138" s="416"/>
      <c r="G138" s="416"/>
      <c r="H138" s="416"/>
      <c r="I138" s="3">
        <v>0</v>
      </c>
      <c r="J138" s="620">
        <v>0</v>
      </c>
      <c r="K138" s="3">
        <v>0</v>
      </c>
      <c r="L138" s="620">
        <v>0</v>
      </c>
      <c r="M138" s="415">
        <f t="shared" si="7"/>
        <v>7.13</v>
      </c>
      <c r="N138" s="416">
        <v>100</v>
      </c>
      <c r="O138" s="416" t="s">
        <v>979</v>
      </c>
      <c r="P138" s="416">
        <v>2023</v>
      </c>
    </row>
    <row r="139" spans="1:16" ht="30" x14ac:dyDescent="0.2">
      <c r="A139" s="629">
        <v>9</v>
      </c>
      <c r="B139" s="631"/>
      <c r="C139" s="49" t="s">
        <v>421</v>
      </c>
      <c r="D139" s="415">
        <f t="shared" si="6"/>
        <v>0.4</v>
      </c>
      <c r="E139" s="50">
        <v>0.4</v>
      </c>
      <c r="F139" s="415"/>
      <c r="G139" s="416"/>
      <c r="H139" s="416"/>
      <c r="I139" s="3">
        <v>0</v>
      </c>
      <c r="J139" s="620">
        <v>0</v>
      </c>
      <c r="K139" s="3">
        <v>0</v>
      </c>
      <c r="L139" s="620">
        <v>0</v>
      </c>
      <c r="M139" s="415">
        <f t="shared" si="7"/>
        <v>0.4</v>
      </c>
      <c r="N139" s="416">
        <v>100</v>
      </c>
      <c r="O139" s="416" t="s">
        <v>979</v>
      </c>
      <c r="P139" s="416">
        <v>2024</v>
      </c>
    </row>
    <row r="140" spans="1:16" ht="15" x14ac:dyDescent="0.2">
      <c r="A140" s="629">
        <v>10</v>
      </c>
      <c r="B140" s="631"/>
      <c r="C140" s="49" t="s">
        <v>985</v>
      </c>
      <c r="D140" s="415">
        <f t="shared" si="6"/>
        <v>1.5</v>
      </c>
      <c r="E140" s="50">
        <v>1.5</v>
      </c>
      <c r="F140" s="416"/>
      <c r="G140" s="416"/>
      <c r="H140" s="416"/>
      <c r="I140" s="3">
        <v>0</v>
      </c>
      <c r="J140" s="620">
        <v>0</v>
      </c>
      <c r="K140" s="3">
        <v>0</v>
      </c>
      <c r="L140" s="620">
        <v>0</v>
      </c>
      <c r="M140" s="415">
        <f t="shared" si="7"/>
        <v>1.5</v>
      </c>
      <c r="N140" s="416">
        <v>100</v>
      </c>
      <c r="O140" s="416" t="s">
        <v>979</v>
      </c>
      <c r="P140" s="416"/>
    </row>
    <row r="141" spans="1:16" ht="15" x14ac:dyDescent="0.2">
      <c r="A141" s="629">
        <v>11</v>
      </c>
      <c r="B141" s="632"/>
      <c r="C141" s="46" t="s">
        <v>986</v>
      </c>
      <c r="D141" s="46">
        <v>1.05</v>
      </c>
      <c r="E141" s="418">
        <v>1.05</v>
      </c>
      <c r="F141" s="416"/>
      <c r="G141" s="416"/>
      <c r="H141" s="416"/>
      <c r="I141" s="3">
        <v>0</v>
      </c>
      <c r="J141" s="620">
        <v>0</v>
      </c>
      <c r="K141" s="3">
        <v>0</v>
      </c>
      <c r="L141" s="620">
        <v>0</v>
      </c>
      <c r="M141" s="415">
        <f t="shared" si="7"/>
        <v>1.05</v>
      </c>
      <c r="N141" s="416">
        <v>100</v>
      </c>
      <c r="O141" s="416" t="s">
        <v>979</v>
      </c>
      <c r="P141" s="416">
        <v>2024</v>
      </c>
    </row>
    <row r="142" spans="1:16" ht="14.25" x14ac:dyDescent="0.2">
      <c r="A142" s="1012" t="s">
        <v>987</v>
      </c>
      <c r="B142" s="1013"/>
      <c r="C142" s="1014"/>
      <c r="D142" s="419">
        <f>SUM(D131:D141)</f>
        <v>19.38</v>
      </c>
      <c r="E142" s="419">
        <f>SUM(E131:E141)</f>
        <v>19.38</v>
      </c>
      <c r="F142" s="419">
        <v>0</v>
      </c>
      <c r="G142" s="419"/>
      <c r="H142" s="419"/>
      <c r="I142" s="419">
        <f>SUM(I131:I141)</f>
        <v>0</v>
      </c>
      <c r="J142" s="419"/>
      <c r="K142" s="419">
        <f>SUM(K131:K141)</f>
        <v>0</v>
      </c>
      <c r="L142" s="419"/>
      <c r="M142" s="419">
        <f>SUM(M131:M141)</f>
        <v>19.38</v>
      </c>
      <c r="N142" s="419">
        <v>100</v>
      </c>
      <c r="O142" s="419"/>
      <c r="P142" s="419"/>
    </row>
    <row r="143" spans="1:16" ht="14.25" x14ac:dyDescent="0.2">
      <c r="A143" s="1009" t="s">
        <v>988</v>
      </c>
      <c r="B143" s="1010"/>
      <c r="C143" s="1010"/>
      <c r="D143" s="1010"/>
      <c r="E143" s="1010"/>
      <c r="F143" s="1010"/>
      <c r="G143" s="1010"/>
      <c r="H143" s="1010"/>
      <c r="I143" s="1010"/>
      <c r="J143" s="1010"/>
      <c r="K143" s="1010"/>
      <c r="L143" s="1010"/>
      <c r="M143" s="1010"/>
      <c r="N143" s="1010"/>
      <c r="O143" s="1010"/>
      <c r="P143" s="1011"/>
    </row>
    <row r="144" spans="1:16" ht="36" x14ac:dyDescent="0.2">
      <c r="A144" s="629">
        <v>1</v>
      </c>
      <c r="B144" s="629"/>
      <c r="C144" s="420" t="s">
        <v>427</v>
      </c>
      <c r="D144" s="416">
        <v>6.25</v>
      </c>
      <c r="E144" s="416">
        <v>6.25</v>
      </c>
      <c r="F144" s="416">
        <v>0</v>
      </c>
      <c r="G144" s="416"/>
      <c r="H144" s="416"/>
      <c r="I144" s="416">
        <v>0</v>
      </c>
      <c r="J144" s="416"/>
      <c r="K144" s="416">
        <v>0</v>
      </c>
      <c r="L144" s="416"/>
      <c r="M144" s="416">
        <v>6.25</v>
      </c>
      <c r="N144" s="416">
        <v>100</v>
      </c>
      <c r="O144" s="416" t="s">
        <v>979</v>
      </c>
      <c r="P144" s="416">
        <v>2020</v>
      </c>
    </row>
    <row r="145" spans="1:16" ht="14.25" x14ac:dyDescent="0.2">
      <c r="A145" s="1012" t="s">
        <v>989</v>
      </c>
      <c r="B145" s="1013"/>
      <c r="C145" s="1014"/>
      <c r="D145" s="419">
        <f>D144</f>
        <v>6.25</v>
      </c>
      <c r="E145" s="419">
        <f t="shared" ref="E145:N145" si="8">E144</f>
        <v>6.25</v>
      </c>
      <c r="F145" s="419">
        <f t="shared" si="8"/>
        <v>0</v>
      </c>
      <c r="G145" s="419"/>
      <c r="H145" s="419"/>
      <c r="I145" s="419">
        <f t="shared" si="8"/>
        <v>0</v>
      </c>
      <c r="J145" s="419"/>
      <c r="K145" s="419">
        <f t="shared" si="8"/>
        <v>0</v>
      </c>
      <c r="L145" s="419"/>
      <c r="M145" s="419">
        <f t="shared" si="8"/>
        <v>6.25</v>
      </c>
      <c r="N145" s="419">
        <f t="shared" si="8"/>
        <v>100</v>
      </c>
      <c r="O145" s="419"/>
      <c r="P145" s="419"/>
    </row>
    <row r="146" spans="1:16" ht="14.25" x14ac:dyDescent="0.2">
      <c r="A146" s="961" t="s">
        <v>53</v>
      </c>
      <c r="B146" s="961"/>
      <c r="C146" s="961"/>
      <c r="D146" s="421">
        <f>D12+D21+D129+D142+D145</f>
        <v>2074.9189999999999</v>
      </c>
      <c r="E146" s="421">
        <v>465.96699999999998</v>
      </c>
      <c r="F146" s="421">
        <f>F12+F21+F129+F142+F145</f>
        <v>157.84100000000001</v>
      </c>
      <c r="G146" s="421"/>
      <c r="H146" s="421"/>
      <c r="I146" s="421">
        <f>I12+I21+I129+I142+I145</f>
        <v>30.374000000000002</v>
      </c>
      <c r="J146" s="421"/>
      <c r="K146" s="421">
        <f>K12+K21+K129+K142+K145</f>
        <v>28.340999999999998</v>
      </c>
      <c r="L146" s="421">
        <f>L12+L21+L129+L142+L145</f>
        <v>0</v>
      </c>
      <c r="M146" s="421">
        <v>396.09</v>
      </c>
      <c r="N146" s="421">
        <f>M146/E146*100</f>
        <v>85.003873664873268</v>
      </c>
      <c r="O146" s="421"/>
      <c r="P146" s="421"/>
    </row>
  </sheetData>
  <mergeCells count="24">
    <mergeCell ref="A1:P1"/>
    <mergeCell ref="A8:P8"/>
    <mergeCell ref="A22:P22"/>
    <mergeCell ref="A21:C21"/>
    <mergeCell ref="A23:P23"/>
    <mergeCell ref="A12:C12"/>
    <mergeCell ref="A13:P13"/>
    <mergeCell ref="O2:P5"/>
    <mergeCell ref="F3:J3"/>
    <mergeCell ref="K3:L5"/>
    <mergeCell ref="M3:N5"/>
    <mergeCell ref="F4:H5"/>
    <mergeCell ref="I4:J5"/>
    <mergeCell ref="A2:A6"/>
    <mergeCell ref="B2:B6"/>
    <mergeCell ref="C2:C6"/>
    <mergeCell ref="D2:E5"/>
    <mergeCell ref="F2:N2"/>
    <mergeCell ref="A146:C146"/>
    <mergeCell ref="A129:C129"/>
    <mergeCell ref="A130:P130"/>
    <mergeCell ref="A142:C142"/>
    <mergeCell ref="A143:P143"/>
    <mergeCell ref="A145:C145"/>
  </mergeCells>
  <pageMargins left="0.7" right="0.7" top="0.75" bottom="0.75" header="0.3" footer="0.3"/>
  <pageSetup paperSize="9" scale="6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109" workbookViewId="0">
      <selection activeCell="G129" sqref="G129"/>
    </sheetView>
  </sheetViews>
  <sheetFormatPr defaultColWidth="8.85546875" defaultRowHeight="12.75" x14ac:dyDescent="0.2"/>
  <cols>
    <col min="3" max="3" width="27.42578125" customWidth="1"/>
    <col min="4" max="4" width="20.42578125" customWidth="1"/>
    <col min="5" max="5" width="18.140625" customWidth="1"/>
    <col min="6" max="7" width="15.7109375" customWidth="1"/>
    <col min="8" max="8" width="18.42578125" customWidth="1"/>
  </cols>
  <sheetData>
    <row r="1" spans="1:8" ht="43.5" customHeight="1" thickBot="1" x14ac:dyDescent="0.3">
      <c r="A1" s="1031" t="s">
        <v>79</v>
      </c>
      <c r="B1" s="1031"/>
      <c r="C1" s="1031"/>
      <c r="D1" s="1031"/>
      <c r="E1" s="1031"/>
      <c r="F1" s="1031"/>
      <c r="G1" s="1031"/>
      <c r="H1" s="1031"/>
    </row>
    <row r="2" spans="1:8" ht="15.75" customHeight="1" x14ac:dyDescent="0.2">
      <c r="A2" s="1032" t="s">
        <v>78</v>
      </c>
      <c r="B2" s="1035" t="s">
        <v>25</v>
      </c>
      <c r="C2" s="1038" t="s">
        <v>72</v>
      </c>
      <c r="D2" s="1041" t="s">
        <v>26</v>
      </c>
      <c r="E2" s="1026" t="s">
        <v>80</v>
      </c>
      <c r="F2" s="1023" t="s">
        <v>81</v>
      </c>
      <c r="G2" s="1024"/>
      <c r="H2" s="1025"/>
    </row>
    <row r="3" spans="1:8" ht="30" customHeight="1" x14ac:dyDescent="0.2">
      <c r="A3" s="1033"/>
      <c r="B3" s="1036"/>
      <c r="C3" s="1039"/>
      <c r="D3" s="1042"/>
      <c r="E3" s="1027"/>
      <c r="F3" s="1044" t="s">
        <v>28</v>
      </c>
      <c r="G3" s="1044"/>
      <c r="H3" s="1029" t="s">
        <v>77</v>
      </c>
    </row>
    <row r="4" spans="1:8" ht="15" thickBot="1" x14ac:dyDescent="0.25">
      <c r="A4" s="1034"/>
      <c r="B4" s="1037"/>
      <c r="C4" s="1040"/>
      <c r="D4" s="1043"/>
      <c r="E4" s="1028"/>
      <c r="F4" s="422" t="s">
        <v>33</v>
      </c>
      <c r="G4" s="422" t="s">
        <v>34</v>
      </c>
      <c r="H4" s="1030"/>
    </row>
    <row r="5" spans="1:8" ht="13.5" thickBot="1" x14ac:dyDescent="0.25">
      <c r="A5" s="599">
        <v>1</v>
      </c>
      <c r="B5" s="600">
        <v>2</v>
      </c>
      <c r="C5" s="600">
        <v>3</v>
      </c>
      <c r="D5" s="600">
        <v>4</v>
      </c>
      <c r="E5" s="601">
        <v>5</v>
      </c>
      <c r="F5" s="601">
        <v>6</v>
      </c>
      <c r="G5" s="601">
        <v>7</v>
      </c>
      <c r="H5" s="602">
        <v>8</v>
      </c>
    </row>
    <row r="6" spans="1:8" ht="15.75" thickBot="1" x14ac:dyDescent="0.3">
      <c r="A6" s="423">
        <v>1</v>
      </c>
      <c r="B6" s="424" t="s">
        <v>574</v>
      </c>
      <c r="C6" s="425" t="s">
        <v>575</v>
      </c>
      <c r="D6" s="426" t="s">
        <v>991</v>
      </c>
      <c r="E6" s="427">
        <v>87</v>
      </c>
      <c r="F6" s="428" t="s">
        <v>109</v>
      </c>
      <c r="G6" s="428" t="s">
        <v>164</v>
      </c>
      <c r="H6" s="341">
        <v>60</v>
      </c>
    </row>
    <row r="7" spans="1:8" ht="15.75" thickBot="1" x14ac:dyDescent="0.3">
      <c r="A7" s="429">
        <v>2</v>
      </c>
      <c r="B7" s="47" t="s">
        <v>578</v>
      </c>
      <c r="C7" s="344" t="s">
        <v>579</v>
      </c>
      <c r="D7" s="426" t="s">
        <v>992</v>
      </c>
      <c r="E7" s="430">
        <v>82.3</v>
      </c>
      <c r="F7" s="431" t="s">
        <v>109</v>
      </c>
      <c r="G7" s="431" t="s">
        <v>993</v>
      </c>
      <c r="H7" s="51">
        <v>62.3</v>
      </c>
    </row>
    <row r="8" spans="1:8" ht="30.75" thickBot="1" x14ac:dyDescent="0.3">
      <c r="A8" s="429">
        <v>3</v>
      </c>
      <c r="B8" s="47" t="s">
        <v>580</v>
      </c>
      <c r="C8" s="344" t="s">
        <v>581</v>
      </c>
      <c r="D8" s="426" t="s">
        <v>994</v>
      </c>
      <c r="E8" s="430">
        <v>80</v>
      </c>
      <c r="F8" s="431" t="s">
        <v>995</v>
      </c>
      <c r="G8" s="431" t="s">
        <v>444</v>
      </c>
      <c r="H8" s="51">
        <v>5</v>
      </c>
    </row>
    <row r="9" spans="1:8" ht="15.75" thickBot="1" x14ac:dyDescent="0.3">
      <c r="A9" s="423">
        <v>4</v>
      </c>
      <c r="B9" s="350" t="s">
        <v>175</v>
      </c>
      <c r="C9" s="351" t="s">
        <v>582</v>
      </c>
      <c r="D9" s="426" t="s">
        <v>177</v>
      </c>
      <c r="E9" s="432">
        <v>237.19499999999999</v>
      </c>
      <c r="F9" s="433" t="s">
        <v>109</v>
      </c>
      <c r="G9" s="433" t="s">
        <v>996</v>
      </c>
      <c r="H9" s="354">
        <v>159.5</v>
      </c>
    </row>
    <row r="10" spans="1:8" ht="30.75" thickBot="1" x14ac:dyDescent="0.3">
      <c r="A10" s="429">
        <v>5</v>
      </c>
      <c r="B10" s="350" t="s">
        <v>133</v>
      </c>
      <c r="C10" s="351" t="s">
        <v>584</v>
      </c>
      <c r="D10" s="426" t="s">
        <v>134</v>
      </c>
      <c r="E10" s="432">
        <v>297.51499999999999</v>
      </c>
      <c r="F10" s="433" t="s">
        <v>109</v>
      </c>
      <c r="G10" s="433" t="s">
        <v>997</v>
      </c>
      <c r="H10" s="357">
        <v>72.897999999999996</v>
      </c>
    </row>
    <row r="11" spans="1:8" ht="15.75" thickBot="1" x14ac:dyDescent="0.3">
      <c r="A11" s="429">
        <v>6</v>
      </c>
      <c r="B11" s="47" t="s">
        <v>587</v>
      </c>
      <c r="C11" s="344" t="s">
        <v>588</v>
      </c>
      <c r="D11" s="426" t="s">
        <v>998</v>
      </c>
      <c r="E11" s="430">
        <v>36.5</v>
      </c>
      <c r="F11" s="431" t="s">
        <v>109</v>
      </c>
      <c r="G11" s="431" t="s">
        <v>112</v>
      </c>
      <c r="H11" s="51">
        <v>20</v>
      </c>
    </row>
    <row r="12" spans="1:8" ht="15.75" thickBot="1" x14ac:dyDescent="0.3">
      <c r="A12" s="423">
        <v>7</v>
      </c>
      <c r="B12" s="350" t="s">
        <v>157</v>
      </c>
      <c r="C12" s="351" t="s">
        <v>589</v>
      </c>
      <c r="D12" s="426" t="s">
        <v>159</v>
      </c>
      <c r="E12" s="432">
        <v>184</v>
      </c>
      <c r="F12" s="433" t="s">
        <v>109</v>
      </c>
      <c r="G12" s="433" t="s">
        <v>999</v>
      </c>
      <c r="H12" s="354">
        <v>97.3</v>
      </c>
    </row>
    <row r="13" spans="1:8" ht="30.75" thickBot="1" x14ac:dyDescent="0.3">
      <c r="A13" s="429">
        <v>8</v>
      </c>
      <c r="B13" s="350" t="s">
        <v>116</v>
      </c>
      <c r="C13" s="351" t="s">
        <v>591</v>
      </c>
      <c r="D13" s="426" t="s">
        <v>118</v>
      </c>
      <c r="E13" s="432">
        <v>571.9</v>
      </c>
      <c r="F13" s="433" t="s">
        <v>109</v>
      </c>
      <c r="G13" s="433" t="s">
        <v>121</v>
      </c>
      <c r="H13" s="354">
        <v>339.61900000000003</v>
      </c>
    </row>
    <row r="14" spans="1:8" ht="15.75" thickBot="1" x14ac:dyDescent="0.3">
      <c r="A14" s="429">
        <v>9</v>
      </c>
      <c r="B14" s="350" t="s">
        <v>161</v>
      </c>
      <c r="C14" s="351" t="s">
        <v>594</v>
      </c>
      <c r="D14" s="426" t="s">
        <v>1000</v>
      </c>
      <c r="E14" s="432">
        <v>78.832999999999998</v>
      </c>
      <c r="F14" s="433" t="s">
        <v>109</v>
      </c>
      <c r="G14" s="433" t="s">
        <v>165</v>
      </c>
      <c r="H14" s="354">
        <v>78.832999999999998</v>
      </c>
    </row>
    <row r="15" spans="1:8" ht="15.75" thickBot="1" x14ac:dyDescent="0.3">
      <c r="A15" s="423">
        <v>10</v>
      </c>
      <c r="B15" s="47" t="s">
        <v>595</v>
      </c>
      <c r="C15" s="344" t="s">
        <v>596</v>
      </c>
      <c r="D15" s="426" t="s">
        <v>131</v>
      </c>
      <c r="E15" s="430">
        <v>65.45</v>
      </c>
      <c r="F15" s="431" t="s">
        <v>109</v>
      </c>
      <c r="G15" s="431" t="s">
        <v>110</v>
      </c>
      <c r="H15" s="51">
        <v>10</v>
      </c>
    </row>
    <row r="16" spans="1:8" ht="45.75" thickBot="1" x14ac:dyDescent="0.3">
      <c r="A16" s="429">
        <v>11</v>
      </c>
      <c r="B16" s="350" t="s">
        <v>129</v>
      </c>
      <c r="C16" s="351" t="s">
        <v>597</v>
      </c>
      <c r="D16" s="426" t="s">
        <v>1001</v>
      </c>
      <c r="E16" s="432">
        <v>290.55</v>
      </c>
      <c r="F16" s="433" t="s">
        <v>1002</v>
      </c>
      <c r="G16" s="433" t="s">
        <v>1003</v>
      </c>
      <c r="H16" s="354">
        <v>268.55</v>
      </c>
    </row>
    <row r="17" spans="1:8" ht="30.75" thickBot="1" x14ac:dyDescent="0.3">
      <c r="A17" s="429">
        <v>12</v>
      </c>
      <c r="B17" s="47" t="s">
        <v>598</v>
      </c>
      <c r="C17" s="344" t="s">
        <v>599</v>
      </c>
      <c r="D17" s="426" t="s">
        <v>1004</v>
      </c>
      <c r="E17" s="430">
        <v>244</v>
      </c>
      <c r="F17" s="431" t="s">
        <v>197</v>
      </c>
      <c r="G17" s="431" t="s">
        <v>115</v>
      </c>
      <c r="H17" s="51">
        <v>60</v>
      </c>
    </row>
    <row r="18" spans="1:8" ht="15.75" thickBot="1" x14ac:dyDescent="0.3">
      <c r="A18" s="423">
        <v>13</v>
      </c>
      <c r="B18" s="47" t="s">
        <v>600</v>
      </c>
      <c r="C18" s="344" t="s">
        <v>601</v>
      </c>
      <c r="D18" s="426" t="s">
        <v>168</v>
      </c>
      <c r="E18" s="430">
        <v>169</v>
      </c>
      <c r="F18" s="431" t="s">
        <v>1005</v>
      </c>
      <c r="G18" s="431" t="s">
        <v>1006</v>
      </c>
      <c r="H18" s="51">
        <v>80</v>
      </c>
    </row>
    <row r="19" spans="1:8" ht="30.75" thickBot="1" x14ac:dyDescent="0.3">
      <c r="A19" s="429">
        <v>14</v>
      </c>
      <c r="B19" s="350" t="s">
        <v>166</v>
      </c>
      <c r="C19" s="351" t="s">
        <v>602</v>
      </c>
      <c r="D19" s="426" t="s">
        <v>181</v>
      </c>
      <c r="E19" s="432">
        <v>78.207999999999998</v>
      </c>
      <c r="F19" s="433" t="s">
        <v>109</v>
      </c>
      <c r="G19" s="433" t="s">
        <v>1007</v>
      </c>
      <c r="H19" s="357">
        <v>78.207999999999998</v>
      </c>
    </row>
    <row r="20" spans="1:8" ht="15.75" thickBot="1" x14ac:dyDescent="0.3">
      <c r="A20" s="429">
        <v>15</v>
      </c>
      <c r="B20" s="350" t="s">
        <v>179</v>
      </c>
      <c r="C20" s="351" t="s">
        <v>603</v>
      </c>
      <c r="D20" s="426" t="s">
        <v>151</v>
      </c>
      <c r="E20" s="432">
        <v>76</v>
      </c>
      <c r="F20" s="433" t="s">
        <v>112</v>
      </c>
      <c r="G20" s="433" t="s">
        <v>183</v>
      </c>
      <c r="H20" s="354">
        <v>56</v>
      </c>
    </row>
    <row r="21" spans="1:8" ht="15.75" thickBot="1" x14ac:dyDescent="0.3">
      <c r="A21" s="423">
        <v>16</v>
      </c>
      <c r="B21" s="350" t="s">
        <v>149</v>
      </c>
      <c r="C21" s="351" t="s">
        <v>604</v>
      </c>
      <c r="D21" s="426" t="s">
        <v>1008</v>
      </c>
      <c r="E21" s="432">
        <v>146.6</v>
      </c>
      <c r="F21" s="433" t="s">
        <v>1009</v>
      </c>
      <c r="G21" s="433" t="s">
        <v>119</v>
      </c>
      <c r="H21" s="354">
        <v>121.6</v>
      </c>
    </row>
    <row r="22" spans="1:8" ht="15.75" thickBot="1" x14ac:dyDescent="0.3">
      <c r="A22" s="429">
        <v>17</v>
      </c>
      <c r="B22" s="63" t="s">
        <v>606</v>
      </c>
      <c r="C22" s="365" t="s">
        <v>607</v>
      </c>
      <c r="D22" s="434" t="s">
        <v>191</v>
      </c>
      <c r="E22" s="124">
        <v>52</v>
      </c>
      <c r="F22" s="435" t="s">
        <v>109</v>
      </c>
      <c r="G22" s="435" t="s">
        <v>242</v>
      </c>
      <c r="H22" s="146">
        <v>36</v>
      </c>
    </row>
    <row r="23" spans="1:8" ht="15.75" thickBot="1" x14ac:dyDescent="0.3">
      <c r="A23" s="429">
        <v>18</v>
      </c>
      <c r="B23" s="370" t="s">
        <v>608</v>
      </c>
      <c r="C23" s="351" t="s">
        <v>609</v>
      </c>
      <c r="D23" s="426" t="s">
        <v>1010</v>
      </c>
      <c r="E23" s="432">
        <v>234</v>
      </c>
      <c r="F23" s="433" t="s">
        <v>109</v>
      </c>
      <c r="G23" s="433" t="s">
        <v>1011</v>
      </c>
      <c r="H23" s="357">
        <v>168.30500000000001</v>
      </c>
    </row>
    <row r="24" spans="1:8" ht="15.75" thickBot="1" x14ac:dyDescent="0.3">
      <c r="A24" s="423">
        <v>19</v>
      </c>
      <c r="B24" s="47" t="s">
        <v>610</v>
      </c>
      <c r="C24" s="344" t="s">
        <v>611</v>
      </c>
      <c r="D24" s="426" t="s">
        <v>1012</v>
      </c>
      <c r="E24" s="430">
        <v>96</v>
      </c>
      <c r="F24" s="433" t="s">
        <v>109</v>
      </c>
      <c r="G24" s="431" t="s">
        <v>444</v>
      </c>
      <c r="H24" s="51">
        <v>6</v>
      </c>
    </row>
    <row r="25" spans="1:8" ht="30.75" thickBot="1" x14ac:dyDescent="0.3">
      <c r="A25" s="429">
        <v>20</v>
      </c>
      <c r="B25" s="350" t="s">
        <v>137</v>
      </c>
      <c r="C25" s="351" t="s">
        <v>616</v>
      </c>
      <c r="D25" s="426" t="s">
        <v>173</v>
      </c>
      <c r="E25" s="432">
        <v>48.255000000000003</v>
      </c>
      <c r="F25" s="433" t="s">
        <v>109</v>
      </c>
      <c r="G25" s="433" t="s">
        <v>141</v>
      </c>
      <c r="H25" s="357">
        <v>48.255000000000003</v>
      </c>
    </row>
    <row r="26" spans="1:8" ht="30.75" thickBot="1" x14ac:dyDescent="0.3">
      <c r="A26" s="429">
        <v>21</v>
      </c>
      <c r="B26" s="350" t="s">
        <v>171</v>
      </c>
      <c r="C26" s="351" t="s">
        <v>618</v>
      </c>
      <c r="D26" s="426" t="s">
        <v>1013</v>
      </c>
      <c r="E26" s="432">
        <v>210.78800000000001</v>
      </c>
      <c r="F26" s="433" t="s">
        <v>109</v>
      </c>
      <c r="G26" s="433" t="s">
        <v>1014</v>
      </c>
      <c r="H26" s="357">
        <v>138.619</v>
      </c>
    </row>
    <row r="27" spans="1:8" ht="30.75" thickBot="1" x14ac:dyDescent="0.3">
      <c r="A27" s="423">
        <v>22</v>
      </c>
      <c r="B27" s="47" t="s">
        <v>619</v>
      </c>
      <c r="C27" s="344" t="s">
        <v>620</v>
      </c>
      <c r="D27" s="426" t="s">
        <v>1015</v>
      </c>
      <c r="E27" s="430">
        <v>94</v>
      </c>
      <c r="F27" s="431" t="s">
        <v>1016</v>
      </c>
      <c r="G27" s="431" t="s">
        <v>1017</v>
      </c>
      <c r="H27" s="51">
        <v>8</v>
      </c>
    </row>
    <row r="28" spans="1:8" ht="15.75" thickBot="1" x14ac:dyDescent="0.3">
      <c r="A28" s="429">
        <v>23</v>
      </c>
      <c r="B28" s="47" t="s">
        <v>621</v>
      </c>
      <c r="C28" s="344" t="s">
        <v>622</v>
      </c>
      <c r="D28" s="426" t="s">
        <v>1018</v>
      </c>
      <c r="E28" s="430">
        <v>8.85</v>
      </c>
      <c r="F28" s="431" t="s">
        <v>109</v>
      </c>
      <c r="G28" s="431" t="s">
        <v>1019</v>
      </c>
      <c r="H28" s="51">
        <v>8.85</v>
      </c>
    </row>
    <row r="29" spans="1:8" ht="15.75" thickBot="1" x14ac:dyDescent="0.3">
      <c r="A29" s="429">
        <v>24</v>
      </c>
      <c r="B29" s="47" t="s">
        <v>623</v>
      </c>
      <c r="C29" s="344" t="s">
        <v>624</v>
      </c>
      <c r="D29" s="426" t="s">
        <v>1020</v>
      </c>
      <c r="E29" s="430">
        <v>14</v>
      </c>
      <c r="F29" s="431" t="s">
        <v>109</v>
      </c>
      <c r="G29" s="431" t="s">
        <v>136</v>
      </c>
      <c r="H29" s="51">
        <v>14</v>
      </c>
    </row>
    <row r="30" spans="1:8" ht="15.75" thickBot="1" x14ac:dyDescent="0.3">
      <c r="A30" s="423">
        <v>25</v>
      </c>
      <c r="B30" s="47" t="s">
        <v>625</v>
      </c>
      <c r="C30" s="344" t="s">
        <v>626</v>
      </c>
      <c r="D30" s="426" t="s">
        <v>1021</v>
      </c>
      <c r="E30" s="430">
        <v>3</v>
      </c>
      <c r="F30" s="431" t="s">
        <v>109</v>
      </c>
      <c r="G30" s="431" t="s">
        <v>1005</v>
      </c>
      <c r="H30" s="51">
        <v>3</v>
      </c>
    </row>
    <row r="31" spans="1:8" ht="15.75" thickBot="1" x14ac:dyDescent="0.3">
      <c r="A31" s="429">
        <v>26</v>
      </c>
      <c r="B31" s="47" t="s">
        <v>627</v>
      </c>
      <c r="C31" s="344" t="s">
        <v>628</v>
      </c>
      <c r="D31" s="426" t="s">
        <v>1022</v>
      </c>
      <c r="E31" s="430">
        <v>2</v>
      </c>
      <c r="F31" s="431" t="s">
        <v>109</v>
      </c>
      <c r="G31" s="431" t="s">
        <v>1023</v>
      </c>
      <c r="H31" s="51">
        <v>2</v>
      </c>
    </row>
    <row r="32" spans="1:8" ht="15.75" thickBot="1" x14ac:dyDescent="0.3">
      <c r="A32" s="429">
        <v>27</v>
      </c>
      <c r="B32" s="47" t="s">
        <v>633</v>
      </c>
      <c r="C32" s="344" t="s">
        <v>634</v>
      </c>
      <c r="D32" s="426" t="s">
        <v>1024</v>
      </c>
      <c r="E32" s="430">
        <v>2.5</v>
      </c>
      <c r="F32" s="431" t="s">
        <v>109</v>
      </c>
      <c r="G32" s="431" t="s">
        <v>1025</v>
      </c>
      <c r="H32" s="51">
        <v>2.5</v>
      </c>
    </row>
    <row r="33" spans="1:8" ht="15.75" thickBot="1" x14ac:dyDescent="0.3">
      <c r="A33" s="423">
        <v>28</v>
      </c>
      <c r="B33" s="47" t="s">
        <v>645</v>
      </c>
      <c r="C33" s="344" t="s">
        <v>646</v>
      </c>
      <c r="D33" s="426" t="s">
        <v>1026</v>
      </c>
      <c r="E33" s="430">
        <v>19</v>
      </c>
      <c r="F33" s="431" t="s">
        <v>109</v>
      </c>
      <c r="G33" s="431" t="s">
        <v>239</v>
      </c>
      <c r="H33" s="51">
        <v>4</v>
      </c>
    </row>
    <row r="34" spans="1:8" ht="15.75" thickBot="1" x14ac:dyDescent="0.3">
      <c r="A34" s="429">
        <v>29</v>
      </c>
      <c r="B34" s="47" t="s">
        <v>647</v>
      </c>
      <c r="C34" s="344" t="s">
        <v>648</v>
      </c>
      <c r="D34" s="426" t="s">
        <v>1027</v>
      </c>
      <c r="E34" s="430">
        <v>7</v>
      </c>
      <c r="F34" s="431" t="s">
        <v>109</v>
      </c>
      <c r="G34" s="431" t="s">
        <v>995</v>
      </c>
      <c r="H34" s="51">
        <v>1</v>
      </c>
    </row>
    <row r="35" spans="1:8" ht="15.75" thickBot="1" x14ac:dyDescent="0.3">
      <c r="A35" s="429">
        <v>30</v>
      </c>
      <c r="B35" s="47" t="s">
        <v>657</v>
      </c>
      <c r="C35" s="344" t="s">
        <v>658</v>
      </c>
      <c r="D35" s="426" t="s">
        <v>1028</v>
      </c>
      <c r="E35" s="430">
        <v>19</v>
      </c>
      <c r="F35" s="431" t="s">
        <v>109</v>
      </c>
      <c r="G35" s="431" t="s">
        <v>1029</v>
      </c>
      <c r="H35" s="51">
        <v>5</v>
      </c>
    </row>
    <row r="36" spans="1:8" ht="30.75" thickBot="1" x14ac:dyDescent="0.3">
      <c r="A36" s="423">
        <v>31</v>
      </c>
      <c r="B36" s="47" t="s">
        <v>661</v>
      </c>
      <c r="C36" s="344" t="s">
        <v>662</v>
      </c>
      <c r="D36" s="426" t="s">
        <v>1030</v>
      </c>
      <c r="E36" s="430">
        <v>5</v>
      </c>
      <c r="F36" s="431" t="s">
        <v>1031</v>
      </c>
      <c r="G36" s="431" t="s">
        <v>1032</v>
      </c>
      <c r="H36" s="51">
        <v>2</v>
      </c>
    </row>
    <row r="37" spans="1:8" ht="30.75" thickBot="1" x14ac:dyDescent="0.3">
      <c r="A37" s="429">
        <v>32</v>
      </c>
      <c r="B37" s="47" t="s">
        <v>667</v>
      </c>
      <c r="C37" s="344" t="s">
        <v>668</v>
      </c>
      <c r="D37" s="426" t="s">
        <v>1033</v>
      </c>
      <c r="E37" s="430">
        <v>143</v>
      </c>
      <c r="F37" s="431" t="s">
        <v>109</v>
      </c>
      <c r="G37" s="431" t="s">
        <v>1034</v>
      </c>
      <c r="H37" s="51">
        <v>51.6</v>
      </c>
    </row>
    <row r="38" spans="1:8" ht="15.75" thickBot="1" x14ac:dyDescent="0.3">
      <c r="A38" s="429">
        <v>33</v>
      </c>
      <c r="B38" s="47" t="s">
        <v>669</v>
      </c>
      <c r="C38" s="344" t="s">
        <v>670</v>
      </c>
      <c r="D38" s="426" t="s">
        <v>1035</v>
      </c>
      <c r="E38" s="430">
        <v>104.8</v>
      </c>
      <c r="F38" s="431" t="s">
        <v>109</v>
      </c>
      <c r="G38" s="431" t="s">
        <v>1036</v>
      </c>
      <c r="H38" s="51">
        <v>31.853999999999999</v>
      </c>
    </row>
    <row r="39" spans="1:8" ht="30.75" thickBot="1" x14ac:dyDescent="0.3">
      <c r="A39" s="423">
        <v>34</v>
      </c>
      <c r="B39" s="47" t="s">
        <v>675</v>
      </c>
      <c r="C39" s="344" t="s">
        <v>676</v>
      </c>
      <c r="D39" s="426" t="s">
        <v>1037</v>
      </c>
      <c r="E39" s="430">
        <v>23.7</v>
      </c>
      <c r="F39" s="431" t="s">
        <v>1023</v>
      </c>
      <c r="G39" s="431" t="s">
        <v>444</v>
      </c>
      <c r="H39" s="51">
        <v>4</v>
      </c>
    </row>
    <row r="40" spans="1:8" ht="15.75" thickBot="1" x14ac:dyDescent="0.3">
      <c r="A40" s="429">
        <v>35</v>
      </c>
      <c r="B40" s="47" t="s">
        <v>679</v>
      </c>
      <c r="C40" s="344" t="s">
        <v>680</v>
      </c>
      <c r="D40" s="426" t="s">
        <v>1038</v>
      </c>
      <c r="E40" s="430">
        <v>67</v>
      </c>
      <c r="F40" s="431" t="s">
        <v>109</v>
      </c>
      <c r="G40" s="431" t="s">
        <v>1039</v>
      </c>
      <c r="H40" s="51">
        <v>15.077</v>
      </c>
    </row>
    <row r="41" spans="1:8" ht="15.75" thickBot="1" x14ac:dyDescent="0.3">
      <c r="A41" s="429">
        <v>36</v>
      </c>
      <c r="B41" s="350" t="s">
        <v>145</v>
      </c>
      <c r="C41" s="351" t="s">
        <v>695</v>
      </c>
      <c r="D41" s="426" t="s">
        <v>147</v>
      </c>
      <c r="E41" s="432">
        <v>16</v>
      </c>
      <c r="F41" s="433" t="s">
        <v>109</v>
      </c>
      <c r="G41" s="433" t="s">
        <v>148</v>
      </c>
      <c r="H41" s="354">
        <v>16</v>
      </c>
    </row>
    <row r="42" spans="1:8" ht="15.75" thickBot="1" x14ac:dyDescent="0.3">
      <c r="A42" s="423">
        <v>37</v>
      </c>
      <c r="B42" s="47" t="s">
        <v>697</v>
      </c>
      <c r="C42" s="344" t="s">
        <v>698</v>
      </c>
      <c r="D42" s="426" t="s">
        <v>1040</v>
      </c>
      <c r="E42" s="430">
        <v>37</v>
      </c>
      <c r="F42" s="431" t="s">
        <v>109</v>
      </c>
      <c r="G42" s="431" t="s">
        <v>1041</v>
      </c>
      <c r="H42" s="51">
        <v>13</v>
      </c>
    </row>
    <row r="43" spans="1:8" ht="30.75" thickBot="1" x14ac:dyDescent="0.3">
      <c r="A43" s="429">
        <v>38</v>
      </c>
      <c r="B43" s="47" t="s">
        <v>699</v>
      </c>
      <c r="C43" s="344" t="s">
        <v>700</v>
      </c>
      <c r="D43" s="426" t="s">
        <v>1042</v>
      </c>
      <c r="E43" s="430">
        <v>61</v>
      </c>
      <c r="F43" s="431" t="s">
        <v>109</v>
      </c>
      <c r="G43" s="431" t="s">
        <v>110</v>
      </c>
      <c r="H43" s="51">
        <v>10</v>
      </c>
    </row>
    <row r="44" spans="1:8" ht="15.75" thickBot="1" x14ac:dyDescent="0.3">
      <c r="A44" s="429">
        <v>39</v>
      </c>
      <c r="B44" s="47" t="s">
        <v>701</v>
      </c>
      <c r="C44" s="344" t="s">
        <v>702</v>
      </c>
      <c r="D44" s="426" t="s">
        <v>1043</v>
      </c>
      <c r="E44" s="430">
        <v>169</v>
      </c>
      <c r="F44" s="431" t="s">
        <v>109</v>
      </c>
      <c r="G44" s="431" t="s">
        <v>212</v>
      </c>
      <c r="H44" s="51">
        <v>8</v>
      </c>
    </row>
    <row r="45" spans="1:8" ht="15.75" thickBot="1" x14ac:dyDescent="0.3">
      <c r="A45" s="423">
        <v>40</v>
      </c>
      <c r="B45" s="63" t="s">
        <v>703</v>
      </c>
      <c r="C45" s="365" t="s">
        <v>704</v>
      </c>
      <c r="D45" s="434" t="s">
        <v>1044</v>
      </c>
      <c r="E45" s="124">
        <v>107</v>
      </c>
      <c r="F45" s="435" t="s">
        <v>109</v>
      </c>
      <c r="G45" s="435" t="s">
        <v>113</v>
      </c>
      <c r="H45" s="146">
        <v>30</v>
      </c>
    </row>
    <row r="46" spans="1:8" ht="30.75" thickBot="1" x14ac:dyDescent="0.3">
      <c r="A46" s="429">
        <v>41</v>
      </c>
      <c r="B46" s="47" t="s">
        <v>705</v>
      </c>
      <c r="C46" s="344" t="s">
        <v>706</v>
      </c>
      <c r="D46" s="426" t="s">
        <v>1045</v>
      </c>
      <c r="E46" s="430">
        <v>45</v>
      </c>
      <c r="F46" s="431" t="s">
        <v>109</v>
      </c>
      <c r="G46" s="431" t="s">
        <v>1023</v>
      </c>
      <c r="H46" s="51">
        <v>2</v>
      </c>
    </row>
    <row r="47" spans="1:8" ht="30.75" thickBot="1" x14ac:dyDescent="0.3">
      <c r="A47" s="429">
        <v>42</v>
      </c>
      <c r="B47" s="47" t="s">
        <v>707</v>
      </c>
      <c r="C47" s="344" t="s">
        <v>708</v>
      </c>
      <c r="D47" s="426" t="s">
        <v>1046</v>
      </c>
      <c r="E47" s="430">
        <v>8</v>
      </c>
      <c r="F47" s="431" t="s">
        <v>109</v>
      </c>
      <c r="G47" s="431" t="s">
        <v>1023</v>
      </c>
      <c r="H47" s="51">
        <v>2</v>
      </c>
    </row>
    <row r="48" spans="1:8" ht="15.75" thickBot="1" x14ac:dyDescent="0.3">
      <c r="A48" s="423">
        <v>43</v>
      </c>
      <c r="B48" s="47" t="s">
        <v>709</v>
      </c>
      <c r="C48" s="344" t="s">
        <v>710</v>
      </c>
      <c r="D48" s="426" t="s">
        <v>1047</v>
      </c>
      <c r="E48" s="430">
        <v>22</v>
      </c>
      <c r="F48" s="431" t="s">
        <v>109</v>
      </c>
      <c r="G48" s="431" t="s">
        <v>212</v>
      </c>
      <c r="H48" s="51">
        <v>8</v>
      </c>
    </row>
    <row r="49" spans="1:8" ht="15.75" thickBot="1" x14ac:dyDescent="0.3">
      <c r="A49" s="429">
        <v>44</v>
      </c>
      <c r="B49" s="350" t="s">
        <v>199</v>
      </c>
      <c r="C49" s="351" t="s">
        <v>711</v>
      </c>
      <c r="D49" s="426" t="s">
        <v>200</v>
      </c>
      <c r="E49" s="432">
        <v>68</v>
      </c>
      <c r="F49" s="433" t="s">
        <v>135</v>
      </c>
      <c r="G49" s="433" t="s">
        <v>225</v>
      </c>
      <c r="H49" s="354">
        <v>30</v>
      </c>
    </row>
    <row r="50" spans="1:8" ht="30.75" thickBot="1" x14ac:dyDescent="0.3">
      <c r="A50" s="429">
        <v>45</v>
      </c>
      <c r="B50" s="47" t="s">
        <v>713</v>
      </c>
      <c r="C50" s="344" t="s">
        <v>714</v>
      </c>
      <c r="D50" s="426" t="s">
        <v>1048</v>
      </c>
      <c r="E50" s="430">
        <v>46</v>
      </c>
      <c r="F50" s="431" t="s">
        <v>109</v>
      </c>
      <c r="G50" s="431" t="s">
        <v>1029</v>
      </c>
      <c r="H50" s="51">
        <v>5</v>
      </c>
    </row>
    <row r="51" spans="1:8" ht="15.75" thickBot="1" x14ac:dyDescent="0.3">
      <c r="A51" s="423">
        <v>46</v>
      </c>
      <c r="B51" s="47" t="s">
        <v>717</v>
      </c>
      <c r="C51" s="344" t="s">
        <v>718</v>
      </c>
      <c r="D51" s="426" t="s">
        <v>1049</v>
      </c>
      <c r="E51" s="430">
        <v>33</v>
      </c>
      <c r="F51" s="431" t="s">
        <v>110</v>
      </c>
      <c r="G51" s="431" t="s">
        <v>1050</v>
      </c>
      <c r="H51" s="51">
        <v>15</v>
      </c>
    </row>
    <row r="52" spans="1:8" ht="15.75" thickBot="1" x14ac:dyDescent="0.3">
      <c r="A52" s="429">
        <v>47</v>
      </c>
      <c r="B52" s="47" t="s">
        <v>719</v>
      </c>
      <c r="C52" s="344" t="s">
        <v>720</v>
      </c>
      <c r="D52" s="426" t="s">
        <v>1051</v>
      </c>
      <c r="E52" s="430">
        <v>29.183</v>
      </c>
      <c r="F52" s="431" t="s">
        <v>109</v>
      </c>
      <c r="G52" s="431" t="s">
        <v>1052</v>
      </c>
      <c r="H52" s="51">
        <v>29.183</v>
      </c>
    </row>
    <row r="53" spans="1:8" ht="15.75" thickBot="1" x14ac:dyDescent="0.3">
      <c r="A53" s="429">
        <v>48</v>
      </c>
      <c r="B53" s="47" t="s">
        <v>733</v>
      </c>
      <c r="C53" s="344" t="s">
        <v>734</v>
      </c>
      <c r="D53" s="426" t="s">
        <v>1053</v>
      </c>
      <c r="E53" s="430">
        <v>25.85</v>
      </c>
      <c r="F53" s="431" t="s">
        <v>109</v>
      </c>
      <c r="G53" s="431" t="s">
        <v>1054</v>
      </c>
      <c r="H53" s="51">
        <v>25.85</v>
      </c>
    </row>
    <row r="54" spans="1:8" ht="30.75" thickBot="1" x14ac:dyDescent="0.3">
      <c r="A54" s="423">
        <v>49</v>
      </c>
      <c r="B54" s="47" t="s">
        <v>735</v>
      </c>
      <c r="C54" s="344" t="s">
        <v>736</v>
      </c>
      <c r="D54" s="426" t="s">
        <v>1055</v>
      </c>
      <c r="E54" s="430">
        <v>39</v>
      </c>
      <c r="F54" s="431" t="s">
        <v>109</v>
      </c>
      <c r="G54" s="431" t="s">
        <v>135</v>
      </c>
      <c r="H54" s="51">
        <v>12</v>
      </c>
    </row>
    <row r="55" spans="1:8" ht="30.75" thickBot="1" x14ac:dyDescent="0.3">
      <c r="A55" s="429">
        <v>50</v>
      </c>
      <c r="B55" s="47" t="s">
        <v>737</v>
      </c>
      <c r="C55" s="344" t="s">
        <v>738</v>
      </c>
      <c r="D55" s="426" t="s">
        <v>1056</v>
      </c>
      <c r="E55" s="430">
        <v>57</v>
      </c>
      <c r="F55" s="431" t="s">
        <v>109</v>
      </c>
      <c r="G55" s="431" t="s">
        <v>1050</v>
      </c>
      <c r="H55" s="51">
        <v>15</v>
      </c>
    </row>
    <row r="56" spans="1:8" ht="15.75" thickBot="1" x14ac:dyDescent="0.3">
      <c r="A56" s="429">
        <v>51</v>
      </c>
      <c r="B56" s="47" t="s">
        <v>747</v>
      </c>
      <c r="C56" s="344" t="s">
        <v>748</v>
      </c>
      <c r="D56" s="426" t="s">
        <v>1057</v>
      </c>
      <c r="E56" s="430">
        <v>26</v>
      </c>
      <c r="F56" s="431" t="s">
        <v>1005</v>
      </c>
      <c r="G56" s="431" t="s">
        <v>1058</v>
      </c>
      <c r="H56" s="51">
        <v>8</v>
      </c>
    </row>
    <row r="57" spans="1:8" ht="15.75" thickBot="1" x14ac:dyDescent="0.3">
      <c r="A57" s="423">
        <v>52</v>
      </c>
      <c r="B57" s="47" t="s">
        <v>753</v>
      </c>
      <c r="C57" s="344" t="s">
        <v>754</v>
      </c>
      <c r="D57" s="426" t="s">
        <v>1059</v>
      </c>
      <c r="E57" s="430">
        <v>48.1</v>
      </c>
      <c r="F57" s="431" t="s">
        <v>110</v>
      </c>
      <c r="G57" s="431" t="s">
        <v>1002</v>
      </c>
      <c r="H57" s="51">
        <v>12</v>
      </c>
    </row>
    <row r="58" spans="1:8" ht="30.75" thickBot="1" x14ac:dyDescent="0.3">
      <c r="A58" s="429">
        <v>53</v>
      </c>
      <c r="B58" s="47" t="s">
        <v>755</v>
      </c>
      <c r="C58" s="344" t="s">
        <v>756</v>
      </c>
      <c r="D58" s="426" t="s">
        <v>1060</v>
      </c>
      <c r="E58" s="430">
        <v>54</v>
      </c>
      <c r="F58" s="431" t="s">
        <v>109</v>
      </c>
      <c r="G58" s="431" t="s">
        <v>212</v>
      </c>
      <c r="H58" s="51">
        <v>8</v>
      </c>
    </row>
    <row r="59" spans="1:8" ht="15.75" thickBot="1" x14ac:dyDescent="0.3">
      <c r="A59" s="429">
        <v>54</v>
      </c>
      <c r="B59" s="47" t="s">
        <v>765</v>
      </c>
      <c r="C59" s="344" t="s">
        <v>766</v>
      </c>
      <c r="D59" s="426" t="s">
        <v>1061</v>
      </c>
      <c r="E59" s="430">
        <v>25</v>
      </c>
      <c r="F59" s="431" t="s">
        <v>109</v>
      </c>
      <c r="G59" s="431" t="s">
        <v>444</v>
      </c>
      <c r="H59" s="51">
        <v>6</v>
      </c>
    </row>
    <row r="60" spans="1:8" ht="15.75" thickBot="1" x14ac:dyDescent="0.3">
      <c r="A60" s="423">
        <v>55</v>
      </c>
      <c r="B60" s="47" t="s">
        <v>769</v>
      </c>
      <c r="C60" s="344" t="s">
        <v>770</v>
      </c>
      <c r="D60" s="426" t="s">
        <v>1062</v>
      </c>
      <c r="E60" s="430">
        <v>32</v>
      </c>
      <c r="F60" s="431" t="s">
        <v>1050</v>
      </c>
      <c r="G60" s="431" t="s">
        <v>197</v>
      </c>
      <c r="H60" s="51">
        <v>10</v>
      </c>
    </row>
    <row r="61" spans="1:8" ht="30.75" thickBot="1" x14ac:dyDescent="0.3">
      <c r="A61" s="429">
        <v>56</v>
      </c>
      <c r="B61" s="47" t="s">
        <v>773</v>
      </c>
      <c r="C61" s="344" t="s">
        <v>774</v>
      </c>
      <c r="D61" s="426" t="s">
        <v>1063</v>
      </c>
      <c r="E61" s="430">
        <v>12</v>
      </c>
      <c r="F61" s="431" t="s">
        <v>109</v>
      </c>
      <c r="G61" s="431" t="s">
        <v>135</v>
      </c>
      <c r="H61" s="51">
        <v>12</v>
      </c>
    </row>
    <row r="62" spans="1:8" ht="15.75" thickBot="1" x14ac:dyDescent="0.3">
      <c r="A62" s="429">
        <v>57</v>
      </c>
      <c r="B62" s="47" t="s">
        <v>777</v>
      </c>
      <c r="C62" s="344" t="s">
        <v>778</v>
      </c>
      <c r="D62" s="426" t="s">
        <v>1064</v>
      </c>
      <c r="E62" s="430">
        <v>15</v>
      </c>
      <c r="F62" s="431" t="s">
        <v>109</v>
      </c>
      <c r="G62" s="431" t="s">
        <v>995</v>
      </c>
      <c r="H62" s="51">
        <v>1</v>
      </c>
    </row>
    <row r="63" spans="1:8" ht="15.75" thickBot="1" x14ac:dyDescent="0.3">
      <c r="A63" s="423">
        <v>58</v>
      </c>
      <c r="B63" s="47" t="s">
        <v>781</v>
      </c>
      <c r="C63" s="344" t="s">
        <v>782</v>
      </c>
      <c r="D63" s="426" t="s">
        <v>1065</v>
      </c>
      <c r="E63" s="430">
        <v>3</v>
      </c>
      <c r="F63" s="431" t="s">
        <v>109</v>
      </c>
      <c r="G63" s="431" t="s">
        <v>1005</v>
      </c>
      <c r="H63" s="51">
        <v>3</v>
      </c>
    </row>
    <row r="64" spans="1:8" ht="15.75" thickBot="1" x14ac:dyDescent="0.3">
      <c r="A64" s="429">
        <v>59</v>
      </c>
      <c r="B64" s="56" t="s">
        <v>184</v>
      </c>
      <c r="C64" s="351" t="s">
        <v>785</v>
      </c>
      <c r="D64" s="436" t="s">
        <v>185</v>
      </c>
      <c r="E64" s="432">
        <v>51</v>
      </c>
      <c r="F64" s="433" t="s">
        <v>109</v>
      </c>
      <c r="G64" s="433" t="s">
        <v>1066</v>
      </c>
      <c r="H64" s="354">
        <v>42.4</v>
      </c>
    </row>
    <row r="65" spans="1:8" ht="15.75" thickBot="1" x14ac:dyDescent="0.3">
      <c r="A65" s="429">
        <v>60</v>
      </c>
      <c r="B65" s="47" t="s">
        <v>791</v>
      </c>
      <c r="C65" s="344" t="s">
        <v>792</v>
      </c>
      <c r="D65" s="426" t="s">
        <v>1067</v>
      </c>
      <c r="E65" s="430">
        <v>3</v>
      </c>
      <c r="F65" s="431" t="s">
        <v>109</v>
      </c>
      <c r="G65" s="431" t="s">
        <v>1005</v>
      </c>
      <c r="H65" s="51">
        <v>3</v>
      </c>
    </row>
    <row r="66" spans="1:8" ht="15.75" thickBot="1" x14ac:dyDescent="0.3">
      <c r="A66" s="423">
        <v>61</v>
      </c>
      <c r="B66" s="47" t="s">
        <v>793</v>
      </c>
      <c r="C66" s="344" t="s">
        <v>794</v>
      </c>
      <c r="D66" s="426" t="s">
        <v>1068</v>
      </c>
      <c r="E66" s="430">
        <v>4</v>
      </c>
      <c r="F66" s="431" t="s">
        <v>109</v>
      </c>
      <c r="G66" s="431" t="s">
        <v>239</v>
      </c>
      <c r="H66" s="51">
        <v>4</v>
      </c>
    </row>
    <row r="67" spans="1:8" ht="15.75" thickBot="1" x14ac:dyDescent="0.3">
      <c r="A67" s="429">
        <v>62</v>
      </c>
      <c r="B67" s="47" t="s">
        <v>795</v>
      </c>
      <c r="C67" s="344" t="s">
        <v>796</v>
      </c>
      <c r="D67" s="426" t="s">
        <v>1069</v>
      </c>
      <c r="E67" s="430">
        <v>58</v>
      </c>
      <c r="F67" s="431" t="s">
        <v>1029</v>
      </c>
      <c r="G67" s="431" t="s">
        <v>1050</v>
      </c>
      <c r="H67" s="51">
        <v>10</v>
      </c>
    </row>
    <row r="68" spans="1:8" ht="15.75" thickBot="1" x14ac:dyDescent="0.3">
      <c r="A68" s="429">
        <v>63</v>
      </c>
      <c r="B68" s="47" t="s">
        <v>797</v>
      </c>
      <c r="C68" s="344" t="s">
        <v>798</v>
      </c>
      <c r="D68" s="426" t="s">
        <v>1070</v>
      </c>
      <c r="E68" s="430">
        <v>103.35</v>
      </c>
      <c r="F68" s="431" t="s">
        <v>109</v>
      </c>
      <c r="G68" s="431" t="s">
        <v>198</v>
      </c>
      <c r="H68" s="51">
        <v>35</v>
      </c>
    </row>
    <row r="69" spans="1:8" ht="15.75" thickBot="1" x14ac:dyDescent="0.3">
      <c r="A69" s="423">
        <v>64</v>
      </c>
      <c r="B69" s="47" t="s">
        <v>803</v>
      </c>
      <c r="C69" s="344" t="s">
        <v>804</v>
      </c>
      <c r="D69" s="426" t="s">
        <v>1071</v>
      </c>
      <c r="E69" s="430">
        <v>24</v>
      </c>
      <c r="F69" s="431" t="s">
        <v>109</v>
      </c>
      <c r="G69" s="431" t="s">
        <v>212</v>
      </c>
      <c r="H69" s="51">
        <v>8</v>
      </c>
    </row>
    <row r="70" spans="1:8" ht="30.75" thickBot="1" x14ac:dyDescent="0.3">
      <c r="A70" s="429">
        <v>65</v>
      </c>
      <c r="B70" s="47" t="s">
        <v>809</v>
      </c>
      <c r="C70" s="344" t="s">
        <v>810</v>
      </c>
      <c r="D70" s="426" t="s">
        <v>1072</v>
      </c>
      <c r="E70" s="430">
        <v>135.80000000000001</v>
      </c>
      <c r="F70" s="431" t="s">
        <v>109</v>
      </c>
      <c r="G70" s="431" t="s">
        <v>113</v>
      </c>
      <c r="H70" s="51">
        <v>30</v>
      </c>
    </row>
    <row r="71" spans="1:8" ht="15.75" thickBot="1" x14ac:dyDescent="0.3">
      <c r="A71" s="429">
        <v>66</v>
      </c>
      <c r="B71" s="47" t="s">
        <v>811</v>
      </c>
      <c r="C71" s="344" t="s">
        <v>812</v>
      </c>
      <c r="D71" s="426" t="s">
        <v>1073</v>
      </c>
      <c r="E71" s="430">
        <v>19</v>
      </c>
      <c r="F71" s="431" t="s">
        <v>109</v>
      </c>
      <c r="G71" s="431" t="s">
        <v>110</v>
      </c>
      <c r="H71" s="51">
        <v>10</v>
      </c>
    </row>
    <row r="72" spans="1:8" ht="15.75" thickBot="1" x14ac:dyDescent="0.3">
      <c r="A72" s="423">
        <v>67</v>
      </c>
      <c r="B72" s="47" t="s">
        <v>813</v>
      </c>
      <c r="C72" s="344" t="s">
        <v>814</v>
      </c>
      <c r="D72" s="426" t="s">
        <v>1074</v>
      </c>
      <c r="E72" s="430">
        <v>57</v>
      </c>
      <c r="F72" s="431" t="s">
        <v>109</v>
      </c>
      <c r="G72" s="431" t="s">
        <v>1075</v>
      </c>
      <c r="H72" s="51">
        <v>47</v>
      </c>
    </row>
    <row r="73" spans="1:8" ht="15.75" thickBot="1" x14ac:dyDescent="0.3">
      <c r="A73" s="429">
        <v>68</v>
      </c>
      <c r="B73" s="350" t="s">
        <v>100</v>
      </c>
      <c r="C73" s="351" t="s">
        <v>815</v>
      </c>
      <c r="D73" s="426" t="s">
        <v>102</v>
      </c>
      <c r="E73" s="432">
        <v>12</v>
      </c>
      <c r="F73" s="433" t="s">
        <v>103</v>
      </c>
      <c r="G73" s="433" t="s">
        <v>104</v>
      </c>
      <c r="H73" s="354">
        <v>8.15</v>
      </c>
    </row>
    <row r="74" spans="1:8" ht="15.75" thickBot="1" x14ac:dyDescent="0.3">
      <c r="A74" s="429">
        <v>69</v>
      </c>
      <c r="B74" s="47" t="s">
        <v>816</v>
      </c>
      <c r="C74" s="344" t="s">
        <v>817</v>
      </c>
      <c r="D74" s="426" t="s">
        <v>1076</v>
      </c>
      <c r="E74" s="430">
        <v>7</v>
      </c>
      <c r="F74" s="431" t="s">
        <v>109</v>
      </c>
      <c r="G74" s="431" t="s">
        <v>216</v>
      </c>
      <c r="H74" s="51">
        <v>7</v>
      </c>
    </row>
    <row r="75" spans="1:8" ht="15.75" thickBot="1" x14ac:dyDescent="0.3">
      <c r="A75" s="423">
        <v>70</v>
      </c>
      <c r="B75" s="47" t="s">
        <v>818</v>
      </c>
      <c r="C75" s="344" t="s">
        <v>819</v>
      </c>
      <c r="D75" s="426" t="s">
        <v>1077</v>
      </c>
      <c r="E75" s="430">
        <v>1</v>
      </c>
      <c r="F75" s="431" t="s">
        <v>109</v>
      </c>
      <c r="G75" s="431" t="s">
        <v>995</v>
      </c>
      <c r="H75" s="51">
        <v>1</v>
      </c>
    </row>
    <row r="76" spans="1:8" ht="15.75" thickBot="1" x14ac:dyDescent="0.3">
      <c r="A76" s="429">
        <v>71</v>
      </c>
      <c r="B76" s="47" t="s">
        <v>822</v>
      </c>
      <c r="C76" s="344" t="s">
        <v>823</v>
      </c>
      <c r="D76" s="426" t="s">
        <v>1078</v>
      </c>
      <c r="E76" s="430">
        <v>7</v>
      </c>
      <c r="F76" s="431" t="s">
        <v>109</v>
      </c>
      <c r="G76" s="431" t="s">
        <v>216</v>
      </c>
      <c r="H76" s="51">
        <v>7</v>
      </c>
    </row>
    <row r="77" spans="1:8" ht="15.75" thickBot="1" x14ac:dyDescent="0.3">
      <c r="A77" s="429">
        <v>72</v>
      </c>
      <c r="B77" s="47" t="s">
        <v>824</v>
      </c>
      <c r="C77" s="344" t="s">
        <v>825</v>
      </c>
      <c r="D77" s="426" t="s">
        <v>1079</v>
      </c>
      <c r="E77" s="430">
        <v>4</v>
      </c>
      <c r="F77" s="431" t="s">
        <v>109</v>
      </c>
      <c r="G77" s="431" t="s">
        <v>239</v>
      </c>
      <c r="H77" s="51">
        <v>4</v>
      </c>
    </row>
    <row r="78" spans="1:8" ht="15.75" thickBot="1" x14ac:dyDescent="0.3">
      <c r="A78" s="423">
        <v>73</v>
      </c>
      <c r="B78" s="47" t="s">
        <v>828</v>
      </c>
      <c r="C78" s="344" t="s">
        <v>829</v>
      </c>
      <c r="D78" s="426" t="s">
        <v>1080</v>
      </c>
      <c r="E78" s="430">
        <v>70</v>
      </c>
      <c r="F78" s="431" t="s">
        <v>109</v>
      </c>
      <c r="G78" s="431" t="s">
        <v>1081</v>
      </c>
      <c r="H78" s="51">
        <v>22.3</v>
      </c>
    </row>
    <row r="79" spans="1:8" ht="15.75" thickBot="1" x14ac:dyDescent="0.3">
      <c r="A79" s="429">
        <v>74</v>
      </c>
      <c r="B79" s="47" t="s">
        <v>830</v>
      </c>
      <c r="C79" s="344" t="s">
        <v>831</v>
      </c>
      <c r="D79" s="426" t="s">
        <v>1082</v>
      </c>
      <c r="E79" s="430">
        <v>22</v>
      </c>
      <c r="F79" s="431" t="s">
        <v>109</v>
      </c>
      <c r="G79" s="431" t="s">
        <v>110</v>
      </c>
      <c r="H79" s="51">
        <v>10</v>
      </c>
    </row>
    <row r="80" spans="1:8" ht="15.75" thickBot="1" x14ac:dyDescent="0.3">
      <c r="A80" s="429">
        <v>75</v>
      </c>
      <c r="B80" s="47" t="s">
        <v>832</v>
      </c>
      <c r="C80" s="344" t="s">
        <v>833</v>
      </c>
      <c r="D80" s="426" t="s">
        <v>1083</v>
      </c>
      <c r="E80" s="430">
        <v>24</v>
      </c>
      <c r="F80" s="431" t="s">
        <v>109</v>
      </c>
      <c r="G80" s="431" t="s">
        <v>1084</v>
      </c>
      <c r="H80" s="51">
        <v>1.35</v>
      </c>
    </row>
    <row r="81" spans="1:8" ht="15.75" thickBot="1" x14ac:dyDescent="0.3">
      <c r="A81" s="423">
        <v>76</v>
      </c>
      <c r="B81" s="47" t="s">
        <v>838</v>
      </c>
      <c r="C81" s="344" t="s">
        <v>839</v>
      </c>
      <c r="D81" s="426" t="s">
        <v>1085</v>
      </c>
      <c r="E81" s="430">
        <v>32</v>
      </c>
      <c r="F81" s="431" t="s">
        <v>109</v>
      </c>
      <c r="G81" s="431" t="s">
        <v>1050</v>
      </c>
      <c r="H81" s="51">
        <v>15</v>
      </c>
    </row>
    <row r="82" spans="1:8" ht="15.75" thickBot="1" x14ac:dyDescent="0.3">
      <c r="A82" s="429">
        <v>77</v>
      </c>
      <c r="B82" s="47" t="s">
        <v>840</v>
      </c>
      <c r="C82" s="344" t="s">
        <v>841</v>
      </c>
      <c r="D82" s="426" t="s">
        <v>1086</v>
      </c>
      <c r="E82" s="430">
        <v>20.350000000000001</v>
      </c>
      <c r="F82" s="431" t="s">
        <v>109</v>
      </c>
      <c r="G82" s="431" t="s">
        <v>1087</v>
      </c>
      <c r="H82" s="51">
        <v>0.93899999999999995</v>
      </c>
    </row>
    <row r="83" spans="1:8" ht="30.75" thickBot="1" x14ac:dyDescent="0.3">
      <c r="A83" s="429">
        <v>78</v>
      </c>
      <c r="B83" s="68" t="s">
        <v>237</v>
      </c>
      <c r="C83" s="365" t="s">
        <v>844</v>
      </c>
      <c r="D83" s="636" t="s">
        <v>1088</v>
      </c>
      <c r="E83" s="124">
        <v>48.48</v>
      </c>
      <c r="F83" s="435" t="s">
        <v>1089</v>
      </c>
      <c r="G83" s="435" t="s">
        <v>1090</v>
      </c>
      <c r="H83" s="146">
        <v>48.48</v>
      </c>
    </row>
    <row r="84" spans="1:8" ht="15.75" thickBot="1" x14ac:dyDescent="0.3">
      <c r="A84" s="423">
        <v>79</v>
      </c>
      <c r="B84" s="47" t="s">
        <v>221</v>
      </c>
      <c r="C84" s="344" t="s">
        <v>845</v>
      </c>
      <c r="D84" s="426" t="s">
        <v>1091</v>
      </c>
      <c r="E84" s="430">
        <v>15</v>
      </c>
      <c r="F84" s="431" t="s">
        <v>109</v>
      </c>
      <c r="G84" s="431" t="s">
        <v>444</v>
      </c>
      <c r="H84" s="51">
        <v>6</v>
      </c>
    </row>
    <row r="85" spans="1:8" ht="15.75" thickBot="1" x14ac:dyDescent="0.3">
      <c r="A85" s="429">
        <v>80</v>
      </c>
      <c r="B85" s="350" t="s">
        <v>207</v>
      </c>
      <c r="C85" s="351" t="s">
        <v>846</v>
      </c>
      <c r="D85" s="437" t="s">
        <v>208</v>
      </c>
      <c r="E85" s="432">
        <v>22.3</v>
      </c>
      <c r="F85" s="433" t="s">
        <v>109</v>
      </c>
      <c r="G85" s="433" t="s">
        <v>1081</v>
      </c>
      <c r="H85" s="354">
        <v>22.3</v>
      </c>
    </row>
    <row r="86" spans="1:8" ht="15.75" thickBot="1" x14ac:dyDescent="0.3">
      <c r="A86" s="429">
        <v>81</v>
      </c>
      <c r="B86" s="350" t="s">
        <v>203</v>
      </c>
      <c r="C86" s="351" t="s">
        <v>848</v>
      </c>
      <c r="D86" s="437" t="s">
        <v>206</v>
      </c>
      <c r="E86" s="432">
        <v>9.125</v>
      </c>
      <c r="F86" s="433" t="s">
        <v>109</v>
      </c>
      <c r="G86" s="433" t="s">
        <v>218</v>
      </c>
      <c r="H86" s="357">
        <v>9.125</v>
      </c>
    </row>
    <row r="87" spans="1:8" ht="15.75" thickBot="1" x14ac:dyDescent="0.3">
      <c r="A87" s="423">
        <v>82</v>
      </c>
      <c r="B87" s="47" t="s">
        <v>849</v>
      </c>
      <c r="C87" s="344" t="s">
        <v>850</v>
      </c>
      <c r="D87" s="426" t="s">
        <v>1092</v>
      </c>
      <c r="E87" s="430">
        <v>9</v>
      </c>
      <c r="F87" s="431" t="s">
        <v>109</v>
      </c>
      <c r="G87" s="431" t="s">
        <v>1093</v>
      </c>
      <c r="H87" s="51">
        <v>9</v>
      </c>
    </row>
    <row r="88" spans="1:8" ht="15.75" thickBot="1" x14ac:dyDescent="0.3">
      <c r="A88" s="429">
        <v>83</v>
      </c>
      <c r="B88" s="47" t="s">
        <v>851</v>
      </c>
      <c r="C88" s="344" t="s">
        <v>852</v>
      </c>
      <c r="D88" s="426" t="s">
        <v>1094</v>
      </c>
      <c r="E88" s="430">
        <v>4</v>
      </c>
      <c r="F88" s="431" t="s">
        <v>109</v>
      </c>
      <c r="G88" s="431" t="s">
        <v>239</v>
      </c>
      <c r="H88" s="51">
        <v>4</v>
      </c>
    </row>
    <row r="89" spans="1:8" ht="15.75" thickBot="1" x14ac:dyDescent="0.3">
      <c r="A89" s="429">
        <v>84</v>
      </c>
      <c r="B89" s="350" t="s">
        <v>106</v>
      </c>
      <c r="C89" s="351" t="s">
        <v>854</v>
      </c>
      <c r="D89" s="437" t="s">
        <v>108</v>
      </c>
      <c r="E89" s="432">
        <v>55</v>
      </c>
      <c r="F89" s="433" t="s">
        <v>109</v>
      </c>
      <c r="G89" s="433" t="s">
        <v>115</v>
      </c>
      <c r="H89" s="354">
        <v>55</v>
      </c>
    </row>
    <row r="90" spans="1:8" ht="15.75" thickBot="1" x14ac:dyDescent="0.3">
      <c r="A90" s="423">
        <v>85</v>
      </c>
      <c r="B90" s="47" t="s">
        <v>860</v>
      </c>
      <c r="C90" s="344" t="s">
        <v>861</v>
      </c>
      <c r="D90" s="426" t="s">
        <v>1095</v>
      </c>
      <c r="E90" s="430">
        <v>3.6</v>
      </c>
      <c r="F90" s="431" t="s">
        <v>109</v>
      </c>
      <c r="G90" s="431" t="s">
        <v>1096</v>
      </c>
      <c r="H90" s="51">
        <v>3.6</v>
      </c>
    </row>
    <row r="91" spans="1:8" ht="15.75" thickBot="1" x14ac:dyDescent="0.3">
      <c r="A91" s="429">
        <v>86</v>
      </c>
      <c r="B91" s="47" t="s">
        <v>863</v>
      </c>
      <c r="C91" s="344" t="s">
        <v>864</v>
      </c>
      <c r="D91" s="426" t="s">
        <v>1097</v>
      </c>
      <c r="E91" s="430">
        <v>7</v>
      </c>
      <c r="F91" s="431" t="s">
        <v>109</v>
      </c>
      <c r="G91" s="431" t="s">
        <v>216</v>
      </c>
      <c r="H91" s="51">
        <v>7</v>
      </c>
    </row>
    <row r="92" spans="1:8" ht="15.75" thickBot="1" x14ac:dyDescent="0.3">
      <c r="A92" s="429">
        <v>87</v>
      </c>
      <c r="B92" s="47" t="s">
        <v>871</v>
      </c>
      <c r="C92" s="344" t="s">
        <v>872</v>
      </c>
      <c r="D92" s="426" t="s">
        <v>1098</v>
      </c>
      <c r="E92" s="430">
        <v>1.3</v>
      </c>
      <c r="F92" s="431" t="s">
        <v>109</v>
      </c>
      <c r="G92" s="431" t="s">
        <v>1099</v>
      </c>
      <c r="H92" s="51">
        <v>1.3</v>
      </c>
    </row>
    <row r="93" spans="1:8" ht="15.75" thickBot="1" x14ac:dyDescent="0.3">
      <c r="A93" s="423">
        <v>88</v>
      </c>
      <c r="B93" s="47" t="s">
        <v>875</v>
      </c>
      <c r="C93" s="344" t="s">
        <v>876</v>
      </c>
      <c r="D93" s="426" t="s">
        <v>1100</v>
      </c>
      <c r="E93" s="430">
        <v>19</v>
      </c>
      <c r="F93" s="431" t="s">
        <v>109</v>
      </c>
      <c r="G93" s="431" t="s">
        <v>1101</v>
      </c>
      <c r="H93" s="51">
        <v>19</v>
      </c>
    </row>
    <row r="94" spans="1:8" ht="30.75" thickBot="1" x14ac:dyDescent="0.3">
      <c r="A94" s="429">
        <v>89</v>
      </c>
      <c r="B94" s="47" t="s">
        <v>887</v>
      </c>
      <c r="C94" s="344" t="s">
        <v>888</v>
      </c>
      <c r="D94" s="426" t="s">
        <v>1102</v>
      </c>
      <c r="E94" s="430">
        <v>1</v>
      </c>
      <c r="F94" s="431" t="s">
        <v>109</v>
      </c>
      <c r="G94" s="431" t="s">
        <v>995</v>
      </c>
      <c r="H94" s="51">
        <v>1</v>
      </c>
    </row>
    <row r="95" spans="1:8" ht="15.75" thickBot="1" x14ac:dyDescent="0.3">
      <c r="A95" s="429">
        <v>90</v>
      </c>
      <c r="B95" s="47" t="s">
        <v>891</v>
      </c>
      <c r="C95" s="344" t="s">
        <v>892</v>
      </c>
      <c r="D95" s="426" t="s">
        <v>1103</v>
      </c>
      <c r="E95" s="430">
        <v>11</v>
      </c>
      <c r="F95" s="431" t="s">
        <v>109</v>
      </c>
      <c r="G95" s="431" t="s">
        <v>1058</v>
      </c>
      <c r="H95" s="51">
        <v>11</v>
      </c>
    </row>
    <row r="96" spans="1:8" ht="15.75" thickBot="1" x14ac:dyDescent="0.3">
      <c r="A96" s="423">
        <v>91</v>
      </c>
      <c r="B96" s="47" t="s">
        <v>905</v>
      </c>
      <c r="C96" s="344" t="s">
        <v>906</v>
      </c>
      <c r="D96" s="426" t="s">
        <v>1104</v>
      </c>
      <c r="E96" s="430">
        <v>3</v>
      </c>
      <c r="F96" s="431" t="s">
        <v>109</v>
      </c>
      <c r="G96" s="431" t="s">
        <v>1005</v>
      </c>
      <c r="H96" s="51">
        <v>3</v>
      </c>
    </row>
    <row r="97" spans="1:9" ht="30.75" thickBot="1" x14ac:dyDescent="0.3">
      <c r="A97" s="429">
        <v>92</v>
      </c>
      <c r="B97" s="47" t="s">
        <v>909</v>
      </c>
      <c r="C97" s="344" t="s">
        <v>910</v>
      </c>
      <c r="D97" s="426" t="s">
        <v>1105</v>
      </c>
      <c r="E97" s="430">
        <v>27.5</v>
      </c>
      <c r="F97" s="431" t="s">
        <v>109</v>
      </c>
      <c r="G97" s="431" t="s">
        <v>1106</v>
      </c>
      <c r="H97" s="51">
        <v>27.5</v>
      </c>
    </row>
    <row r="98" spans="1:9" ht="15.75" thickBot="1" x14ac:dyDescent="0.3">
      <c r="A98" s="429">
        <v>93</v>
      </c>
      <c r="B98" s="47" t="s">
        <v>911</v>
      </c>
      <c r="C98" s="344" t="s">
        <v>912</v>
      </c>
      <c r="D98" s="426" t="s">
        <v>1107</v>
      </c>
      <c r="E98" s="430">
        <v>4</v>
      </c>
      <c r="F98" s="431" t="s">
        <v>109</v>
      </c>
      <c r="G98" s="431" t="s">
        <v>239</v>
      </c>
      <c r="H98" s="51">
        <v>4</v>
      </c>
    </row>
    <row r="99" spans="1:9" ht="15.75" thickBot="1" x14ac:dyDescent="0.3">
      <c r="A99" s="423">
        <v>94</v>
      </c>
      <c r="B99" s="47" t="s">
        <v>913</v>
      </c>
      <c r="C99" s="344" t="s">
        <v>914</v>
      </c>
      <c r="D99" s="426" t="s">
        <v>1108</v>
      </c>
      <c r="E99" s="430">
        <v>21</v>
      </c>
      <c r="F99" s="431" t="s">
        <v>995</v>
      </c>
      <c r="G99" s="431" t="s">
        <v>1109</v>
      </c>
      <c r="H99" s="51">
        <v>1.611</v>
      </c>
    </row>
    <row r="100" spans="1:9" ht="15.75" thickBot="1" x14ac:dyDescent="0.3">
      <c r="A100" s="429">
        <v>95</v>
      </c>
      <c r="B100" s="47" t="s">
        <v>917</v>
      </c>
      <c r="C100" s="344" t="s">
        <v>918</v>
      </c>
      <c r="D100" s="426" t="s">
        <v>1110</v>
      </c>
      <c r="E100" s="430">
        <v>87</v>
      </c>
      <c r="F100" s="431" t="s">
        <v>109</v>
      </c>
      <c r="G100" s="431" t="s">
        <v>113</v>
      </c>
      <c r="H100" s="51">
        <v>30</v>
      </c>
    </row>
    <row r="101" spans="1:9" ht="15.75" thickBot="1" x14ac:dyDescent="0.3">
      <c r="A101" s="429">
        <v>96</v>
      </c>
      <c r="B101" s="47" t="s">
        <v>921</v>
      </c>
      <c r="C101" s="344" t="s">
        <v>922</v>
      </c>
      <c r="D101" s="426" t="s">
        <v>1111</v>
      </c>
      <c r="E101" s="430">
        <v>43</v>
      </c>
      <c r="F101" s="431" t="s">
        <v>109</v>
      </c>
      <c r="G101" s="431" t="s">
        <v>110</v>
      </c>
      <c r="H101" s="51">
        <v>10</v>
      </c>
    </row>
    <row r="102" spans="1:9" ht="15.75" thickBot="1" x14ac:dyDescent="0.3">
      <c r="A102" s="423">
        <v>97</v>
      </c>
      <c r="B102" s="47" t="s">
        <v>923</v>
      </c>
      <c r="C102" s="344" t="s">
        <v>924</v>
      </c>
      <c r="D102" s="426" t="s">
        <v>1112</v>
      </c>
      <c r="E102" s="430">
        <v>2.5</v>
      </c>
      <c r="F102" s="431" t="s">
        <v>109</v>
      </c>
      <c r="G102" s="431" t="s">
        <v>1025</v>
      </c>
      <c r="H102" s="51">
        <v>2.5</v>
      </c>
    </row>
    <row r="103" spans="1:9" ht="15.75" thickBot="1" x14ac:dyDescent="0.3">
      <c r="A103" s="429">
        <v>98</v>
      </c>
      <c r="B103" s="350" t="s">
        <v>142</v>
      </c>
      <c r="C103" s="351" t="s">
        <v>925</v>
      </c>
      <c r="D103" s="426" t="s">
        <v>144</v>
      </c>
      <c r="E103" s="432">
        <v>8</v>
      </c>
      <c r="F103" s="433" t="s">
        <v>109</v>
      </c>
      <c r="G103" s="433" t="s">
        <v>212</v>
      </c>
      <c r="H103" s="354">
        <v>8</v>
      </c>
    </row>
    <row r="104" spans="1:9" ht="15.75" thickBot="1" x14ac:dyDescent="0.3">
      <c r="A104" s="429">
        <v>99</v>
      </c>
      <c r="B104" s="350" t="s">
        <v>186</v>
      </c>
      <c r="C104" s="351" t="s">
        <v>926</v>
      </c>
      <c r="D104" s="426" t="s">
        <v>188</v>
      </c>
      <c r="E104" s="432">
        <v>10</v>
      </c>
      <c r="F104" s="433" t="s">
        <v>109</v>
      </c>
      <c r="G104" s="433" t="s">
        <v>110</v>
      </c>
      <c r="H104" s="354">
        <v>10</v>
      </c>
    </row>
    <row r="105" spans="1:9" ht="30.75" thickBot="1" x14ac:dyDescent="0.3">
      <c r="A105" s="423">
        <v>100</v>
      </c>
      <c r="B105" s="47" t="s">
        <v>929</v>
      </c>
      <c r="C105" s="344" t="s">
        <v>930</v>
      </c>
      <c r="D105" s="426" t="s">
        <v>1113</v>
      </c>
      <c r="E105" s="430">
        <v>51</v>
      </c>
      <c r="F105" s="431" t="s">
        <v>109</v>
      </c>
      <c r="G105" s="431" t="s">
        <v>1114</v>
      </c>
      <c r="H105" s="51">
        <v>1.6999999999999993</v>
      </c>
    </row>
    <row r="106" spans="1:9" ht="15.75" thickBot="1" x14ac:dyDescent="0.3">
      <c r="A106" s="429">
        <v>101</v>
      </c>
      <c r="B106" s="47" t="s">
        <v>933</v>
      </c>
      <c r="C106" s="344" t="s">
        <v>934</v>
      </c>
      <c r="D106" s="426" t="s">
        <v>1115</v>
      </c>
      <c r="E106" s="430">
        <v>1.0900000000000001</v>
      </c>
      <c r="F106" s="431" t="s">
        <v>109</v>
      </c>
      <c r="G106" s="431" t="s">
        <v>1116</v>
      </c>
      <c r="H106" s="51">
        <v>1.0900000000000001</v>
      </c>
    </row>
    <row r="107" spans="1:9" ht="15.75" thickBot="1" x14ac:dyDescent="0.3">
      <c r="A107" s="429">
        <v>102</v>
      </c>
      <c r="B107" s="47" t="s">
        <v>935</v>
      </c>
      <c r="C107" s="344" t="s">
        <v>936</v>
      </c>
      <c r="D107" s="426" t="s">
        <v>1117</v>
      </c>
      <c r="E107" s="430">
        <v>5.9569999999999999</v>
      </c>
      <c r="F107" s="431" t="s">
        <v>109</v>
      </c>
      <c r="G107" s="431" t="s">
        <v>1118</v>
      </c>
      <c r="H107" s="51">
        <v>5.96</v>
      </c>
    </row>
    <row r="108" spans="1:9" ht="15.75" thickBot="1" x14ac:dyDescent="0.3">
      <c r="A108" s="423">
        <v>103</v>
      </c>
      <c r="B108" s="47" t="s">
        <v>937</v>
      </c>
      <c r="C108" s="344" t="s">
        <v>938</v>
      </c>
      <c r="D108" s="426" t="s">
        <v>1119</v>
      </c>
      <c r="E108" s="430">
        <v>11</v>
      </c>
      <c r="F108" s="431" t="s">
        <v>109</v>
      </c>
      <c r="G108" s="431" t="s">
        <v>1058</v>
      </c>
      <c r="H108" s="51">
        <v>11</v>
      </c>
    </row>
    <row r="109" spans="1:9" ht="15.75" thickBot="1" x14ac:dyDescent="0.3">
      <c r="A109" s="429">
        <v>104</v>
      </c>
      <c r="B109" s="47" t="s">
        <v>941</v>
      </c>
      <c r="C109" s="344" t="s">
        <v>942</v>
      </c>
      <c r="D109" s="426" t="s">
        <v>1120</v>
      </c>
      <c r="E109" s="430">
        <v>58</v>
      </c>
      <c r="F109" s="431" t="s">
        <v>109</v>
      </c>
      <c r="G109" s="431" t="s">
        <v>1210</v>
      </c>
      <c r="H109" s="51">
        <v>55.86</v>
      </c>
      <c r="I109" s="596"/>
    </row>
    <row r="110" spans="1:9" ht="45.75" thickBot="1" x14ac:dyDescent="0.3">
      <c r="A110" s="429">
        <v>105</v>
      </c>
      <c r="B110" s="47" t="s">
        <v>945</v>
      </c>
      <c r="C110" s="379" t="s">
        <v>946</v>
      </c>
      <c r="D110" s="426" t="s">
        <v>1121</v>
      </c>
      <c r="E110" s="430">
        <v>3.26</v>
      </c>
      <c r="F110" s="431" t="s">
        <v>109</v>
      </c>
      <c r="G110" s="431" t="s">
        <v>1122</v>
      </c>
      <c r="H110" s="51">
        <v>3.26</v>
      </c>
    </row>
    <row r="111" spans="1:9" ht="30.75" thickBot="1" x14ac:dyDescent="0.3">
      <c r="A111" s="423">
        <v>106</v>
      </c>
      <c r="B111" s="47" t="s">
        <v>949</v>
      </c>
      <c r="C111" s="379" t="s">
        <v>950</v>
      </c>
      <c r="D111" s="426" t="s">
        <v>1123</v>
      </c>
      <c r="E111" s="430">
        <v>0.624</v>
      </c>
      <c r="F111" s="431" t="s">
        <v>109</v>
      </c>
      <c r="G111" s="431" t="s">
        <v>1124</v>
      </c>
      <c r="H111" s="51">
        <v>0.624</v>
      </c>
    </row>
    <row r="112" spans="1:9" ht="15.75" thickBot="1" x14ac:dyDescent="0.3">
      <c r="A112" s="429">
        <v>107</v>
      </c>
      <c r="B112" s="47" t="s">
        <v>951</v>
      </c>
      <c r="C112" s="379" t="s">
        <v>952</v>
      </c>
      <c r="D112" s="426" t="s">
        <v>1125</v>
      </c>
      <c r="E112" s="430">
        <v>1.5</v>
      </c>
      <c r="F112" s="431" t="s">
        <v>109</v>
      </c>
      <c r="G112" s="431" t="s">
        <v>1031</v>
      </c>
      <c r="H112" s="51">
        <v>1.5</v>
      </c>
    </row>
    <row r="113" spans="1:8" ht="15.75" thickBot="1" x14ac:dyDescent="0.3">
      <c r="A113" s="429">
        <v>108</v>
      </c>
      <c r="B113" s="47" t="s">
        <v>953</v>
      </c>
      <c r="C113" s="379" t="s">
        <v>954</v>
      </c>
      <c r="D113" s="426" t="s">
        <v>1126</v>
      </c>
      <c r="E113" s="430">
        <v>52</v>
      </c>
      <c r="F113" s="431" t="s">
        <v>109</v>
      </c>
      <c r="G113" s="431" t="s">
        <v>1127</v>
      </c>
      <c r="H113" s="51">
        <v>8.0850000000000009</v>
      </c>
    </row>
    <row r="114" spans="1:8" ht="15.75" thickBot="1" x14ac:dyDescent="0.3">
      <c r="A114" s="423">
        <v>109</v>
      </c>
      <c r="B114" s="350" t="s">
        <v>955</v>
      </c>
      <c r="C114" s="380" t="s">
        <v>956</v>
      </c>
      <c r="D114" s="437" t="s">
        <v>223</v>
      </c>
      <c r="E114" s="432">
        <v>7.62</v>
      </c>
      <c r="F114" s="433" t="s">
        <v>109</v>
      </c>
      <c r="G114" s="433" t="s">
        <v>1128</v>
      </c>
      <c r="H114" s="354">
        <v>7.62</v>
      </c>
    </row>
    <row r="115" spans="1:8" ht="15.75" thickBot="1" x14ac:dyDescent="0.3">
      <c r="A115" s="429">
        <v>110</v>
      </c>
      <c r="B115" s="47" t="s">
        <v>201</v>
      </c>
      <c r="C115" s="379" t="s">
        <v>957</v>
      </c>
      <c r="D115" s="426" t="s">
        <v>204</v>
      </c>
      <c r="E115" s="430">
        <v>2.8540000000000001</v>
      </c>
      <c r="F115" s="431" t="s">
        <v>109</v>
      </c>
      <c r="G115" s="431" t="s">
        <v>245</v>
      </c>
      <c r="H115" s="357">
        <v>2.8540000000000001</v>
      </c>
    </row>
    <row r="116" spans="1:8" ht="15.75" thickBot="1" x14ac:dyDescent="0.3">
      <c r="A116" s="429">
        <v>111</v>
      </c>
      <c r="B116" s="47" t="s">
        <v>958</v>
      </c>
      <c r="C116" s="379" t="s">
        <v>959</v>
      </c>
      <c r="D116" s="426" t="s">
        <v>1129</v>
      </c>
      <c r="E116" s="430">
        <v>3</v>
      </c>
      <c r="F116" s="431" t="s">
        <v>109</v>
      </c>
      <c r="G116" s="431" t="s">
        <v>1005</v>
      </c>
      <c r="H116" s="51">
        <v>3</v>
      </c>
    </row>
    <row r="117" spans="1:8" ht="15.75" thickBot="1" x14ac:dyDescent="0.3">
      <c r="A117" s="423">
        <v>112</v>
      </c>
      <c r="B117" s="47" t="s">
        <v>960</v>
      </c>
      <c r="C117" s="379" t="s">
        <v>961</v>
      </c>
      <c r="D117" s="426" t="s">
        <v>1130</v>
      </c>
      <c r="E117" s="430">
        <v>3</v>
      </c>
      <c r="F117" s="431" t="s">
        <v>109</v>
      </c>
      <c r="G117" s="431" t="s">
        <v>1005</v>
      </c>
      <c r="H117" s="51">
        <v>3</v>
      </c>
    </row>
    <row r="118" spans="1:8" ht="15.75" thickBot="1" x14ac:dyDescent="0.3">
      <c r="A118" s="429">
        <v>113</v>
      </c>
      <c r="B118" s="47" t="s">
        <v>202</v>
      </c>
      <c r="C118" s="379" t="s">
        <v>962</v>
      </c>
      <c r="D118" s="426" t="s">
        <v>205</v>
      </c>
      <c r="E118" s="430">
        <v>14</v>
      </c>
      <c r="F118" s="431" t="s">
        <v>109</v>
      </c>
      <c r="G118" s="431" t="s">
        <v>136</v>
      </c>
      <c r="H118" s="354">
        <v>14</v>
      </c>
    </row>
    <row r="119" spans="1:8" ht="15.75" thickBot="1" x14ac:dyDescent="0.3">
      <c r="A119" s="429">
        <v>114</v>
      </c>
      <c r="B119" s="47" t="s">
        <v>963</v>
      </c>
      <c r="C119" s="379" t="s">
        <v>964</v>
      </c>
      <c r="D119" s="426" t="s">
        <v>1131</v>
      </c>
      <c r="E119" s="430">
        <v>9.3699999999999992</v>
      </c>
      <c r="F119" s="431" t="s">
        <v>109</v>
      </c>
      <c r="G119" s="431" t="s">
        <v>1132</v>
      </c>
      <c r="H119" s="51">
        <v>9.3699999999999992</v>
      </c>
    </row>
    <row r="120" spans="1:8" ht="15.75" thickBot="1" x14ac:dyDescent="0.3">
      <c r="A120" s="423">
        <v>115</v>
      </c>
      <c r="B120" s="47" t="s">
        <v>965</v>
      </c>
      <c r="C120" s="379" t="s">
        <v>966</v>
      </c>
      <c r="D120" s="426" t="s">
        <v>1133</v>
      </c>
      <c r="E120" s="430">
        <v>8.4</v>
      </c>
      <c r="F120" s="431" t="s">
        <v>1134</v>
      </c>
      <c r="G120" s="431" t="s">
        <v>1135</v>
      </c>
      <c r="H120" s="438">
        <v>0.6</v>
      </c>
    </row>
    <row r="121" spans="1:8" ht="16.5" thickBot="1" x14ac:dyDescent="0.3">
      <c r="A121" s="1021" t="s">
        <v>51</v>
      </c>
      <c r="B121" s="1022"/>
      <c r="C121" s="1022"/>
      <c r="D121" s="1022"/>
      <c r="E121" s="439">
        <f>SUM(E6:E120)</f>
        <v>6156.0570000000016</v>
      </c>
      <c r="F121" s="440" t="s">
        <v>89</v>
      </c>
      <c r="G121" s="440" t="s">
        <v>89</v>
      </c>
      <c r="H121" s="598">
        <f>SUM(H6:H120)</f>
        <v>3089.9789999999998</v>
      </c>
    </row>
  </sheetData>
  <mergeCells count="10">
    <mergeCell ref="A121:D121"/>
    <mergeCell ref="F2:H2"/>
    <mergeCell ref="E2:E4"/>
    <mergeCell ref="H3:H4"/>
    <mergeCell ref="A1:H1"/>
    <mergeCell ref="A2:A4"/>
    <mergeCell ref="B2:B4"/>
    <mergeCell ref="C2:C4"/>
    <mergeCell ref="D2:D4"/>
    <mergeCell ref="F3:G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19" sqref="C19"/>
    </sheetView>
  </sheetViews>
  <sheetFormatPr defaultColWidth="8.85546875" defaultRowHeight="12.75" x14ac:dyDescent="0.2"/>
  <cols>
    <col min="2" max="2" width="12.140625" customWidth="1"/>
    <col min="3" max="4" width="27.42578125" customWidth="1"/>
    <col min="5" max="5" width="13.7109375" customWidth="1"/>
    <col min="6" max="6" width="13.85546875" customWidth="1"/>
    <col min="7" max="7" width="24.42578125" customWidth="1"/>
  </cols>
  <sheetData>
    <row r="1" spans="1:7" ht="33" customHeight="1" thickBot="1" x14ac:dyDescent="0.3">
      <c r="A1" s="1031" t="s">
        <v>85</v>
      </c>
      <c r="B1" s="1031"/>
      <c r="C1" s="1031"/>
      <c r="D1" s="1031"/>
      <c r="E1" s="1031"/>
      <c r="F1" s="1031"/>
      <c r="G1" s="1031"/>
    </row>
    <row r="2" spans="1:7" ht="16.5" customHeight="1" x14ac:dyDescent="0.2">
      <c r="A2" s="1045" t="s">
        <v>78</v>
      </c>
      <c r="B2" s="1035" t="s">
        <v>25</v>
      </c>
      <c r="C2" s="1038" t="s">
        <v>82</v>
      </c>
      <c r="D2" s="1048" t="s">
        <v>83</v>
      </c>
      <c r="E2" s="1051" t="s">
        <v>84</v>
      </c>
      <c r="F2" s="1052"/>
      <c r="G2" s="1053"/>
    </row>
    <row r="3" spans="1:7" ht="16.5" customHeight="1" x14ac:dyDescent="0.2">
      <c r="A3" s="1046"/>
      <c r="B3" s="1036"/>
      <c r="C3" s="1039"/>
      <c r="D3" s="1049"/>
      <c r="E3" s="1054" t="s">
        <v>28</v>
      </c>
      <c r="F3" s="1054"/>
      <c r="G3" s="1055" t="s">
        <v>77</v>
      </c>
    </row>
    <row r="4" spans="1:7" ht="29.25" thickBot="1" x14ac:dyDescent="0.25">
      <c r="A4" s="1047"/>
      <c r="B4" s="1037"/>
      <c r="C4" s="1040"/>
      <c r="D4" s="1050"/>
      <c r="E4" s="44" t="s">
        <v>33</v>
      </c>
      <c r="F4" s="44" t="s">
        <v>34</v>
      </c>
      <c r="G4" s="1056"/>
    </row>
    <row r="5" spans="1:7" ht="13.5" thickBot="1" x14ac:dyDescent="0.25">
      <c r="A5" s="35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6">
        <v>7</v>
      </c>
    </row>
    <row r="6" spans="1:7" ht="14.25" x14ac:dyDescent="0.2">
      <c r="A6" s="1060" t="s">
        <v>60</v>
      </c>
      <c r="B6" s="1052"/>
      <c r="C6" s="1052"/>
      <c r="D6" s="1052"/>
      <c r="E6" s="1052"/>
      <c r="F6" s="1052"/>
      <c r="G6" s="1053"/>
    </row>
    <row r="7" spans="1:7" ht="15" x14ac:dyDescent="0.25">
      <c r="A7" s="39"/>
      <c r="B7" s="40"/>
      <c r="C7" s="40"/>
      <c r="D7" s="40"/>
      <c r="E7" s="40"/>
      <c r="F7" s="40"/>
      <c r="G7" s="41"/>
    </row>
    <row r="8" spans="1:7" ht="15" x14ac:dyDescent="0.25">
      <c r="A8" s="39"/>
      <c r="B8" s="40"/>
      <c r="C8" s="40"/>
      <c r="D8" s="40"/>
      <c r="E8" s="40"/>
      <c r="F8" s="40"/>
      <c r="G8" s="41"/>
    </row>
    <row r="9" spans="1:7" ht="15" x14ac:dyDescent="0.25">
      <c r="A9" s="39"/>
      <c r="B9" s="40"/>
      <c r="C9" s="40"/>
      <c r="D9" s="40"/>
      <c r="E9" s="40"/>
      <c r="F9" s="40"/>
      <c r="G9" s="41"/>
    </row>
    <row r="10" spans="1:7" ht="30.75" customHeight="1" thickBot="1" x14ac:dyDescent="0.3">
      <c r="A10" s="1061" t="s">
        <v>10</v>
      </c>
      <c r="B10" s="1062"/>
      <c r="C10" s="1063"/>
      <c r="D10" s="42"/>
      <c r="E10" s="42"/>
      <c r="F10" s="42"/>
      <c r="G10" s="43"/>
    </row>
    <row r="11" spans="1:7" ht="14.25" x14ac:dyDescent="0.2">
      <c r="A11" s="1064" t="s">
        <v>86</v>
      </c>
      <c r="B11" s="1065"/>
      <c r="C11" s="1065"/>
      <c r="D11" s="1065"/>
      <c r="E11" s="1065"/>
      <c r="F11" s="1065"/>
      <c r="G11" s="1066"/>
    </row>
    <row r="12" spans="1:7" ht="15" x14ac:dyDescent="0.25">
      <c r="A12" s="39"/>
      <c r="B12" s="40"/>
      <c r="C12" s="40"/>
      <c r="D12" s="40"/>
      <c r="E12" s="40"/>
      <c r="F12" s="40"/>
      <c r="G12" s="41"/>
    </row>
    <row r="13" spans="1:7" ht="15" x14ac:dyDescent="0.25">
      <c r="A13" s="39"/>
      <c r="B13" s="40"/>
      <c r="C13" s="40"/>
      <c r="D13" s="40"/>
      <c r="E13" s="40"/>
      <c r="F13" s="40"/>
      <c r="G13" s="41"/>
    </row>
    <row r="14" spans="1:7" ht="15" x14ac:dyDescent="0.25">
      <c r="A14" s="39"/>
      <c r="B14" s="40"/>
      <c r="C14" s="40"/>
      <c r="D14" s="40"/>
      <c r="E14" s="40"/>
      <c r="F14" s="40"/>
      <c r="G14" s="41"/>
    </row>
    <row r="15" spans="1:7" ht="33" customHeight="1" thickBot="1" x14ac:dyDescent="0.3">
      <c r="A15" s="1067" t="s">
        <v>87</v>
      </c>
      <c r="B15" s="1068"/>
      <c r="C15" s="1069"/>
      <c r="D15" s="40"/>
      <c r="E15" s="40"/>
      <c r="F15" s="40"/>
      <c r="G15" s="41"/>
    </row>
    <row r="16" spans="1:7" ht="30" customHeight="1" thickBot="1" x14ac:dyDescent="0.3">
      <c r="A16" s="1057" t="s">
        <v>88</v>
      </c>
      <c r="B16" s="1058"/>
      <c r="C16" s="1059"/>
      <c r="D16" s="37"/>
      <c r="E16" s="34" t="s">
        <v>89</v>
      </c>
      <c r="F16" s="34" t="s">
        <v>89</v>
      </c>
      <c r="G16" s="38"/>
    </row>
  </sheetData>
  <mergeCells count="13">
    <mergeCell ref="A16:C16"/>
    <mergeCell ref="A6:G6"/>
    <mergeCell ref="A10:C10"/>
    <mergeCell ref="A11:G11"/>
    <mergeCell ref="A15:C15"/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Таблица № 1</vt:lpstr>
      <vt:lpstr>Таблица № 2</vt:lpstr>
      <vt:lpstr>Таблица №3</vt:lpstr>
      <vt:lpstr>Таблица №4</vt:lpstr>
      <vt:lpstr>Таблица №5</vt:lpstr>
      <vt:lpstr>Таблица №6</vt:lpstr>
      <vt:lpstr>Таблица №7</vt:lpstr>
      <vt:lpstr>Таблица №8</vt:lpstr>
      <vt:lpstr>'Таблица № 1'!Область_печати</vt:lpstr>
      <vt:lpstr>'Таблица № 2'!Область_печати</vt:lpstr>
      <vt:lpstr>'Таблица №3'!Область_печати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Полуэктова Евгения Анатольевна</dc:creator>
  <cp:lastModifiedBy>Рыжкова Елена Владимировна</cp:lastModifiedBy>
  <cp:lastPrinted>2019-01-15T01:52:48Z</cp:lastPrinted>
  <dcterms:created xsi:type="dcterms:W3CDTF">2018-08-07T10:42:28Z</dcterms:created>
  <dcterms:modified xsi:type="dcterms:W3CDTF">2019-04-01T03:08:46Z</dcterms:modified>
</cp:coreProperties>
</file>