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sterov\Desktop\"/>
    </mc:Choice>
  </mc:AlternateContent>
  <bookViews>
    <workbookView xWindow="0" yWindow="0" windowWidth="21600" windowHeight="9600"/>
  </bookViews>
  <sheets>
    <sheet name="Таблица № 2" sheetId="2" r:id="rId1"/>
  </sheets>
  <definedNames>
    <definedName name="_xlnm.Print_Area" localSheetId="0">'Таблица № 2'!$A$1:$AR$449</definedName>
  </definedNames>
  <calcPr calcId="162913"/>
</workbook>
</file>

<file path=xl/calcChain.xml><?xml version="1.0" encoding="utf-8"?>
<calcChain xmlns="http://schemas.openxmlformats.org/spreadsheetml/2006/main">
  <c r="K328" i="2" l="1"/>
  <c r="F328" i="2" l="1"/>
  <c r="F343" i="2"/>
  <c r="D277" i="2"/>
  <c r="E277" i="2"/>
  <c r="D280" i="2"/>
  <c r="E280" i="2"/>
  <c r="D283" i="2"/>
  <c r="E283" i="2"/>
  <c r="D286" i="2"/>
  <c r="E286" i="2"/>
  <c r="D289" i="2"/>
  <c r="E289" i="2"/>
  <c r="D292" i="2"/>
  <c r="E292" i="2"/>
  <c r="D295" i="2"/>
  <c r="E295" i="2"/>
  <c r="D298" i="2"/>
  <c r="E298" i="2"/>
  <c r="D301" i="2"/>
  <c r="E301" i="2"/>
  <c r="D304" i="2"/>
  <c r="E304" i="2"/>
  <c r="D307" i="2"/>
  <c r="E307" i="2"/>
  <c r="D310" i="2"/>
  <c r="E310" i="2"/>
  <c r="D313" i="2"/>
  <c r="E313" i="2"/>
  <c r="D316" i="2"/>
  <c r="E316" i="2"/>
  <c r="D319" i="2"/>
  <c r="E319" i="2"/>
  <c r="D322" i="2"/>
  <c r="E322" i="2"/>
  <c r="D325" i="2"/>
  <c r="E325" i="2"/>
  <c r="D271" i="2"/>
  <c r="E271" i="2"/>
  <c r="D274" i="2"/>
  <c r="E274" i="2"/>
  <c r="E268" i="2"/>
  <c r="D268" i="2"/>
  <c r="E262" i="2"/>
  <c r="D262" i="2"/>
  <c r="E257" i="2"/>
  <c r="D257" i="2"/>
  <c r="E251" i="2"/>
  <c r="D251" i="2"/>
  <c r="E248" i="2"/>
  <c r="D248" i="2"/>
  <c r="E242" i="2"/>
  <c r="D242" i="2"/>
  <c r="E238" i="2"/>
  <c r="D238" i="2"/>
  <c r="E235" i="2"/>
  <c r="D235" i="2"/>
  <c r="E229" i="2"/>
  <c r="D229" i="2"/>
  <c r="E224" i="2"/>
  <c r="D224" i="2"/>
  <c r="E219" i="2"/>
  <c r="D219" i="2"/>
  <c r="E213" i="2"/>
  <c r="D213" i="2"/>
  <c r="E208" i="2"/>
  <c r="D208" i="2"/>
  <c r="E203" i="2"/>
  <c r="D203" i="2"/>
  <c r="E198" i="2"/>
  <c r="D198" i="2"/>
  <c r="E193" i="2"/>
  <c r="D193" i="2"/>
  <c r="E188" i="2"/>
  <c r="D188" i="2"/>
  <c r="E183" i="2"/>
  <c r="D183" i="2"/>
  <c r="E178" i="2"/>
  <c r="D178" i="2"/>
  <c r="E172" i="2"/>
  <c r="D172" i="2"/>
  <c r="E167" i="2"/>
  <c r="D167" i="2"/>
  <c r="E163" i="2"/>
  <c r="D163" i="2"/>
  <c r="E158" i="2"/>
  <c r="D158" i="2"/>
  <c r="E153" i="2"/>
  <c r="D153" i="2"/>
  <c r="E148" i="2"/>
  <c r="D148" i="2"/>
  <c r="D143" i="2"/>
  <c r="E137" i="2"/>
  <c r="D137" i="2"/>
  <c r="E131" i="2"/>
  <c r="D131" i="2"/>
  <c r="E127" i="2"/>
  <c r="D127" i="2"/>
  <c r="D124" i="2"/>
  <c r="E124" i="2"/>
  <c r="E121" i="2"/>
  <c r="D121" i="2"/>
  <c r="D116" i="2"/>
  <c r="E110" i="2"/>
  <c r="D110" i="2"/>
  <c r="E106" i="2"/>
  <c r="D106" i="2"/>
  <c r="E101" i="2"/>
  <c r="D101" i="2"/>
  <c r="E95" i="2"/>
  <c r="D95" i="2"/>
  <c r="E90" i="2"/>
  <c r="D90" i="2"/>
  <c r="E85" i="2"/>
  <c r="D85" i="2"/>
  <c r="E81" i="2"/>
  <c r="D81" i="2"/>
  <c r="E75" i="2"/>
  <c r="D75" i="2"/>
  <c r="E70" i="2"/>
  <c r="D70" i="2"/>
  <c r="E66" i="2"/>
  <c r="D66" i="2"/>
  <c r="D61" i="2"/>
  <c r="E56" i="2"/>
  <c r="D56" i="2"/>
  <c r="E52" i="2"/>
  <c r="D52" i="2"/>
  <c r="E47" i="2"/>
  <c r="D47" i="2"/>
  <c r="E42" i="2"/>
  <c r="D42" i="2"/>
  <c r="E40" i="2"/>
  <c r="D40" i="2"/>
  <c r="D36" i="2"/>
  <c r="E31" i="2"/>
  <c r="D31" i="2"/>
  <c r="AI398" i="2" l="1"/>
  <c r="AC398" i="2"/>
  <c r="W398" i="2"/>
  <c r="Q398" i="2"/>
  <c r="K344" i="2"/>
  <c r="K449" i="2" s="1"/>
  <c r="AO328" i="2"/>
  <c r="AI328" i="2"/>
  <c r="AC328" i="2"/>
  <c r="W328" i="2"/>
  <c r="Q328" i="2"/>
  <c r="AI399" i="2" l="1"/>
  <c r="AC399" i="2"/>
  <c r="W399" i="2"/>
  <c r="Q399" i="2"/>
  <c r="AE397" i="2"/>
  <c r="Y396" i="2"/>
  <c r="S396" i="2"/>
  <c r="AK395" i="2"/>
  <c r="F397" i="2"/>
  <c r="F396" i="2"/>
  <c r="F395" i="2"/>
  <c r="S385" i="2"/>
  <c r="M385" i="2"/>
  <c r="Y379" i="2"/>
  <c r="W379" i="2"/>
  <c r="AQ327" i="2"/>
  <c r="AQ325" i="2"/>
  <c r="AQ324" i="2"/>
  <c r="AQ322" i="2"/>
  <c r="AQ321" i="2"/>
  <c r="AQ319" i="2"/>
  <c r="AQ318" i="2"/>
  <c r="AQ316" i="2"/>
  <c r="AQ315" i="2"/>
  <c r="AQ313" i="2"/>
  <c r="AQ312" i="2"/>
  <c r="AQ310" i="2"/>
  <c r="AQ309" i="2"/>
  <c r="AQ307" i="2"/>
  <c r="AQ306" i="2"/>
  <c r="AQ304" i="2"/>
  <c r="AQ303" i="2"/>
  <c r="AQ301" i="2"/>
  <c r="AQ300" i="2"/>
  <c r="AQ298" i="2"/>
  <c r="AQ297" i="2"/>
  <c r="AQ295" i="2"/>
  <c r="AQ294" i="2"/>
  <c r="AQ292" i="2"/>
  <c r="AQ339" i="2"/>
  <c r="G339" i="2"/>
  <c r="AE399" i="2" l="1"/>
  <c r="AE398" i="2"/>
  <c r="AK399" i="2"/>
  <c r="AK398" i="2"/>
  <c r="S399" i="2"/>
  <c r="S398" i="2"/>
  <c r="Y399" i="2"/>
  <c r="Y398" i="2"/>
  <c r="S343" i="2" l="1"/>
  <c r="Q343" i="2"/>
  <c r="AK337" i="2"/>
  <c r="AK340" i="2" s="1"/>
  <c r="AE330" i="2"/>
  <c r="AE340" i="2" s="1"/>
  <c r="Y10" i="2"/>
  <c r="Q340" i="2"/>
  <c r="Q344" i="2" s="1"/>
  <c r="Q345" i="2" s="1"/>
  <c r="S340" i="2"/>
  <c r="W340" i="2"/>
  <c r="W344" i="2" s="1"/>
  <c r="Y340" i="2"/>
  <c r="AC340" i="2"/>
  <c r="AC344" i="2" s="1"/>
  <c r="AI340" i="2"/>
  <c r="AI344" i="2" s="1"/>
  <c r="AO340" i="2"/>
  <c r="AO344" i="2" s="1"/>
  <c r="AQ340" i="2"/>
  <c r="F340" i="2"/>
  <c r="F344" i="2" s="1"/>
  <c r="G342" i="2"/>
  <c r="G343" i="2" s="1"/>
  <c r="E342" i="2"/>
  <c r="G331" i="2"/>
  <c r="G332" i="2"/>
  <c r="G333" i="2"/>
  <c r="G334" i="2"/>
  <c r="G335" i="2"/>
  <c r="G336" i="2"/>
  <c r="G337" i="2"/>
  <c r="G338" i="2"/>
  <c r="E339" i="2"/>
  <c r="G330" i="2"/>
  <c r="Q430" i="2"/>
  <c r="S429" i="2"/>
  <c r="W428" i="2"/>
  <c r="Q428" i="2"/>
  <c r="Y427" i="2"/>
  <c r="AE422" i="2"/>
  <c r="Y422" i="2"/>
  <c r="S418" i="2"/>
  <c r="S422" i="2" s="1"/>
  <c r="AK361" i="2"/>
  <c r="AI361" i="2"/>
  <c r="AE361" i="2"/>
  <c r="AC361" i="2"/>
  <c r="Y361" i="2"/>
  <c r="W361" i="2"/>
  <c r="S361" i="2"/>
  <c r="Q361" i="2"/>
  <c r="M361" i="2"/>
  <c r="K361" i="2"/>
  <c r="AK360" i="2"/>
  <c r="AI360" i="2"/>
  <c r="AE360" i="2"/>
  <c r="AC360" i="2"/>
  <c r="Y360" i="2"/>
  <c r="W360" i="2"/>
  <c r="S360" i="2"/>
  <c r="Q360" i="2"/>
  <c r="K360" i="2"/>
  <c r="AE359" i="2"/>
  <c r="AC359" i="2"/>
  <c r="S359" i="2"/>
  <c r="R359" i="2"/>
  <c r="Q359" i="2"/>
  <c r="M359" i="2"/>
  <c r="L359" i="2"/>
  <c r="K359" i="2"/>
  <c r="AO358" i="2"/>
  <c r="AI358" i="2"/>
  <c r="AC358" i="2"/>
  <c r="W358" i="2"/>
  <c r="Q358" i="2"/>
  <c r="AK357" i="2"/>
  <c r="AI357" i="2"/>
  <c r="Y357" i="2"/>
  <c r="W357" i="2"/>
  <c r="S357" i="2"/>
  <c r="R357" i="2"/>
  <c r="Q357" i="2"/>
  <c r="K357" i="2"/>
  <c r="AE355" i="2"/>
  <c r="Y355" i="2"/>
  <c r="S355" i="2"/>
  <c r="R355" i="2"/>
  <c r="Q355" i="2"/>
  <c r="M351" i="2"/>
  <c r="AO346" i="2"/>
  <c r="AI346" i="2"/>
  <c r="AC346" i="2"/>
  <c r="W346" i="2"/>
  <c r="Q346" i="2"/>
  <c r="K346" i="2"/>
  <c r="AO345" i="2"/>
  <c r="AI345" i="2"/>
  <c r="AC345" i="2"/>
  <c r="W345" i="2"/>
  <c r="K345" i="2"/>
  <c r="AK291" i="2"/>
  <c r="AK289" i="2"/>
  <c r="AK288" i="2"/>
  <c r="AK286" i="2"/>
  <c r="AK285" i="2"/>
  <c r="AK283" i="2"/>
  <c r="AK282" i="2"/>
  <c r="AK280" i="2"/>
  <c r="AK279" i="2"/>
  <c r="AK277" i="2"/>
  <c r="AK276" i="2"/>
  <c r="AK274" i="2"/>
  <c r="AK273" i="2"/>
  <c r="AK271" i="2"/>
  <c r="AK270" i="2"/>
  <c r="AK268" i="2"/>
  <c r="AK264" i="2"/>
  <c r="AK262" i="2"/>
  <c r="AK259" i="2"/>
  <c r="AK257" i="2"/>
  <c r="AK253" i="2"/>
  <c r="AK251" i="2"/>
  <c r="AK250" i="2"/>
  <c r="AK248" i="2"/>
  <c r="AK244" i="2"/>
  <c r="AK242" i="2"/>
  <c r="AE240" i="2"/>
  <c r="AE238" i="2"/>
  <c r="AE237" i="2"/>
  <c r="AE235" i="2"/>
  <c r="AE232" i="2"/>
  <c r="AE229" i="2"/>
  <c r="AE227" i="2"/>
  <c r="AE224" i="2"/>
  <c r="AC223" i="2"/>
  <c r="AC355" i="2" s="1"/>
  <c r="AE221" i="2"/>
  <c r="AE219" i="2"/>
  <c r="AE215" i="2"/>
  <c r="AE213" i="2"/>
  <c r="AE211" i="2"/>
  <c r="AE208" i="2"/>
  <c r="AE206" i="2"/>
  <c r="AE203" i="2"/>
  <c r="AE201" i="2"/>
  <c r="AE198" i="2"/>
  <c r="AE196" i="2"/>
  <c r="AE193" i="2"/>
  <c r="AE191" i="2"/>
  <c r="AE188" i="2"/>
  <c r="AE185" i="2"/>
  <c r="AE183" i="2"/>
  <c r="AE180" i="2"/>
  <c r="AE178" i="2"/>
  <c r="W177" i="2"/>
  <c r="W355" i="2" s="1"/>
  <c r="Y174" i="2"/>
  <c r="Y172" i="2"/>
  <c r="Y169" i="2"/>
  <c r="Y167" i="2"/>
  <c r="Y165" i="2"/>
  <c r="Y163" i="2"/>
  <c r="Y160" i="2"/>
  <c r="Y158" i="2"/>
  <c r="Y155" i="2"/>
  <c r="Y153" i="2"/>
  <c r="Y150" i="2"/>
  <c r="Y148" i="2"/>
  <c r="Y146" i="2"/>
  <c r="Y143" i="2"/>
  <c r="G143" i="2"/>
  <c r="E143" i="2" s="1"/>
  <c r="Y139" i="2"/>
  <c r="Y137" i="2"/>
  <c r="Y134" i="2"/>
  <c r="Y131" i="2"/>
  <c r="Y129" i="2"/>
  <c r="Y127" i="2"/>
  <c r="S126" i="2"/>
  <c r="S124" i="2"/>
  <c r="S123" i="2"/>
  <c r="S121" i="2"/>
  <c r="S119" i="2"/>
  <c r="S116" i="2"/>
  <c r="G116" i="2"/>
  <c r="E116" i="2" s="1"/>
  <c r="S113" i="2"/>
  <c r="S110" i="2"/>
  <c r="S109" i="2"/>
  <c r="S106" i="2"/>
  <c r="S104" i="2"/>
  <c r="S101" i="2"/>
  <c r="S98" i="2"/>
  <c r="S95" i="2"/>
  <c r="S92" i="2"/>
  <c r="S90" i="2"/>
  <c r="S87" i="2"/>
  <c r="S85" i="2"/>
  <c r="S83" i="2"/>
  <c r="S81" i="2"/>
  <c r="M77" i="2"/>
  <c r="M75" i="2"/>
  <c r="M72" i="2"/>
  <c r="M70" i="2"/>
  <c r="M68" i="2"/>
  <c r="M66" i="2"/>
  <c r="Y64" i="2"/>
  <c r="M64" i="2"/>
  <c r="Y61" i="2"/>
  <c r="M61" i="2"/>
  <c r="G61" i="2"/>
  <c r="E61" i="2" s="1"/>
  <c r="M59" i="2"/>
  <c r="M56" i="2"/>
  <c r="M54" i="2"/>
  <c r="M52" i="2"/>
  <c r="M49" i="2"/>
  <c r="M47" i="2"/>
  <c r="M44" i="2"/>
  <c r="M42" i="2"/>
  <c r="K41" i="2"/>
  <c r="K352" i="2" s="1"/>
  <c r="M39" i="2"/>
  <c r="M360" i="2" s="1"/>
  <c r="M38" i="2"/>
  <c r="K38" i="2"/>
  <c r="K358" i="2" s="1"/>
  <c r="M36" i="2"/>
  <c r="G36" i="2"/>
  <c r="M34" i="2"/>
  <c r="M357" i="2" s="1"/>
  <c r="M33" i="2"/>
  <c r="M31" i="2"/>
  <c r="G328" i="2" l="1"/>
  <c r="G344" i="2" s="1"/>
  <c r="E36" i="2"/>
  <c r="Z131" i="2"/>
  <c r="AK358" i="2"/>
  <c r="M345" i="2"/>
  <c r="G340" i="2"/>
  <c r="Y328" i="2"/>
  <c r="Y344" i="2" s="1"/>
  <c r="Y345" i="2" s="1"/>
  <c r="AE358" i="2"/>
  <c r="M358" i="2"/>
  <c r="Y358" i="2"/>
  <c r="S358" i="2"/>
  <c r="AQ358" i="2"/>
  <c r="M328" i="2"/>
  <c r="M344" i="2" s="1"/>
  <c r="M449" i="2" s="1"/>
  <c r="AE328" i="2"/>
  <c r="AE344" i="2" s="1"/>
  <c r="AK328" i="2"/>
  <c r="AK344" i="2" s="1"/>
  <c r="AK345" i="2" s="1"/>
  <c r="S328" i="2"/>
  <c r="S344" i="2" s="1"/>
  <c r="S345" i="2" s="1"/>
  <c r="AQ328" i="2"/>
  <c r="AQ344" i="2" s="1"/>
  <c r="S427" i="2"/>
  <c r="AQ345" i="2" l="1"/>
  <c r="AE345" i="2"/>
  <c r="AE10" i="2"/>
  <c r="G10" i="2"/>
  <c r="E10" i="2"/>
  <c r="Y9" i="2"/>
  <c r="S9" i="2"/>
  <c r="G9" i="2"/>
  <c r="E9" i="2"/>
  <c r="AO8" i="2"/>
  <c r="AQ8" i="2" s="1"/>
  <c r="AK8" i="2"/>
  <c r="G8" i="2"/>
  <c r="E8" i="2"/>
  <c r="AI11" i="2" l="1"/>
  <c r="AI449" i="2" s="1"/>
  <c r="AC11" i="2"/>
  <c r="AC449" i="2" s="1"/>
  <c r="W11" i="2"/>
  <c r="W449" i="2" s="1"/>
  <c r="S11" i="2"/>
  <c r="S449" i="2" s="1"/>
  <c r="Q11" i="2"/>
  <c r="AE11" i="2"/>
  <c r="AE449" i="2" s="1"/>
  <c r="Y11" i="2"/>
  <c r="Y449" i="2" s="1"/>
  <c r="AQ11" i="2"/>
  <c r="AQ449" i="2" s="1"/>
  <c r="AK11" i="2"/>
  <c r="AK449" i="2" s="1"/>
  <c r="Q12" i="2" l="1"/>
  <c r="Q449" i="2"/>
  <c r="S12" i="2"/>
  <c r="AO11" i="2"/>
  <c r="AO449" i="2" s="1"/>
</calcChain>
</file>

<file path=xl/sharedStrings.xml><?xml version="1.0" encoding="utf-8"?>
<sst xmlns="http://schemas.openxmlformats.org/spreadsheetml/2006/main" count="1965" uniqueCount="302">
  <si>
    <t>№</t>
  </si>
  <si>
    <t xml:space="preserve">Стоимость </t>
  </si>
  <si>
    <t>км</t>
  </si>
  <si>
    <t>кв.м</t>
  </si>
  <si>
    <t>кв.м.</t>
  </si>
  <si>
    <t xml:space="preserve">                                                                                                                                                                                                             Автомобильные дороги регионального и межмуниципального значения</t>
  </si>
  <si>
    <t>ИТОГО по автомобильным дорогам регионального и межмуниципального значения</t>
  </si>
  <si>
    <t>ремонт покрытия проезжей части</t>
  </si>
  <si>
    <t>нанесение разметки</t>
  </si>
  <si>
    <t>устройство светофорных объектов</t>
  </si>
  <si>
    <t>шт.</t>
  </si>
  <si>
    <t xml:space="preserve">установка тросового/барьерного ограждения </t>
  </si>
  <si>
    <t>п.м.</t>
  </si>
  <si>
    <t>ремонт тротуаров</t>
  </si>
  <si>
    <t>устройство освещения</t>
  </si>
  <si>
    <t xml:space="preserve">                                                                                                                                                         Объекты, финансируемые из прочих источников (справочно)</t>
  </si>
  <si>
    <t xml:space="preserve">                                                                                                                                                                                                            Автомобильные дороги федерального значения     </t>
  </si>
  <si>
    <t>Итого по автомобильным дорогам федерального значения</t>
  </si>
  <si>
    <t>ИТОГО по автомобильным дорогам федерального значения (справочно)</t>
  </si>
  <si>
    <t xml:space="preserve">                                                                                                                                                                                                            Автомобильные дороги  регионального и межмуниципального значения</t>
  </si>
  <si>
    <t>ИТОГО по автодорогам регионального и межмуниципального значения (справочно)</t>
  </si>
  <si>
    <t>Резервные объекты на автомобильных дорогах городской агломерации, реализация мероприятий на которых возможна при условии увеличения финансирования приоритетного проекта, либо за счет экономии, возникшей в результате снижения начальной (максимальной) цены контрактов при проведении конкурсных процедур.</t>
  </si>
  <si>
    <t>Итого по резервным объектам</t>
  </si>
  <si>
    <t>ИТОГО по резервным объектам</t>
  </si>
  <si>
    <t xml:space="preserve">                                                                                                                                                                                                             Автомобильные дороги местного значения (улицы)</t>
  </si>
  <si>
    <t>ИТОГО по автомобильным дорогам местного значения (улицы)</t>
  </si>
  <si>
    <t>Код в СКДФ</t>
  </si>
  <si>
    <t>Мероприятия, реализуемые в рамках программы в 2019 году</t>
  </si>
  <si>
    <t>Адрес участка</t>
  </si>
  <si>
    <t>Вид работ</t>
  </si>
  <si>
    <t>Мощность работ</t>
  </si>
  <si>
    <t>Значение</t>
  </si>
  <si>
    <t>Единица измерения</t>
  </si>
  <si>
    <t>Начало (км+м)</t>
  </si>
  <si>
    <t>Конец (км+м)</t>
  </si>
  <si>
    <t>тыс.руб.</t>
  </si>
  <si>
    <t>Мероприятия, реализуемые в рамках программы в 2020 году</t>
  </si>
  <si>
    <t>Мероприятия, реализуемые в рамках программы в 2021 году</t>
  </si>
  <si>
    <t>Мероприятия, реализуемые в рамках программы в 2022 году</t>
  </si>
  <si>
    <t>Мероприятия, реализуемые в рамках программы в 2023 году</t>
  </si>
  <si>
    <t>Мероприятия, реализуемые в рамках программы в 2024 году</t>
  </si>
  <si>
    <t>капитальный ремонт</t>
  </si>
  <si>
    <t>реконструкция</t>
  </si>
  <si>
    <t>строительство</t>
  </si>
  <si>
    <t>установка дорожных знаков</t>
  </si>
  <si>
    <t>другое</t>
  </si>
  <si>
    <t>установка направляющих устройств</t>
  </si>
  <si>
    <t>в границах агломерации</t>
  </si>
  <si>
    <t>Примечания</t>
  </si>
  <si>
    <t>Протяженность и площадь покрытия дороги (улицы)</t>
  </si>
  <si>
    <t>в границах субъекта</t>
  </si>
  <si>
    <t>Итого по автомобильным дорогам регионального и межмуниципального значения</t>
  </si>
  <si>
    <t xml:space="preserve">Наименование автомобильной дороги (улицы) </t>
  </si>
  <si>
    <t>Таблица № 2. Перечень автомобильных дорог (улиц) федерального, регионального и межмуниципального, местного значения и планируемые мероприятия на них для достижения целевых показателей (по городской агломерации)</t>
  </si>
  <si>
    <t>ремонт</t>
  </si>
  <si>
    <t>0+000</t>
  </si>
  <si>
    <t>6+000</t>
  </si>
  <si>
    <t>7+000</t>
  </si>
  <si>
    <t>42+000</t>
  </si>
  <si>
    <t>0+00</t>
  </si>
  <si>
    <t>1080+000</t>
  </si>
  <si>
    <t>1091+800</t>
  </si>
  <si>
    <t>1068+000</t>
  </si>
  <si>
    <t>разметка</t>
  </si>
  <si>
    <t>км/м2</t>
  </si>
  <si>
    <t>1923147</t>
  </si>
  <si>
    <t>Подъезд к г.Чита</t>
  </si>
  <si>
    <t>1922975</t>
  </si>
  <si>
    <t>Обход г.Чита</t>
  </si>
  <si>
    <t>1923001</t>
  </si>
  <si>
    <t>Улан-Удэ-Романовка-Чита</t>
  </si>
  <si>
    <t>562+716</t>
  </si>
  <si>
    <t>567+716</t>
  </si>
  <si>
    <t>572+000</t>
  </si>
  <si>
    <t>1923114</t>
  </si>
  <si>
    <t>Смоленка -Карповка</t>
  </si>
  <si>
    <t>1923094</t>
  </si>
  <si>
    <t>Подъезд к пгт.Дарасун</t>
  </si>
  <si>
    <t>4+000</t>
  </si>
  <si>
    <t>3+620</t>
  </si>
  <si>
    <t>1923137</t>
  </si>
  <si>
    <t>Чита-Ингода</t>
  </si>
  <si>
    <t>29+700</t>
  </si>
  <si>
    <t>36+000</t>
  </si>
  <si>
    <t>-</t>
  </si>
  <si>
    <t>Агинский тракт</t>
  </si>
  <si>
    <t xml:space="preserve"> ул. Кирова</t>
  </si>
  <si>
    <t>Агинский тракт, 27</t>
  </si>
  <si>
    <t xml:space="preserve">установка барьерного ограждения </t>
  </si>
  <si>
    <t>Остановочный павильон</t>
  </si>
  <si>
    <t>шт</t>
  </si>
  <si>
    <t>ул. Ленина</t>
  </si>
  <si>
    <t>ул. Столярова</t>
  </si>
  <si>
    <t>ул. Кирова</t>
  </si>
  <si>
    <t>Светофорный объект П1</t>
  </si>
  <si>
    <t>ул. Богмягкова</t>
  </si>
  <si>
    <t>ул. Генерала Белика</t>
  </si>
  <si>
    <t>ул. Верхоленская</t>
  </si>
  <si>
    <t>ул. Чкалова</t>
  </si>
  <si>
    <t>Объездное шоссе</t>
  </si>
  <si>
    <t>ул. Баргузинская</t>
  </si>
  <si>
    <t>ул. Амурская</t>
  </si>
  <si>
    <t>ул. Бабушкина</t>
  </si>
  <si>
    <t>ул. Нагорная</t>
  </si>
  <si>
    <t xml:space="preserve"> ул. Красной звезды</t>
  </si>
  <si>
    <t>ул. Народная</t>
  </si>
  <si>
    <t>Карповский тракт</t>
  </si>
  <si>
    <t xml:space="preserve">ПК 17+00 </t>
  </si>
  <si>
    <t>ПК 23+00</t>
  </si>
  <si>
    <t>ул. Казачья</t>
  </si>
  <si>
    <t>ул. Агинский тракт</t>
  </si>
  <si>
    <t>ул. Каларская</t>
  </si>
  <si>
    <t>ул. Кутузова</t>
  </si>
  <si>
    <t>строение №13 мкр. Осетровка</t>
  </si>
  <si>
    <t>ул. Белорусская</t>
  </si>
  <si>
    <t>ул. Белорусская, стр. №44б</t>
  </si>
  <si>
    <t>ул. Шилова</t>
  </si>
  <si>
    <t>ул. Ярославского</t>
  </si>
  <si>
    <t>ул. Полины Осипенко</t>
  </si>
  <si>
    <t>ул. Промышленная</t>
  </si>
  <si>
    <t>ул. Верхнеудинская</t>
  </si>
  <si>
    <t>Московский тракт</t>
  </si>
  <si>
    <t>ул. Карла Маркса</t>
  </si>
  <si>
    <t>ул. Трактовая</t>
  </si>
  <si>
    <t>ул. Крымская</t>
  </si>
  <si>
    <t>Романовский тракт</t>
  </si>
  <si>
    <t>ул. Ковыльная</t>
  </si>
  <si>
    <t>ул. Олимпийская</t>
  </si>
  <si>
    <t>ул. Космонавтов</t>
  </si>
  <si>
    <t>ул. Коханского</t>
  </si>
  <si>
    <t>Богомягкова</t>
  </si>
  <si>
    <t>Шилова</t>
  </si>
  <si>
    <t>ул.  Горького</t>
  </si>
  <si>
    <t>ул. Новобульварная</t>
  </si>
  <si>
    <t>проспект Маршала Жукова</t>
  </si>
  <si>
    <t>ул. Ивановская</t>
  </si>
  <si>
    <t>ул. Богомягкова</t>
  </si>
  <si>
    <t>ул. Недорезова</t>
  </si>
  <si>
    <t>ул. Гайдара</t>
  </si>
  <si>
    <t>ул. Новопутейская</t>
  </si>
  <si>
    <t>мкр. ТУСМ-4 стр. 5</t>
  </si>
  <si>
    <t>ул. Магистральная</t>
  </si>
  <si>
    <t>ул. Западная</t>
  </si>
  <si>
    <t>проезд Раздольный</t>
  </si>
  <si>
    <t>ул. Назара Широких</t>
  </si>
  <si>
    <t>ул. Строителей</t>
  </si>
  <si>
    <t>пр. Рудничный</t>
  </si>
  <si>
    <t>ул. Автостроителей</t>
  </si>
  <si>
    <t>ул. Удоканская</t>
  </si>
  <si>
    <t>ул Недорезова</t>
  </si>
  <si>
    <t>ул. Байкальская</t>
  </si>
  <si>
    <t xml:space="preserve">ул. Амурская, стр. 3з </t>
  </si>
  <si>
    <t>ул. Кастринская</t>
  </si>
  <si>
    <t>пр. Фадеева</t>
  </si>
  <si>
    <t>ул. Ивановскя</t>
  </si>
  <si>
    <t>пр. Жукова</t>
  </si>
  <si>
    <t>ул. Петровско-Заводская</t>
  </si>
  <si>
    <t>ул. Николая  Островского</t>
  </si>
  <si>
    <t>ул. Угданская</t>
  </si>
  <si>
    <t>ул Кайдаловская</t>
  </si>
  <si>
    <t>ул. Журавлева</t>
  </si>
  <si>
    <t>ул. Угданская,  стр.61</t>
  </si>
  <si>
    <t>ул. Кайдаловская</t>
  </si>
  <si>
    <t>ул. Кайдаловская, стр. 45</t>
  </si>
  <si>
    <t>ул. Николая Островского</t>
  </si>
  <si>
    <t>ул. Ленинградская</t>
  </si>
  <si>
    <t>ул. Ленинградская, 2</t>
  </si>
  <si>
    <t>Матвеева</t>
  </si>
  <si>
    <t>проспект Генерала Белика</t>
  </si>
  <si>
    <t>ул Шилова</t>
  </si>
  <si>
    <t>ул. Пограничная</t>
  </si>
  <si>
    <t>ул. Авиационная</t>
  </si>
  <si>
    <t>ул. Суворова</t>
  </si>
  <si>
    <t>ул.Рахова</t>
  </si>
  <si>
    <t>ул. Рахова</t>
  </si>
  <si>
    <t>ул. Проектная</t>
  </si>
  <si>
    <t>ул. Энергостроителей</t>
  </si>
  <si>
    <t>ул. Назара  Широких</t>
  </si>
  <si>
    <t>ул. Весенняя</t>
  </si>
  <si>
    <t>ул. Чкалова, стр.1</t>
  </si>
  <si>
    <t>ул. Белика</t>
  </si>
  <si>
    <t>ул. Мира</t>
  </si>
  <si>
    <t>Гайдара</t>
  </si>
  <si>
    <t>Назара Губина</t>
  </si>
  <si>
    <t>ул. Тобольского</t>
  </si>
  <si>
    <t>ул. Тобольского, стр. 1</t>
  </si>
  <si>
    <t>Проспект Советов</t>
  </si>
  <si>
    <t>ул. Горбунова</t>
  </si>
  <si>
    <t>ул. Комсомольская</t>
  </si>
  <si>
    <t>ул.Генерала Белика</t>
  </si>
  <si>
    <t>стр. №2</t>
  </si>
  <si>
    <t>ул. Засопочная</t>
  </si>
  <si>
    <t>стр. №111</t>
  </si>
  <si>
    <t>ул. Высокая</t>
  </si>
  <si>
    <t>ул. Нечаева</t>
  </si>
  <si>
    <t>ул. Автогенная</t>
  </si>
  <si>
    <t>ул. Кочеткова</t>
  </si>
  <si>
    <t>ул. Таежная</t>
  </si>
  <si>
    <t>ул. Смоленская</t>
  </si>
  <si>
    <t>ул. Токмакова</t>
  </si>
  <si>
    <t>ул. 1-я Читинская</t>
  </si>
  <si>
    <t>стр. №2 ул. Каларская</t>
  </si>
  <si>
    <t>1-я Оранжерйная</t>
  </si>
  <si>
    <t>ул. Промышлення</t>
  </si>
  <si>
    <t>Промышленная стр №1</t>
  </si>
  <si>
    <t>ул. Селенгинская</t>
  </si>
  <si>
    <t>ул Столярова стр №93</t>
  </si>
  <si>
    <t>уд. Угданская</t>
  </si>
  <si>
    <t>стр №50 ул. Токмакова</t>
  </si>
  <si>
    <t>ул. Подгорбунского</t>
  </si>
  <si>
    <t>ул. Энтузиастов</t>
  </si>
  <si>
    <t>удл. Строителей</t>
  </si>
  <si>
    <t>пр. Раздольный</t>
  </si>
  <si>
    <t>Строителей стр. №96</t>
  </si>
  <si>
    <t>проезд Ивановский</t>
  </si>
  <si>
    <t>ФАД  Байкал</t>
  </si>
  <si>
    <t>ул. Весовая</t>
  </si>
  <si>
    <t>ул. Строительная</t>
  </si>
  <si>
    <t>ул. Строительная, 26</t>
  </si>
  <si>
    <t>проезд Александра Блгакова</t>
  </si>
  <si>
    <t>стр. №60 ул.  Александра Блгакова</t>
  </si>
  <si>
    <t>ул. 40 лет Октября</t>
  </si>
  <si>
    <t>ул. Победы</t>
  </si>
  <si>
    <t>стр. №1 ул.  40 лет Октября</t>
  </si>
  <si>
    <t>проезд Кутузовский</t>
  </si>
  <si>
    <t>ул. 4-я Станкозаводская</t>
  </si>
  <si>
    <t>стр №126</t>
  </si>
  <si>
    <t>ул. Якутская</t>
  </si>
  <si>
    <t>ул. Беклемишевская</t>
  </si>
  <si>
    <t>ул. Партизанская</t>
  </si>
  <si>
    <t>ул. Железобетонная</t>
  </si>
  <si>
    <t>стр. №2 ул. Трактовая</t>
  </si>
  <si>
    <t>ул. Анохина</t>
  </si>
  <si>
    <t>другое (Остановочный павильон)</t>
  </si>
  <si>
    <t>пересечение ул. Кирпично-Ззаводская -ул. Магистральная</t>
  </si>
  <si>
    <t>Строительство</t>
  </si>
  <si>
    <t>ул. Серова</t>
  </si>
  <si>
    <t>ул. Матвеева</t>
  </si>
  <si>
    <t>стадион СибВО</t>
  </si>
  <si>
    <t xml:space="preserve"> реконструкция</t>
  </si>
  <si>
    <t>ул. Курнатовского</t>
  </si>
  <si>
    <t>автодорога "объездное шоссе"</t>
  </si>
  <si>
    <t>2229136</t>
  </si>
  <si>
    <t>ул Матюгина, пгт. Атамановка</t>
  </si>
  <si>
    <t>ул Матюгина 1</t>
  </si>
  <si>
    <t>2227768</t>
  </si>
  <si>
    <t>ул Заводская, пгт. Атамновка</t>
  </si>
  <si>
    <t>2229664</t>
  </si>
  <si>
    <t>ул Полевая, с. Засопка</t>
  </si>
  <si>
    <t>2228076</t>
  </si>
  <si>
    <t>ул Тверская, с. Засопка</t>
  </si>
  <si>
    <t>2222087</t>
  </si>
  <si>
    <t>ул Центральная, с. Засопка</t>
  </si>
  <si>
    <t>пересечение с ул Полевая</t>
  </si>
  <si>
    <t>пересечение с ул Центральный квартал</t>
  </si>
  <si>
    <t>2227458</t>
  </si>
  <si>
    <t>ул Пионерская, с. Засопка</t>
  </si>
  <si>
    <t xml:space="preserve"> </t>
  </si>
  <si>
    <t>Чита - Засопка</t>
  </si>
  <si>
    <t>Смоленка - Забайкальский</t>
  </si>
  <si>
    <t>пересечение с ул Советская</t>
  </si>
  <si>
    <t>пересечение с ул Дорожная</t>
  </si>
  <si>
    <t>ул Центральный квартал, с.Засопка</t>
  </si>
  <si>
    <t>пересечение с ул Центральная</t>
  </si>
  <si>
    <t>пересечение с ул Пионерская</t>
  </si>
  <si>
    <t>14+000</t>
  </si>
  <si>
    <t>2+854</t>
  </si>
  <si>
    <t>9+125</t>
  </si>
  <si>
    <t>ул. Онискевича</t>
  </si>
  <si>
    <t xml:space="preserve">ул. Кирпично-Заводская </t>
  </si>
  <si>
    <t xml:space="preserve">ул. Курнатовского </t>
  </si>
  <si>
    <t>Городской округ "Город Чита"</t>
  </si>
  <si>
    <t>ИТОГО по автомобильным дорогам местного значения (улицы) городского округа "Город Чита"</t>
  </si>
  <si>
    <t>Муниципальный район "Читинский район"</t>
  </si>
  <si>
    <t>пересечение с ул. Заводская</t>
  </si>
  <si>
    <t>пересечение с ул. Матюгина</t>
  </si>
  <si>
    <t>пересечение с ул. Шоссейная</t>
  </si>
  <si>
    <t>пересечение с ул. Спортивная</t>
  </si>
  <si>
    <t>пересечение с ул. Совхозная</t>
  </si>
  <si>
    <t>пересечение с ул. Магистральная</t>
  </si>
  <si>
    <t>пересечение с ул. Полевая</t>
  </si>
  <si>
    <t>пересечение с ул. Центральный квартал</t>
  </si>
  <si>
    <t>Мкр. Заб. Птицефабрика с.п. "Засопкинское"</t>
  </si>
  <si>
    <t>ИТОГО по автомобильным дорогам местного значения (улицы) муниципального района "Читинский район"</t>
  </si>
  <si>
    <t>Муниципальный район "Карымский район"</t>
  </si>
  <si>
    <t>А-166 Чита - Забайкальск с Китайской Народной Республикой км 60+300 - км 66+550</t>
  </si>
  <si>
    <t>6+250</t>
  </si>
  <si>
    <t xml:space="preserve">ИТОГО по автомобильным дорогам местного значения (улицы) </t>
  </si>
  <si>
    <t>ИТОГО по автомобильным дорогам местного значения (улицы) муниципального района "Карымский район"</t>
  </si>
  <si>
    <t>автодорога Иркутск - Улан-Улэ - Чита</t>
  </si>
  <si>
    <t>мкр. Птицефабрика</t>
  </si>
  <si>
    <t>Автомобильная дорога Р-258 "Байкал" Иркутск-Улан-Удэ-Чита  (км 1060+168 - км 1105+536)</t>
  </si>
  <si>
    <t>1060+168</t>
  </si>
  <si>
    <t>1105+536</t>
  </si>
  <si>
    <t>45,368/12803</t>
  </si>
  <si>
    <t>Автомобильная дорога А-350 Чита-Забакальск - ганица с Китайской Народной Республикой (км 0+000 - км 9+500)</t>
  </si>
  <si>
    <t>19+800</t>
  </si>
  <si>
    <t>9,5/5562</t>
  </si>
  <si>
    <t>Автомобильная дорога Р-297 "Амур" Чита-Невер-Свободный-Архара-Биробиджан-Хабаровск (км 6+000 - км 19+800)</t>
  </si>
  <si>
    <t>9+500</t>
  </si>
  <si>
    <t>13,8/8757</t>
  </si>
  <si>
    <t>Итого по автомобильным дорогам общего пользования за исключением автодорог федерального 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</si>
</sst>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0.000"/>
    <numFmt numFmtId="167" formatCode="0.0"/>
    <numFmt numFmtId="168" formatCode="#,##0.00_ ;\-#,##0.00\ "/>
  </numFmts>
  <fonts count="27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0"/>
      <name val="Arial Cyr"/>
      <family val="2"/>
    </font>
    <font>
      <b/>
      <sz val="16"/>
      <color indexed="8"/>
      <name val="Times New Roman"/>
      <family val="1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11" fillId="0" borderId="0"/>
    <xf numFmtId="0" fontId="4" fillId="0" borderId="0"/>
    <xf numFmtId="0" fontId="1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38">
    <xf numFmtId="0" fontId="0" fillId="0" borderId="0" xfId="0"/>
    <xf numFmtId="0" fontId="5" fillId="0" borderId="0" xfId="0" applyFont="1"/>
    <xf numFmtId="0" fontId="8" fillId="0" borderId="2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5" fillId="0" borderId="0" xfId="0" applyFont="1" applyBorder="1"/>
    <xf numFmtId="0" fontId="10" fillId="4" borderId="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10" fillId="6" borderId="2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4" borderId="0" xfId="0" applyFont="1" applyFill="1" applyBorder="1"/>
    <xf numFmtId="0" fontId="10" fillId="4" borderId="0" xfId="0" applyFont="1" applyFill="1" applyBorder="1" applyAlignment="1">
      <alignment horizontal="center" vertical="center" wrapText="1"/>
    </xf>
    <xf numFmtId="0" fontId="5" fillId="4" borderId="15" xfId="0" applyFont="1" applyFill="1" applyBorder="1"/>
    <xf numFmtId="0" fontId="10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/>
    <xf numFmtId="0" fontId="12" fillId="2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5" fillId="6" borderId="15" xfId="0" applyFont="1" applyFill="1" applyBorder="1"/>
    <xf numFmtId="0" fontId="9" fillId="2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3" fillId="0" borderId="0" xfId="0" applyFont="1"/>
    <xf numFmtId="0" fontId="7" fillId="0" borderId="2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vertical="center" wrapText="1"/>
    </xf>
    <xf numFmtId="0" fontId="5" fillId="9" borderId="2" xfId="0" applyFont="1" applyFill="1" applyBorder="1"/>
    <xf numFmtId="0" fontId="5" fillId="9" borderId="0" xfId="0" applyFont="1" applyFill="1" applyBorder="1"/>
    <xf numFmtId="0" fontId="5" fillId="9" borderId="0" xfId="0" applyFont="1" applyFill="1"/>
    <xf numFmtId="0" fontId="12" fillId="2" borderId="2" xfId="0" applyFont="1" applyFill="1" applyBorder="1" applyAlignment="1">
      <alignment vertical="center"/>
    </xf>
    <xf numFmtId="0" fontId="3" fillId="10" borderId="2" xfId="0" applyFont="1" applyFill="1" applyBorder="1" applyAlignment="1">
      <alignment vertical="center"/>
    </xf>
    <xf numFmtId="0" fontId="15" fillId="10" borderId="2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/>
    </xf>
    <xf numFmtId="166" fontId="3" fillId="10" borderId="2" xfId="2" applyNumberFormat="1" applyFont="1" applyFill="1" applyBorder="1" applyAlignment="1">
      <alignment horizontal="center" vertical="center" wrapText="1"/>
    </xf>
    <xf numFmtId="2" fontId="3" fillId="10" borderId="2" xfId="2" applyNumberFormat="1" applyFont="1" applyFill="1" applyBorder="1" applyAlignment="1">
      <alignment horizontal="center" vertical="center" wrapText="1"/>
    </xf>
    <xf numFmtId="2" fontId="15" fillId="10" borderId="2" xfId="0" applyNumberFormat="1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3" fillId="10" borderId="2" xfId="0" applyFont="1" applyFill="1" applyBorder="1"/>
    <xf numFmtId="2" fontId="15" fillId="0" borderId="2" xfId="0" applyNumberFormat="1" applyFont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vertical="center" wrapText="1"/>
    </xf>
    <xf numFmtId="167" fontId="15" fillId="10" borderId="2" xfId="0" applyNumberFormat="1" applyFont="1" applyFill="1" applyBorder="1" applyAlignment="1">
      <alignment horizontal="center" vertical="center" wrapText="1"/>
    </xf>
    <xf numFmtId="2" fontId="10" fillId="9" borderId="2" xfId="0" applyNumberFormat="1" applyFont="1" applyFill="1" applyBorder="1" applyAlignment="1">
      <alignment vertical="center" wrapText="1"/>
    </xf>
    <xf numFmtId="2" fontId="10" fillId="4" borderId="2" xfId="0" applyNumberFormat="1" applyFont="1" applyFill="1" applyBorder="1" applyAlignment="1">
      <alignment horizontal="center" vertical="center" wrapText="1"/>
    </xf>
    <xf numFmtId="2" fontId="3" fillId="10" borderId="2" xfId="0" applyNumberFormat="1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68" fontId="15" fillId="10" borderId="2" xfId="6" applyNumberFormat="1" applyFont="1" applyFill="1" applyBorder="1" applyAlignment="1">
      <alignment horizontal="center" vertical="center" wrapText="1"/>
    </xf>
    <xf numFmtId="165" fontId="15" fillId="10" borderId="2" xfId="5" applyFont="1" applyFill="1" applyBorder="1" applyAlignment="1">
      <alignment horizontal="center" vertical="center" wrapText="1"/>
    </xf>
    <xf numFmtId="0" fontId="15" fillId="10" borderId="13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2" fontId="15" fillId="10" borderId="2" xfId="5" applyNumberFormat="1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2" fontId="15" fillId="10" borderId="14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2" fontId="15" fillId="10" borderId="16" xfId="0" applyNumberFormat="1" applyFont="1" applyFill="1" applyBorder="1" applyAlignment="1">
      <alignment horizontal="center" vertical="center" wrapText="1"/>
    </xf>
    <xf numFmtId="2" fontId="15" fillId="10" borderId="14" xfId="5" applyNumberFormat="1" applyFont="1" applyFill="1" applyBorder="1" applyAlignment="1">
      <alignment horizontal="center" vertical="center" wrapText="1"/>
    </xf>
    <xf numFmtId="0" fontId="15" fillId="10" borderId="2" xfId="5" applyNumberFormat="1" applyFont="1" applyFill="1" applyBorder="1" applyAlignment="1">
      <alignment horizontal="center" vertical="center" wrapText="1"/>
    </xf>
    <xf numFmtId="2" fontId="13" fillId="10" borderId="14" xfId="2" applyNumberFormat="1" applyFont="1" applyFill="1" applyBorder="1" applyAlignment="1">
      <alignment horizontal="center" vertical="center" wrapText="1"/>
    </xf>
    <xf numFmtId="2" fontId="15" fillId="10" borderId="13" xfId="5" applyNumberFormat="1" applyFont="1" applyFill="1" applyBorder="1" applyAlignment="1">
      <alignment horizontal="center" vertical="center" wrapText="1"/>
    </xf>
    <xf numFmtId="0" fontId="15" fillId="10" borderId="13" xfId="5" applyNumberFormat="1" applyFont="1" applyFill="1" applyBorder="1" applyAlignment="1">
      <alignment horizontal="center" vertical="center" wrapText="1"/>
    </xf>
    <xf numFmtId="165" fontId="15" fillId="0" borderId="2" xfId="5" applyFont="1" applyBorder="1" applyAlignment="1">
      <alignment horizontal="center" vertical="center" wrapText="1"/>
    </xf>
    <xf numFmtId="2" fontId="15" fillId="0" borderId="2" xfId="5" applyNumberFormat="1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167" fontId="15" fillId="0" borderId="2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2" fontId="15" fillId="10" borderId="13" xfId="0" applyNumberFormat="1" applyFont="1" applyFill="1" applyBorder="1" applyAlignment="1">
      <alignment horizontal="center" vertical="center" wrapText="1"/>
    </xf>
    <xf numFmtId="0" fontId="15" fillId="10" borderId="2" xfId="0" applyNumberFormat="1" applyFont="1" applyFill="1" applyBorder="1" applyAlignment="1">
      <alignment horizontal="center" vertical="center" wrapText="1"/>
    </xf>
    <xf numFmtId="0" fontId="15" fillId="0" borderId="2" xfId="5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/>
    </xf>
    <xf numFmtId="166" fontId="13" fillId="10" borderId="2" xfId="2" applyNumberFormat="1" applyFont="1" applyFill="1" applyBorder="1" applyAlignment="1">
      <alignment horizontal="center" vertical="center" wrapText="1"/>
    </xf>
    <xf numFmtId="2" fontId="13" fillId="10" borderId="2" xfId="2" applyNumberFormat="1" applyFont="1" applyFill="1" applyBorder="1" applyAlignment="1">
      <alignment horizontal="center" vertical="center" wrapText="1"/>
    </xf>
    <xf numFmtId="14" fontId="15" fillId="10" borderId="2" xfId="0" applyNumberFormat="1" applyFont="1" applyFill="1" applyBorder="1" applyAlignment="1">
      <alignment horizontal="center" vertical="center" wrapText="1"/>
    </xf>
    <xf numFmtId="2" fontId="17" fillId="10" borderId="14" xfId="0" applyNumberFormat="1" applyFont="1" applyFill="1" applyBorder="1" applyAlignment="1">
      <alignment horizontal="center" vertical="center" wrapText="1"/>
    </xf>
    <xf numFmtId="14" fontId="14" fillId="10" borderId="14" xfId="0" applyNumberFormat="1" applyFont="1" applyFill="1" applyBorder="1" applyAlignment="1">
      <alignment horizontal="center" vertical="center" wrapText="1"/>
    </xf>
    <xf numFmtId="0" fontId="15" fillId="10" borderId="14" xfId="0" applyNumberFormat="1" applyFont="1" applyFill="1" applyBorder="1" applyAlignment="1">
      <alignment horizontal="center" vertical="center" wrapText="1"/>
    </xf>
    <xf numFmtId="2" fontId="15" fillId="10" borderId="2" xfId="5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horizontal="center"/>
    </xf>
    <xf numFmtId="2" fontId="3" fillId="0" borderId="2" xfId="2" applyNumberFormat="1" applyFont="1" applyFill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166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15" fillId="10" borderId="7" xfId="0" applyFont="1" applyFill="1" applyBorder="1" applyAlignment="1">
      <alignment horizontal="center" vertical="center" wrapText="1"/>
    </xf>
    <xf numFmtId="2" fontId="15" fillId="10" borderId="2" xfId="0" applyNumberFormat="1" applyFont="1" applyFill="1" applyBorder="1" applyAlignment="1">
      <alignment vertical="center" wrapText="1"/>
    </xf>
    <xf numFmtId="166" fontId="19" fillId="10" borderId="2" xfId="0" applyNumberFormat="1" applyFont="1" applyFill="1" applyBorder="1" applyAlignment="1">
      <alignment horizontal="center" vertical="center"/>
    </xf>
    <xf numFmtId="0" fontId="5" fillId="10" borderId="0" xfId="0" applyFont="1" applyFill="1" applyBorder="1"/>
    <xf numFmtId="0" fontId="15" fillId="10" borderId="13" xfId="0" applyFont="1" applyFill="1" applyBorder="1" applyAlignment="1">
      <alignment vertical="center" wrapText="1"/>
    </xf>
    <xf numFmtId="0" fontId="15" fillId="10" borderId="16" xfId="0" applyFont="1" applyFill="1" applyBorder="1" applyAlignment="1">
      <alignment vertical="center" wrapText="1"/>
    </xf>
    <xf numFmtId="0" fontId="15" fillId="10" borderId="14" xfId="0" applyFont="1" applyFill="1" applyBorder="1" applyAlignment="1">
      <alignment vertical="center" wrapText="1"/>
    </xf>
    <xf numFmtId="0" fontId="13" fillId="10" borderId="2" xfId="2" applyFont="1" applyFill="1" applyBorder="1" applyAlignment="1">
      <alignment horizontal="center" vertical="center" wrapText="1"/>
    </xf>
    <xf numFmtId="0" fontId="13" fillId="10" borderId="14" xfId="2" applyFont="1" applyFill="1" applyBorder="1" applyAlignment="1">
      <alignment horizontal="center" vertical="center" wrapText="1"/>
    </xf>
    <xf numFmtId="165" fontId="14" fillId="0" borderId="2" xfId="5" applyFont="1" applyBorder="1" applyAlignment="1">
      <alignment horizontal="center" vertical="center" wrapText="1"/>
    </xf>
    <xf numFmtId="168" fontId="15" fillId="0" borderId="2" xfId="6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 wrapText="1"/>
    </xf>
    <xf numFmtId="14" fontId="15" fillId="10" borderId="14" xfId="0" applyNumberFormat="1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center" wrapText="1"/>
    </xf>
    <xf numFmtId="14" fontId="15" fillId="10" borderId="16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Border="1" applyAlignment="1">
      <alignment horizontal="center" vertical="center" wrapText="1"/>
    </xf>
    <xf numFmtId="165" fontId="15" fillId="10" borderId="14" xfId="5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9" borderId="14" xfId="0" applyFont="1" applyFill="1" applyBorder="1" applyAlignment="1">
      <alignment vertical="center" wrapText="1"/>
    </xf>
    <xf numFmtId="43" fontId="14" fillId="9" borderId="14" xfId="0" applyNumberFormat="1" applyFont="1" applyFill="1" applyBorder="1" applyAlignment="1">
      <alignment vertical="center" wrapText="1"/>
    </xf>
    <xf numFmtId="165" fontId="14" fillId="9" borderId="14" xfId="5" applyFont="1" applyFill="1" applyBorder="1" applyAlignment="1">
      <alignment horizontal="center" vertical="center" wrapText="1"/>
    </xf>
    <xf numFmtId="43" fontId="21" fillId="9" borderId="14" xfId="0" applyNumberFormat="1" applyFont="1" applyFill="1" applyBorder="1" applyAlignment="1">
      <alignment vertical="center" wrapText="1"/>
    </xf>
    <xf numFmtId="2" fontId="14" fillId="4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3" fillId="4" borderId="15" xfId="0" applyFont="1" applyFill="1" applyBorder="1"/>
    <xf numFmtId="0" fontId="14" fillId="4" borderId="5" xfId="0" applyFont="1" applyFill="1" applyBorder="1" applyAlignment="1">
      <alignment horizontal="center" vertical="center" wrapText="1"/>
    </xf>
    <xf numFmtId="2" fontId="21" fillId="4" borderId="2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14" fillId="4" borderId="10" xfId="0" applyFont="1" applyFill="1" applyBorder="1" applyAlignment="1">
      <alignment horizontal="center" vertical="center" wrapText="1"/>
    </xf>
    <xf numFmtId="0" fontId="14" fillId="4" borderId="2" xfId="5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vertical="center" wrapText="1"/>
    </xf>
    <xf numFmtId="168" fontId="14" fillId="4" borderId="2" xfId="0" applyNumberFormat="1" applyFont="1" applyFill="1" applyBorder="1" applyAlignment="1">
      <alignment horizontal="center" vertical="center" wrapText="1"/>
    </xf>
    <xf numFmtId="43" fontId="14" fillId="4" borderId="2" xfId="0" applyNumberFormat="1" applyFont="1" applyFill="1" applyBorder="1" applyAlignment="1">
      <alignment horizontal="center" vertical="center" wrapText="1"/>
    </xf>
    <xf numFmtId="43" fontId="14" fillId="4" borderId="2" xfId="0" applyNumberFormat="1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165" fontId="6" fillId="5" borderId="2" xfId="5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vertical="center"/>
    </xf>
    <xf numFmtId="0" fontId="14" fillId="6" borderId="2" xfId="0" applyFont="1" applyFill="1" applyBorder="1" applyAlignment="1">
      <alignment horizontal="center" vertical="center" wrapText="1"/>
    </xf>
    <xf numFmtId="2" fontId="14" fillId="6" borderId="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/>
    <xf numFmtId="2" fontId="3" fillId="6" borderId="2" xfId="0" applyNumberFormat="1" applyFont="1" applyFill="1" applyBorder="1"/>
    <xf numFmtId="0" fontId="14" fillId="9" borderId="2" xfId="0" applyFont="1" applyFill="1" applyBorder="1" applyAlignment="1">
      <alignment vertical="center" wrapText="1"/>
    </xf>
    <xf numFmtId="2" fontId="14" fillId="9" borderId="2" xfId="0" applyNumberFormat="1" applyFont="1" applyFill="1" applyBorder="1" applyAlignment="1">
      <alignment vertical="center" wrapText="1"/>
    </xf>
    <xf numFmtId="165" fontId="14" fillId="9" borderId="2" xfId="5" applyFont="1" applyFill="1" applyBorder="1" applyAlignment="1">
      <alignment horizontal="center" vertical="center" wrapText="1"/>
    </xf>
    <xf numFmtId="0" fontId="3" fillId="6" borderId="15" xfId="0" applyFont="1" applyFill="1" applyBorder="1"/>
    <xf numFmtId="0" fontId="14" fillId="6" borderId="5" xfId="0" applyFont="1" applyFill="1" applyBorder="1" applyAlignment="1">
      <alignment horizontal="center" vertical="center" wrapText="1"/>
    </xf>
    <xf numFmtId="165" fontId="14" fillId="6" borderId="2" xfId="5" applyFont="1" applyFill="1" applyBorder="1" applyAlignment="1">
      <alignment horizontal="center" vertical="center" wrapText="1"/>
    </xf>
    <xf numFmtId="0" fontId="3" fillId="6" borderId="0" xfId="0" applyFont="1" applyFill="1" applyBorder="1"/>
    <xf numFmtId="0" fontId="14" fillId="6" borderId="10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3" fillId="7" borderId="2" xfId="0" applyFont="1" applyFill="1" applyBorder="1"/>
    <xf numFmtId="165" fontId="20" fillId="7" borderId="2" xfId="5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vertical="center" wrapText="1"/>
    </xf>
    <xf numFmtId="0" fontId="14" fillId="10" borderId="2" xfId="0" applyNumberFormat="1" applyFont="1" applyFill="1" applyBorder="1" applyAlignment="1">
      <alignment horizontal="center" vertical="center" wrapText="1"/>
    </xf>
    <xf numFmtId="165" fontId="13" fillId="10" borderId="2" xfId="5" applyFont="1" applyFill="1" applyBorder="1" applyAlignment="1">
      <alignment horizontal="center" vertical="center" wrapText="1"/>
    </xf>
    <xf numFmtId="166" fontId="13" fillId="10" borderId="14" xfId="2" applyNumberFormat="1" applyFont="1" applyFill="1" applyBorder="1" applyAlignment="1">
      <alignment horizontal="center" vertical="center" wrapText="1"/>
    </xf>
    <xf numFmtId="165" fontId="14" fillId="10" borderId="14" xfId="5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vertical="center" wrapText="1"/>
    </xf>
    <xf numFmtId="168" fontId="20" fillId="9" borderId="2" xfId="0" applyNumberFormat="1" applyFont="1" applyFill="1" applyBorder="1" applyAlignment="1">
      <alignment vertical="center" wrapText="1"/>
    </xf>
    <xf numFmtId="2" fontId="20" fillId="9" borderId="2" xfId="0" applyNumberFormat="1" applyFont="1" applyFill="1" applyBorder="1" applyAlignment="1">
      <alignment vertical="center" wrapText="1"/>
    </xf>
    <xf numFmtId="165" fontId="20" fillId="9" borderId="2" xfId="5" applyFont="1" applyFill="1" applyBorder="1" applyAlignment="1">
      <alignment horizontal="center" vertical="center" wrapText="1"/>
    </xf>
    <xf numFmtId="2" fontId="14" fillId="7" borderId="2" xfId="0" applyNumberFormat="1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3" fillId="7" borderId="15" xfId="0" applyFont="1" applyFill="1" applyBorder="1"/>
    <xf numFmtId="0" fontId="14" fillId="7" borderId="5" xfId="0" applyFont="1" applyFill="1" applyBorder="1" applyAlignment="1">
      <alignment horizontal="center" vertical="center" wrapText="1"/>
    </xf>
    <xf numFmtId="165" fontId="14" fillId="7" borderId="2" xfId="5" applyFont="1" applyFill="1" applyBorder="1" applyAlignment="1">
      <alignment horizontal="center" vertical="center" wrapText="1"/>
    </xf>
    <xf numFmtId="0" fontId="3" fillId="7" borderId="0" xfId="0" applyFont="1" applyFill="1" applyBorder="1"/>
    <xf numFmtId="0" fontId="14" fillId="7" borderId="10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vertical="center" wrapText="1"/>
    </xf>
    <xf numFmtId="0" fontId="14" fillId="7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165" fontId="8" fillId="2" borderId="2" xfId="5" applyFont="1" applyFill="1" applyBorder="1" applyAlignment="1">
      <alignment horizontal="center" vertical="center"/>
    </xf>
    <xf numFmtId="165" fontId="15" fillId="0" borderId="14" xfId="5" applyFont="1" applyBorder="1" applyAlignment="1">
      <alignment horizontal="center" vertical="center" wrapText="1"/>
    </xf>
    <xf numFmtId="14" fontId="15" fillId="10" borderId="13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2" fillId="0" borderId="0" xfId="0" applyFont="1"/>
    <xf numFmtId="0" fontId="17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2" fontId="3" fillId="10" borderId="14" xfId="2" applyNumberFormat="1" applyFont="1" applyFill="1" applyBorder="1" applyAlignment="1">
      <alignment horizontal="center" vertical="center" wrapText="1"/>
    </xf>
    <xf numFmtId="166" fontId="3" fillId="0" borderId="13" xfId="2" applyNumberFormat="1" applyFont="1" applyFill="1" applyBorder="1" applyAlignment="1">
      <alignment horizontal="center" vertical="center" wrapText="1"/>
    </xf>
    <xf numFmtId="2" fontId="3" fillId="0" borderId="13" xfId="2" applyNumberFormat="1" applyFont="1" applyFill="1" applyBorder="1" applyAlignment="1">
      <alignment horizontal="center" vertical="center" wrapText="1"/>
    </xf>
    <xf numFmtId="2" fontId="3" fillId="0" borderId="4" xfId="2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43" fontId="14" fillId="9" borderId="2" xfId="0" applyNumberFormat="1" applyFont="1" applyFill="1" applyBorder="1" applyAlignment="1">
      <alignment vertical="center" wrapText="1"/>
    </xf>
    <xf numFmtId="43" fontId="21" fillId="9" borderId="2" xfId="0" applyNumberFormat="1" applyFont="1" applyFill="1" applyBorder="1" applyAlignment="1">
      <alignment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/>
    <xf numFmtId="2" fontId="15" fillId="9" borderId="2" xfId="0" applyNumberFormat="1" applyFont="1" applyFill="1" applyBorder="1" applyAlignment="1">
      <alignment vertical="center" wrapText="1"/>
    </xf>
    <xf numFmtId="0" fontId="15" fillId="10" borderId="2" xfId="5" applyNumberFormat="1" applyFont="1" applyFill="1" applyBorder="1" applyAlignment="1">
      <alignment vertical="center" wrapText="1"/>
    </xf>
    <xf numFmtId="0" fontId="3" fillId="0" borderId="2" xfId="0" applyFont="1" applyBorder="1" applyAlignment="1"/>
    <xf numFmtId="0" fontId="18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43" fontId="14" fillId="0" borderId="2" xfId="0" applyNumberFormat="1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165" fontId="15" fillId="0" borderId="2" xfId="5" applyFont="1" applyFill="1" applyBorder="1" applyAlignment="1">
      <alignment horizontal="center" vertical="center" wrapText="1"/>
    </xf>
    <xf numFmtId="43" fontId="21" fillId="0" borderId="2" xfId="0" applyNumberFormat="1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43" fontId="14" fillId="0" borderId="6" xfId="0" applyNumberFormat="1" applyFont="1" applyFill="1" applyBorder="1" applyAlignment="1">
      <alignment vertical="center" wrapText="1"/>
    </xf>
    <xf numFmtId="165" fontId="14" fillId="0" borderId="6" xfId="5" applyFont="1" applyFill="1" applyBorder="1" applyAlignment="1">
      <alignment horizontal="center" vertical="center" wrapText="1"/>
    </xf>
    <xf numFmtId="43" fontId="21" fillId="0" borderId="7" xfId="0" applyNumberFormat="1" applyFont="1" applyFill="1" applyBorder="1" applyAlignment="1">
      <alignment vertical="center" wrapText="1"/>
    </xf>
    <xf numFmtId="165" fontId="14" fillId="0" borderId="2" xfId="5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43" fontId="15" fillId="0" borderId="2" xfId="0" applyNumberFormat="1" applyFont="1" applyFill="1" applyBorder="1" applyAlignment="1">
      <alignment vertical="center" wrapText="1"/>
    </xf>
    <xf numFmtId="2" fontId="14" fillId="9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5" fillId="0" borderId="2" xfId="0" applyFont="1" applyFill="1" applyBorder="1" applyAlignment="1">
      <alignment horizontal="center" vertical="center"/>
    </xf>
    <xf numFmtId="0" fontId="24" fillId="9" borderId="2" xfId="0" applyFont="1" applyFill="1" applyBorder="1" applyAlignment="1">
      <alignment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2" fontId="14" fillId="9" borderId="14" xfId="0" applyNumberFormat="1" applyFont="1" applyFill="1" applyBorder="1" applyAlignment="1">
      <alignment vertical="center" wrapText="1"/>
    </xf>
    <xf numFmtId="0" fontId="26" fillId="0" borderId="2" xfId="0" applyFont="1" applyFill="1" applyBorder="1" applyAlignment="1">
      <alignment vertical="center"/>
    </xf>
    <xf numFmtId="2" fontId="26" fillId="0" borderId="2" xfId="0" applyNumberFormat="1" applyFont="1" applyFill="1" applyBorder="1" applyAlignment="1">
      <alignment vertical="center"/>
    </xf>
    <xf numFmtId="0" fontId="26" fillId="0" borderId="2" xfId="0" applyFont="1" applyBorder="1" applyAlignment="1">
      <alignment vertical="center"/>
    </xf>
    <xf numFmtId="2" fontId="3" fillId="10" borderId="14" xfId="2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/>
    <xf numFmtId="2" fontId="5" fillId="9" borderId="0" xfId="0" applyNumberFormat="1" applyFont="1" applyFill="1" applyBorder="1"/>
    <xf numFmtId="2" fontId="3" fillId="0" borderId="13" xfId="2" applyNumberFormat="1" applyFont="1" applyFill="1" applyBorder="1" applyAlignment="1">
      <alignment horizontal="center" vertical="center" wrapText="1"/>
    </xf>
    <xf numFmtId="2" fontId="3" fillId="0" borderId="16" xfId="2" applyNumberFormat="1" applyFont="1" applyFill="1" applyBorder="1" applyAlignment="1">
      <alignment horizontal="center" vertical="center" wrapText="1"/>
    </xf>
    <xf numFmtId="2" fontId="3" fillId="0" borderId="14" xfId="2" applyNumberFormat="1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left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165" fontId="14" fillId="7" borderId="13" xfId="5" applyFont="1" applyFill="1" applyBorder="1" applyAlignment="1">
      <alignment horizontal="center" vertical="center" wrapText="1"/>
    </xf>
    <xf numFmtId="165" fontId="14" fillId="7" borderId="14" xfId="5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left" vertical="center" wrapText="1"/>
    </xf>
    <xf numFmtId="0" fontId="14" fillId="7" borderId="14" xfId="0" applyFont="1" applyFill="1" applyBorder="1" applyAlignment="1">
      <alignment horizontal="left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2" fontId="3" fillId="0" borderId="5" xfId="2" applyNumberFormat="1" applyFont="1" applyFill="1" applyBorder="1" applyAlignment="1">
      <alignment horizontal="center" vertical="center" wrapText="1"/>
    </xf>
    <xf numFmtId="2" fontId="3" fillId="0" borderId="10" xfId="2" applyNumberFormat="1" applyFont="1" applyFill="1" applyBorder="1" applyAlignment="1">
      <alignment horizontal="center" vertical="center" wrapText="1"/>
    </xf>
    <xf numFmtId="2" fontId="3" fillId="0" borderId="12" xfId="2" applyNumberFormat="1" applyFont="1" applyFill="1" applyBorder="1" applyAlignment="1">
      <alignment horizontal="center" vertical="center" wrapText="1"/>
    </xf>
    <xf numFmtId="165" fontId="3" fillId="0" borderId="13" xfId="5" applyFont="1" applyFill="1" applyBorder="1" applyAlignment="1">
      <alignment horizontal="center" vertical="center" wrapText="1"/>
    </xf>
    <xf numFmtId="165" fontId="3" fillId="0" borderId="16" xfId="5" applyFont="1" applyFill="1" applyBorder="1" applyAlignment="1">
      <alignment horizontal="center" vertical="center" wrapText="1"/>
    </xf>
    <xf numFmtId="165" fontId="3" fillId="0" borderId="14" xfId="5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15" fillId="10" borderId="13" xfId="0" applyNumberFormat="1" applyFont="1" applyFill="1" applyBorder="1" applyAlignment="1">
      <alignment horizontal="center" vertical="center" wrapText="1"/>
    </xf>
    <xf numFmtId="2" fontId="15" fillId="10" borderId="16" xfId="0" applyNumberFormat="1" applyFont="1" applyFill="1" applyBorder="1" applyAlignment="1">
      <alignment horizontal="center" vertical="center" wrapText="1"/>
    </xf>
    <xf numFmtId="2" fontId="15" fillId="10" borderId="14" xfId="0" applyNumberFormat="1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vertical="center"/>
    </xf>
    <xf numFmtId="0" fontId="20" fillId="3" borderId="15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20" fillId="3" borderId="9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20" fillId="3" borderId="10" xfId="0" applyFont="1" applyFill="1" applyBorder="1" applyAlignment="1">
      <alignment vertical="center"/>
    </xf>
    <xf numFmtId="0" fontId="20" fillId="3" borderId="1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20" fillId="3" borderId="12" xfId="0" applyFont="1" applyFill="1" applyBorder="1" applyAlignment="1">
      <alignment vertical="center"/>
    </xf>
    <xf numFmtId="0" fontId="14" fillId="4" borderId="13" xfId="0" applyFont="1" applyFill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168" fontId="14" fillId="4" borderId="13" xfId="0" applyNumberFormat="1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2" fontId="14" fillId="4" borderId="13" xfId="5" applyNumberFormat="1" applyFont="1" applyFill="1" applyBorder="1" applyAlignment="1">
      <alignment horizontal="center" vertical="center" wrapText="1"/>
    </xf>
    <xf numFmtId="0" fontId="14" fillId="4" borderId="14" xfId="5" applyNumberFormat="1" applyFont="1" applyFill="1" applyBorder="1" applyAlignment="1">
      <alignment horizontal="center" vertical="center" wrapText="1"/>
    </xf>
    <xf numFmtId="2" fontId="14" fillId="4" borderId="13" xfId="0" applyNumberFormat="1" applyFont="1" applyFill="1" applyBorder="1" applyAlignment="1">
      <alignment horizontal="center" vertical="center" wrapText="1"/>
    </xf>
    <xf numFmtId="2" fontId="14" fillId="4" borderId="14" xfId="0" applyNumberFormat="1" applyFont="1" applyFill="1" applyBorder="1" applyAlignment="1">
      <alignment horizontal="center" vertical="center" wrapText="1"/>
    </xf>
    <xf numFmtId="2" fontId="15" fillId="10" borderId="13" xfId="5" applyNumberFormat="1" applyFont="1" applyFill="1" applyBorder="1" applyAlignment="1">
      <alignment horizontal="center" vertical="center" wrapText="1"/>
    </xf>
    <xf numFmtId="2" fontId="15" fillId="10" borderId="14" xfId="5" applyNumberFormat="1" applyFont="1" applyFill="1" applyBorder="1" applyAlignment="1">
      <alignment horizontal="center" vertical="center" wrapText="1"/>
    </xf>
    <xf numFmtId="0" fontId="15" fillId="10" borderId="13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5" fillId="10" borderId="13" xfId="0" applyNumberFormat="1" applyFont="1" applyFill="1" applyBorder="1" applyAlignment="1">
      <alignment horizontal="center" vertical="center" wrapText="1"/>
    </xf>
    <xf numFmtId="0" fontId="15" fillId="10" borderId="14" xfId="0" applyNumberFormat="1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14" fontId="15" fillId="10" borderId="13" xfId="0" applyNumberFormat="1" applyFont="1" applyFill="1" applyBorder="1" applyAlignment="1">
      <alignment horizontal="center" vertical="center" wrapText="1"/>
    </xf>
    <xf numFmtId="14" fontId="15" fillId="10" borderId="16" xfId="0" applyNumberFormat="1" applyFont="1" applyFill="1" applyBorder="1" applyAlignment="1">
      <alignment horizontal="center" vertical="center" wrapText="1"/>
    </xf>
    <xf numFmtId="14" fontId="15" fillId="10" borderId="14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166" fontId="3" fillId="0" borderId="2" xfId="2" applyNumberFormat="1" applyFont="1" applyFill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16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66" fontId="3" fillId="0" borderId="13" xfId="2" applyNumberFormat="1" applyFont="1" applyFill="1" applyBorder="1" applyAlignment="1">
      <alignment horizontal="center" vertical="center" wrapText="1"/>
    </xf>
    <xf numFmtId="166" fontId="3" fillId="0" borderId="16" xfId="2" applyNumberFormat="1" applyFont="1" applyFill="1" applyBorder="1" applyAlignment="1">
      <alignment horizontal="center" vertical="center" wrapText="1"/>
    </xf>
    <xf numFmtId="166" fontId="3" fillId="0" borderId="14" xfId="2" applyNumberFormat="1" applyFont="1" applyFill="1" applyBorder="1" applyAlignment="1">
      <alignment horizontal="center" vertical="center" wrapText="1"/>
    </xf>
    <xf numFmtId="14" fontId="15" fillId="0" borderId="13" xfId="0" applyNumberFormat="1" applyFont="1" applyBorder="1" applyAlignment="1">
      <alignment horizontal="center" vertical="center" wrapText="1"/>
    </xf>
    <xf numFmtId="14" fontId="15" fillId="0" borderId="16" xfId="0" applyNumberFormat="1" applyFont="1" applyBorder="1" applyAlignment="1">
      <alignment horizontal="center" vertical="center" wrapText="1"/>
    </xf>
    <xf numFmtId="14" fontId="15" fillId="0" borderId="14" xfId="0" applyNumberFormat="1" applyFont="1" applyBorder="1" applyAlignment="1">
      <alignment horizontal="center" vertical="center" wrapText="1"/>
    </xf>
    <xf numFmtId="2" fontId="15" fillId="0" borderId="13" xfId="5" applyNumberFormat="1" applyFont="1" applyBorder="1" applyAlignment="1">
      <alignment horizontal="center" vertical="center" wrapText="1"/>
    </xf>
    <xf numFmtId="2" fontId="15" fillId="0" borderId="14" xfId="5" applyNumberFormat="1" applyFont="1" applyBorder="1" applyAlignment="1">
      <alignment horizontal="center" vertical="center" wrapText="1"/>
    </xf>
    <xf numFmtId="165" fontId="15" fillId="0" borderId="13" xfId="5" applyFont="1" applyBorder="1" applyAlignment="1">
      <alignment horizontal="center" vertical="center" wrapText="1"/>
    </xf>
    <xf numFmtId="165" fontId="15" fillId="0" borderId="16" xfId="5" applyFont="1" applyBorder="1" applyAlignment="1">
      <alignment horizontal="center" vertical="center" wrapText="1"/>
    </xf>
    <xf numFmtId="165" fontId="15" fillId="0" borderId="14" xfId="5" applyFont="1" applyBorder="1" applyAlignment="1">
      <alignment horizontal="center" vertical="center" wrapText="1"/>
    </xf>
    <xf numFmtId="0" fontId="15" fillId="10" borderId="13" xfId="5" applyNumberFormat="1" applyFont="1" applyFill="1" applyBorder="1" applyAlignment="1">
      <alignment horizontal="center" vertical="center" wrapText="1"/>
    </xf>
    <xf numFmtId="0" fontId="15" fillId="10" borderId="14" xfId="5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3" fillId="10" borderId="13" xfId="2" applyFont="1" applyFill="1" applyBorder="1" applyAlignment="1">
      <alignment horizontal="center" vertical="center" wrapText="1"/>
    </xf>
    <xf numFmtId="0" fontId="3" fillId="10" borderId="16" xfId="2" applyFont="1" applyFill="1" applyBorder="1" applyAlignment="1">
      <alignment horizontal="center" vertical="center" wrapText="1"/>
    </xf>
    <xf numFmtId="0" fontId="3" fillId="10" borderId="14" xfId="2" applyFont="1" applyFill="1" applyBorder="1" applyAlignment="1">
      <alignment horizontal="center" vertical="center" wrapText="1"/>
    </xf>
    <xf numFmtId="2" fontId="3" fillId="10" borderId="13" xfId="2" applyNumberFormat="1" applyFont="1" applyFill="1" applyBorder="1" applyAlignment="1">
      <alignment horizontal="center" vertical="center" wrapText="1"/>
    </xf>
    <xf numFmtId="2" fontId="3" fillId="10" borderId="16" xfId="2" applyNumberFormat="1" applyFont="1" applyFill="1" applyBorder="1" applyAlignment="1">
      <alignment horizontal="center" vertical="center" wrapText="1"/>
    </xf>
    <xf numFmtId="2" fontId="3" fillId="10" borderId="14" xfId="2" applyNumberFormat="1" applyFont="1" applyFill="1" applyBorder="1" applyAlignment="1">
      <alignment horizontal="center" vertical="center" wrapText="1"/>
    </xf>
    <xf numFmtId="165" fontId="3" fillId="10" borderId="13" xfId="5" applyFont="1" applyFill="1" applyBorder="1" applyAlignment="1">
      <alignment horizontal="center" vertical="center" wrapText="1"/>
    </xf>
    <xf numFmtId="165" fontId="3" fillId="10" borderId="16" xfId="5" applyFont="1" applyFill="1" applyBorder="1" applyAlignment="1">
      <alignment horizontal="center" vertical="center" wrapText="1"/>
    </xf>
    <xf numFmtId="165" fontId="3" fillId="10" borderId="14" xfId="5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2" fontId="3" fillId="0" borderId="2" xfId="2" applyNumberFormat="1" applyFont="1" applyFill="1" applyBorder="1" applyAlignment="1">
      <alignment horizontal="center" vertical="center" wrapText="1"/>
    </xf>
    <xf numFmtId="165" fontId="3" fillId="0" borderId="2" xfId="5" applyFont="1" applyFill="1" applyBorder="1" applyAlignment="1">
      <alignment horizontal="center" vertical="center" wrapText="1"/>
    </xf>
    <xf numFmtId="2" fontId="15" fillId="1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168" fontId="15" fillId="10" borderId="13" xfId="6" applyNumberFormat="1" applyFont="1" applyFill="1" applyBorder="1" applyAlignment="1">
      <alignment horizontal="center" vertical="center" wrapText="1"/>
    </xf>
    <xf numFmtId="168" fontId="15" fillId="10" borderId="14" xfId="6" applyNumberFormat="1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left" vertical="center" wrapText="1"/>
    </xf>
    <xf numFmtId="168" fontId="3" fillId="0" borderId="13" xfId="6" applyNumberFormat="1" applyFont="1" applyBorder="1" applyAlignment="1">
      <alignment horizontal="center" vertical="center"/>
    </xf>
    <xf numFmtId="168" fontId="3" fillId="0" borderId="14" xfId="6" applyNumberFormat="1" applyFont="1" applyBorder="1" applyAlignment="1">
      <alignment horizontal="center" vertical="center"/>
    </xf>
    <xf numFmtId="168" fontId="15" fillId="0" borderId="13" xfId="6" applyNumberFormat="1" applyFont="1" applyBorder="1" applyAlignment="1">
      <alignment horizontal="center" vertical="center" wrapText="1"/>
    </xf>
    <xf numFmtId="168" fontId="15" fillId="0" borderId="14" xfId="6" applyNumberFormat="1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left" vertical="center" wrapText="1"/>
    </xf>
    <xf numFmtId="0" fontId="10" fillId="9" borderId="6" xfId="0" applyFont="1" applyFill="1" applyBorder="1" applyAlignment="1">
      <alignment horizontal="left" vertical="center" wrapText="1"/>
    </xf>
    <xf numFmtId="0" fontId="10" fillId="9" borderId="7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8" fontId="15" fillId="0" borderId="16" xfId="6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68" fontId="15" fillId="10" borderId="16" xfId="6" applyNumberFormat="1" applyFont="1" applyFill="1" applyBorder="1" applyAlignment="1">
      <alignment horizontal="center" vertical="center" wrapText="1"/>
    </xf>
    <xf numFmtId="2" fontId="3" fillId="10" borderId="13" xfId="0" applyNumberFormat="1" applyFont="1" applyFill="1" applyBorder="1" applyAlignment="1">
      <alignment horizontal="center" vertical="center"/>
    </xf>
    <xf numFmtId="2" fontId="3" fillId="10" borderId="14" xfId="0" applyNumberFormat="1" applyFont="1" applyFill="1" applyBorder="1" applyAlignment="1">
      <alignment horizontal="center" vertical="center"/>
    </xf>
    <xf numFmtId="166" fontId="3" fillId="10" borderId="13" xfId="2" applyNumberFormat="1" applyFont="1" applyFill="1" applyBorder="1" applyAlignment="1">
      <alignment horizontal="center" vertical="center" wrapText="1"/>
    </xf>
    <xf numFmtId="166" fontId="3" fillId="10" borderId="16" xfId="2" applyNumberFormat="1" applyFont="1" applyFill="1" applyBorder="1" applyAlignment="1">
      <alignment horizontal="center" vertical="center" wrapText="1"/>
    </xf>
    <xf numFmtId="166" fontId="3" fillId="10" borderId="14" xfId="2" applyNumberFormat="1" applyFont="1" applyFill="1" applyBorder="1" applyAlignment="1">
      <alignment horizontal="center" vertical="center" wrapText="1"/>
    </xf>
    <xf numFmtId="0" fontId="14" fillId="4" borderId="13" xfId="5" applyNumberFormat="1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left" vertical="center" wrapText="1"/>
    </xf>
    <xf numFmtId="0" fontId="14" fillId="9" borderId="6" xfId="0" applyFont="1" applyFill="1" applyBorder="1" applyAlignment="1">
      <alignment horizontal="left" vertical="center" wrapText="1"/>
    </xf>
    <xf numFmtId="0" fontId="14" fillId="9" borderId="7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left" vertical="center" wrapText="1"/>
    </xf>
    <xf numFmtId="0" fontId="14" fillId="6" borderId="14" xfId="0" applyFont="1" applyFill="1" applyBorder="1" applyAlignment="1">
      <alignment horizontal="left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14" fillId="10" borderId="13" xfId="0" applyNumberFormat="1" applyFont="1" applyFill="1" applyBorder="1" applyAlignment="1">
      <alignment horizontal="center" vertical="center" wrapText="1"/>
    </xf>
    <xf numFmtId="0" fontId="14" fillId="10" borderId="14" xfId="0" applyNumberFormat="1" applyFont="1" applyFill="1" applyBorder="1" applyAlignment="1">
      <alignment horizontal="center" vertical="center" wrapText="1"/>
    </xf>
    <xf numFmtId="2" fontId="13" fillId="10" borderId="13" xfId="2" applyNumberFormat="1" applyFont="1" applyFill="1" applyBorder="1" applyAlignment="1">
      <alignment horizontal="center" vertical="center" wrapText="1"/>
    </xf>
    <xf numFmtId="2" fontId="13" fillId="10" borderId="14" xfId="2" applyNumberFormat="1" applyFont="1" applyFill="1" applyBorder="1" applyAlignment="1">
      <alignment horizontal="center" vertical="center" wrapText="1"/>
    </xf>
    <xf numFmtId="165" fontId="13" fillId="10" borderId="13" xfId="5" applyFont="1" applyFill="1" applyBorder="1" applyAlignment="1">
      <alignment horizontal="center" vertical="center" wrapText="1"/>
    </xf>
    <xf numFmtId="165" fontId="13" fillId="10" borderId="14" xfId="5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/>
    </xf>
    <xf numFmtId="165" fontId="14" fillId="6" borderId="13" xfId="5" applyFont="1" applyFill="1" applyBorder="1" applyAlignment="1">
      <alignment horizontal="center" vertical="center" wrapText="1"/>
    </xf>
    <xf numFmtId="165" fontId="14" fillId="6" borderId="14" xfId="5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left" vertical="center" wrapText="1"/>
    </xf>
    <xf numFmtId="0" fontId="20" fillId="9" borderId="6" xfId="0" applyFont="1" applyFill="1" applyBorder="1" applyAlignment="1">
      <alignment horizontal="left" vertical="center" wrapText="1"/>
    </xf>
    <xf numFmtId="0" fontId="20" fillId="9" borderId="7" xfId="0" applyFont="1" applyFill="1" applyBorder="1" applyAlignment="1">
      <alignment horizontal="left" vertical="center" wrapText="1"/>
    </xf>
    <xf numFmtId="0" fontId="20" fillId="8" borderId="4" xfId="0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20" fillId="8" borderId="9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0" fontId="20" fillId="8" borderId="1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168" fontId="14" fillId="7" borderId="13" xfId="0" applyNumberFormat="1" applyFont="1" applyFill="1" applyBorder="1" applyAlignment="1">
      <alignment horizontal="center" vertical="center" wrapText="1"/>
    </xf>
    <xf numFmtId="2" fontId="14" fillId="7" borderId="13" xfId="0" applyNumberFormat="1" applyFont="1" applyFill="1" applyBorder="1" applyAlignment="1">
      <alignment horizontal="center" vertical="center" wrapText="1"/>
    </xf>
  </cellXfs>
  <cellStyles count="7">
    <cellStyle name="Денежный" xfId="6" builtinId="4"/>
    <cellStyle name="Обычный" xfId="0" builtinId="0"/>
    <cellStyle name="Обычный 2" xfId="3"/>
    <cellStyle name="Обычный 3" xfId="1"/>
    <cellStyle name="Обычный 4" xfId="4"/>
    <cellStyle name="Обычный_Прил 1" xfId="2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CH449"/>
  <sheetViews>
    <sheetView tabSelected="1" view="pageBreakPreview" zoomScale="80" zoomScaleNormal="80" zoomScaleSheetLayoutView="80" workbookViewId="0">
      <pane xSplit="3" ySplit="6" topLeftCell="D421" activePane="bottomRight" state="frozen"/>
      <selection sqref="A1:IV65536"/>
      <selection pane="topRight" sqref="A1:IV65536"/>
      <selection pane="bottomLeft" sqref="A1:IV65536"/>
      <selection pane="bottomRight" activeCell="N17" sqref="N17"/>
    </sheetView>
  </sheetViews>
  <sheetFormatPr defaultColWidth="11.42578125" defaultRowHeight="15" x14ac:dyDescent="0.25"/>
  <cols>
    <col min="1" max="1" width="4.28515625" style="1" customWidth="1"/>
    <col min="2" max="2" width="11.7109375" style="1" customWidth="1"/>
    <col min="3" max="3" width="43.5703125" style="17" customWidth="1"/>
    <col min="4" max="6" width="12" style="17" customWidth="1"/>
    <col min="7" max="7" width="14.140625" style="17" customWidth="1"/>
    <col min="8" max="9" width="11.42578125" style="17" customWidth="1"/>
    <col min="10" max="10" width="22.85546875" style="17" customWidth="1"/>
    <col min="11" max="11" width="12.42578125" style="17" customWidth="1"/>
    <col min="12" max="12" width="11.42578125" style="17" customWidth="1"/>
    <col min="13" max="13" width="13" style="17" customWidth="1"/>
    <col min="14" max="15" width="10.7109375" style="17" customWidth="1"/>
    <col min="16" max="16" width="22.85546875" style="17" customWidth="1"/>
    <col min="17" max="17" width="12" style="17" customWidth="1"/>
    <col min="18" max="18" width="10.7109375" style="17" customWidth="1"/>
    <col min="19" max="19" width="23.140625" style="17" customWidth="1"/>
    <col min="20" max="20" width="12.42578125" style="17" customWidth="1"/>
    <col min="21" max="21" width="13.85546875" style="17" customWidth="1"/>
    <col min="22" max="22" width="22.85546875" style="17" customWidth="1"/>
    <col min="23" max="24" width="11.7109375" style="17" customWidth="1"/>
    <col min="25" max="25" width="13.85546875" style="17" customWidth="1"/>
    <col min="26" max="26" width="14.85546875" style="17" customWidth="1"/>
    <col min="27" max="27" width="11.28515625" style="17" customWidth="1"/>
    <col min="28" max="28" width="22.85546875" style="17" customWidth="1"/>
    <col min="29" max="30" width="11.7109375" style="17" customWidth="1"/>
    <col min="31" max="31" width="13.140625" style="17" customWidth="1"/>
    <col min="32" max="32" width="12.28515625" style="17" customWidth="1"/>
    <col min="33" max="33" width="12.85546875" style="1" customWidth="1"/>
    <col min="34" max="34" width="22.85546875" style="1" customWidth="1"/>
    <col min="35" max="35" width="12.28515625" style="1" customWidth="1"/>
    <col min="36" max="36" width="11.42578125" style="1" customWidth="1"/>
    <col min="37" max="37" width="13.42578125" style="1" customWidth="1"/>
    <col min="38" max="38" width="11.42578125" style="1" customWidth="1"/>
    <col min="39" max="39" width="14.140625" style="1" customWidth="1"/>
    <col min="40" max="40" width="21.85546875" style="1" customWidth="1"/>
    <col min="41" max="41" width="12.85546875" style="1" customWidth="1"/>
    <col min="42" max="42" width="11.42578125" style="1" customWidth="1"/>
    <col min="43" max="43" width="13.28515625" style="1" customWidth="1"/>
    <col min="44" max="44" width="18.28515625" style="7" customWidth="1"/>
    <col min="45" max="86" width="11.42578125" style="7"/>
    <col min="87" max="16384" width="11.42578125" style="1"/>
  </cols>
  <sheetData>
    <row r="1" spans="1:86" ht="36" customHeight="1" x14ac:dyDescent="0.25">
      <c r="A1" s="342" t="s">
        <v>53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4"/>
    </row>
    <row r="2" spans="1:86" s="24" customFormat="1" ht="21" customHeight="1" x14ac:dyDescent="0.2">
      <c r="A2" s="347" t="s">
        <v>0</v>
      </c>
      <c r="B2" s="348" t="s">
        <v>26</v>
      </c>
      <c r="C2" s="349" t="s">
        <v>52</v>
      </c>
      <c r="D2" s="334" t="s">
        <v>49</v>
      </c>
      <c r="E2" s="335"/>
      <c r="F2" s="335"/>
      <c r="G2" s="336"/>
      <c r="H2" s="346" t="s">
        <v>27</v>
      </c>
      <c r="I2" s="346"/>
      <c r="J2" s="346"/>
      <c r="K2" s="346"/>
      <c r="L2" s="346"/>
      <c r="M2" s="346"/>
      <c r="N2" s="346" t="s">
        <v>36</v>
      </c>
      <c r="O2" s="346"/>
      <c r="P2" s="346"/>
      <c r="Q2" s="346"/>
      <c r="R2" s="346"/>
      <c r="S2" s="346"/>
      <c r="T2" s="346" t="s">
        <v>37</v>
      </c>
      <c r="U2" s="346"/>
      <c r="V2" s="346"/>
      <c r="W2" s="346"/>
      <c r="X2" s="346"/>
      <c r="Y2" s="346"/>
      <c r="Z2" s="346" t="s">
        <v>38</v>
      </c>
      <c r="AA2" s="346"/>
      <c r="AB2" s="346"/>
      <c r="AC2" s="346"/>
      <c r="AD2" s="346"/>
      <c r="AE2" s="346"/>
      <c r="AF2" s="346" t="s">
        <v>39</v>
      </c>
      <c r="AG2" s="346"/>
      <c r="AH2" s="346"/>
      <c r="AI2" s="346"/>
      <c r="AJ2" s="346"/>
      <c r="AK2" s="346"/>
      <c r="AL2" s="346" t="s">
        <v>40</v>
      </c>
      <c r="AM2" s="346"/>
      <c r="AN2" s="346"/>
      <c r="AO2" s="346"/>
      <c r="AP2" s="346"/>
      <c r="AQ2" s="346"/>
      <c r="AR2" s="320" t="s">
        <v>48</v>
      </c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</row>
    <row r="3" spans="1:86" s="24" customFormat="1" ht="21" customHeight="1" x14ac:dyDescent="0.2">
      <c r="A3" s="347"/>
      <c r="B3" s="348"/>
      <c r="C3" s="349"/>
      <c r="D3" s="337"/>
      <c r="E3" s="338"/>
      <c r="F3" s="338"/>
      <c r="G3" s="339"/>
      <c r="H3" s="346" t="s">
        <v>28</v>
      </c>
      <c r="I3" s="346"/>
      <c r="J3" s="346" t="s">
        <v>29</v>
      </c>
      <c r="K3" s="346" t="s">
        <v>30</v>
      </c>
      <c r="L3" s="346"/>
      <c r="M3" s="346" t="s">
        <v>1</v>
      </c>
      <c r="N3" s="346" t="s">
        <v>28</v>
      </c>
      <c r="O3" s="346"/>
      <c r="P3" s="346" t="s">
        <v>29</v>
      </c>
      <c r="Q3" s="346" t="s">
        <v>30</v>
      </c>
      <c r="R3" s="346"/>
      <c r="S3" s="346" t="s">
        <v>1</v>
      </c>
      <c r="T3" s="346" t="s">
        <v>28</v>
      </c>
      <c r="U3" s="346"/>
      <c r="V3" s="346" t="s">
        <v>29</v>
      </c>
      <c r="W3" s="346" t="s">
        <v>30</v>
      </c>
      <c r="X3" s="346"/>
      <c r="Y3" s="346" t="s">
        <v>1</v>
      </c>
      <c r="Z3" s="346" t="s">
        <v>28</v>
      </c>
      <c r="AA3" s="346"/>
      <c r="AB3" s="346" t="s">
        <v>29</v>
      </c>
      <c r="AC3" s="346" t="s">
        <v>30</v>
      </c>
      <c r="AD3" s="346"/>
      <c r="AE3" s="346" t="s">
        <v>1</v>
      </c>
      <c r="AF3" s="346" t="s">
        <v>28</v>
      </c>
      <c r="AG3" s="346"/>
      <c r="AH3" s="346" t="s">
        <v>29</v>
      </c>
      <c r="AI3" s="346" t="s">
        <v>30</v>
      </c>
      <c r="AJ3" s="346"/>
      <c r="AK3" s="346" t="s">
        <v>1</v>
      </c>
      <c r="AL3" s="346" t="s">
        <v>28</v>
      </c>
      <c r="AM3" s="346"/>
      <c r="AN3" s="346" t="s">
        <v>29</v>
      </c>
      <c r="AO3" s="346" t="s">
        <v>30</v>
      </c>
      <c r="AP3" s="346"/>
      <c r="AQ3" s="346" t="s">
        <v>1</v>
      </c>
      <c r="AR3" s="320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</row>
    <row r="4" spans="1:86" s="24" customFormat="1" ht="27" customHeight="1" x14ac:dyDescent="0.2">
      <c r="A4" s="347"/>
      <c r="B4" s="348"/>
      <c r="C4" s="349"/>
      <c r="D4" s="340" t="s">
        <v>50</v>
      </c>
      <c r="E4" s="341"/>
      <c r="F4" s="340" t="s">
        <v>47</v>
      </c>
      <c r="G4" s="341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20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</row>
    <row r="5" spans="1:86" s="24" customFormat="1" ht="30" x14ac:dyDescent="0.2">
      <c r="A5" s="347"/>
      <c r="B5" s="348"/>
      <c r="C5" s="349"/>
      <c r="D5" s="2" t="s">
        <v>2</v>
      </c>
      <c r="E5" s="2" t="s">
        <v>3</v>
      </c>
      <c r="F5" s="2" t="s">
        <v>2</v>
      </c>
      <c r="G5" s="2" t="s">
        <v>3</v>
      </c>
      <c r="H5" s="2" t="s">
        <v>33</v>
      </c>
      <c r="I5" s="2" t="s">
        <v>34</v>
      </c>
      <c r="J5" s="346"/>
      <c r="K5" s="2" t="s">
        <v>31</v>
      </c>
      <c r="L5" s="2" t="s">
        <v>32</v>
      </c>
      <c r="M5" s="2" t="s">
        <v>35</v>
      </c>
      <c r="N5" s="2" t="s">
        <v>33</v>
      </c>
      <c r="O5" s="2" t="s">
        <v>34</v>
      </c>
      <c r="P5" s="346"/>
      <c r="Q5" s="2" t="s">
        <v>31</v>
      </c>
      <c r="R5" s="2" t="s">
        <v>32</v>
      </c>
      <c r="S5" s="2" t="s">
        <v>35</v>
      </c>
      <c r="T5" s="2" t="s">
        <v>33</v>
      </c>
      <c r="U5" s="2" t="s">
        <v>34</v>
      </c>
      <c r="V5" s="346"/>
      <c r="W5" s="2" t="s">
        <v>31</v>
      </c>
      <c r="X5" s="2" t="s">
        <v>32</v>
      </c>
      <c r="Y5" s="2" t="s">
        <v>35</v>
      </c>
      <c r="Z5" s="2" t="s">
        <v>33</v>
      </c>
      <c r="AA5" s="2" t="s">
        <v>34</v>
      </c>
      <c r="AB5" s="346"/>
      <c r="AC5" s="2" t="s">
        <v>31</v>
      </c>
      <c r="AD5" s="2" t="s">
        <v>32</v>
      </c>
      <c r="AE5" s="2" t="s">
        <v>35</v>
      </c>
      <c r="AF5" s="2" t="s">
        <v>33</v>
      </c>
      <c r="AG5" s="2" t="s">
        <v>34</v>
      </c>
      <c r="AH5" s="346"/>
      <c r="AI5" s="2" t="s">
        <v>31</v>
      </c>
      <c r="AJ5" s="2" t="s">
        <v>32</v>
      </c>
      <c r="AK5" s="2" t="s">
        <v>35</v>
      </c>
      <c r="AL5" s="2" t="s">
        <v>33</v>
      </c>
      <c r="AM5" s="2" t="s">
        <v>34</v>
      </c>
      <c r="AN5" s="346"/>
      <c r="AO5" s="2" t="s">
        <v>31</v>
      </c>
      <c r="AP5" s="2" t="s">
        <v>32</v>
      </c>
      <c r="AQ5" s="2" t="s">
        <v>35</v>
      </c>
      <c r="AR5" s="29">
        <v>43</v>
      </c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</row>
    <row r="6" spans="1:86" s="24" customFormat="1" ht="21" customHeight="1" x14ac:dyDescent="0.2">
      <c r="A6" s="3">
        <v>1</v>
      </c>
      <c r="B6" s="3">
        <v>2</v>
      </c>
      <c r="C6" s="4">
        <v>3</v>
      </c>
      <c r="D6" s="2">
        <v>4</v>
      </c>
      <c r="E6" s="2">
        <v>5</v>
      </c>
      <c r="F6" s="5">
        <v>6</v>
      </c>
      <c r="G6" s="5">
        <v>7</v>
      </c>
      <c r="H6" s="6">
        <v>8</v>
      </c>
      <c r="I6" s="2">
        <v>9</v>
      </c>
      <c r="J6" s="5">
        <v>10</v>
      </c>
      <c r="K6" s="6">
        <v>11</v>
      </c>
      <c r="L6" s="6">
        <v>12</v>
      </c>
      <c r="M6" s="2">
        <v>13</v>
      </c>
      <c r="N6" s="5">
        <v>14</v>
      </c>
      <c r="O6" s="6">
        <v>15</v>
      </c>
      <c r="P6" s="5">
        <v>16</v>
      </c>
      <c r="Q6" s="2">
        <v>17</v>
      </c>
      <c r="R6" s="5">
        <v>18</v>
      </c>
      <c r="S6" s="6">
        <v>19</v>
      </c>
      <c r="T6" s="5">
        <v>20</v>
      </c>
      <c r="U6" s="6">
        <v>21</v>
      </c>
      <c r="V6" s="2">
        <v>22</v>
      </c>
      <c r="W6" s="5">
        <v>23</v>
      </c>
      <c r="X6" s="5">
        <v>24</v>
      </c>
      <c r="Y6" s="6">
        <v>25</v>
      </c>
      <c r="Z6" s="2">
        <v>26</v>
      </c>
      <c r="AA6" s="5">
        <v>27</v>
      </c>
      <c r="AB6" s="6">
        <v>28</v>
      </c>
      <c r="AC6" s="5">
        <v>29</v>
      </c>
      <c r="AD6" s="2">
        <v>30</v>
      </c>
      <c r="AE6" s="5">
        <v>31</v>
      </c>
      <c r="AF6" s="6">
        <v>32</v>
      </c>
      <c r="AG6" s="5">
        <v>33</v>
      </c>
      <c r="AH6" s="6">
        <v>34</v>
      </c>
      <c r="AI6" s="2">
        <v>35</v>
      </c>
      <c r="AJ6" s="6">
        <v>36</v>
      </c>
      <c r="AK6" s="5">
        <v>37</v>
      </c>
      <c r="AL6" s="6">
        <v>38</v>
      </c>
      <c r="AM6" s="2">
        <v>39</v>
      </c>
      <c r="AN6" s="5">
        <v>40</v>
      </c>
      <c r="AO6" s="6">
        <v>41</v>
      </c>
      <c r="AP6" s="6">
        <v>42</v>
      </c>
      <c r="AQ6" s="6">
        <v>43</v>
      </c>
      <c r="AR6" s="34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</row>
    <row r="7" spans="1:86" ht="21.75" customHeight="1" x14ac:dyDescent="0.25">
      <c r="A7" s="345" t="s">
        <v>5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12"/>
    </row>
    <row r="8" spans="1:86" ht="21.75" customHeight="1" x14ac:dyDescent="0.25">
      <c r="A8" s="46">
        <v>1</v>
      </c>
      <c r="B8" s="37" t="s">
        <v>69</v>
      </c>
      <c r="C8" s="36" t="s">
        <v>70</v>
      </c>
      <c r="D8" s="36">
        <v>48.48</v>
      </c>
      <c r="E8" s="48">
        <f>48480*7</f>
        <v>339360</v>
      </c>
      <c r="F8" s="36">
        <v>9.2840000000000007</v>
      </c>
      <c r="G8" s="48">
        <f>9284*7</f>
        <v>64988</v>
      </c>
      <c r="H8" s="40"/>
      <c r="I8" s="40"/>
      <c r="J8" s="82"/>
      <c r="K8" s="40"/>
      <c r="L8" s="40"/>
      <c r="M8" s="40"/>
      <c r="N8" s="40"/>
      <c r="O8" s="40"/>
      <c r="P8" s="40"/>
      <c r="Q8" s="40"/>
      <c r="R8" s="40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 t="s">
        <v>71</v>
      </c>
      <c r="AG8" s="46" t="s">
        <v>72</v>
      </c>
      <c r="AH8" s="46" t="s">
        <v>54</v>
      </c>
      <c r="AI8" s="46">
        <v>5</v>
      </c>
      <c r="AJ8" s="46" t="s">
        <v>2</v>
      </c>
      <c r="AK8" s="46">
        <f>AI8*17.121*1000</f>
        <v>85604.999999999985</v>
      </c>
      <c r="AL8" s="46" t="s">
        <v>72</v>
      </c>
      <c r="AM8" s="46" t="s">
        <v>73</v>
      </c>
      <c r="AN8" s="46" t="s">
        <v>54</v>
      </c>
      <c r="AO8" s="46">
        <f>9.284-5</f>
        <v>4.2840000000000007</v>
      </c>
      <c r="AP8" s="46" t="s">
        <v>2</v>
      </c>
      <c r="AQ8" s="46">
        <f>AO8*17.121*1000-1.684</f>
        <v>73344.680000000008</v>
      </c>
      <c r="AR8" s="46"/>
      <c r="AS8" s="96"/>
    </row>
    <row r="9" spans="1:86" ht="21.75" customHeight="1" x14ac:dyDescent="0.25">
      <c r="A9" s="46">
        <v>2</v>
      </c>
      <c r="B9" s="37" t="s">
        <v>76</v>
      </c>
      <c r="C9" s="36" t="s">
        <v>77</v>
      </c>
      <c r="D9" s="36">
        <v>7.62</v>
      </c>
      <c r="E9" s="48">
        <f>7620*7</f>
        <v>53340</v>
      </c>
      <c r="F9" s="36">
        <v>7.62</v>
      </c>
      <c r="G9" s="48">
        <f>7620*7</f>
        <v>53340</v>
      </c>
      <c r="H9" s="40"/>
      <c r="I9" s="40"/>
      <c r="J9" s="82"/>
      <c r="K9" s="40"/>
      <c r="L9" s="40"/>
      <c r="M9" s="40"/>
      <c r="N9" s="40" t="s">
        <v>55</v>
      </c>
      <c r="O9" s="40" t="s">
        <v>78</v>
      </c>
      <c r="P9" s="40" t="s">
        <v>54</v>
      </c>
      <c r="Q9" s="40">
        <v>4</v>
      </c>
      <c r="R9" s="40" t="s">
        <v>2</v>
      </c>
      <c r="S9" s="46">
        <f>Q9*17.121*1000</f>
        <v>68484</v>
      </c>
      <c r="T9" s="46" t="s">
        <v>78</v>
      </c>
      <c r="U9" s="46" t="s">
        <v>79</v>
      </c>
      <c r="V9" s="46" t="s">
        <v>54</v>
      </c>
      <c r="W9" s="46">
        <v>3.62</v>
      </c>
      <c r="X9" s="46" t="s">
        <v>2</v>
      </c>
      <c r="Y9" s="46">
        <f>W9*17.121*1000</f>
        <v>61978.02</v>
      </c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96"/>
    </row>
    <row r="10" spans="1:86" ht="21.75" customHeight="1" x14ac:dyDescent="0.25">
      <c r="A10" s="46">
        <v>3</v>
      </c>
      <c r="B10" s="37" t="s">
        <v>80</v>
      </c>
      <c r="C10" s="36" t="s">
        <v>81</v>
      </c>
      <c r="D10" s="36">
        <v>22.3</v>
      </c>
      <c r="E10" s="48">
        <f>22300*7</f>
        <v>156100</v>
      </c>
      <c r="F10" s="36">
        <v>22.3</v>
      </c>
      <c r="G10" s="48">
        <f>22300*7</f>
        <v>156100</v>
      </c>
      <c r="H10" s="40"/>
      <c r="I10" s="40"/>
      <c r="J10" s="82"/>
      <c r="K10" s="40"/>
      <c r="L10" s="40"/>
      <c r="M10" s="40"/>
      <c r="N10" s="40"/>
      <c r="O10" s="40"/>
      <c r="P10" s="40"/>
      <c r="Q10" s="40"/>
      <c r="R10" s="40"/>
      <c r="S10" s="46"/>
      <c r="T10" s="46" t="s">
        <v>82</v>
      </c>
      <c r="U10" s="46" t="s">
        <v>83</v>
      </c>
      <c r="V10" s="46" t="s">
        <v>54</v>
      </c>
      <c r="W10" s="46">
        <v>6.3</v>
      </c>
      <c r="X10" s="46" t="s">
        <v>2</v>
      </c>
      <c r="Y10" s="46">
        <f>W10*17.121*1000+3224.57</f>
        <v>111086.87</v>
      </c>
      <c r="Z10" s="46" t="s">
        <v>83</v>
      </c>
      <c r="AA10" s="46" t="s">
        <v>58</v>
      </c>
      <c r="AB10" s="46" t="s">
        <v>54</v>
      </c>
      <c r="AC10" s="46">
        <v>6</v>
      </c>
      <c r="AD10" s="46" t="s">
        <v>2</v>
      </c>
      <c r="AE10" s="46">
        <f>AC10*17.121*1000</f>
        <v>102726</v>
      </c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96"/>
    </row>
    <row r="11" spans="1:86" s="33" customFormat="1" ht="51" customHeight="1" x14ac:dyDescent="0.25">
      <c r="A11" s="350" t="s">
        <v>6</v>
      </c>
      <c r="B11" s="351"/>
      <c r="C11" s="352"/>
      <c r="D11" s="30"/>
      <c r="E11" s="30"/>
      <c r="F11" s="30"/>
      <c r="G11" s="30"/>
      <c r="H11" s="30"/>
      <c r="I11" s="30"/>
      <c r="J11" s="30"/>
      <c r="K11" s="30">
        <v>0</v>
      </c>
      <c r="L11" s="30" t="s">
        <v>2</v>
      </c>
      <c r="M11" s="30">
        <v>0</v>
      </c>
      <c r="N11" s="30"/>
      <c r="O11" s="30"/>
      <c r="P11" s="30"/>
      <c r="Q11" s="49">
        <f>SUM(Q8:Q10)</f>
        <v>4</v>
      </c>
      <c r="R11" s="30" t="s">
        <v>2</v>
      </c>
      <c r="S11" s="30">
        <f>SUM(S8:S10)</f>
        <v>68484</v>
      </c>
      <c r="T11" s="30"/>
      <c r="U11" s="30"/>
      <c r="V11" s="30"/>
      <c r="W11" s="30">
        <f>SUM(W8:W10)</f>
        <v>9.92</v>
      </c>
      <c r="X11" s="30" t="s">
        <v>2</v>
      </c>
      <c r="Y11" s="30">
        <f>SUM(Y8:Y10)</f>
        <v>173064.88999999998</v>
      </c>
      <c r="Z11" s="30"/>
      <c r="AA11" s="30"/>
      <c r="AB11" s="30"/>
      <c r="AC11" s="30">
        <f>SUM(AC8:AC10)</f>
        <v>6</v>
      </c>
      <c r="AD11" s="30" t="s">
        <v>2</v>
      </c>
      <c r="AE11" s="30">
        <f>SUM(AE8:AE10)</f>
        <v>102726</v>
      </c>
      <c r="AF11" s="30"/>
      <c r="AG11" s="30"/>
      <c r="AH11" s="30"/>
      <c r="AI11" s="30">
        <f>SUM(AI8:AI10)</f>
        <v>5</v>
      </c>
      <c r="AJ11" s="30" t="s">
        <v>2</v>
      </c>
      <c r="AK11" s="30">
        <f>SUM(AK8:AK10)</f>
        <v>85604.999999999985</v>
      </c>
      <c r="AL11" s="30"/>
      <c r="AM11" s="30"/>
      <c r="AN11" s="30"/>
      <c r="AO11" s="30">
        <f>SUM(AO8:AO10)</f>
        <v>4.2840000000000007</v>
      </c>
      <c r="AP11" s="30" t="s">
        <v>2</v>
      </c>
      <c r="AQ11" s="30">
        <f>SUM(AQ8:AQ10)</f>
        <v>73344.680000000008</v>
      </c>
      <c r="AR11" s="31"/>
      <c r="AS11" s="220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</row>
    <row r="12" spans="1:86" x14ac:dyDescent="0.25">
      <c r="A12" s="353" t="s">
        <v>6</v>
      </c>
      <c r="B12" s="353"/>
      <c r="C12" s="353"/>
      <c r="D12" s="353"/>
      <c r="E12" s="353"/>
      <c r="F12" s="353"/>
      <c r="G12" s="353"/>
      <c r="H12" s="353"/>
      <c r="I12" s="353"/>
      <c r="J12" s="325" t="s">
        <v>7</v>
      </c>
      <c r="K12" s="9"/>
      <c r="L12" s="9" t="s">
        <v>2</v>
      </c>
      <c r="M12" s="9"/>
      <c r="N12" s="20"/>
      <c r="O12" s="10"/>
      <c r="P12" s="325" t="s">
        <v>7</v>
      </c>
      <c r="Q12" s="50">
        <f>Q11</f>
        <v>4</v>
      </c>
      <c r="R12" s="9" t="s">
        <v>2</v>
      </c>
      <c r="S12" s="9">
        <f>S11</f>
        <v>68484</v>
      </c>
      <c r="T12" s="20"/>
      <c r="U12" s="10"/>
      <c r="V12" s="325" t="s">
        <v>7</v>
      </c>
      <c r="W12" s="9"/>
      <c r="X12" s="9" t="s">
        <v>2</v>
      </c>
      <c r="Y12" s="9"/>
      <c r="Z12" s="20"/>
      <c r="AA12" s="10"/>
      <c r="AB12" s="325" t="s">
        <v>7</v>
      </c>
      <c r="AC12" s="9"/>
      <c r="AD12" s="9" t="s">
        <v>2</v>
      </c>
      <c r="AE12" s="9"/>
      <c r="AF12" s="20"/>
      <c r="AG12" s="10"/>
      <c r="AH12" s="325" t="s">
        <v>7</v>
      </c>
      <c r="AI12" s="9"/>
      <c r="AJ12" s="9" t="s">
        <v>2</v>
      </c>
      <c r="AK12" s="9"/>
      <c r="AL12" s="20"/>
      <c r="AM12" s="10"/>
      <c r="AN12" s="325" t="s">
        <v>7</v>
      </c>
      <c r="AO12" s="9"/>
      <c r="AP12" s="9" t="s">
        <v>2</v>
      </c>
      <c r="AQ12" s="9"/>
      <c r="AR12" s="9"/>
    </row>
    <row r="13" spans="1:86" x14ac:dyDescent="0.25">
      <c r="A13" s="353"/>
      <c r="B13" s="353"/>
      <c r="C13" s="353"/>
      <c r="D13" s="353"/>
      <c r="E13" s="353"/>
      <c r="F13" s="353"/>
      <c r="G13" s="353"/>
      <c r="H13" s="353"/>
      <c r="I13" s="353"/>
      <c r="J13" s="326"/>
      <c r="K13" s="9"/>
      <c r="L13" s="9" t="s">
        <v>4</v>
      </c>
      <c r="M13" s="9"/>
      <c r="N13" s="18"/>
      <c r="O13" s="11"/>
      <c r="P13" s="326"/>
      <c r="Q13" s="9"/>
      <c r="R13" s="9" t="s">
        <v>4</v>
      </c>
      <c r="S13" s="9"/>
      <c r="T13" s="18"/>
      <c r="U13" s="11"/>
      <c r="V13" s="326"/>
      <c r="W13" s="9"/>
      <c r="X13" s="9" t="s">
        <v>4</v>
      </c>
      <c r="Y13" s="9"/>
      <c r="Z13" s="18"/>
      <c r="AA13" s="11"/>
      <c r="AB13" s="326"/>
      <c r="AC13" s="9"/>
      <c r="AD13" s="9" t="s">
        <v>4</v>
      </c>
      <c r="AE13" s="9"/>
      <c r="AF13" s="18"/>
      <c r="AG13" s="11"/>
      <c r="AH13" s="326"/>
      <c r="AI13" s="9"/>
      <c r="AJ13" s="9" t="s">
        <v>4</v>
      </c>
      <c r="AK13" s="9"/>
      <c r="AL13" s="18"/>
      <c r="AM13" s="11"/>
      <c r="AN13" s="326"/>
      <c r="AO13" s="9"/>
      <c r="AP13" s="9" t="s">
        <v>4</v>
      </c>
      <c r="AQ13" s="9"/>
      <c r="AR13" s="9"/>
    </row>
    <row r="14" spans="1:86" x14ac:dyDescent="0.25">
      <c r="A14" s="353"/>
      <c r="B14" s="353"/>
      <c r="C14" s="353"/>
      <c r="D14" s="353"/>
      <c r="E14" s="353"/>
      <c r="F14" s="353"/>
      <c r="G14" s="353"/>
      <c r="H14" s="353"/>
      <c r="I14" s="353"/>
      <c r="J14" s="325" t="s">
        <v>41</v>
      </c>
      <c r="K14" s="9"/>
      <c r="L14" s="9" t="s">
        <v>2</v>
      </c>
      <c r="M14" s="9"/>
      <c r="N14" s="18"/>
      <c r="O14" s="11"/>
      <c r="P14" s="325" t="s">
        <v>41</v>
      </c>
      <c r="Q14" s="9"/>
      <c r="R14" s="9" t="s">
        <v>2</v>
      </c>
      <c r="S14" s="9"/>
      <c r="T14" s="18"/>
      <c r="U14" s="11"/>
      <c r="V14" s="325" t="s">
        <v>41</v>
      </c>
      <c r="W14" s="9"/>
      <c r="X14" s="9" t="s">
        <v>2</v>
      </c>
      <c r="Y14" s="9"/>
      <c r="Z14" s="18"/>
      <c r="AA14" s="11"/>
      <c r="AB14" s="325" t="s">
        <v>41</v>
      </c>
      <c r="AC14" s="9"/>
      <c r="AD14" s="9" t="s">
        <v>2</v>
      </c>
      <c r="AE14" s="9"/>
      <c r="AF14" s="18"/>
      <c r="AG14" s="11"/>
      <c r="AH14" s="325" t="s">
        <v>41</v>
      </c>
      <c r="AI14" s="9"/>
      <c r="AJ14" s="9" t="s">
        <v>2</v>
      </c>
      <c r="AK14" s="9"/>
      <c r="AL14" s="18"/>
      <c r="AM14" s="11"/>
      <c r="AN14" s="325" t="s">
        <v>41</v>
      </c>
      <c r="AO14" s="9"/>
      <c r="AP14" s="9" t="s">
        <v>2</v>
      </c>
      <c r="AQ14" s="9"/>
      <c r="AR14" s="9"/>
    </row>
    <row r="15" spans="1:86" x14ac:dyDescent="0.25">
      <c r="A15" s="353"/>
      <c r="B15" s="353"/>
      <c r="C15" s="353"/>
      <c r="D15" s="353"/>
      <c r="E15" s="353"/>
      <c r="F15" s="353"/>
      <c r="G15" s="353"/>
      <c r="H15" s="353"/>
      <c r="I15" s="353"/>
      <c r="J15" s="326"/>
      <c r="K15" s="9"/>
      <c r="L15" s="9" t="s">
        <v>4</v>
      </c>
      <c r="M15" s="9"/>
      <c r="N15" s="18"/>
      <c r="O15" s="11"/>
      <c r="P15" s="326"/>
      <c r="Q15" s="9"/>
      <c r="R15" s="9" t="s">
        <v>4</v>
      </c>
      <c r="S15" s="9"/>
      <c r="T15" s="18"/>
      <c r="U15" s="11"/>
      <c r="V15" s="326"/>
      <c r="W15" s="9"/>
      <c r="X15" s="9" t="s">
        <v>4</v>
      </c>
      <c r="Y15" s="9"/>
      <c r="Z15" s="18"/>
      <c r="AA15" s="11"/>
      <c r="AB15" s="326"/>
      <c r="AC15" s="9"/>
      <c r="AD15" s="9" t="s">
        <v>4</v>
      </c>
      <c r="AE15" s="9"/>
      <c r="AF15" s="18"/>
      <c r="AG15" s="11"/>
      <c r="AH15" s="326"/>
      <c r="AI15" s="9"/>
      <c r="AJ15" s="9" t="s">
        <v>4</v>
      </c>
      <c r="AK15" s="9"/>
      <c r="AL15" s="18"/>
      <c r="AM15" s="11"/>
      <c r="AN15" s="326"/>
      <c r="AO15" s="9"/>
      <c r="AP15" s="9" t="s">
        <v>4</v>
      </c>
      <c r="AQ15" s="9"/>
      <c r="AR15" s="9"/>
    </row>
    <row r="16" spans="1:86" ht="17.25" customHeight="1" x14ac:dyDescent="0.25">
      <c r="A16" s="353"/>
      <c r="B16" s="353"/>
      <c r="C16" s="353"/>
      <c r="D16" s="353"/>
      <c r="E16" s="353"/>
      <c r="F16" s="353"/>
      <c r="G16" s="353"/>
      <c r="H16" s="353"/>
      <c r="I16" s="353"/>
      <c r="J16" s="325" t="s">
        <v>42</v>
      </c>
      <c r="K16" s="9"/>
      <c r="L16" s="9" t="s">
        <v>2</v>
      </c>
      <c r="M16" s="9"/>
      <c r="N16" s="18"/>
      <c r="O16" s="11"/>
      <c r="P16" s="325" t="s">
        <v>42</v>
      </c>
      <c r="Q16" s="9"/>
      <c r="R16" s="9" t="s">
        <v>2</v>
      </c>
      <c r="S16" s="9"/>
      <c r="T16" s="18"/>
      <c r="U16" s="11"/>
      <c r="V16" s="325" t="s">
        <v>42</v>
      </c>
      <c r="W16" s="9"/>
      <c r="X16" s="9" t="s">
        <v>2</v>
      </c>
      <c r="Y16" s="9"/>
      <c r="Z16" s="18"/>
      <c r="AA16" s="11"/>
      <c r="AB16" s="325" t="s">
        <v>42</v>
      </c>
      <c r="AC16" s="9"/>
      <c r="AD16" s="9" t="s">
        <v>2</v>
      </c>
      <c r="AE16" s="9"/>
      <c r="AF16" s="18"/>
      <c r="AG16" s="11"/>
      <c r="AH16" s="325" t="s">
        <v>42</v>
      </c>
      <c r="AI16" s="9"/>
      <c r="AJ16" s="9" t="s">
        <v>2</v>
      </c>
      <c r="AK16" s="9"/>
      <c r="AL16" s="18"/>
      <c r="AM16" s="11"/>
      <c r="AN16" s="325" t="s">
        <v>42</v>
      </c>
      <c r="AO16" s="9"/>
      <c r="AP16" s="9" t="s">
        <v>2</v>
      </c>
      <c r="AQ16" s="9"/>
      <c r="AR16" s="9"/>
    </row>
    <row r="17" spans="1:44" ht="17.25" customHeight="1" x14ac:dyDescent="0.25">
      <c r="A17" s="353"/>
      <c r="B17" s="353"/>
      <c r="C17" s="353"/>
      <c r="D17" s="353"/>
      <c r="E17" s="353"/>
      <c r="F17" s="353"/>
      <c r="G17" s="353"/>
      <c r="H17" s="353"/>
      <c r="I17" s="353"/>
      <c r="J17" s="326"/>
      <c r="K17" s="9"/>
      <c r="L17" s="9" t="s">
        <v>4</v>
      </c>
      <c r="M17" s="9"/>
      <c r="N17" s="18"/>
      <c r="O17" s="11"/>
      <c r="P17" s="326"/>
      <c r="Q17" s="9"/>
      <c r="R17" s="9" t="s">
        <v>4</v>
      </c>
      <c r="S17" s="9"/>
      <c r="T17" s="18"/>
      <c r="U17" s="11"/>
      <c r="V17" s="326"/>
      <c r="W17" s="9"/>
      <c r="X17" s="9" t="s">
        <v>4</v>
      </c>
      <c r="Y17" s="9"/>
      <c r="Z17" s="18"/>
      <c r="AA17" s="11"/>
      <c r="AB17" s="326"/>
      <c r="AC17" s="9"/>
      <c r="AD17" s="9" t="s">
        <v>4</v>
      </c>
      <c r="AE17" s="9"/>
      <c r="AF17" s="18"/>
      <c r="AG17" s="11"/>
      <c r="AH17" s="326"/>
      <c r="AI17" s="9"/>
      <c r="AJ17" s="9" t="s">
        <v>4</v>
      </c>
      <c r="AK17" s="9"/>
      <c r="AL17" s="18"/>
      <c r="AM17" s="11"/>
      <c r="AN17" s="326"/>
      <c r="AO17" s="9"/>
      <c r="AP17" s="9" t="s">
        <v>4</v>
      </c>
      <c r="AQ17" s="9"/>
      <c r="AR17" s="9"/>
    </row>
    <row r="18" spans="1:44" ht="24.75" customHeight="1" x14ac:dyDescent="0.25">
      <c r="A18" s="353"/>
      <c r="B18" s="353"/>
      <c r="C18" s="353"/>
      <c r="D18" s="353"/>
      <c r="E18" s="353"/>
      <c r="F18" s="353"/>
      <c r="G18" s="353"/>
      <c r="H18" s="353"/>
      <c r="I18" s="353"/>
      <c r="J18" s="325" t="s">
        <v>43</v>
      </c>
      <c r="K18" s="9"/>
      <c r="L18" s="9" t="s">
        <v>2</v>
      </c>
      <c r="M18" s="9"/>
      <c r="N18" s="18"/>
      <c r="O18" s="11"/>
      <c r="P18" s="325" t="s">
        <v>43</v>
      </c>
      <c r="Q18" s="9"/>
      <c r="R18" s="9" t="s">
        <v>2</v>
      </c>
      <c r="S18" s="9"/>
      <c r="T18" s="18"/>
      <c r="U18" s="11"/>
      <c r="V18" s="325" t="s">
        <v>43</v>
      </c>
      <c r="W18" s="9"/>
      <c r="X18" s="9" t="s">
        <v>2</v>
      </c>
      <c r="Y18" s="9"/>
      <c r="Z18" s="18"/>
      <c r="AA18" s="11"/>
      <c r="AB18" s="325" t="s">
        <v>43</v>
      </c>
      <c r="AC18" s="9"/>
      <c r="AD18" s="9" t="s">
        <v>2</v>
      </c>
      <c r="AE18" s="9"/>
      <c r="AF18" s="18"/>
      <c r="AG18" s="11"/>
      <c r="AH18" s="325" t="s">
        <v>43</v>
      </c>
      <c r="AI18" s="9"/>
      <c r="AJ18" s="9" t="s">
        <v>2</v>
      </c>
      <c r="AK18" s="9"/>
      <c r="AL18" s="18"/>
      <c r="AM18" s="11"/>
      <c r="AN18" s="325" t="s">
        <v>43</v>
      </c>
      <c r="AO18" s="9"/>
      <c r="AP18" s="9" t="s">
        <v>2</v>
      </c>
      <c r="AQ18" s="9"/>
      <c r="AR18" s="9"/>
    </row>
    <row r="19" spans="1:44" ht="24.75" customHeight="1" x14ac:dyDescent="0.25">
      <c r="A19" s="353"/>
      <c r="B19" s="353"/>
      <c r="C19" s="353"/>
      <c r="D19" s="353"/>
      <c r="E19" s="353"/>
      <c r="F19" s="353"/>
      <c r="G19" s="353"/>
      <c r="H19" s="353"/>
      <c r="I19" s="353"/>
      <c r="J19" s="326"/>
      <c r="K19" s="9"/>
      <c r="L19" s="9" t="s">
        <v>4</v>
      </c>
      <c r="M19" s="9"/>
      <c r="N19" s="18"/>
      <c r="O19" s="11"/>
      <c r="P19" s="326"/>
      <c r="Q19" s="9"/>
      <c r="R19" s="9" t="s">
        <v>4</v>
      </c>
      <c r="S19" s="9"/>
      <c r="T19" s="18"/>
      <c r="U19" s="11"/>
      <c r="V19" s="326"/>
      <c r="W19" s="9"/>
      <c r="X19" s="9" t="s">
        <v>4</v>
      </c>
      <c r="Y19" s="9"/>
      <c r="Z19" s="18"/>
      <c r="AA19" s="11"/>
      <c r="AB19" s="326"/>
      <c r="AC19" s="9"/>
      <c r="AD19" s="9" t="s">
        <v>4</v>
      </c>
      <c r="AE19" s="9"/>
      <c r="AF19" s="18"/>
      <c r="AG19" s="11"/>
      <c r="AH19" s="326"/>
      <c r="AI19" s="9"/>
      <c r="AJ19" s="9" t="s">
        <v>4</v>
      </c>
      <c r="AK19" s="9"/>
      <c r="AL19" s="18"/>
      <c r="AM19" s="11"/>
      <c r="AN19" s="326"/>
      <c r="AO19" s="9"/>
      <c r="AP19" s="9" t="s">
        <v>4</v>
      </c>
      <c r="AQ19" s="9"/>
      <c r="AR19" s="9"/>
    </row>
    <row r="20" spans="1:44" ht="24.75" customHeight="1" x14ac:dyDescent="0.25">
      <c r="A20" s="353"/>
      <c r="B20" s="353"/>
      <c r="C20" s="353"/>
      <c r="D20" s="353"/>
      <c r="E20" s="353"/>
      <c r="F20" s="353"/>
      <c r="G20" s="353"/>
      <c r="H20" s="353"/>
      <c r="I20" s="353"/>
      <c r="J20" s="325" t="s">
        <v>8</v>
      </c>
      <c r="K20" s="9"/>
      <c r="L20" s="9" t="s">
        <v>4</v>
      </c>
      <c r="M20" s="321"/>
      <c r="N20" s="18"/>
      <c r="O20" s="11"/>
      <c r="P20" s="325" t="s">
        <v>8</v>
      </c>
      <c r="Q20" s="9"/>
      <c r="R20" s="9" t="s">
        <v>4</v>
      </c>
      <c r="S20" s="321"/>
      <c r="T20" s="18"/>
      <c r="U20" s="11"/>
      <c r="V20" s="325" t="s">
        <v>8</v>
      </c>
      <c r="W20" s="9"/>
      <c r="X20" s="9" t="s">
        <v>4</v>
      </c>
      <c r="Y20" s="321"/>
      <c r="Z20" s="18"/>
      <c r="AA20" s="11"/>
      <c r="AB20" s="325" t="s">
        <v>8</v>
      </c>
      <c r="AC20" s="9"/>
      <c r="AD20" s="9" t="s">
        <v>4</v>
      </c>
      <c r="AE20" s="321"/>
      <c r="AF20" s="18"/>
      <c r="AG20" s="11"/>
      <c r="AH20" s="325" t="s">
        <v>8</v>
      </c>
      <c r="AI20" s="9"/>
      <c r="AJ20" s="9" t="s">
        <v>4</v>
      </c>
      <c r="AK20" s="321"/>
      <c r="AL20" s="18"/>
      <c r="AM20" s="11"/>
      <c r="AN20" s="325" t="s">
        <v>8</v>
      </c>
      <c r="AO20" s="9"/>
      <c r="AP20" s="9" t="s">
        <v>4</v>
      </c>
      <c r="AQ20" s="321"/>
      <c r="AR20" s="321"/>
    </row>
    <row r="21" spans="1:44" x14ac:dyDescent="0.25">
      <c r="A21" s="353"/>
      <c r="B21" s="353"/>
      <c r="C21" s="353"/>
      <c r="D21" s="353"/>
      <c r="E21" s="353"/>
      <c r="F21" s="353"/>
      <c r="G21" s="353"/>
      <c r="H21" s="353"/>
      <c r="I21" s="353"/>
      <c r="J21" s="326"/>
      <c r="K21" s="9"/>
      <c r="L21" s="9" t="s">
        <v>2</v>
      </c>
      <c r="M21" s="322"/>
      <c r="N21" s="18"/>
      <c r="O21" s="11"/>
      <c r="P21" s="326"/>
      <c r="Q21" s="9"/>
      <c r="R21" s="9" t="s">
        <v>2</v>
      </c>
      <c r="S21" s="322"/>
      <c r="T21" s="18"/>
      <c r="U21" s="11"/>
      <c r="V21" s="326"/>
      <c r="W21" s="9"/>
      <c r="X21" s="9" t="s">
        <v>2</v>
      </c>
      <c r="Y21" s="322"/>
      <c r="Z21" s="18"/>
      <c r="AA21" s="11"/>
      <c r="AB21" s="326"/>
      <c r="AC21" s="9"/>
      <c r="AD21" s="9" t="s">
        <v>2</v>
      </c>
      <c r="AE21" s="322"/>
      <c r="AF21" s="18"/>
      <c r="AG21" s="11"/>
      <c r="AH21" s="326"/>
      <c r="AI21" s="9"/>
      <c r="AJ21" s="9" t="s">
        <v>2</v>
      </c>
      <c r="AK21" s="322"/>
      <c r="AL21" s="18"/>
      <c r="AM21" s="11"/>
      <c r="AN21" s="326"/>
      <c r="AO21" s="9"/>
      <c r="AP21" s="9" t="s">
        <v>2</v>
      </c>
      <c r="AQ21" s="322"/>
      <c r="AR21" s="322"/>
    </row>
    <row r="22" spans="1:44" ht="42.75" x14ac:dyDescent="0.25">
      <c r="A22" s="353"/>
      <c r="B22" s="353"/>
      <c r="C22" s="353"/>
      <c r="D22" s="353"/>
      <c r="E22" s="353"/>
      <c r="F22" s="353"/>
      <c r="G22" s="353"/>
      <c r="H22" s="353"/>
      <c r="I22" s="353"/>
      <c r="J22" s="8" t="s">
        <v>9</v>
      </c>
      <c r="K22" s="9"/>
      <c r="L22" s="9" t="s">
        <v>10</v>
      </c>
      <c r="M22" s="9"/>
      <c r="N22" s="18"/>
      <c r="O22" s="11"/>
      <c r="P22" s="8" t="s">
        <v>9</v>
      </c>
      <c r="Q22" s="9"/>
      <c r="R22" s="9" t="s">
        <v>10</v>
      </c>
      <c r="S22" s="9"/>
      <c r="T22" s="18"/>
      <c r="U22" s="11"/>
      <c r="V22" s="8" t="s">
        <v>9</v>
      </c>
      <c r="W22" s="9"/>
      <c r="X22" s="9" t="s">
        <v>10</v>
      </c>
      <c r="Y22" s="9"/>
      <c r="Z22" s="18"/>
      <c r="AA22" s="11"/>
      <c r="AB22" s="8" t="s">
        <v>9</v>
      </c>
      <c r="AC22" s="9"/>
      <c r="AD22" s="9" t="s">
        <v>10</v>
      </c>
      <c r="AE22" s="9"/>
      <c r="AF22" s="18"/>
      <c r="AG22" s="11"/>
      <c r="AH22" s="8" t="s">
        <v>9</v>
      </c>
      <c r="AI22" s="9"/>
      <c r="AJ22" s="9" t="s">
        <v>10</v>
      </c>
      <c r="AK22" s="9"/>
      <c r="AL22" s="18"/>
      <c r="AM22" s="11"/>
      <c r="AN22" s="8" t="s">
        <v>9</v>
      </c>
      <c r="AO22" s="9"/>
      <c r="AP22" s="9" t="s">
        <v>10</v>
      </c>
      <c r="AQ22" s="9"/>
      <c r="AR22" s="9"/>
    </row>
    <row r="23" spans="1:44" ht="28.5" x14ac:dyDescent="0.25">
      <c r="A23" s="353"/>
      <c r="B23" s="353"/>
      <c r="C23" s="353"/>
      <c r="D23" s="353"/>
      <c r="E23" s="353"/>
      <c r="F23" s="353"/>
      <c r="G23" s="353"/>
      <c r="H23" s="353"/>
      <c r="I23" s="353"/>
      <c r="J23" s="8" t="s">
        <v>44</v>
      </c>
      <c r="K23" s="9"/>
      <c r="L23" s="9" t="s">
        <v>10</v>
      </c>
      <c r="M23" s="9"/>
      <c r="N23" s="18"/>
      <c r="O23" s="11"/>
      <c r="P23" s="8" t="s">
        <v>44</v>
      </c>
      <c r="Q23" s="9"/>
      <c r="R23" s="9" t="s">
        <v>10</v>
      </c>
      <c r="S23" s="9"/>
      <c r="T23" s="18"/>
      <c r="U23" s="11"/>
      <c r="V23" s="8" t="s">
        <v>44</v>
      </c>
      <c r="W23" s="9"/>
      <c r="X23" s="9" t="s">
        <v>10</v>
      </c>
      <c r="Y23" s="9"/>
      <c r="Z23" s="18"/>
      <c r="AA23" s="11"/>
      <c r="AB23" s="8" t="s">
        <v>44</v>
      </c>
      <c r="AC23" s="9"/>
      <c r="AD23" s="9" t="s">
        <v>10</v>
      </c>
      <c r="AE23" s="9"/>
      <c r="AF23" s="18"/>
      <c r="AG23" s="11"/>
      <c r="AH23" s="8" t="s">
        <v>44</v>
      </c>
      <c r="AI23" s="9"/>
      <c r="AJ23" s="9" t="s">
        <v>10</v>
      </c>
      <c r="AK23" s="9"/>
      <c r="AL23" s="18"/>
      <c r="AM23" s="11"/>
      <c r="AN23" s="8" t="s">
        <v>44</v>
      </c>
      <c r="AO23" s="9"/>
      <c r="AP23" s="9" t="s">
        <v>10</v>
      </c>
      <c r="AQ23" s="9"/>
      <c r="AR23" s="9"/>
    </row>
    <row r="24" spans="1:44" ht="42.75" x14ac:dyDescent="0.25">
      <c r="A24" s="353"/>
      <c r="B24" s="353"/>
      <c r="C24" s="353"/>
      <c r="D24" s="353"/>
      <c r="E24" s="353"/>
      <c r="F24" s="353"/>
      <c r="G24" s="353"/>
      <c r="H24" s="353"/>
      <c r="I24" s="353"/>
      <c r="J24" s="8" t="s">
        <v>11</v>
      </c>
      <c r="K24" s="9"/>
      <c r="L24" s="9" t="s">
        <v>12</v>
      </c>
      <c r="M24" s="9"/>
      <c r="N24" s="18"/>
      <c r="O24" s="11"/>
      <c r="P24" s="8" t="s">
        <v>11</v>
      </c>
      <c r="Q24" s="9"/>
      <c r="R24" s="9" t="s">
        <v>12</v>
      </c>
      <c r="S24" s="9"/>
      <c r="T24" s="18"/>
      <c r="U24" s="11"/>
      <c r="V24" s="8" t="s">
        <v>11</v>
      </c>
      <c r="W24" s="9"/>
      <c r="X24" s="9" t="s">
        <v>12</v>
      </c>
      <c r="Y24" s="9"/>
      <c r="Z24" s="18"/>
      <c r="AA24" s="11"/>
      <c r="AB24" s="8" t="s">
        <v>11</v>
      </c>
      <c r="AC24" s="9"/>
      <c r="AD24" s="9" t="s">
        <v>12</v>
      </c>
      <c r="AE24" s="9"/>
      <c r="AF24" s="18"/>
      <c r="AG24" s="11"/>
      <c r="AH24" s="8" t="s">
        <v>11</v>
      </c>
      <c r="AI24" s="9"/>
      <c r="AJ24" s="9" t="s">
        <v>12</v>
      </c>
      <c r="AK24" s="9"/>
      <c r="AL24" s="18"/>
      <c r="AM24" s="11"/>
      <c r="AN24" s="8" t="s">
        <v>11</v>
      </c>
      <c r="AO24" s="9"/>
      <c r="AP24" s="9" t="s">
        <v>12</v>
      </c>
      <c r="AQ24" s="9"/>
      <c r="AR24" s="9"/>
    </row>
    <row r="25" spans="1:44" x14ac:dyDescent="0.25">
      <c r="A25" s="353"/>
      <c r="B25" s="353"/>
      <c r="C25" s="353"/>
      <c r="D25" s="353"/>
      <c r="E25" s="353"/>
      <c r="F25" s="353"/>
      <c r="G25" s="353"/>
      <c r="H25" s="353"/>
      <c r="I25" s="353"/>
      <c r="J25" s="8" t="s">
        <v>13</v>
      </c>
      <c r="K25" s="9"/>
      <c r="L25" s="9" t="s">
        <v>4</v>
      </c>
      <c r="M25" s="9"/>
      <c r="N25" s="18"/>
      <c r="O25" s="11"/>
      <c r="P25" s="8" t="s">
        <v>13</v>
      </c>
      <c r="Q25" s="9"/>
      <c r="R25" s="9" t="s">
        <v>4</v>
      </c>
      <c r="S25" s="9"/>
      <c r="T25" s="18"/>
      <c r="U25" s="11"/>
      <c r="V25" s="8" t="s">
        <v>13</v>
      </c>
      <c r="W25" s="9"/>
      <c r="X25" s="9" t="s">
        <v>4</v>
      </c>
      <c r="Y25" s="9"/>
      <c r="Z25" s="18"/>
      <c r="AA25" s="11"/>
      <c r="AB25" s="8" t="s">
        <v>13</v>
      </c>
      <c r="AC25" s="9"/>
      <c r="AD25" s="9" t="s">
        <v>4</v>
      </c>
      <c r="AE25" s="9"/>
      <c r="AF25" s="18"/>
      <c r="AG25" s="11"/>
      <c r="AH25" s="8" t="s">
        <v>13</v>
      </c>
      <c r="AI25" s="9"/>
      <c r="AJ25" s="9" t="s">
        <v>4</v>
      </c>
      <c r="AK25" s="9"/>
      <c r="AL25" s="18"/>
      <c r="AM25" s="11"/>
      <c r="AN25" s="8" t="s">
        <v>13</v>
      </c>
      <c r="AO25" s="9"/>
      <c r="AP25" s="9" t="s">
        <v>4</v>
      </c>
      <c r="AQ25" s="9"/>
      <c r="AR25" s="9"/>
    </row>
    <row r="26" spans="1:44" ht="28.5" x14ac:dyDescent="0.25">
      <c r="A26" s="353"/>
      <c r="B26" s="353"/>
      <c r="C26" s="353"/>
      <c r="D26" s="353"/>
      <c r="E26" s="353"/>
      <c r="F26" s="353"/>
      <c r="G26" s="353"/>
      <c r="H26" s="353"/>
      <c r="I26" s="353"/>
      <c r="J26" s="8" t="s">
        <v>14</v>
      </c>
      <c r="K26" s="9"/>
      <c r="L26" s="9"/>
      <c r="M26" s="9"/>
      <c r="N26" s="18"/>
      <c r="O26" s="11"/>
      <c r="P26" s="8" t="s">
        <v>14</v>
      </c>
      <c r="Q26" s="9"/>
      <c r="R26" s="9"/>
      <c r="S26" s="9"/>
      <c r="T26" s="18"/>
      <c r="U26" s="11"/>
      <c r="V26" s="8" t="s">
        <v>14</v>
      </c>
      <c r="W26" s="9"/>
      <c r="X26" s="9"/>
      <c r="Y26" s="9"/>
      <c r="Z26" s="18"/>
      <c r="AA26" s="11"/>
      <c r="AB26" s="8" t="s">
        <v>14</v>
      </c>
      <c r="AC26" s="9"/>
      <c r="AD26" s="9"/>
      <c r="AE26" s="9"/>
      <c r="AF26" s="18"/>
      <c r="AG26" s="11"/>
      <c r="AH26" s="8" t="s">
        <v>14</v>
      </c>
      <c r="AI26" s="9"/>
      <c r="AJ26" s="9"/>
      <c r="AK26" s="9"/>
      <c r="AL26" s="18"/>
      <c r="AM26" s="11"/>
      <c r="AN26" s="8" t="s">
        <v>14</v>
      </c>
      <c r="AO26" s="9"/>
      <c r="AP26" s="9"/>
      <c r="AQ26" s="9"/>
      <c r="AR26" s="9"/>
    </row>
    <row r="27" spans="1:44" ht="42.75" x14ac:dyDescent="0.25">
      <c r="A27" s="353"/>
      <c r="B27" s="353"/>
      <c r="C27" s="353"/>
      <c r="D27" s="353"/>
      <c r="E27" s="353"/>
      <c r="F27" s="353"/>
      <c r="G27" s="353"/>
      <c r="H27" s="353"/>
      <c r="I27" s="353"/>
      <c r="J27" s="8" t="s">
        <v>46</v>
      </c>
      <c r="K27" s="9"/>
      <c r="L27" s="9" t="s">
        <v>12</v>
      </c>
      <c r="M27" s="9"/>
      <c r="N27" s="18"/>
      <c r="O27" s="19"/>
      <c r="P27" s="8" t="s">
        <v>46</v>
      </c>
      <c r="Q27" s="9"/>
      <c r="R27" s="9" t="s">
        <v>12</v>
      </c>
      <c r="S27" s="9"/>
      <c r="T27" s="18"/>
      <c r="U27" s="19"/>
      <c r="V27" s="8" t="s">
        <v>46</v>
      </c>
      <c r="W27" s="9"/>
      <c r="X27" s="9" t="s">
        <v>12</v>
      </c>
      <c r="Y27" s="9"/>
      <c r="Z27" s="18"/>
      <c r="AA27" s="19"/>
      <c r="AB27" s="8" t="s">
        <v>46</v>
      </c>
      <c r="AC27" s="9"/>
      <c r="AD27" s="9" t="s">
        <v>12</v>
      </c>
      <c r="AE27" s="9"/>
      <c r="AF27" s="18"/>
      <c r="AG27" s="19"/>
      <c r="AH27" s="8" t="s">
        <v>46</v>
      </c>
      <c r="AI27" s="9"/>
      <c r="AJ27" s="9" t="s">
        <v>12</v>
      </c>
      <c r="AK27" s="9"/>
      <c r="AL27" s="18"/>
      <c r="AM27" s="19"/>
      <c r="AN27" s="8" t="s">
        <v>46</v>
      </c>
      <c r="AO27" s="9"/>
      <c r="AP27" s="9" t="s">
        <v>12</v>
      </c>
      <c r="AQ27" s="9"/>
      <c r="AR27" s="9"/>
    </row>
    <row r="28" spans="1:44" x14ac:dyDescent="0.25">
      <c r="A28" s="353"/>
      <c r="B28" s="353"/>
      <c r="C28" s="353"/>
      <c r="D28" s="353"/>
      <c r="E28" s="353"/>
      <c r="F28" s="353"/>
      <c r="G28" s="353"/>
      <c r="H28" s="353"/>
      <c r="I28" s="353"/>
      <c r="J28" s="8" t="s">
        <v>45</v>
      </c>
      <c r="K28" s="9"/>
      <c r="L28" s="9"/>
      <c r="M28" s="9"/>
      <c r="N28" s="18"/>
      <c r="O28" s="19"/>
      <c r="P28" s="8" t="s">
        <v>45</v>
      </c>
      <c r="Q28" s="9"/>
      <c r="R28" s="9"/>
      <c r="S28" s="9"/>
      <c r="T28" s="18"/>
      <c r="U28" s="19"/>
      <c r="V28" s="8" t="s">
        <v>45</v>
      </c>
      <c r="W28" s="9"/>
      <c r="X28" s="9"/>
      <c r="Y28" s="9"/>
      <c r="Z28" s="18"/>
      <c r="AA28" s="19"/>
      <c r="AB28" s="8" t="s">
        <v>45</v>
      </c>
      <c r="AC28" s="9"/>
      <c r="AD28" s="9"/>
      <c r="AE28" s="9"/>
      <c r="AF28" s="18"/>
      <c r="AG28" s="19"/>
      <c r="AH28" s="8" t="s">
        <v>45</v>
      </c>
      <c r="AI28" s="9"/>
      <c r="AJ28" s="9"/>
      <c r="AK28" s="9"/>
      <c r="AL28" s="18"/>
      <c r="AM28" s="19"/>
      <c r="AN28" s="8" t="s">
        <v>45</v>
      </c>
      <c r="AO28" s="9"/>
      <c r="AP28" s="9"/>
      <c r="AQ28" s="9"/>
      <c r="AR28" s="9"/>
    </row>
    <row r="29" spans="1:44" ht="21.75" customHeight="1" x14ac:dyDescent="0.25">
      <c r="A29" s="26" t="s">
        <v>24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21.75" customHeight="1" x14ac:dyDescent="0.25">
      <c r="A30" s="180"/>
      <c r="B30" s="181"/>
      <c r="C30" s="181" t="s">
        <v>271</v>
      </c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2"/>
    </row>
    <row r="31" spans="1:44" x14ac:dyDescent="0.25">
      <c r="A31" s="286">
        <v>1</v>
      </c>
      <c r="B31" s="331">
        <v>2227659</v>
      </c>
      <c r="C31" s="221" t="s">
        <v>85</v>
      </c>
      <c r="D31" s="221">
        <f>F31</f>
        <v>1.95</v>
      </c>
      <c r="E31" s="243">
        <f>G31</f>
        <v>31200</v>
      </c>
      <c r="F31" s="221">
        <v>1.95</v>
      </c>
      <c r="G31" s="243">
        <v>31200</v>
      </c>
      <c r="H31" s="283" t="s">
        <v>86</v>
      </c>
      <c r="I31" s="283" t="s">
        <v>87</v>
      </c>
      <c r="J31" s="272" t="s">
        <v>7</v>
      </c>
      <c r="K31" s="175">
        <v>1.95</v>
      </c>
      <c r="L31" s="36" t="s">
        <v>2</v>
      </c>
      <c r="M31" s="327">
        <f>47834.42261*0.67</f>
        <v>32049.063148700003</v>
      </c>
      <c r="N31" s="168"/>
      <c r="O31" s="168"/>
      <c r="P31" s="168"/>
      <c r="Q31" s="168"/>
      <c r="R31" s="168"/>
      <c r="S31" s="169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</row>
    <row r="32" spans="1:44" x14ac:dyDescent="0.25">
      <c r="A32" s="287"/>
      <c r="B32" s="332"/>
      <c r="C32" s="222"/>
      <c r="D32" s="222"/>
      <c r="E32" s="244"/>
      <c r="F32" s="222"/>
      <c r="G32" s="244"/>
      <c r="H32" s="284"/>
      <c r="I32" s="284"/>
      <c r="J32" s="273"/>
      <c r="K32" s="175">
        <v>31200</v>
      </c>
      <c r="L32" s="36" t="s">
        <v>4</v>
      </c>
      <c r="M32" s="328"/>
      <c r="N32" s="45"/>
      <c r="O32" s="45"/>
      <c r="P32" s="45"/>
      <c r="Q32" s="45"/>
      <c r="R32" s="45"/>
      <c r="S32" s="71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</row>
    <row r="33" spans="1:44" x14ac:dyDescent="0.25">
      <c r="A33" s="287"/>
      <c r="B33" s="332"/>
      <c r="C33" s="222"/>
      <c r="D33" s="222"/>
      <c r="E33" s="244"/>
      <c r="F33" s="222"/>
      <c r="G33" s="244"/>
      <c r="H33" s="284"/>
      <c r="I33" s="284"/>
      <c r="J33" s="36" t="s">
        <v>13</v>
      </c>
      <c r="K33" s="175">
        <v>11700</v>
      </c>
      <c r="L33" s="36" t="s">
        <v>4</v>
      </c>
      <c r="M33" s="103">
        <f>25181.2548*0.67</f>
        <v>16871.440716000001</v>
      </c>
      <c r="N33" s="45"/>
      <c r="O33" s="45"/>
      <c r="P33" s="45"/>
      <c r="Q33" s="45"/>
      <c r="R33" s="45"/>
      <c r="S33" s="71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</row>
    <row r="34" spans="1:44" ht="30" x14ac:dyDescent="0.25">
      <c r="A34" s="287"/>
      <c r="B34" s="332"/>
      <c r="C34" s="222"/>
      <c r="D34" s="222"/>
      <c r="E34" s="244"/>
      <c r="F34" s="222"/>
      <c r="G34" s="244"/>
      <c r="H34" s="284"/>
      <c r="I34" s="284"/>
      <c r="J34" s="36" t="s">
        <v>88</v>
      </c>
      <c r="K34" s="175">
        <v>1330</v>
      </c>
      <c r="L34" s="36" t="s">
        <v>12</v>
      </c>
      <c r="M34" s="103">
        <f>1.33*10700</f>
        <v>14231</v>
      </c>
      <c r="N34" s="45"/>
      <c r="O34" s="45"/>
      <c r="P34" s="45"/>
      <c r="Q34" s="45"/>
      <c r="R34" s="45"/>
      <c r="S34" s="71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</row>
    <row r="35" spans="1:44" ht="30" x14ac:dyDescent="0.25">
      <c r="A35" s="288"/>
      <c r="B35" s="333"/>
      <c r="C35" s="223"/>
      <c r="D35" s="223"/>
      <c r="E35" s="245"/>
      <c r="F35" s="223"/>
      <c r="G35" s="245"/>
      <c r="H35" s="285"/>
      <c r="I35" s="285"/>
      <c r="J35" s="89" t="s">
        <v>89</v>
      </c>
      <c r="K35" s="175">
        <v>4</v>
      </c>
      <c r="L35" s="45" t="s">
        <v>90</v>
      </c>
      <c r="M35" s="103">
        <v>400</v>
      </c>
      <c r="N35" s="45"/>
      <c r="O35" s="45"/>
      <c r="P35" s="45"/>
      <c r="Q35" s="45"/>
      <c r="R35" s="45"/>
      <c r="S35" s="71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</row>
    <row r="36" spans="1:44" x14ac:dyDescent="0.25">
      <c r="A36" s="286">
        <v>2</v>
      </c>
      <c r="B36" s="286">
        <v>2224682</v>
      </c>
      <c r="C36" s="221" t="s">
        <v>97</v>
      </c>
      <c r="D36" s="221">
        <f>F36</f>
        <v>1.43</v>
      </c>
      <c r="E36" s="221">
        <f>G36</f>
        <v>28600</v>
      </c>
      <c r="F36" s="221">
        <v>1.43</v>
      </c>
      <c r="G36" s="243">
        <f>1430*20</f>
        <v>28600</v>
      </c>
      <c r="H36" s="283" t="s">
        <v>98</v>
      </c>
      <c r="I36" s="283" t="s">
        <v>99</v>
      </c>
      <c r="J36" s="272" t="s">
        <v>7</v>
      </c>
      <c r="K36" s="175">
        <v>1.43</v>
      </c>
      <c r="L36" s="36" t="s">
        <v>2</v>
      </c>
      <c r="M36" s="329">
        <f>40827.1*0.67</f>
        <v>27354.156999999999</v>
      </c>
      <c r="N36" s="45"/>
      <c r="O36" s="45"/>
      <c r="P36" s="45"/>
      <c r="Q36" s="45"/>
      <c r="R36" s="45"/>
      <c r="S36" s="71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</row>
    <row r="37" spans="1:44" x14ac:dyDescent="0.25">
      <c r="A37" s="287"/>
      <c r="B37" s="287"/>
      <c r="C37" s="222"/>
      <c r="D37" s="222"/>
      <c r="E37" s="222"/>
      <c r="F37" s="222"/>
      <c r="G37" s="244"/>
      <c r="H37" s="284"/>
      <c r="I37" s="284"/>
      <c r="J37" s="273"/>
      <c r="K37" s="175">
        <v>28600</v>
      </c>
      <c r="L37" s="36" t="s">
        <v>4</v>
      </c>
      <c r="M37" s="330"/>
      <c r="N37" s="45"/>
      <c r="O37" s="45"/>
      <c r="P37" s="45"/>
      <c r="Q37" s="45"/>
      <c r="R37" s="45"/>
      <c r="S37" s="71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</row>
    <row r="38" spans="1:44" x14ac:dyDescent="0.25">
      <c r="A38" s="287"/>
      <c r="B38" s="287"/>
      <c r="C38" s="222"/>
      <c r="D38" s="222"/>
      <c r="E38" s="222"/>
      <c r="F38" s="222"/>
      <c r="G38" s="244"/>
      <c r="H38" s="284"/>
      <c r="I38" s="284"/>
      <c r="J38" s="36" t="s">
        <v>13</v>
      </c>
      <c r="K38" s="175">
        <f>1430*6</f>
        <v>8580</v>
      </c>
      <c r="L38" s="36" t="s">
        <v>4</v>
      </c>
      <c r="M38" s="103">
        <f>13713.3*0.67</f>
        <v>9187.9110000000001</v>
      </c>
      <c r="N38" s="45"/>
      <c r="O38" s="45"/>
      <c r="P38" s="45"/>
      <c r="Q38" s="45"/>
      <c r="R38" s="45"/>
      <c r="S38" s="71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</row>
    <row r="39" spans="1:44" ht="45" x14ac:dyDescent="0.25">
      <c r="A39" s="288"/>
      <c r="B39" s="288"/>
      <c r="C39" s="223"/>
      <c r="D39" s="223"/>
      <c r="E39" s="223"/>
      <c r="F39" s="223"/>
      <c r="G39" s="245"/>
      <c r="H39" s="285"/>
      <c r="I39" s="285"/>
      <c r="J39" s="36" t="s">
        <v>46</v>
      </c>
      <c r="K39" s="175">
        <v>600</v>
      </c>
      <c r="L39" s="36" t="s">
        <v>12</v>
      </c>
      <c r="M39" s="103">
        <f>300*2.5</f>
        <v>750</v>
      </c>
      <c r="N39" s="45"/>
      <c r="O39" s="45"/>
      <c r="P39" s="45"/>
      <c r="Q39" s="45"/>
      <c r="R39" s="45"/>
      <c r="S39" s="71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</row>
    <row r="40" spans="1:44" ht="45" x14ac:dyDescent="0.25">
      <c r="A40" s="62">
        <v>3</v>
      </c>
      <c r="B40" s="36">
        <v>2219715</v>
      </c>
      <c r="C40" s="176" t="s">
        <v>103</v>
      </c>
      <c r="D40" s="218">
        <f>F40</f>
        <v>1.8</v>
      </c>
      <c r="E40" s="218">
        <f>G40</f>
        <v>12600</v>
      </c>
      <c r="F40" s="176">
        <v>1.8</v>
      </c>
      <c r="G40" s="176">
        <v>12600</v>
      </c>
      <c r="H40" s="63" t="s">
        <v>104</v>
      </c>
      <c r="I40" s="176" t="s">
        <v>105</v>
      </c>
      <c r="J40" s="36" t="s">
        <v>43</v>
      </c>
      <c r="K40" s="175">
        <v>11550</v>
      </c>
      <c r="L40" s="36" t="s">
        <v>4</v>
      </c>
      <c r="M40" s="57">
        <v>130000</v>
      </c>
      <c r="N40" s="40"/>
      <c r="O40" s="40"/>
      <c r="P40" s="40"/>
      <c r="Q40" s="40"/>
      <c r="R40" s="40"/>
      <c r="S40" s="58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</row>
    <row r="41" spans="1:44" x14ac:dyDescent="0.25">
      <c r="A41" s="55">
        <v>4</v>
      </c>
      <c r="B41" s="59">
        <v>2222052</v>
      </c>
      <c r="C41" s="177" t="s">
        <v>106</v>
      </c>
      <c r="D41" s="178"/>
      <c r="E41" s="179"/>
      <c r="F41" s="104">
        <v>2.82</v>
      </c>
      <c r="G41" s="104">
        <v>42300</v>
      </c>
      <c r="H41" s="45" t="s">
        <v>107</v>
      </c>
      <c r="I41" s="45" t="s">
        <v>108</v>
      </c>
      <c r="J41" s="36" t="s">
        <v>43</v>
      </c>
      <c r="K41" s="104">
        <f>600*21</f>
        <v>12600</v>
      </c>
      <c r="L41" s="36" t="s">
        <v>4</v>
      </c>
      <c r="M41" s="105">
        <v>72000</v>
      </c>
      <c r="N41" s="45"/>
      <c r="O41" s="45"/>
      <c r="P41" s="45"/>
      <c r="Q41" s="45"/>
      <c r="R41" s="45"/>
      <c r="S41" s="54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</row>
    <row r="42" spans="1:44" x14ac:dyDescent="0.25">
      <c r="A42" s="286">
        <v>5</v>
      </c>
      <c r="B42" s="286">
        <v>2227974</v>
      </c>
      <c r="C42" s="221" t="s">
        <v>109</v>
      </c>
      <c r="D42" s="221">
        <f>F42</f>
        <v>1.9</v>
      </c>
      <c r="E42" s="221">
        <f>G42</f>
        <v>14000</v>
      </c>
      <c r="F42" s="221">
        <v>1.9</v>
      </c>
      <c r="G42" s="243">
        <v>14000</v>
      </c>
      <c r="H42" s="283" t="s">
        <v>110</v>
      </c>
      <c r="I42" s="283" t="s">
        <v>111</v>
      </c>
      <c r="J42" s="272" t="s">
        <v>7</v>
      </c>
      <c r="K42" s="175">
        <v>1.9</v>
      </c>
      <c r="L42" s="36" t="s">
        <v>2</v>
      </c>
      <c r="M42" s="329">
        <f>29224.1*0.67</f>
        <v>19580.147000000001</v>
      </c>
      <c r="N42" s="45"/>
      <c r="O42" s="45"/>
      <c r="P42" s="45"/>
      <c r="Q42" s="45"/>
      <c r="R42" s="45"/>
      <c r="S42" s="71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</row>
    <row r="43" spans="1:44" x14ac:dyDescent="0.25">
      <c r="A43" s="287"/>
      <c r="B43" s="287"/>
      <c r="C43" s="222"/>
      <c r="D43" s="222"/>
      <c r="E43" s="222"/>
      <c r="F43" s="222"/>
      <c r="G43" s="244"/>
      <c r="H43" s="284"/>
      <c r="I43" s="284"/>
      <c r="J43" s="273"/>
      <c r="K43" s="175">
        <v>14000</v>
      </c>
      <c r="L43" s="36" t="s">
        <v>4</v>
      </c>
      <c r="M43" s="330"/>
      <c r="N43" s="45"/>
      <c r="O43" s="45"/>
      <c r="P43" s="45"/>
      <c r="Q43" s="45"/>
      <c r="R43" s="45"/>
      <c r="S43" s="71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</row>
    <row r="44" spans="1:44" x14ac:dyDescent="0.25">
      <c r="A44" s="287"/>
      <c r="B44" s="287"/>
      <c r="C44" s="222"/>
      <c r="D44" s="222"/>
      <c r="E44" s="222"/>
      <c r="F44" s="222"/>
      <c r="G44" s="244"/>
      <c r="H44" s="284"/>
      <c r="I44" s="284"/>
      <c r="J44" s="36" t="s">
        <v>13</v>
      </c>
      <c r="K44" s="175">
        <v>11400</v>
      </c>
      <c r="L44" s="36" t="s">
        <v>4</v>
      </c>
      <c r="M44" s="103">
        <f>24535.6*0.67</f>
        <v>16438.851999999999</v>
      </c>
      <c r="N44" s="45"/>
      <c r="O44" s="45"/>
      <c r="P44" s="45"/>
      <c r="Q44" s="45"/>
      <c r="R44" s="45"/>
      <c r="S44" s="71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</row>
    <row r="45" spans="1:44" ht="45" x14ac:dyDescent="0.25">
      <c r="A45" s="287"/>
      <c r="B45" s="287"/>
      <c r="C45" s="222"/>
      <c r="D45" s="222"/>
      <c r="E45" s="222"/>
      <c r="F45" s="222"/>
      <c r="G45" s="244"/>
      <c r="H45" s="284"/>
      <c r="I45" s="284"/>
      <c r="J45" s="36" t="s">
        <v>46</v>
      </c>
      <c r="K45" s="175">
        <v>600</v>
      </c>
      <c r="L45" s="36" t="s">
        <v>12</v>
      </c>
      <c r="M45" s="103">
        <v>750</v>
      </c>
      <c r="N45" s="45"/>
      <c r="O45" s="45"/>
      <c r="P45" s="45"/>
      <c r="Q45" s="45"/>
      <c r="R45" s="45"/>
      <c r="S45" s="71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</row>
    <row r="46" spans="1:44" ht="30" x14ac:dyDescent="0.25">
      <c r="A46" s="288"/>
      <c r="B46" s="288"/>
      <c r="C46" s="223"/>
      <c r="D46" s="223"/>
      <c r="E46" s="223"/>
      <c r="F46" s="223"/>
      <c r="G46" s="245"/>
      <c r="H46" s="285"/>
      <c r="I46" s="285"/>
      <c r="J46" s="89" t="s">
        <v>89</v>
      </c>
      <c r="K46" s="175">
        <v>6</v>
      </c>
      <c r="L46" s="45" t="s">
        <v>90</v>
      </c>
      <c r="M46" s="103">
        <v>600</v>
      </c>
      <c r="N46" s="45"/>
      <c r="O46" s="45"/>
      <c r="P46" s="45"/>
      <c r="Q46" s="45"/>
      <c r="R46" s="45"/>
      <c r="S46" s="71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</row>
    <row r="47" spans="1:44" x14ac:dyDescent="0.25">
      <c r="A47" s="272">
        <v>6</v>
      </c>
      <c r="B47" s="272">
        <v>2221880</v>
      </c>
      <c r="C47" s="308" t="s">
        <v>112</v>
      </c>
      <c r="D47" s="308">
        <f>F47</f>
        <v>1.5</v>
      </c>
      <c r="E47" s="308">
        <f>G47</f>
        <v>10500</v>
      </c>
      <c r="F47" s="308">
        <v>1.5</v>
      </c>
      <c r="G47" s="311">
        <v>10500</v>
      </c>
      <c r="H47" s="249" t="s">
        <v>110</v>
      </c>
      <c r="I47" s="249" t="s">
        <v>113</v>
      </c>
      <c r="J47" s="272" t="s">
        <v>7</v>
      </c>
      <c r="K47" s="51">
        <v>1.5</v>
      </c>
      <c r="L47" s="36" t="s">
        <v>2</v>
      </c>
      <c r="M47" s="323">
        <f>22611.7*0.67</f>
        <v>15149.839000000002</v>
      </c>
      <c r="N47" s="40"/>
      <c r="O47" s="40"/>
      <c r="P47" s="40"/>
      <c r="Q47" s="40"/>
      <c r="R47" s="40"/>
      <c r="S47" s="58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</row>
    <row r="48" spans="1:44" x14ac:dyDescent="0.25">
      <c r="A48" s="276"/>
      <c r="B48" s="276"/>
      <c r="C48" s="309"/>
      <c r="D48" s="309"/>
      <c r="E48" s="309"/>
      <c r="F48" s="309"/>
      <c r="G48" s="312"/>
      <c r="H48" s="250"/>
      <c r="I48" s="250"/>
      <c r="J48" s="273"/>
      <c r="K48" s="51">
        <v>10500</v>
      </c>
      <c r="L48" s="36" t="s">
        <v>4</v>
      </c>
      <c r="M48" s="324"/>
      <c r="N48" s="40"/>
      <c r="O48" s="40"/>
      <c r="P48" s="40"/>
      <c r="Q48" s="40"/>
      <c r="R48" s="40"/>
      <c r="S48" s="58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</row>
    <row r="49" spans="1:44" x14ac:dyDescent="0.25">
      <c r="A49" s="276"/>
      <c r="B49" s="276"/>
      <c r="C49" s="309"/>
      <c r="D49" s="309"/>
      <c r="E49" s="309"/>
      <c r="F49" s="309"/>
      <c r="G49" s="312"/>
      <c r="H49" s="250"/>
      <c r="I49" s="250"/>
      <c r="J49" s="36" t="s">
        <v>13</v>
      </c>
      <c r="K49" s="51">
        <v>5700</v>
      </c>
      <c r="L49" s="36" t="s">
        <v>4</v>
      </c>
      <c r="M49" s="57">
        <f>12267.8*0.67</f>
        <v>8219.4259999999995</v>
      </c>
      <c r="N49" s="40"/>
      <c r="O49" s="40"/>
      <c r="P49" s="40"/>
      <c r="Q49" s="40"/>
      <c r="R49" s="40"/>
      <c r="S49" s="58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</row>
    <row r="50" spans="1:44" ht="30" x14ac:dyDescent="0.25">
      <c r="A50" s="276"/>
      <c r="B50" s="276"/>
      <c r="C50" s="309"/>
      <c r="D50" s="309"/>
      <c r="E50" s="309"/>
      <c r="F50" s="309"/>
      <c r="G50" s="312"/>
      <c r="H50" s="250"/>
      <c r="I50" s="250"/>
      <c r="J50" s="82" t="s">
        <v>89</v>
      </c>
      <c r="K50" s="51">
        <v>3</v>
      </c>
      <c r="L50" s="40" t="s">
        <v>90</v>
      </c>
      <c r="M50" s="57">
        <v>300</v>
      </c>
      <c r="N50" s="40"/>
      <c r="O50" s="40"/>
      <c r="P50" s="40"/>
      <c r="Q50" s="40"/>
      <c r="R50" s="40"/>
      <c r="S50" s="58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</row>
    <row r="51" spans="1:44" x14ac:dyDescent="0.25">
      <c r="A51" s="273"/>
      <c r="B51" s="273"/>
      <c r="C51" s="310"/>
      <c r="D51" s="310"/>
      <c r="E51" s="310"/>
      <c r="F51" s="310"/>
      <c r="G51" s="313"/>
      <c r="H51" s="251"/>
      <c r="I51" s="251"/>
      <c r="J51" s="47" t="s">
        <v>14</v>
      </c>
      <c r="K51" s="51">
        <v>1.5</v>
      </c>
      <c r="L51" s="40" t="s">
        <v>2</v>
      </c>
      <c r="M51" s="57">
        <v>5550</v>
      </c>
      <c r="N51" s="40"/>
      <c r="O51" s="40"/>
      <c r="P51" s="40"/>
      <c r="Q51" s="40"/>
      <c r="R51" s="40"/>
      <c r="S51" s="58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</row>
    <row r="52" spans="1:44" x14ac:dyDescent="0.25">
      <c r="A52" s="286">
        <v>7</v>
      </c>
      <c r="B52" s="286">
        <v>2224723</v>
      </c>
      <c r="C52" s="221" t="s">
        <v>121</v>
      </c>
      <c r="D52" s="221">
        <f>F52</f>
        <v>2.35</v>
      </c>
      <c r="E52" s="221">
        <f>G52</f>
        <v>21150</v>
      </c>
      <c r="F52" s="221">
        <v>2.35</v>
      </c>
      <c r="G52" s="243">
        <v>21150</v>
      </c>
      <c r="H52" s="283" t="s">
        <v>120</v>
      </c>
      <c r="I52" s="283" t="s">
        <v>122</v>
      </c>
      <c r="J52" s="272" t="s">
        <v>7</v>
      </c>
      <c r="K52" s="45">
        <v>2.35</v>
      </c>
      <c r="L52" s="36" t="s">
        <v>2</v>
      </c>
      <c r="M52" s="354">
        <f>40071.3*0.67</f>
        <v>26847.771000000004</v>
      </c>
      <c r="N52" s="283"/>
      <c r="O52" s="283"/>
      <c r="P52" s="272"/>
      <c r="Q52" s="45"/>
      <c r="R52" s="36"/>
      <c r="S52" s="354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</row>
    <row r="53" spans="1:44" x14ac:dyDescent="0.25">
      <c r="A53" s="287"/>
      <c r="B53" s="287"/>
      <c r="C53" s="222"/>
      <c r="D53" s="222"/>
      <c r="E53" s="222"/>
      <c r="F53" s="222"/>
      <c r="G53" s="244"/>
      <c r="H53" s="284"/>
      <c r="I53" s="284"/>
      <c r="J53" s="273"/>
      <c r="K53" s="71">
        <v>21150</v>
      </c>
      <c r="L53" s="36" t="s">
        <v>4</v>
      </c>
      <c r="M53" s="355"/>
      <c r="N53" s="284"/>
      <c r="O53" s="284"/>
      <c r="P53" s="273"/>
      <c r="Q53" s="71"/>
      <c r="R53" s="36"/>
      <c r="S53" s="355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</row>
    <row r="54" spans="1:44" x14ac:dyDescent="0.25">
      <c r="A54" s="287"/>
      <c r="B54" s="287"/>
      <c r="C54" s="222"/>
      <c r="D54" s="222"/>
      <c r="E54" s="222"/>
      <c r="F54" s="222"/>
      <c r="G54" s="244"/>
      <c r="H54" s="284"/>
      <c r="I54" s="284"/>
      <c r="J54" s="36" t="s">
        <v>13</v>
      </c>
      <c r="K54" s="45">
        <v>9400</v>
      </c>
      <c r="L54" s="36" t="s">
        <v>4</v>
      </c>
      <c r="M54" s="175">
        <f>17627.5*0.67</f>
        <v>11810.425000000001</v>
      </c>
      <c r="N54" s="284"/>
      <c r="O54" s="284"/>
      <c r="P54" s="36"/>
      <c r="Q54" s="45"/>
      <c r="R54" s="36"/>
      <c r="S54" s="175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</row>
    <row r="55" spans="1:44" ht="45" x14ac:dyDescent="0.25">
      <c r="A55" s="288"/>
      <c r="B55" s="288"/>
      <c r="C55" s="223"/>
      <c r="D55" s="223"/>
      <c r="E55" s="223"/>
      <c r="F55" s="223"/>
      <c r="G55" s="245"/>
      <c r="H55" s="285"/>
      <c r="I55" s="285"/>
      <c r="J55" s="59" t="s">
        <v>46</v>
      </c>
      <c r="K55" s="73">
        <v>206</v>
      </c>
      <c r="L55" s="59" t="s">
        <v>12</v>
      </c>
      <c r="M55" s="175">
        <v>257.5</v>
      </c>
      <c r="N55" s="285"/>
      <c r="O55" s="285"/>
      <c r="P55" s="59"/>
      <c r="Q55" s="73"/>
      <c r="R55" s="59"/>
      <c r="S55" s="175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</row>
    <row r="56" spans="1:44" x14ac:dyDescent="0.25">
      <c r="A56" s="286">
        <v>8</v>
      </c>
      <c r="B56" s="237">
        <v>2225490</v>
      </c>
      <c r="C56" s="221" t="s">
        <v>125</v>
      </c>
      <c r="D56" s="221">
        <f>F56</f>
        <v>0.88</v>
      </c>
      <c r="E56" s="221">
        <f>G56</f>
        <v>13320</v>
      </c>
      <c r="F56" s="221">
        <v>0.88</v>
      </c>
      <c r="G56" s="243">
        <v>13320</v>
      </c>
      <c r="H56" s="356" t="s">
        <v>126</v>
      </c>
      <c r="I56" s="272" t="s">
        <v>127</v>
      </c>
      <c r="J56" s="272" t="s">
        <v>7</v>
      </c>
      <c r="K56" s="40">
        <v>0.88</v>
      </c>
      <c r="L56" s="36" t="s">
        <v>2</v>
      </c>
      <c r="M56" s="270">
        <f>21109.7*0.67</f>
        <v>14143.499000000002</v>
      </c>
      <c r="O56" s="272"/>
      <c r="P56" s="272"/>
      <c r="Q56" s="40"/>
      <c r="R56" s="36"/>
      <c r="S56" s="270"/>
      <c r="T56" s="53"/>
      <c r="U56" s="53"/>
      <c r="V56" s="36"/>
      <c r="W56" s="53"/>
      <c r="X56" s="53"/>
      <c r="Y56" s="53"/>
      <c r="Z56" s="53"/>
      <c r="AA56" s="53"/>
      <c r="AB56" s="89"/>
      <c r="AC56" s="53"/>
      <c r="AD56" s="45"/>
      <c r="AE56" s="53"/>
      <c r="AF56" s="43"/>
      <c r="AG56" s="43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</row>
    <row r="57" spans="1:44" x14ac:dyDescent="0.25">
      <c r="A57" s="287"/>
      <c r="B57" s="238"/>
      <c r="C57" s="222"/>
      <c r="D57" s="222"/>
      <c r="E57" s="222"/>
      <c r="F57" s="222"/>
      <c r="G57" s="244"/>
      <c r="H57" s="357"/>
      <c r="I57" s="276"/>
      <c r="J57" s="273"/>
      <c r="K57" s="40">
        <v>13320</v>
      </c>
      <c r="L57" s="36" t="s">
        <v>4</v>
      </c>
      <c r="M57" s="271"/>
      <c r="O57" s="276"/>
      <c r="P57" s="273"/>
      <c r="Q57" s="40"/>
      <c r="R57" s="36"/>
      <c r="S57" s="271"/>
      <c r="T57" s="53"/>
      <c r="U57" s="53"/>
      <c r="V57" s="36"/>
      <c r="W57" s="53"/>
      <c r="X57" s="53"/>
      <c r="Y57" s="53"/>
      <c r="Z57" s="53"/>
      <c r="AA57" s="53"/>
      <c r="AB57" s="89"/>
      <c r="AC57" s="53"/>
      <c r="AD57" s="45"/>
      <c r="AE57" s="53"/>
      <c r="AF57" s="43"/>
      <c r="AG57" s="43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</row>
    <row r="58" spans="1:44" ht="30" x14ac:dyDescent="0.25">
      <c r="A58" s="287"/>
      <c r="B58" s="238"/>
      <c r="C58" s="222"/>
      <c r="D58" s="222"/>
      <c r="E58" s="222"/>
      <c r="F58" s="222"/>
      <c r="G58" s="244"/>
      <c r="H58" s="357"/>
      <c r="I58" s="276"/>
      <c r="J58" s="82" t="s">
        <v>89</v>
      </c>
      <c r="K58" s="40">
        <v>2</v>
      </c>
      <c r="L58" s="40" t="s">
        <v>90</v>
      </c>
      <c r="M58" s="40">
        <v>200</v>
      </c>
      <c r="O58" s="276"/>
      <c r="P58" s="82"/>
      <c r="Q58" s="40"/>
      <c r="R58" s="40"/>
      <c r="S58" s="40"/>
      <c r="T58" s="53"/>
      <c r="U58" s="53"/>
      <c r="V58" s="36"/>
      <c r="W58" s="53"/>
      <c r="X58" s="53"/>
      <c r="Y58" s="53"/>
      <c r="Z58" s="53"/>
      <c r="AA58" s="53"/>
      <c r="AB58" s="89"/>
      <c r="AC58" s="53"/>
      <c r="AD58" s="45"/>
      <c r="AE58" s="53"/>
      <c r="AF58" s="43"/>
      <c r="AG58" s="43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</row>
    <row r="59" spans="1:44" x14ac:dyDescent="0.25">
      <c r="A59" s="287"/>
      <c r="B59" s="238"/>
      <c r="C59" s="222"/>
      <c r="D59" s="222"/>
      <c r="E59" s="222"/>
      <c r="F59" s="222"/>
      <c r="G59" s="244"/>
      <c r="H59" s="357"/>
      <c r="I59" s="276"/>
      <c r="J59" s="36" t="s">
        <v>13</v>
      </c>
      <c r="K59" s="40">
        <v>3520</v>
      </c>
      <c r="L59" s="36" t="s">
        <v>4</v>
      </c>
      <c r="M59" s="61">
        <f>9525.8*0.67</f>
        <v>6382.2860000000001</v>
      </c>
      <c r="O59" s="276"/>
      <c r="P59" s="36"/>
      <c r="Q59" s="40"/>
      <c r="R59" s="36"/>
      <c r="S59" s="61"/>
      <c r="T59" s="53"/>
      <c r="U59" s="53"/>
      <c r="V59" s="36"/>
      <c r="W59" s="53"/>
      <c r="X59" s="53"/>
      <c r="Y59" s="53"/>
      <c r="Z59" s="53"/>
      <c r="AA59" s="53"/>
      <c r="AB59" s="89"/>
      <c r="AC59" s="53"/>
      <c r="AD59" s="45"/>
      <c r="AE59" s="53"/>
      <c r="AF59" s="43"/>
      <c r="AG59" s="43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</row>
    <row r="60" spans="1:44" ht="45" x14ac:dyDescent="0.25">
      <c r="A60" s="288"/>
      <c r="B60" s="239"/>
      <c r="C60" s="223"/>
      <c r="D60" s="223"/>
      <c r="E60" s="223"/>
      <c r="F60" s="223"/>
      <c r="G60" s="245"/>
      <c r="H60" s="358"/>
      <c r="I60" s="273"/>
      <c r="J60" s="36" t="s">
        <v>46</v>
      </c>
      <c r="K60" s="40">
        <v>231</v>
      </c>
      <c r="L60" s="36" t="s">
        <v>12</v>
      </c>
      <c r="M60" s="40">
        <v>288.8</v>
      </c>
      <c r="O60" s="273"/>
      <c r="P60" s="36"/>
      <c r="Q60" s="40"/>
      <c r="R60" s="36"/>
      <c r="S60" s="40"/>
      <c r="T60" s="53"/>
      <c r="U60" s="53"/>
      <c r="V60" s="36"/>
      <c r="W60" s="53"/>
      <c r="X60" s="53"/>
      <c r="Y60" s="53"/>
      <c r="Z60" s="53"/>
      <c r="AA60" s="53"/>
      <c r="AB60" s="89"/>
      <c r="AC60" s="53"/>
      <c r="AD60" s="45"/>
      <c r="AE60" s="53"/>
      <c r="AF60" s="43"/>
      <c r="AG60" s="43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</row>
    <row r="61" spans="1:44" x14ac:dyDescent="0.25">
      <c r="A61" s="280">
        <v>9</v>
      </c>
      <c r="B61" s="280">
        <v>2226803</v>
      </c>
      <c r="C61" s="317" t="s">
        <v>138</v>
      </c>
      <c r="D61" s="317">
        <f>F61</f>
        <v>5.3</v>
      </c>
      <c r="E61" s="317">
        <f>G61</f>
        <v>51400</v>
      </c>
      <c r="F61" s="317">
        <v>5.3</v>
      </c>
      <c r="G61" s="318">
        <f>33000+18400</f>
        <v>51400</v>
      </c>
      <c r="H61" s="319" t="s">
        <v>141</v>
      </c>
      <c r="I61" s="319" t="s">
        <v>142</v>
      </c>
      <c r="J61" s="252" t="s">
        <v>7</v>
      </c>
      <c r="K61" s="40">
        <v>3</v>
      </c>
      <c r="L61" s="36" t="s">
        <v>2</v>
      </c>
      <c r="M61" s="270">
        <f>57354.5*0.67</f>
        <v>38427.514999999999</v>
      </c>
      <c r="N61" s="359"/>
      <c r="O61" s="359"/>
      <c r="P61" s="359"/>
      <c r="Q61" s="359"/>
      <c r="R61" s="359"/>
      <c r="S61" s="354"/>
      <c r="T61" s="280" t="s">
        <v>139</v>
      </c>
      <c r="U61" s="280" t="s">
        <v>140</v>
      </c>
      <c r="V61" s="252" t="s">
        <v>7</v>
      </c>
      <c r="W61" s="45">
        <v>2.2999999999999998</v>
      </c>
      <c r="X61" s="36" t="s">
        <v>2</v>
      </c>
      <c r="Y61" s="295">
        <f>36791.4*0.67</f>
        <v>24650.238000000001</v>
      </c>
      <c r="Z61" s="319"/>
      <c r="AA61" s="319"/>
      <c r="AB61" s="252"/>
      <c r="AC61" s="40"/>
      <c r="AD61" s="36"/>
      <c r="AE61" s="270"/>
      <c r="AF61" s="53"/>
      <c r="AG61" s="53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</row>
    <row r="62" spans="1:44" x14ac:dyDescent="0.25">
      <c r="A62" s="280"/>
      <c r="B62" s="280"/>
      <c r="C62" s="317"/>
      <c r="D62" s="317"/>
      <c r="E62" s="317"/>
      <c r="F62" s="317"/>
      <c r="G62" s="318"/>
      <c r="H62" s="319"/>
      <c r="I62" s="319"/>
      <c r="J62" s="252"/>
      <c r="K62" s="58">
        <v>33000</v>
      </c>
      <c r="L62" s="36" t="s">
        <v>4</v>
      </c>
      <c r="M62" s="271"/>
      <c r="N62" s="360"/>
      <c r="O62" s="360"/>
      <c r="P62" s="360"/>
      <c r="Q62" s="360"/>
      <c r="R62" s="360"/>
      <c r="S62" s="362"/>
      <c r="T62" s="280"/>
      <c r="U62" s="280"/>
      <c r="V62" s="252"/>
      <c r="W62" s="71">
        <v>18400</v>
      </c>
      <c r="X62" s="36" t="s">
        <v>4</v>
      </c>
      <c r="Y62" s="296"/>
      <c r="Z62" s="319"/>
      <c r="AA62" s="319"/>
      <c r="AB62" s="252"/>
      <c r="AC62" s="58"/>
      <c r="AD62" s="36"/>
      <c r="AE62" s="271"/>
      <c r="AF62" s="53"/>
      <c r="AG62" s="53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</row>
    <row r="63" spans="1:44" ht="30" x14ac:dyDescent="0.25">
      <c r="A63" s="280"/>
      <c r="B63" s="280"/>
      <c r="C63" s="317"/>
      <c r="D63" s="317"/>
      <c r="E63" s="317"/>
      <c r="F63" s="317"/>
      <c r="G63" s="318"/>
      <c r="H63" s="319"/>
      <c r="I63" s="319"/>
      <c r="J63" s="82" t="s">
        <v>89</v>
      </c>
      <c r="K63" s="40">
        <v>6</v>
      </c>
      <c r="L63" s="40" t="s">
        <v>90</v>
      </c>
      <c r="M63" s="61">
        <v>600</v>
      </c>
      <c r="N63" s="360"/>
      <c r="O63" s="360"/>
      <c r="P63" s="360"/>
      <c r="Q63" s="360"/>
      <c r="R63" s="360"/>
      <c r="S63" s="362"/>
      <c r="T63" s="280"/>
      <c r="U63" s="280"/>
      <c r="V63" s="89" t="s">
        <v>89</v>
      </c>
      <c r="W63" s="45">
        <v>4</v>
      </c>
      <c r="X63" s="45" t="s">
        <v>90</v>
      </c>
      <c r="Y63" s="72">
        <v>400</v>
      </c>
      <c r="Z63" s="319"/>
      <c r="AA63" s="319"/>
      <c r="AB63" s="82"/>
      <c r="AC63" s="40"/>
      <c r="AD63" s="40"/>
      <c r="AE63" s="61"/>
      <c r="AF63" s="53"/>
      <c r="AG63" s="53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</row>
    <row r="64" spans="1:44" x14ac:dyDescent="0.25">
      <c r="A64" s="280"/>
      <c r="B64" s="280"/>
      <c r="C64" s="317"/>
      <c r="D64" s="317"/>
      <c r="E64" s="317"/>
      <c r="F64" s="317"/>
      <c r="G64" s="318"/>
      <c r="H64" s="319"/>
      <c r="I64" s="319"/>
      <c r="J64" s="36" t="s">
        <v>13</v>
      </c>
      <c r="K64" s="40">
        <v>18000</v>
      </c>
      <c r="L64" s="36" t="s">
        <v>4</v>
      </c>
      <c r="M64" s="61">
        <f>38740.4*0.67</f>
        <v>25956.068000000003</v>
      </c>
      <c r="N64" s="360"/>
      <c r="O64" s="360"/>
      <c r="P64" s="360"/>
      <c r="Q64" s="360"/>
      <c r="R64" s="360"/>
      <c r="S64" s="362"/>
      <c r="T64" s="280"/>
      <c r="U64" s="280"/>
      <c r="V64" s="36" t="s">
        <v>13</v>
      </c>
      <c r="W64" s="45">
        <v>9200</v>
      </c>
      <c r="X64" s="36" t="s">
        <v>4</v>
      </c>
      <c r="Y64" s="72">
        <f>17252.4*0.67</f>
        <v>11559.108000000002</v>
      </c>
      <c r="Z64" s="319"/>
      <c r="AA64" s="319"/>
      <c r="AB64" s="36"/>
      <c r="AC64" s="40"/>
      <c r="AD64" s="36"/>
      <c r="AE64" s="61"/>
      <c r="AF64" s="53"/>
      <c r="AG64" s="53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</row>
    <row r="65" spans="1:44" ht="45" x14ac:dyDescent="0.25">
      <c r="A65" s="280"/>
      <c r="B65" s="280"/>
      <c r="C65" s="317"/>
      <c r="D65" s="317"/>
      <c r="E65" s="317"/>
      <c r="F65" s="317"/>
      <c r="G65" s="318"/>
      <c r="H65" s="319"/>
      <c r="I65" s="319"/>
      <c r="J65" s="36" t="s">
        <v>46</v>
      </c>
      <c r="K65" s="40">
        <v>500</v>
      </c>
      <c r="L65" s="36" t="s">
        <v>12</v>
      </c>
      <c r="M65" s="61">
        <v>625</v>
      </c>
      <c r="N65" s="361"/>
      <c r="O65" s="361"/>
      <c r="P65" s="361"/>
      <c r="Q65" s="361"/>
      <c r="R65" s="361"/>
      <c r="S65" s="363"/>
      <c r="T65" s="280"/>
      <c r="U65" s="280"/>
      <c r="V65" s="36" t="s">
        <v>46</v>
      </c>
      <c r="W65" s="45">
        <v>500</v>
      </c>
      <c r="X65" s="36" t="s">
        <v>12</v>
      </c>
      <c r="Y65" s="72">
        <v>625</v>
      </c>
      <c r="Z65" s="319"/>
      <c r="AA65" s="319"/>
      <c r="AB65" s="36"/>
      <c r="AC65" s="40"/>
      <c r="AD65" s="36"/>
      <c r="AE65" s="61"/>
      <c r="AF65" s="53"/>
      <c r="AG65" s="53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</row>
    <row r="66" spans="1:44" x14ac:dyDescent="0.25">
      <c r="A66" s="286">
        <v>10</v>
      </c>
      <c r="B66" s="237">
        <v>2221908</v>
      </c>
      <c r="C66" s="317" t="s">
        <v>122</v>
      </c>
      <c r="D66" s="317">
        <f>F66</f>
        <v>2.1</v>
      </c>
      <c r="E66" s="317">
        <f>G66</f>
        <v>16800</v>
      </c>
      <c r="F66" s="317">
        <v>2.1</v>
      </c>
      <c r="G66" s="318">
        <v>16800</v>
      </c>
      <c r="H66" s="319" t="s">
        <v>121</v>
      </c>
      <c r="I66" s="319" t="s">
        <v>141</v>
      </c>
      <c r="J66" s="252" t="s">
        <v>7</v>
      </c>
      <c r="K66" s="40">
        <v>2.1</v>
      </c>
      <c r="L66" s="36" t="s">
        <v>2</v>
      </c>
      <c r="M66" s="270">
        <f>33644.3*0.67</f>
        <v>22541.681000000004</v>
      </c>
      <c r="N66" s="45"/>
      <c r="O66" s="45"/>
      <c r="P66" s="45"/>
      <c r="Q66" s="45"/>
      <c r="R66" s="45"/>
      <c r="S66" s="71"/>
      <c r="T66" s="53"/>
      <c r="U66" s="53"/>
      <c r="V66" s="36"/>
      <c r="W66" s="53"/>
      <c r="X66" s="53"/>
      <c r="Y66" s="53"/>
      <c r="Z66" s="53"/>
      <c r="AA66" s="53"/>
      <c r="AB66" s="89"/>
      <c r="AC66" s="53"/>
      <c r="AD66" s="45"/>
      <c r="AE66" s="53"/>
      <c r="AF66" s="319"/>
      <c r="AG66" s="31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</row>
    <row r="67" spans="1:44" x14ac:dyDescent="0.25">
      <c r="A67" s="287"/>
      <c r="B67" s="238"/>
      <c r="C67" s="317"/>
      <c r="D67" s="317"/>
      <c r="E67" s="317"/>
      <c r="F67" s="317"/>
      <c r="G67" s="318"/>
      <c r="H67" s="319"/>
      <c r="I67" s="319"/>
      <c r="J67" s="252"/>
      <c r="K67" s="58">
        <v>16800</v>
      </c>
      <c r="L67" s="36" t="s">
        <v>4</v>
      </c>
      <c r="M67" s="271"/>
      <c r="N67" s="45"/>
      <c r="O67" s="45"/>
      <c r="P67" s="45"/>
      <c r="Q67" s="45"/>
      <c r="R67" s="45"/>
      <c r="S67" s="71"/>
      <c r="T67" s="53"/>
      <c r="U67" s="53"/>
      <c r="V67" s="36"/>
      <c r="W67" s="53"/>
      <c r="X67" s="53"/>
      <c r="Y67" s="53"/>
      <c r="Z67" s="53"/>
      <c r="AA67" s="53"/>
      <c r="AB67" s="89"/>
      <c r="AC67" s="53"/>
      <c r="AD67" s="45"/>
      <c r="AE67" s="53"/>
      <c r="AF67" s="319"/>
      <c r="AG67" s="31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</row>
    <row r="68" spans="1:44" x14ac:dyDescent="0.25">
      <c r="A68" s="287"/>
      <c r="B68" s="238"/>
      <c r="C68" s="317"/>
      <c r="D68" s="317"/>
      <c r="E68" s="317"/>
      <c r="F68" s="317"/>
      <c r="G68" s="318"/>
      <c r="H68" s="319"/>
      <c r="I68" s="319"/>
      <c r="J68" s="36" t="s">
        <v>13</v>
      </c>
      <c r="K68" s="40">
        <v>12600</v>
      </c>
      <c r="L68" s="36" t="s">
        <v>4</v>
      </c>
      <c r="M68" s="61">
        <f>27118.3*0.67</f>
        <v>18169.261000000002</v>
      </c>
      <c r="N68" s="45"/>
      <c r="O68" s="45"/>
      <c r="P68" s="45"/>
      <c r="Q68" s="45"/>
      <c r="R68" s="45"/>
      <c r="S68" s="71"/>
      <c r="T68" s="53"/>
      <c r="U68" s="53"/>
      <c r="V68" s="36"/>
      <c r="W68" s="53"/>
      <c r="X68" s="53"/>
      <c r="Y68" s="53"/>
      <c r="Z68" s="53"/>
      <c r="AA68" s="53"/>
      <c r="AB68" s="89"/>
      <c r="AC68" s="53"/>
      <c r="AD68" s="45"/>
      <c r="AE68" s="53"/>
      <c r="AF68" s="319"/>
      <c r="AG68" s="31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</row>
    <row r="69" spans="1:44" ht="45" x14ac:dyDescent="0.25">
      <c r="A69" s="288"/>
      <c r="B69" s="239"/>
      <c r="C69" s="317"/>
      <c r="D69" s="317"/>
      <c r="E69" s="317"/>
      <c r="F69" s="317"/>
      <c r="G69" s="318"/>
      <c r="H69" s="319"/>
      <c r="I69" s="319"/>
      <c r="J69" s="36" t="s">
        <v>46</v>
      </c>
      <c r="K69" s="40">
        <v>2746</v>
      </c>
      <c r="L69" s="36" t="s">
        <v>12</v>
      </c>
      <c r="M69" s="61">
        <v>3432.5</v>
      </c>
      <c r="N69" s="45"/>
      <c r="O69" s="45"/>
      <c r="P69" s="45"/>
      <c r="Q69" s="45"/>
      <c r="R69" s="45"/>
      <c r="S69" s="71"/>
      <c r="T69" s="53"/>
      <c r="U69" s="53"/>
      <c r="V69" s="36"/>
      <c r="W69" s="53"/>
      <c r="X69" s="53"/>
      <c r="Y69" s="53"/>
      <c r="Z69" s="53"/>
      <c r="AA69" s="53"/>
      <c r="AB69" s="89"/>
      <c r="AC69" s="53"/>
      <c r="AD69" s="45"/>
      <c r="AE69" s="53"/>
      <c r="AF69" s="319"/>
      <c r="AG69" s="31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</row>
    <row r="70" spans="1:44" x14ac:dyDescent="0.25">
      <c r="A70" s="286">
        <v>11</v>
      </c>
      <c r="B70" s="237">
        <v>2226986</v>
      </c>
      <c r="C70" s="317" t="s">
        <v>186</v>
      </c>
      <c r="D70" s="317">
        <f>F70</f>
        <v>0.66900000000000004</v>
      </c>
      <c r="E70" s="317">
        <f>G70</f>
        <v>18063</v>
      </c>
      <c r="F70" s="317">
        <v>0.66900000000000004</v>
      </c>
      <c r="G70" s="318">
        <v>18063</v>
      </c>
      <c r="H70" s="319" t="s">
        <v>122</v>
      </c>
      <c r="I70" s="319" t="s">
        <v>187</v>
      </c>
      <c r="J70" s="252" t="s">
        <v>7</v>
      </c>
      <c r="K70" s="40">
        <v>0.66900000000000004</v>
      </c>
      <c r="L70" s="36" t="s">
        <v>2</v>
      </c>
      <c r="M70" s="270">
        <f>29475.8*0.67</f>
        <v>19748.786</v>
      </c>
      <c r="N70" s="45"/>
      <c r="O70" s="45"/>
      <c r="P70" s="45"/>
      <c r="Q70" s="45"/>
      <c r="R70" s="45"/>
      <c r="S70" s="71"/>
      <c r="T70" s="53"/>
      <c r="U70" s="53"/>
      <c r="V70" s="36"/>
      <c r="W70" s="53"/>
      <c r="X70" s="53"/>
      <c r="Y70" s="53"/>
      <c r="Z70" s="53"/>
      <c r="AA70" s="53"/>
      <c r="AB70" s="89"/>
      <c r="AC70" s="53"/>
      <c r="AD70" s="45"/>
      <c r="AE70" s="53"/>
      <c r="AF70" s="319"/>
      <c r="AG70" s="31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</row>
    <row r="71" spans="1:44" x14ac:dyDescent="0.25">
      <c r="A71" s="287"/>
      <c r="B71" s="238"/>
      <c r="C71" s="317"/>
      <c r="D71" s="317"/>
      <c r="E71" s="317"/>
      <c r="F71" s="317"/>
      <c r="G71" s="318"/>
      <c r="H71" s="319"/>
      <c r="I71" s="319"/>
      <c r="J71" s="252"/>
      <c r="K71" s="58">
        <v>18063</v>
      </c>
      <c r="L71" s="36" t="s">
        <v>4</v>
      </c>
      <c r="M71" s="271"/>
      <c r="N71" s="45"/>
      <c r="O71" s="45"/>
      <c r="P71" s="45"/>
      <c r="Q71" s="45"/>
      <c r="R71" s="45"/>
      <c r="S71" s="71"/>
      <c r="T71" s="53"/>
      <c r="U71" s="53"/>
      <c r="V71" s="36"/>
      <c r="W71" s="53"/>
      <c r="X71" s="53"/>
      <c r="Y71" s="53"/>
      <c r="Z71" s="53"/>
      <c r="AA71" s="53"/>
      <c r="AB71" s="89"/>
      <c r="AC71" s="53"/>
      <c r="AD71" s="45"/>
      <c r="AE71" s="53"/>
      <c r="AF71" s="319"/>
      <c r="AG71" s="31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</row>
    <row r="72" spans="1:44" x14ac:dyDescent="0.25">
      <c r="A72" s="287"/>
      <c r="B72" s="238"/>
      <c r="C72" s="317"/>
      <c r="D72" s="317"/>
      <c r="E72" s="317"/>
      <c r="F72" s="317"/>
      <c r="G72" s="318"/>
      <c r="H72" s="319"/>
      <c r="I72" s="319"/>
      <c r="J72" s="36" t="s">
        <v>13</v>
      </c>
      <c r="K72" s="40">
        <v>4000</v>
      </c>
      <c r="L72" s="36" t="s">
        <v>4</v>
      </c>
      <c r="M72" s="61">
        <f>8377.7*0.67</f>
        <v>5613.0590000000011</v>
      </c>
      <c r="N72" s="45"/>
      <c r="O72" s="45"/>
      <c r="P72" s="45"/>
      <c r="Q72" s="45"/>
      <c r="R72" s="45"/>
      <c r="S72" s="71"/>
      <c r="T72" s="53"/>
      <c r="U72" s="53"/>
      <c r="V72" s="36"/>
      <c r="W72" s="53"/>
      <c r="X72" s="53"/>
      <c r="Y72" s="53"/>
      <c r="Z72" s="53"/>
      <c r="AA72" s="53"/>
      <c r="AB72" s="89"/>
      <c r="AC72" s="53"/>
      <c r="AD72" s="45"/>
      <c r="AE72" s="53"/>
      <c r="AF72" s="319"/>
      <c r="AG72" s="31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</row>
    <row r="73" spans="1:44" ht="45" x14ac:dyDescent="0.25">
      <c r="A73" s="287"/>
      <c r="B73" s="238"/>
      <c r="C73" s="317"/>
      <c r="D73" s="317"/>
      <c r="E73" s="317"/>
      <c r="F73" s="317"/>
      <c r="G73" s="318"/>
      <c r="H73" s="319"/>
      <c r="I73" s="319"/>
      <c r="J73" s="36" t="s">
        <v>46</v>
      </c>
      <c r="K73" s="40">
        <v>332</v>
      </c>
      <c r="L73" s="36" t="s">
        <v>12</v>
      </c>
      <c r="M73" s="61">
        <v>415</v>
      </c>
      <c r="N73" s="45"/>
      <c r="O73" s="45"/>
      <c r="P73" s="45"/>
      <c r="Q73" s="45"/>
      <c r="R73" s="45"/>
      <c r="S73" s="71"/>
      <c r="T73" s="53"/>
      <c r="U73" s="53"/>
      <c r="V73" s="36"/>
      <c r="W73" s="53"/>
      <c r="X73" s="53"/>
      <c r="Y73" s="53"/>
      <c r="Z73" s="53"/>
      <c r="AA73" s="53"/>
      <c r="AB73" s="89"/>
      <c r="AC73" s="53"/>
      <c r="AD73" s="45"/>
      <c r="AE73" s="53"/>
      <c r="AF73" s="319"/>
      <c r="AG73" s="31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</row>
    <row r="74" spans="1:44" ht="30" x14ac:dyDescent="0.25">
      <c r="A74" s="288"/>
      <c r="B74" s="239"/>
      <c r="C74" s="317"/>
      <c r="D74" s="317"/>
      <c r="E74" s="317"/>
      <c r="F74" s="317"/>
      <c r="G74" s="318"/>
      <c r="H74" s="319"/>
      <c r="I74" s="319"/>
      <c r="J74" s="82" t="s">
        <v>89</v>
      </c>
      <c r="K74" s="40">
        <v>4</v>
      </c>
      <c r="L74" s="40" t="s">
        <v>90</v>
      </c>
      <c r="M74" s="61">
        <v>400</v>
      </c>
      <c r="N74" s="45"/>
      <c r="O74" s="45"/>
      <c r="P74" s="45"/>
      <c r="Q74" s="45"/>
      <c r="R74" s="45"/>
      <c r="S74" s="71"/>
      <c r="T74" s="53"/>
      <c r="U74" s="53"/>
      <c r="V74" s="36"/>
      <c r="W74" s="53"/>
      <c r="X74" s="53"/>
      <c r="Y74" s="53"/>
      <c r="Z74" s="53"/>
      <c r="AA74" s="53"/>
      <c r="AB74" s="89"/>
      <c r="AC74" s="53"/>
      <c r="AD74" s="45"/>
      <c r="AE74" s="53"/>
      <c r="AF74" s="319"/>
      <c r="AG74" s="31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</row>
    <row r="75" spans="1:44" x14ac:dyDescent="0.25">
      <c r="A75" s="286">
        <v>12</v>
      </c>
      <c r="B75" s="237">
        <v>2224751</v>
      </c>
      <c r="C75" s="317" t="s">
        <v>141</v>
      </c>
      <c r="D75" s="317">
        <f>F75</f>
        <v>5.6390000000000002</v>
      </c>
      <c r="E75" s="317">
        <f>G75</f>
        <v>84585</v>
      </c>
      <c r="F75" s="317">
        <v>5.6390000000000002</v>
      </c>
      <c r="G75" s="318">
        <v>84585</v>
      </c>
      <c r="H75" s="319" t="s">
        <v>122</v>
      </c>
      <c r="I75" s="319" t="s">
        <v>138</v>
      </c>
      <c r="J75" s="252" t="s">
        <v>7</v>
      </c>
      <c r="K75" s="40">
        <v>5.64</v>
      </c>
      <c r="L75" s="36" t="s">
        <v>2</v>
      </c>
      <c r="M75" s="270">
        <f>130927*0.67</f>
        <v>87721.090000000011</v>
      </c>
      <c r="N75" s="45"/>
      <c r="O75" s="45"/>
      <c r="P75" s="45"/>
      <c r="Q75" s="45"/>
      <c r="R75" s="45"/>
      <c r="S75" s="71"/>
      <c r="T75" s="53"/>
      <c r="U75" s="53"/>
      <c r="V75" s="36"/>
      <c r="W75" s="53"/>
      <c r="X75" s="53"/>
      <c r="Y75" s="53"/>
      <c r="Z75" s="53"/>
      <c r="AA75" s="53"/>
      <c r="AB75" s="89"/>
      <c r="AC75" s="53"/>
      <c r="AD75" s="45"/>
      <c r="AE75" s="53"/>
      <c r="AF75" s="319"/>
      <c r="AG75" s="31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</row>
    <row r="76" spans="1:44" x14ac:dyDescent="0.25">
      <c r="A76" s="287"/>
      <c r="B76" s="238"/>
      <c r="C76" s="317"/>
      <c r="D76" s="317"/>
      <c r="E76" s="317"/>
      <c r="F76" s="317"/>
      <c r="G76" s="318"/>
      <c r="H76" s="319"/>
      <c r="I76" s="319"/>
      <c r="J76" s="252"/>
      <c r="K76" s="58">
        <v>84585</v>
      </c>
      <c r="L76" s="36" t="s">
        <v>4</v>
      </c>
      <c r="M76" s="271"/>
      <c r="N76" s="45"/>
      <c r="O76" s="45"/>
      <c r="P76" s="45"/>
      <c r="Q76" s="45"/>
      <c r="R76" s="45"/>
      <c r="S76" s="71"/>
      <c r="T76" s="53"/>
      <c r="U76" s="53"/>
      <c r="V76" s="36"/>
      <c r="W76" s="53"/>
      <c r="X76" s="53"/>
      <c r="Y76" s="53"/>
      <c r="Z76" s="53"/>
      <c r="AA76" s="53"/>
      <c r="AB76" s="89"/>
      <c r="AC76" s="53"/>
      <c r="AD76" s="45"/>
      <c r="AE76" s="53"/>
      <c r="AF76" s="319"/>
      <c r="AG76" s="31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</row>
    <row r="77" spans="1:44" x14ac:dyDescent="0.25">
      <c r="A77" s="287"/>
      <c r="B77" s="238"/>
      <c r="C77" s="317"/>
      <c r="D77" s="317"/>
      <c r="E77" s="317"/>
      <c r="F77" s="317"/>
      <c r="G77" s="318"/>
      <c r="H77" s="319"/>
      <c r="I77" s="319"/>
      <c r="J77" s="36" t="s">
        <v>13</v>
      </c>
      <c r="K77" s="40">
        <v>33600</v>
      </c>
      <c r="L77" s="36" t="s">
        <v>4</v>
      </c>
      <c r="M77" s="61">
        <f>72315.4*0.67</f>
        <v>48451.317999999999</v>
      </c>
      <c r="N77" s="45"/>
      <c r="O77" s="45"/>
      <c r="P77" s="45"/>
      <c r="Q77" s="45"/>
      <c r="R77" s="45"/>
      <c r="S77" s="71"/>
      <c r="T77" s="53"/>
      <c r="U77" s="53"/>
      <c r="V77" s="36"/>
      <c r="W77" s="53"/>
      <c r="X77" s="53"/>
      <c r="Y77" s="53"/>
      <c r="Z77" s="53"/>
      <c r="AA77" s="53"/>
      <c r="AB77" s="89"/>
      <c r="AC77" s="53"/>
      <c r="AD77" s="45"/>
      <c r="AE77" s="53"/>
      <c r="AF77" s="319"/>
      <c r="AG77" s="31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</row>
    <row r="78" spans="1:44" ht="45" x14ac:dyDescent="0.25">
      <c r="A78" s="287"/>
      <c r="B78" s="238"/>
      <c r="C78" s="317"/>
      <c r="D78" s="317"/>
      <c r="E78" s="317"/>
      <c r="F78" s="317"/>
      <c r="G78" s="318"/>
      <c r="H78" s="319"/>
      <c r="I78" s="319"/>
      <c r="J78" s="36" t="s">
        <v>46</v>
      </c>
      <c r="K78" s="40">
        <v>998</v>
      </c>
      <c r="L78" s="36" t="s">
        <v>12</v>
      </c>
      <c r="M78" s="61">
        <v>1247.5</v>
      </c>
      <c r="N78" s="45"/>
      <c r="O78" s="45"/>
      <c r="P78" s="45"/>
      <c r="Q78" s="45"/>
      <c r="R78" s="45"/>
      <c r="S78" s="71"/>
      <c r="T78" s="53"/>
      <c r="U78" s="53"/>
      <c r="V78" s="36"/>
      <c r="W78" s="53"/>
      <c r="X78" s="53"/>
      <c r="Y78" s="53"/>
      <c r="Z78" s="53"/>
      <c r="AA78" s="53"/>
      <c r="AB78" s="89"/>
      <c r="AC78" s="53"/>
      <c r="AD78" s="45"/>
      <c r="AE78" s="53"/>
      <c r="AF78" s="319"/>
      <c r="AG78" s="31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</row>
    <row r="79" spans="1:44" ht="30" x14ac:dyDescent="0.25">
      <c r="A79" s="287"/>
      <c r="B79" s="238"/>
      <c r="C79" s="317"/>
      <c r="D79" s="317"/>
      <c r="E79" s="317"/>
      <c r="F79" s="317"/>
      <c r="G79" s="318"/>
      <c r="H79" s="319"/>
      <c r="I79" s="319"/>
      <c r="J79" s="82" t="s">
        <v>89</v>
      </c>
      <c r="K79" s="40">
        <v>7</v>
      </c>
      <c r="L79" s="40" t="s">
        <v>90</v>
      </c>
      <c r="M79" s="61">
        <v>700</v>
      </c>
      <c r="N79" s="45"/>
      <c r="O79" s="45"/>
      <c r="P79" s="45"/>
      <c r="Q79" s="45"/>
      <c r="R79" s="45"/>
      <c r="S79" s="71"/>
      <c r="T79" s="53"/>
      <c r="U79" s="53"/>
      <c r="V79" s="36"/>
      <c r="W79" s="53"/>
      <c r="X79" s="53"/>
      <c r="Y79" s="53"/>
      <c r="Z79" s="53"/>
      <c r="AA79" s="53"/>
      <c r="AB79" s="89"/>
      <c r="AC79" s="53"/>
      <c r="AD79" s="45"/>
      <c r="AE79" s="53"/>
      <c r="AF79" s="319"/>
      <c r="AG79" s="31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</row>
    <row r="80" spans="1:44" ht="30" x14ac:dyDescent="0.25">
      <c r="A80" s="288"/>
      <c r="B80" s="239"/>
      <c r="C80" s="317"/>
      <c r="D80" s="317"/>
      <c r="E80" s="317"/>
      <c r="F80" s="317"/>
      <c r="G80" s="318"/>
      <c r="H80" s="319"/>
      <c r="I80" s="319"/>
      <c r="J80" s="47" t="s">
        <v>88</v>
      </c>
      <c r="K80" s="40">
        <v>80</v>
      </c>
      <c r="L80" s="36" t="s">
        <v>12</v>
      </c>
      <c r="M80" s="61">
        <v>400</v>
      </c>
      <c r="N80" s="45"/>
      <c r="O80" s="45"/>
      <c r="P80" s="45"/>
      <c r="Q80" s="45"/>
      <c r="R80" s="45"/>
      <c r="S80" s="71"/>
      <c r="T80" s="53"/>
      <c r="U80" s="53"/>
      <c r="V80" s="36"/>
      <c r="W80" s="53"/>
      <c r="X80" s="53"/>
      <c r="Y80" s="53"/>
      <c r="Z80" s="53"/>
      <c r="AA80" s="53"/>
      <c r="AB80" s="89"/>
      <c r="AC80" s="53"/>
      <c r="AD80" s="45"/>
      <c r="AE80" s="53"/>
      <c r="AF80" s="319"/>
      <c r="AG80" s="31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</row>
    <row r="81" spans="1:44" x14ac:dyDescent="0.25">
      <c r="A81" s="272">
        <v>13</v>
      </c>
      <c r="B81" s="272">
        <v>2220122</v>
      </c>
      <c r="C81" s="308" t="s">
        <v>91</v>
      </c>
      <c r="D81" s="308">
        <f>F81</f>
        <v>4.88</v>
      </c>
      <c r="E81" s="308">
        <f>G81</f>
        <v>78080</v>
      </c>
      <c r="F81" s="308">
        <v>4.88</v>
      </c>
      <c r="G81" s="311">
        <v>78080</v>
      </c>
      <c r="H81" s="249"/>
      <c r="I81" s="249"/>
      <c r="J81" s="272"/>
      <c r="K81" s="51"/>
      <c r="L81" s="36"/>
      <c r="M81" s="323"/>
      <c r="N81" s="249" t="s">
        <v>92</v>
      </c>
      <c r="O81" s="249" t="s">
        <v>93</v>
      </c>
      <c r="P81" s="272" t="s">
        <v>7</v>
      </c>
      <c r="Q81" s="51">
        <v>1.9</v>
      </c>
      <c r="R81" s="36" t="s">
        <v>2</v>
      </c>
      <c r="S81" s="323">
        <f>46023.3*0.67</f>
        <v>30835.611000000004</v>
      </c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</row>
    <row r="82" spans="1:44" x14ac:dyDescent="0.25">
      <c r="A82" s="276"/>
      <c r="B82" s="276"/>
      <c r="C82" s="309"/>
      <c r="D82" s="309"/>
      <c r="E82" s="309"/>
      <c r="F82" s="309"/>
      <c r="G82" s="312"/>
      <c r="H82" s="250"/>
      <c r="I82" s="250"/>
      <c r="J82" s="273"/>
      <c r="K82" s="51"/>
      <c r="L82" s="36"/>
      <c r="M82" s="324"/>
      <c r="N82" s="250"/>
      <c r="O82" s="250"/>
      <c r="P82" s="273"/>
      <c r="Q82" s="51">
        <v>30400</v>
      </c>
      <c r="R82" s="36" t="s">
        <v>4</v>
      </c>
      <c r="S82" s="324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</row>
    <row r="83" spans="1:44" x14ac:dyDescent="0.25">
      <c r="A83" s="276"/>
      <c r="B83" s="276"/>
      <c r="C83" s="309"/>
      <c r="D83" s="309"/>
      <c r="E83" s="309"/>
      <c r="F83" s="309"/>
      <c r="G83" s="312"/>
      <c r="H83" s="250"/>
      <c r="I83" s="250"/>
      <c r="J83" s="36"/>
      <c r="K83" s="51"/>
      <c r="L83" s="36"/>
      <c r="M83" s="57"/>
      <c r="N83" s="250"/>
      <c r="O83" s="250"/>
      <c r="P83" s="36" t="s">
        <v>13</v>
      </c>
      <c r="Q83" s="51">
        <v>9000</v>
      </c>
      <c r="R83" s="36" t="s">
        <v>4</v>
      </c>
      <c r="S83" s="57">
        <f>12178.66856*0.67</f>
        <v>8159.707935200001</v>
      </c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</row>
    <row r="84" spans="1:44" ht="30" x14ac:dyDescent="0.25">
      <c r="A84" s="273"/>
      <c r="B84" s="273"/>
      <c r="C84" s="310"/>
      <c r="D84" s="310"/>
      <c r="E84" s="310"/>
      <c r="F84" s="310"/>
      <c r="G84" s="313"/>
      <c r="H84" s="251"/>
      <c r="I84" s="251"/>
      <c r="J84" s="59"/>
      <c r="K84" s="51"/>
      <c r="L84" s="36"/>
      <c r="M84" s="57"/>
      <c r="N84" s="251"/>
      <c r="O84" s="251"/>
      <c r="P84" s="59" t="s">
        <v>94</v>
      </c>
      <c r="Q84" s="51">
        <v>8</v>
      </c>
      <c r="R84" s="36" t="s">
        <v>90</v>
      </c>
      <c r="S84" s="57">
        <v>2000</v>
      </c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</row>
    <row r="85" spans="1:44" x14ac:dyDescent="0.25">
      <c r="A85" s="272">
        <v>14</v>
      </c>
      <c r="B85" s="272">
        <v>2219637</v>
      </c>
      <c r="C85" s="308" t="s">
        <v>93</v>
      </c>
      <c r="D85" s="308">
        <f>F85</f>
        <v>1.25</v>
      </c>
      <c r="E85" s="308">
        <f>G85</f>
        <v>26200</v>
      </c>
      <c r="F85" s="308">
        <v>1.25</v>
      </c>
      <c r="G85" s="311">
        <v>26200</v>
      </c>
      <c r="H85" s="249"/>
      <c r="I85" s="249"/>
      <c r="J85" s="272"/>
      <c r="K85" s="51"/>
      <c r="L85" s="36"/>
      <c r="M85" s="323"/>
      <c r="N85" s="249" t="s">
        <v>110</v>
      </c>
      <c r="O85" s="249" t="s">
        <v>102</v>
      </c>
      <c r="P85" s="272" t="s">
        <v>7</v>
      </c>
      <c r="Q85" s="51">
        <v>1.25</v>
      </c>
      <c r="R85" s="36" t="s">
        <v>2</v>
      </c>
      <c r="S85" s="323">
        <f>43254.6*0.67</f>
        <v>28980.582000000002</v>
      </c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</row>
    <row r="86" spans="1:44" x14ac:dyDescent="0.25">
      <c r="A86" s="276"/>
      <c r="B86" s="276"/>
      <c r="C86" s="309"/>
      <c r="D86" s="309"/>
      <c r="E86" s="309"/>
      <c r="F86" s="309"/>
      <c r="G86" s="312"/>
      <c r="H86" s="250"/>
      <c r="I86" s="250"/>
      <c r="J86" s="273"/>
      <c r="K86" s="51"/>
      <c r="L86" s="36"/>
      <c r="M86" s="324"/>
      <c r="N86" s="250"/>
      <c r="O86" s="250"/>
      <c r="P86" s="273"/>
      <c r="Q86" s="51">
        <v>26200</v>
      </c>
      <c r="R86" s="36" t="s">
        <v>4</v>
      </c>
      <c r="S86" s="324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</row>
    <row r="87" spans="1:44" x14ac:dyDescent="0.25">
      <c r="A87" s="276"/>
      <c r="B87" s="276"/>
      <c r="C87" s="309"/>
      <c r="D87" s="309"/>
      <c r="E87" s="309"/>
      <c r="F87" s="309"/>
      <c r="G87" s="312"/>
      <c r="H87" s="250"/>
      <c r="I87" s="250"/>
      <c r="J87" s="36"/>
      <c r="K87" s="51"/>
      <c r="L87" s="36"/>
      <c r="M87" s="57"/>
      <c r="N87" s="250"/>
      <c r="O87" s="250"/>
      <c r="P87" s="36" t="s">
        <v>13</v>
      </c>
      <c r="Q87" s="51">
        <v>7500</v>
      </c>
      <c r="R87" s="36" t="s">
        <v>4</v>
      </c>
      <c r="S87" s="57">
        <f>16141.8*0.67</f>
        <v>10815.005999999999</v>
      </c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</row>
    <row r="88" spans="1:44" ht="45" x14ac:dyDescent="0.25">
      <c r="A88" s="276"/>
      <c r="B88" s="276"/>
      <c r="C88" s="309"/>
      <c r="D88" s="309"/>
      <c r="E88" s="309"/>
      <c r="F88" s="309"/>
      <c r="G88" s="312"/>
      <c r="H88" s="250"/>
      <c r="I88" s="250"/>
      <c r="J88" s="36"/>
      <c r="K88" s="51"/>
      <c r="L88" s="36"/>
      <c r="M88" s="57"/>
      <c r="N88" s="250"/>
      <c r="O88" s="250"/>
      <c r="P88" s="36" t="s">
        <v>46</v>
      </c>
      <c r="Q88" s="51">
        <v>350</v>
      </c>
      <c r="R88" s="36" t="s">
        <v>12</v>
      </c>
      <c r="S88" s="57">
        <v>440</v>
      </c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</row>
    <row r="89" spans="1:44" ht="30" x14ac:dyDescent="0.25">
      <c r="A89" s="273"/>
      <c r="B89" s="273"/>
      <c r="C89" s="310"/>
      <c r="D89" s="310"/>
      <c r="E89" s="310"/>
      <c r="F89" s="310"/>
      <c r="G89" s="313"/>
      <c r="H89" s="251"/>
      <c r="I89" s="251"/>
      <c r="J89" s="82"/>
      <c r="K89" s="51"/>
      <c r="L89" s="40"/>
      <c r="M89" s="57"/>
      <c r="N89" s="251"/>
      <c r="O89" s="251"/>
      <c r="P89" s="82" t="s">
        <v>89</v>
      </c>
      <c r="Q89" s="51">
        <v>3</v>
      </c>
      <c r="R89" s="40" t="s">
        <v>90</v>
      </c>
      <c r="S89" s="57">
        <v>300</v>
      </c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</row>
    <row r="90" spans="1:44" x14ac:dyDescent="0.25">
      <c r="A90" s="272">
        <v>15</v>
      </c>
      <c r="B90" s="272">
        <v>2220364</v>
      </c>
      <c r="C90" s="308" t="s">
        <v>114</v>
      </c>
      <c r="D90" s="308">
        <f>F90</f>
        <v>0.56100000000000005</v>
      </c>
      <c r="E90" s="308">
        <f>G90</f>
        <v>5610</v>
      </c>
      <c r="F90" s="308">
        <v>0.56100000000000005</v>
      </c>
      <c r="G90" s="308">
        <v>5610</v>
      </c>
      <c r="H90" s="249"/>
      <c r="I90" s="249"/>
      <c r="J90" s="272"/>
      <c r="K90" s="51"/>
      <c r="L90" s="36"/>
      <c r="M90" s="323"/>
      <c r="N90" s="249" t="s">
        <v>93</v>
      </c>
      <c r="O90" s="249" t="s">
        <v>115</v>
      </c>
      <c r="P90" s="272" t="s">
        <v>7</v>
      </c>
      <c r="Q90" s="51">
        <v>0.56000000000000005</v>
      </c>
      <c r="R90" s="36" t="s">
        <v>2</v>
      </c>
      <c r="S90" s="323">
        <f>9961.8*0.67</f>
        <v>6674.4059999999999</v>
      </c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</row>
    <row r="91" spans="1:44" x14ac:dyDescent="0.25">
      <c r="A91" s="276"/>
      <c r="B91" s="276"/>
      <c r="C91" s="309"/>
      <c r="D91" s="309"/>
      <c r="E91" s="309"/>
      <c r="F91" s="309"/>
      <c r="G91" s="309"/>
      <c r="H91" s="250"/>
      <c r="I91" s="250"/>
      <c r="J91" s="273"/>
      <c r="K91" s="51"/>
      <c r="L91" s="36"/>
      <c r="M91" s="324"/>
      <c r="N91" s="250"/>
      <c r="O91" s="250"/>
      <c r="P91" s="273"/>
      <c r="Q91" s="51">
        <v>5610</v>
      </c>
      <c r="R91" s="36" t="s">
        <v>4</v>
      </c>
      <c r="S91" s="324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</row>
    <row r="92" spans="1:44" x14ac:dyDescent="0.25">
      <c r="A92" s="276"/>
      <c r="B92" s="276"/>
      <c r="C92" s="309"/>
      <c r="D92" s="309"/>
      <c r="E92" s="309"/>
      <c r="F92" s="309"/>
      <c r="G92" s="309"/>
      <c r="H92" s="250"/>
      <c r="I92" s="250"/>
      <c r="J92" s="36"/>
      <c r="K92" s="51"/>
      <c r="L92" s="36"/>
      <c r="M92" s="57"/>
      <c r="N92" s="250"/>
      <c r="O92" s="250"/>
      <c r="P92" s="36" t="s">
        <v>13</v>
      </c>
      <c r="Q92" s="51">
        <v>3360</v>
      </c>
      <c r="R92" s="36" t="s">
        <v>4</v>
      </c>
      <c r="S92" s="57">
        <f>7117.2*0.67</f>
        <v>4768.5240000000003</v>
      </c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</row>
    <row r="93" spans="1:44" ht="30" x14ac:dyDescent="0.25">
      <c r="A93" s="276"/>
      <c r="B93" s="276"/>
      <c r="C93" s="309"/>
      <c r="D93" s="309"/>
      <c r="E93" s="309"/>
      <c r="F93" s="309"/>
      <c r="G93" s="309"/>
      <c r="H93" s="250"/>
      <c r="I93" s="250"/>
      <c r="J93" s="82"/>
      <c r="K93" s="51"/>
      <c r="L93" s="40"/>
      <c r="M93" s="57"/>
      <c r="N93" s="250"/>
      <c r="O93" s="250"/>
      <c r="P93" s="82" t="s">
        <v>89</v>
      </c>
      <c r="Q93" s="51">
        <v>1</v>
      </c>
      <c r="R93" s="40" t="s">
        <v>90</v>
      </c>
      <c r="S93" s="57">
        <v>100</v>
      </c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</row>
    <row r="94" spans="1:44" ht="45" x14ac:dyDescent="0.25">
      <c r="A94" s="273"/>
      <c r="B94" s="273"/>
      <c r="C94" s="310"/>
      <c r="D94" s="310"/>
      <c r="E94" s="310"/>
      <c r="F94" s="310"/>
      <c r="G94" s="310"/>
      <c r="H94" s="251"/>
      <c r="I94" s="251"/>
      <c r="J94" s="36"/>
      <c r="K94" s="51"/>
      <c r="L94" s="36"/>
      <c r="M94" s="57"/>
      <c r="N94" s="251"/>
      <c r="O94" s="251"/>
      <c r="P94" s="36" t="s">
        <v>46</v>
      </c>
      <c r="Q94" s="51">
        <v>200</v>
      </c>
      <c r="R94" s="36" t="s">
        <v>12</v>
      </c>
      <c r="S94" s="57">
        <v>250</v>
      </c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</row>
    <row r="95" spans="1:44" x14ac:dyDescent="0.25">
      <c r="A95" s="272">
        <v>16</v>
      </c>
      <c r="B95" s="305">
        <v>2222596</v>
      </c>
      <c r="C95" s="308" t="s">
        <v>123</v>
      </c>
      <c r="D95" s="308">
        <f>F95</f>
        <v>3.95</v>
      </c>
      <c r="E95" s="308">
        <f>G95</f>
        <v>35550</v>
      </c>
      <c r="F95" s="308">
        <v>3.95</v>
      </c>
      <c r="G95" s="311">
        <v>35550</v>
      </c>
      <c r="H95" s="40"/>
      <c r="I95" s="40"/>
      <c r="J95" s="82"/>
      <c r="K95" s="40"/>
      <c r="L95" s="40"/>
      <c r="M95" s="40"/>
      <c r="N95" s="356" t="s">
        <v>124</v>
      </c>
      <c r="O95" s="272" t="s">
        <v>125</v>
      </c>
      <c r="P95" s="272" t="s">
        <v>7</v>
      </c>
      <c r="Q95" s="40">
        <v>3.95</v>
      </c>
      <c r="R95" s="36" t="s">
        <v>2</v>
      </c>
      <c r="S95" s="270">
        <f>66945.4*0.67</f>
        <v>44853.417999999998</v>
      </c>
      <c r="T95" s="36"/>
      <c r="U95" s="36"/>
      <c r="V95" s="36"/>
      <c r="W95" s="36"/>
      <c r="X95" s="36"/>
      <c r="Y95" s="36"/>
      <c r="Z95" s="36"/>
      <c r="AA95" s="36"/>
      <c r="AB95" s="82"/>
      <c r="AC95" s="36"/>
      <c r="AD95" s="40"/>
      <c r="AE95" s="36"/>
      <c r="AF95" s="44"/>
      <c r="AG95" s="44"/>
      <c r="AH95" s="44"/>
      <c r="AI95" s="44"/>
      <c r="AJ95" s="44"/>
      <c r="AK95" s="44"/>
      <c r="AL95" s="35"/>
      <c r="AM95" s="47"/>
      <c r="AN95" s="47"/>
      <c r="AO95" s="40"/>
      <c r="AP95" s="36"/>
      <c r="AQ95" s="86"/>
      <c r="AR95" s="36"/>
    </row>
    <row r="96" spans="1:44" x14ac:dyDescent="0.25">
      <c r="A96" s="276"/>
      <c r="B96" s="306"/>
      <c r="C96" s="309"/>
      <c r="D96" s="309"/>
      <c r="E96" s="309"/>
      <c r="F96" s="309"/>
      <c r="G96" s="312"/>
      <c r="H96" s="40"/>
      <c r="I96" s="40"/>
      <c r="J96" s="82"/>
      <c r="K96" s="40"/>
      <c r="L96" s="40"/>
      <c r="M96" s="40"/>
      <c r="N96" s="357"/>
      <c r="O96" s="276"/>
      <c r="P96" s="273"/>
      <c r="Q96" s="40">
        <v>35550</v>
      </c>
      <c r="R96" s="36" t="s">
        <v>4</v>
      </c>
      <c r="S96" s="271"/>
      <c r="T96" s="36"/>
      <c r="U96" s="36"/>
      <c r="V96" s="36"/>
      <c r="W96" s="36"/>
      <c r="X96" s="36"/>
      <c r="Y96" s="36"/>
      <c r="Z96" s="36"/>
      <c r="AA96" s="36"/>
      <c r="AB96" s="82"/>
      <c r="AC96" s="36"/>
      <c r="AD96" s="40"/>
      <c r="AE96" s="36"/>
      <c r="AF96" s="44"/>
      <c r="AG96" s="44"/>
      <c r="AH96" s="44"/>
      <c r="AI96" s="44"/>
      <c r="AJ96" s="44"/>
      <c r="AK96" s="44"/>
      <c r="AL96" s="35"/>
      <c r="AM96" s="47"/>
      <c r="AN96" s="47"/>
      <c r="AO96" s="40"/>
      <c r="AP96" s="36"/>
      <c r="AQ96" s="86"/>
      <c r="AR96" s="36"/>
    </row>
    <row r="97" spans="1:44" ht="30" x14ac:dyDescent="0.25">
      <c r="A97" s="276"/>
      <c r="B97" s="306"/>
      <c r="C97" s="309"/>
      <c r="D97" s="309"/>
      <c r="E97" s="309"/>
      <c r="F97" s="309"/>
      <c r="G97" s="312"/>
      <c r="H97" s="40"/>
      <c r="I97" s="40"/>
      <c r="J97" s="82"/>
      <c r="K97" s="40"/>
      <c r="L97" s="40"/>
      <c r="M97" s="40"/>
      <c r="N97" s="357"/>
      <c r="O97" s="276"/>
      <c r="P97" s="82" t="s">
        <v>89</v>
      </c>
      <c r="Q97" s="40">
        <v>12</v>
      </c>
      <c r="R97" s="40" t="s">
        <v>90</v>
      </c>
      <c r="S97" s="40">
        <v>1200</v>
      </c>
      <c r="T97" s="36"/>
      <c r="U97" s="36"/>
      <c r="V97" s="36"/>
      <c r="W97" s="36"/>
      <c r="X97" s="36"/>
      <c r="Y97" s="36"/>
      <c r="Z97" s="36"/>
      <c r="AA97" s="36"/>
      <c r="AB97" s="82"/>
      <c r="AC97" s="36"/>
      <c r="AD97" s="40"/>
      <c r="AE97" s="36"/>
      <c r="AF97" s="44"/>
      <c r="AG97" s="44"/>
      <c r="AH97" s="44"/>
      <c r="AI97" s="44"/>
      <c r="AJ97" s="44"/>
      <c r="AK97" s="44"/>
      <c r="AL97" s="35"/>
      <c r="AM97" s="47"/>
      <c r="AN97" s="82"/>
      <c r="AO97" s="40"/>
      <c r="AP97" s="40"/>
      <c r="AQ97" s="40"/>
      <c r="AR97" s="36"/>
    </row>
    <row r="98" spans="1:44" x14ac:dyDescent="0.25">
      <c r="A98" s="276"/>
      <c r="B98" s="306"/>
      <c r="C98" s="309"/>
      <c r="D98" s="309"/>
      <c r="E98" s="309"/>
      <c r="F98" s="309"/>
      <c r="G98" s="312"/>
      <c r="H98" s="40"/>
      <c r="I98" s="40"/>
      <c r="J98" s="82"/>
      <c r="K98" s="40"/>
      <c r="L98" s="40"/>
      <c r="M98" s="40"/>
      <c r="N98" s="357"/>
      <c r="O98" s="276"/>
      <c r="P98" s="36" t="s">
        <v>13</v>
      </c>
      <c r="Q98" s="40">
        <v>15800</v>
      </c>
      <c r="R98" s="36" t="s">
        <v>4</v>
      </c>
      <c r="S98" s="61">
        <f>42758*0.67</f>
        <v>28647.86</v>
      </c>
      <c r="T98" s="36"/>
      <c r="U98" s="36"/>
      <c r="V98" s="36"/>
      <c r="W98" s="36"/>
      <c r="X98" s="36"/>
      <c r="Y98" s="36"/>
      <c r="Z98" s="36"/>
      <c r="AA98" s="36"/>
      <c r="AB98" s="82"/>
      <c r="AC98" s="36"/>
      <c r="AD98" s="40"/>
      <c r="AE98" s="36"/>
      <c r="AF98" s="44"/>
      <c r="AG98" s="44"/>
      <c r="AH98" s="44"/>
      <c r="AI98" s="44"/>
      <c r="AJ98" s="44"/>
      <c r="AK98" s="44"/>
      <c r="AL98" s="35"/>
      <c r="AM98" s="47"/>
      <c r="AN98" s="36"/>
      <c r="AO98" s="40"/>
      <c r="AP98" s="36"/>
      <c r="AQ98" s="61"/>
      <c r="AR98" s="36"/>
    </row>
    <row r="99" spans="1:44" ht="45" x14ac:dyDescent="0.25">
      <c r="A99" s="276"/>
      <c r="B99" s="306"/>
      <c r="C99" s="309"/>
      <c r="D99" s="309"/>
      <c r="E99" s="309"/>
      <c r="F99" s="309"/>
      <c r="G99" s="312"/>
      <c r="H99" s="40"/>
      <c r="I99" s="40"/>
      <c r="J99" s="82"/>
      <c r="K99" s="40"/>
      <c r="L99" s="40"/>
      <c r="M99" s="40"/>
      <c r="N99" s="357"/>
      <c r="O99" s="276"/>
      <c r="P99" s="36" t="s">
        <v>46</v>
      </c>
      <c r="Q99" s="40">
        <v>1265</v>
      </c>
      <c r="R99" s="36" t="s">
        <v>12</v>
      </c>
      <c r="S99" s="40">
        <v>1581.3</v>
      </c>
      <c r="U99" s="36"/>
      <c r="V99" s="36"/>
      <c r="W99" s="36"/>
      <c r="X99" s="36"/>
      <c r="Y99" s="36"/>
      <c r="Z99" s="36"/>
      <c r="AA99" s="36"/>
      <c r="AB99" s="82"/>
      <c r="AC99" s="36"/>
      <c r="AD99" s="40"/>
      <c r="AE99" s="36"/>
      <c r="AF99" s="44"/>
      <c r="AG99" s="44"/>
      <c r="AH99" s="44"/>
      <c r="AI99" s="44"/>
      <c r="AJ99" s="44"/>
      <c r="AK99" s="44"/>
      <c r="AL99" s="35"/>
      <c r="AM99" s="47"/>
      <c r="AN99" s="36"/>
      <c r="AO99" s="40"/>
      <c r="AP99" s="36"/>
      <c r="AQ99" s="40"/>
      <c r="AR99" s="36"/>
    </row>
    <row r="100" spans="1:44" ht="45" x14ac:dyDescent="0.25">
      <c r="A100" s="273"/>
      <c r="B100" s="307"/>
      <c r="C100" s="310"/>
      <c r="D100" s="310"/>
      <c r="E100" s="310"/>
      <c r="F100" s="310"/>
      <c r="G100" s="313"/>
      <c r="H100" s="40"/>
      <c r="I100" s="40"/>
      <c r="J100" s="82"/>
      <c r="K100" s="40"/>
      <c r="L100" s="40"/>
      <c r="M100" s="40"/>
      <c r="N100" s="358"/>
      <c r="O100" s="273"/>
      <c r="P100" s="59" t="s">
        <v>11</v>
      </c>
      <c r="Q100" s="40">
        <v>126</v>
      </c>
      <c r="R100" s="36" t="s">
        <v>12</v>
      </c>
      <c r="S100" s="40">
        <v>630</v>
      </c>
      <c r="T100" s="36"/>
      <c r="U100" s="36"/>
      <c r="V100" s="36"/>
      <c r="W100" s="36"/>
      <c r="X100" s="36"/>
      <c r="Y100" s="36"/>
      <c r="Z100" s="36"/>
      <c r="AA100" s="36"/>
      <c r="AB100" s="82"/>
      <c r="AC100" s="36"/>
      <c r="AD100" s="40"/>
      <c r="AE100" s="36"/>
      <c r="AF100" s="44"/>
      <c r="AG100" s="44"/>
      <c r="AH100" s="44"/>
      <c r="AI100" s="44"/>
      <c r="AJ100" s="44"/>
      <c r="AK100" s="44"/>
      <c r="AL100" s="35"/>
      <c r="AM100" s="47"/>
      <c r="AN100" s="59"/>
      <c r="AO100" s="40"/>
      <c r="AP100" s="36"/>
      <c r="AQ100" s="40"/>
      <c r="AR100" s="36"/>
    </row>
    <row r="101" spans="1:44" x14ac:dyDescent="0.25">
      <c r="A101" s="272">
        <v>17</v>
      </c>
      <c r="B101" s="305">
        <v>2229556</v>
      </c>
      <c r="C101" s="308" t="s">
        <v>127</v>
      </c>
      <c r="D101" s="308">
        <f>F101</f>
        <v>3.786</v>
      </c>
      <c r="E101" s="308">
        <f>G101</f>
        <v>26502</v>
      </c>
      <c r="F101" s="308">
        <v>3.786</v>
      </c>
      <c r="G101" s="311">
        <v>26502</v>
      </c>
      <c r="H101" s="40"/>
      <c r="I101" s="40"/>
      <c r="J101" s="82"/>
      <c r="K101" s="40"/>
      <c r="L101" s="40"/>
      <c r="M101" s="40"/>
      <c r="N101" s="314" t="s">
        <v>125</v>
      </c>
      <c r="O101" s="272" t="s">
        <v>128</v>
      </c>
      <c r="P101" s="272" t="s">
        <v>7</v>
      </c>
      <c r="Q101" s="40">
        <v>3.786</v>
      </c>
      <c r="R101" s="36" t="s">
        <v>2</v>
      </c>
      <c r="S101" s="249">
        <f>55896.6*0.67</f>
        <v>37450.722000000002</v>
      </c>
      <c r="T101" s="36"/>
      <c r="U101" s="36"/>
      <c r="V101" s="36"/>
      <c r="W101" s="36"/>
      <c r="X101" s="36"/>
      <c r="Y101" s="36"/>
      <c r="Z101" s="36"/>
      <c r="AA101" s="36"/>
      <c r="AB101" s="82"/>
      <c r="AC101" s="36"/>
      <c r="AD101" s="40"/>
      <c r="AE101" s="36"/>
      <c r="AF101" s="44"/>
      <c r="AG101" s="44"/>
      <c r="AH101" s="44"/>
      <c r="AI101" s="44"/>
      <c r="AJ101" s="44"/>
      <c r="AK101" s="44"/>
      <c r="AL101" s="52"/>
      <c r="AM101" s="47"/>
      <c r="AN101" s="47"/>
      <c r="AO101" s="40"/>
      <c r="AP101" s="36"/>
      <c r="AQ101" s="94"/>
      <c r="AR101" s="36"/>
    </row>
    <row r="102" spans="1:44" x14ac:dyDescent="0.25">
      <c r="A102" s="276"/>
      <c r="B102" s="306"/>
      <c r="C102" s="309"/>
      <c r="D102" s="309"/>
      <c r="E102" s="309"/>
      <c r="F102" s="309"/>
      <c r="G102" s="312"/>
      <c r="H102" s="40"/>
      <c r="I102" s="40"/>
      <c r="J102" s="82"/>
      <c r="K102" s="40"/>
      <c r="L102" s="40"/>
      <c r="M102" s="40"/>
      <c r="N102" s="315"/>
      <c r="O102" s="276"/>
      <c r="P102" s="273"/>
      <c r="Q102" s="40">
        <v>26502</v>
      </c>
      <c r="R102" s="36" t="s">
        <v>4</v>
      </c>
      <c r="S102" s="251"/>
      <c r="T102" s="36"/>
      <c r="U102" s="36"/>
      <c r="V102" s="36"/>
      <c r="W102" s="36"/>
      <c r="X102" s="36"/>
      <c r="Y102" s="36"/>
      <c r="Z102" s="36"/>
      <c r="AA102" s="36"/>
      <c r="AB102" s="82"/>
      <c r="AC102" s="36"/>
      <c r="AD102" s="40"/>
      <c r="AE102" s="36"/>
      <c r="AF102" s="44"/>
      <c r="AG102" s="44"/>
      <c r="AH102" s="44"/>
      <c r="AI102" s="44"/>
      <c r="AJ102" s="44"/>
      <c r="AK102" s="44"/>
      <c r="AL102" s="52"/>
      <c r="AM102" s="47"/>
      <c r="AN102" s="47"/>
      <c r="AO102" s="40"/>
      <c r="AP102" s="36"/>
      <c r="AQ102" s="94"/>
      <c r="AR102" s="36"/>
    </row>
    <row r="103" spans="1:44" ht="30" x14ac:dyDescent="0.25">
      <c r="A103" s="276"/>
      <c r="B103" s="306"/>
      <c r="C103" s="309"/>
      <c r="D103" s="309"/>
      <c r="E103" s="309"/>
      <c r="F103" s="309"/>
      <c r="G103" s="312"/>
      <c r="H103" s="40"/>
      <c r="I103" s="40"/>
      <c r="J103" s="82"/>
      <c r="K103" s="40"/>
      <c r="L103" s="40"/>
      <c r="M103" s="40"/>
      <c r="N103" s="315"/>
      <c r="O103" s="276"/>
      <c r="P103" s="82" t="s">
        <v>89</v>
      </c>
      <c r="Q103" s="40">
        <v>2</v>
      </c>
      <c r="R103" s="40" t="s">
        <v>90</v>
      </c>
      <c r="S103" s="40">
        <v>200</v>
      </c>
      <c r="T103" s="36"/>
      <c r="U103" s="36"/>
      <c r="V103" s="36"/>
      <c r="W103" s="36"/>
      <c r="X103" s="36"/>
      <c r="Y103" s="36"/>
      <c r="Z103" s="36"/>
      <c r="AA103" s="36"/>
      <c r="AB103" s="82"/>
      <c r="AC103" s="36"/>
      <c r="AD103" s="40"/>
      <c r="AE103" s="36"/>
      <c r="AF103" s="44"/>
      <c r="AG103" s="44"/>
      <c r="AH103" s="44"/>
      <c r="AI103" s="44"/>
      <c r="AJ103" s="44"/>
      <c r="AK103" s="44"/>
      <c r="AL103" s="52"/>
      <c r="AM103" s="47"/>
      <c r="AN103" s="82"/>
      <c r="AO103" s="40"/>
      <c r="AP103" s="40"/>
      <c r="AQ103" s="40"/>
      <c r="AR103" s="36"/>
    </row>
    <row r="104" spans="1:44" x14ac:dyDescent="0.25">
      <c r="A104" s="276"/>
      <c r="B104" s="306"/>
      <c r="C104" s="309"/>
      <c r="D104" s="309"/>
      <c r="E104" s="309"/>
      <c r="F104" s="309"/>
      <c r="G104" s="312"/>
      <c r="H104" s="40"/>
      <c r="I104" s="40"/>
      <c r="J104" s="82"/>
      <c r="K104" s="40"/>
      <c r="L104" s="40"/>
      <c r="M104" s="40"/>
      <c r="N104" s="315"/>
      <c r="O104" s="276"/>
      <c r="P104" s="36" t="s">
        <v>13</v>
      </c>
      <c r="Q104" s="40">
        <v>14000</v>
      </c>
      <c r="R104" s="36" t="s">
        <v>4</v>
      </c>
      <c r="S104" s="61">
        <f>27084.6*0.67</f>
        <v>18146.682000000001</v>
      </c>
      <c r="T104" s="36"/>
      <c r="U104" s="36"/>
      <c r="V104" s="36"/>
      <c r="W104" s="36"/>
      <c r="X104" s="36"/>
      <c r="Y104" s="36"/>
      <c r="Z104" s="36"/>
      <c r="AA104" s="36"/>
      <c r="AB104" s="82"/>
      <c r="AC104" s="36"/>
      <c r="AD104" s="40"/>
      <c r="AE104" s="36"/>
      <c r="AF104" s="44"/>
      <c r="AG104" s="44"/>
      <c r="AH104" s="44"/>
      <c r="AI104" s="44"/>
      <c r="AJ104" s="44"/>
      <c r="AK104" s="44"/>
      <c r="AL104" s="52"/>
      <c r="AM104" s="47"/>
      <c r="AN104" s="36"/>
      <c r="AO104" s="40"/>
      <c r="AP104" s="36"/>
      <c r="AQ104" s="61"/>
      <c r="AR104" s="36"/>
    </row>
    <row r="105" spans="1:44" ht="45" x14ac:dyDescent="0.25">
      <c r="A105" s="273"/>
      <c r="B105" s="307"/>
      <c r="C105" s="310"/>
      <c r="D105" s="310"/>
      <c r="E105" s="310"/>
      <c r="F105" s="310"/>
      <c r="G105" s="313"/>
      <c r="H105" s="40"/>
      <c r="I105" s="40"/>
      <c r="J105" s="82"/>
      <c r="K105" s="40"/>
      <c r="L105" s="40"/>
      <c r="M105" s="40"/>
      <c r="N105" s="316"/>
      <c r="O105" s="273"/>
      <c r="P105" s="36" t="s">
        <v>46</v>
      </c>
      <c r="Q105" s="40">
        <v>100</v>
      </c>
      <c r="R105" s="36" t="s">
        <v>12</v>
      </c>
      <c r="S105" s="40">
        <v>125</v>
      </c>
      <c r="T105" s="36"/>
      <c r="U105" s="36"/>
      <c r="V105" s="36"/>
      <c r="W105" s="36"/>
      <c r="X105" s="36"/>
      <c r="Y105" s="36"/>
      <c r="Z105" s="36"/>
      <c r="AA105" s="36"/>
      <c r="AB105" s="82"/>
      <c r="AC105" s="36"/>
      <c r="AD105" s="40"/>
      <c r="AE105" s="36"/>
      <c r="AF105" s="44"/>
      <c r="AG105" s="44"/>
      <c r="AH105" s="44"/>
      <c r="AI105" s="44"/>
      <c r="AJ105" s="44"/>
      <c r="AK105" s="44"/>
      <c r="AL105" s="52"/>
      <c r="AM105" s="47"/>
      <c r="AN105" s="36"/>
      <c r="AO105" s="40"/>
      <c r="AP105" s="36"/>
      <c r="AQ105" s="40"/>
      <c r="AR105" s="36"/>
    </row>
    <row r="106" spans="1:44" x14ac:dyDescent="0.25">
      <c r="A106" s="272">
        <v>18</v>
      </c>
      <c r="B106" s="305">
        <v>2229537</v>
      </c>
      <c r="C106" s="308" t="s">
        <v>134</v>
      </c>
      <c r="D106" s="308">
        <f>F106</f>
        <v>2.11</v>
      </c>
      <c r="E106" s="308">
        <f>G106</f>
        <v>44310</v>
      </c>
      <c r="F106" s="308">
        <v>2.11</v>
      </c>
      <c r="G106" s="311">
        <v>44310</v>
      </c>
      <c r="H106" s="63"/>
      <c r="I106" s="63"/>
      <c r="J106" s="106"/>
      <c r="K106" s="63"/>
      <c r="L106" s="63"/>
      <c r="M106" s="63"/>
      <c r="N106" s="249" t="s">
        <v>135</v>
      </c>
      <c r="O106" s="308" t="s">
        <v>128</v>
      </c>
      <c r="P106" s="272" t="s">
        <v>7</v>
      </c>
      <c r="Q106" s="51">
        <v>2.11</v>
      </c>
      <c r="R106" s="36" t="s">
        <v>2</v>
      </c>
      <c r="S106" s="300">
        <f>78196.1*0.67</f>
        <v>52391.38700000001</v>
      </c>
      <c r="T106" s="36"/>
      <c r="U106" s="36"/>
      <c r="V106" s="36"/>
      <c r="W106" s="36"/>
      <c r="X106" s="36"/>
      <c r="Y106" s="36"/>
      <c r="Z106" s="62"/>
      <c r="AA106" s="62"/>
      <c r="AB106" s="277"/>
      <c r="AC106" s="62"/>
      <c r="AD106" s="63"/>
      <c r="AE106" s="272"/>
      <c r="AF106" s="249"/>
      <c r="AG106" s="308"/>
      <c r="AH106" s="272"/>
      <c r="AI106" s="51"/>
      <c r="AJ106" s="36"/>
      <c r="AK106" s="188"/>
      <c r="AL106" s="36"/>
      <c r="AM106" s="36"/>
      <c r="AN106" s="36"/>
      <c r="AO106" s="36"/>
      <c r="AP106" s="36"/>
      <c r="AQ106" s="36"/>
      <c r="AR106" s="36"/>
    </row>
    <row r="107" spans="1:44" x14ac:dyDescent="0.25">
      <c r="A107" s="276"/>
      <c r="B107" s="306"/>
      <c r="C107" s="309"/>
      <c r="D107" s="309"/>
      <c r="E107" s="309"/>
      <c r="F107" s="309"/>
      <c r="G107" s="312"/>
      <c r="H107" s="63"/>
      <c r="I107" s="63"/>
      <c r="J107" s="106"/>
      <c r="K107" s="63"/>
      <c r="L107" s="63"/>
      <c r="M107" s="63"/>
      <c r="N107" s="250"/>
      <c r="O107" s="309"/>
      <c r="P107" s="273"/>
      <c r="Q107" s="66">
        <v>44310</v>
      </c>
      <c r="R107" s="36" t="s">
        <v>4</v>
      </c>
      <c r="S107" s="301"/>
      <c r="T107" s="36"/>
      <c r="U107" s="36"/>
      <c r="V107" s="36"/>
      <c r="W107" s="36"/>
      <c r="X107" s="36"/>
      <c r="Y107" s="36"/>
      <c r="Z107" s="62"/>
      <c r="AA107" s="62"/>
      <c r="AB107" s="278"/>
      <c r="AC107" s="62"/>
      <c r="AD107" s="63"/>
      <c r="AE107" s="276"/>
      <c r="AF107" s="250"/>
      <c r="AG107" s="309"/>
      <c r="AH107" s="273"/>
      <c r="AI107" s="66"/>
      <c r="AJ107" s="36"/>
      <c r="AK107" s="188"/>
      <c r="AL107" s="36"/>
      <c r="AM107" s="36"/>
      <c r="AN107" s="36"/>
      <c r="AO107" s="36"/>
      <c r="AP107" s="36"/>
      <c r="AQ107" s="36"/>
      <c r="AR107" s="36"/>
    </row>
    <row r="108" spans="1:44" ht="45" x14ac:dyDescent="0.25">
      <c r="A108" s="276"/>
      <c r="B108" s="306"/>
      <c r="C108" s="309"/>
      <c r="D108" s="309"/>
      <c r="E108" s="309"/>
      <c r="F108" s="309"/>
      <c r="G108" s="312"/>
      <c r="H108" s="63"/>
      <c r="I108" s="63"/>
      <c r="J108" s="106"/>
      <c r="K108" s="63"/>
      <c r="L108" s="63"/>
      <c r="M108" s="63"/>
      <c r="N108" s="250"/>
      <c r="O108" s="309"/>
      <c r="P108" s="36" t="s">
        <v>46</v>
      </c>
      <c r="Q108" s="40">
        <v>300</v>
      </c>
      <c r="R108" s="36" t="s">
        <v>12</v>
      </c>
      <c r="S108" s="67">
        <v>375</v>
      </c>
      <c r="T108" s="36"/>
      <c r="U108" s="36"/>
      <c r="V108" s="36"/>
      <c r="W108" s="36"/>
      <c r="X108" s="36"/>
      <c r="Y108" s="36"/>
      <c r="Z108" s="62"/>
      <c r="AA108" s="62"/>
      <c r="AB108" s="278"/>
      <c r="AC108" s="62"/>
      <c r="AD108" s="63"/>
      <c r="AE108" s="276"/>
      <c r="AF108" s="250"/>
      <c r="AG108" s="309"/>
      <c r="AH108" s="36"/>
      <c r="AI108" s="40"/>
      <c r="AJ108" s="36"/>
      <c r="AK108" s="67"/>
      <c r="AL108" s="36"/>
      <c r="AM108" s="36"/>
      <c r="AN108" s="36"/>
      <c r="AO108" s="36"/>
      <c r="AP108" s="36"/>
      <c r="AQ108" s="36"/>
      <c r="AR108" s="36"/>
    </row>
    <row r="109" spans="1:44" x14ac:dyDescent="0.25">
      <c r="A109" s="273"/>
      <c r="B109" s="307"/>
      <c r="C109" s="310"/>
      <c r="D109" s="310"/>
      <c r="E109" s="310"/>
      <c r="F109" s="310"/>
      <c r="G109" s="313"/>
      <c r="H109" s="65"/>
      <c r="I109" s="65"/>
      <c r="J109" s="108"/>
      <c r="K109" s="65"/>
      <c r="L109" s="65"/>
      <c r="M109" s="65"/>
      <c r="N109" s="251"/>
      <c r="O109" s="310"/>
      <c r="P109" s="59" t="s">
        <v>13</v>
      </c>
      <c r="Q109" s="69">
        <v>12660</v>
      </c>
      <c r="R109" s="59" t="s">
        <v>4</v>
      </c>
      <c r="S109" s="70">
        <f>26445.3*0.67</f>
        <v>17718.351000000002</v>
      </c>
      <c r="T109" s="59"/>
      <c r="U109" s="59"/>
      <c r="V109" s="59"/>
      <c r="W109" s="59"/>
      <c r="X109" s="59"/>
      <c r="Y109" s="59"/>
      <c r="Z109" s="60"/>
      <c r="AA109" s="60"/>
      <c r="AB109" s="279"/>
      <c r="AC109" s="60"/>
      <c r="AD109" s="65"/>
      <c r="AE109" s="273"/>
      <c r="AF109" s="251"/>
      <c r="AG109" s="310"/>
      <c r="AH109" s="59"/>
      <c r="AI109" s="69"/>
      <c r="AJ109" s="59"/>
      <c r="AK109" s="70"/>
      <c r="AL109" s="59"/>
      <c r="AM109" s="59"/>
      <c r="AN109" s="59"/>
      <c r="AO109" s="59"/>
      <c r="AP109" s="59"/>
      <c r="AQ109" s="59"/>
      <c r="AR109" s="59"/>
    </row>
    <row r="110" spans="1:44" x14ac:dyDescent="0.25">
      <c r="A110" s="286">
        <v>19</v>
      </c>
      <c r="B110" s="286">
        <v>2229301</v>
      </c>
      <c r="C110" s="221" t="s">
        <v>143</v>
      </c>
      <c r="D110" s="221">
        <f>F110</f>
        <v>1.87</v>
      </c>
      <c r="E110" s="221">
        <f>G110</f>
        <v>14960</v>
      </c>
      <c r="F110" s="221">
        <v>1.87</v>
      </c>
      <c r="G110" s="243">
        <v>14960</v>
      </c>
      <c r="H110" s="283"/>
      <c r="I110" s="283"/>
      <c r="J110" s="272"/>
      <c r="K110" s="283"/>
      <c r="L110" s="272"/>
      <c r="M110" s="329"/>
      <c r="N110" s="365" t="s">
        <v>144</v>
      </c>
      <c r="O110" s="368" t="s">
        <v>145</v>
      </c>
      <c r="P110" s="272" t="s">
        <v>7</v>
      </c>
      <c r="Q110" s="53">
        <v>1.87</v>
      </c>
      <c r="R110" s="36" t="s">
        <v>2</v>
      </c>
      <c r="S110" s="283">
        <f>30025.2*0.67</f>
        <v>20116.884000000002</v>
      </c>
      <c r="T110" s="365"/>
      <c r="U110" s="368"/>
      <c r="V110" s="272"/>
      <c r="W110" s="53"/>
      <c r="X110" s="36"/>
      <c r="Y110" s="28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</row>
    <row r="111" spans="1:44" x14ac:dyDescent="0.25">
      <c r="A111" s="287"/>
      <c r="B111" s="287"/>
      <c r="C111" s="222"/>
      <c r="D111" s="222"/>
      <c r="E111" s="222"/>
      <c r="F111" s="222"/>
      <c r="G111" s="244"/>
      <c r="H111" s="284"/>
      <c r="I111" s="284"/>
      <c r="J111" s="276"/>
      <c r="K111" s="284"/>
      <c r="L111" s="276"/>
      <c r="M111" s="364"/>
      <c r="N111" s="366"/>
      <c r="O111" s="368"/>
      <c r="P111" s="273"/>
      <c r="Q111" s="74">
        <v>14960</v>
      </c>
      <c r="R111" s="36" t="s">
        <v>4</v>
      </c>
      <c r="S111" s="285"/>
      <c r="T111" s="366"/>
      <c r="U111" s="368"/>
      <c r="V111" s="273"/>
      <c r="W111" s="74"/>
      <c r="X111" s="36"/>
      <c r="Y111" s="285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</row>
    <row r="112" spans="1:44" ht="30" x14ac:dyDescent="0.25">
      <c r="A112" s="287"/>
      <c r="B112" s="287"/>
      <c r="C112" s="222"/>
      <c r="D112" s="222"/>
      <c r="E112" s="222"/>
      <c r="F112" s="222"/>
      <c r="G112" s="244"/>
      <c r="H112" s="284"/>
      <c r="I112" s="284"/>
      <c r="J112" s="276"/>
      <c r="K112" s="284"/>
      <c r="L112" s="276"/>
      <c r="M112" s="364"/>
      <c r="N112" s="366"/>
      <c r="O112" s="368"/>
      <c r="P112" s="89" t="s">
        <v>89</v>
      </c>
      <c r="Q112" s="53">
        <v>3</v>
      </c>
      <c r="R112" s="45" t="s">
        <v>90</v>
      </c>
      <c r="S112" s="45">
        <v>300</v>
      </c>
      <c r="T112" s="366"/>
      <c r="U112" s="368"/>
      <c r="V112" s="89"/>
      <c r="W112" s="53"/>
      <c r="X112" s="45"/>
      <c r="Y112" s="45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</row>
    <row r="113" spans="1:44" x14ac:dyDescent="0.25">
      <c r="A113" s="287"/>
      <c r="B113" s="287"/>
      <c r="C113" s="222"/>
      <c r="D113" s="222"/>
      <c r="E113" s="222"/>
      <c r="F113" s="222"/>
      <c r="G113" s="244"/>
      <c r="H113" s="284"/>
      <c r="I113" s="284"/>
      <c r="J113" s="276"/>
      <c r="K113" s="284"/>
      <c r="L113" s="276"/>
      <c r="M113" s="364"/>
      <c r="N113" s="366"/>
      <c r="O113" s="368"/>
      <c r="P113" s="36" t="s">
        <v>13</v>
      </c>
      <c r="Q113" s="53">
        <v>7480</v>
      </c>
      <c r="R113" s="36" t="s">
        <v>4</v>
      </c>
      <c r="S113" s="72">
        <f>14027*0.67</f>
        <v>9398.09</v>
      </c>
      <c r="T113" s="366"/>
      <c r="U113" s="368"/>
      <c r="V113" s="36"/>
      <c r="W113" s="53"/>
      <c r="X113" s="36"/>
      <c r="Y113" s="72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</row>
    <row r="114" spans="1:44" ht="45" x14ac:dyDescent="0.25">
      <c r="A114" s="287"/>
      <c r="B114" s="287"/>
      <c r="C114" s="222"/>
      <c r="D114" s="222"/>
      <c r="E114" s="222"/>
      <c r="F114" s="222"/>
      <c r="G114" s="244"/>
      <c r="H114" s="284"/>
      <c r="I114" s="284"/>
      <c r="J114" s="276"/>
      <c r="K114" s="284"/>
      <c r="L114" s="276"/>
      <c r="M114" s="364"/>
      <c r="N114" s="366"/>
      <c r="O114" s="368"/>
      <c r="P114" s="36" t="s">
        <v>46</v>
      </c>
      <c r="Q114" s="53">
        <v>159</v>
      </c>
      <c r="R114" s="36" t="s">
        <v>12</v>
      </c>
      <c r="S114" s="45">
        <v>198.8</v>
      </c>
      <c r="T114" s="366"/>
      <c r="U114" s="368"/>
      <c r="V114" s="36"/>
      <c r="W114" s="53"/>
      <c r="X114" s="36"/>
      <c r="Y114" s="45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</row>
    <row r="115" spans="1:44" x14ac:dyDescent="0.25">
      <c r="A115" s="288"/>
      <c r="B115" s="288"/>
      <c r="C115" s="223"/>
      <c r="D115" s="223"/>
      <c r="E115" s="223"/>
      <c r="F115" s="223"/>
      <c r="G115" s="245"/>
      <c r="H115" s="285"/>
      <c r="I115" s="285"/>
      <c r="J115" s="273"/>
      <c r="K115" s="285"/>
      <c r="L115" s="273"/>
      <c r="M115" s="330"/>
      <c r="N115" s="367"/>
      <c r="O115" s="368"/>
      <c r="P115" s="47" t="s">
        <v>14</v>
      </c>
      <c r="Q115" s="45">
        <v>1.87</v>
      </c>
      <c r="R115" s="45" t="s">
        <v>2</v>
      </c>
      <c r="S115" s="72">
        <v>6919</v>
      </c>
      <c r="T115" s="367"/>
      <c r="U115" s="368"/>
      <c r="V115" s="47"/>
      <c r="W115" s="45"/>
      <c r="X115" s="45"/>
      <c r="Y115" s="72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</row>
    <row r="116" spans="1:44" x14ac:dyDescent="0.25">
      <c r="A116" s="286">
        <v>20</v>
      </c>
      <c r="B116" s="237">
        <v>2223406</v>
      </c>
      <c r="C116" s="221" t="s">
        <v>128</v>
      </c>
      <c r="D116" s="221">
        <f>F116</f>
        <v>1.83</v>
      </c>
      <c r="E116" s="221">
        <f>G116</f>
        <v>21960</v>
      </c>
      <c r="F116" s="221">
        <v>1.83</v>
      </c>
      <c r="G116" s="243">
        <f>1830*12</f>
        <v>21960</v>
      </c>
      <c r="H116" s="283"/>
      <c r="I116" s="283"/>
      <c r="J116" s="292"/>
      <c r="K116" s="283"/>
      <c r="L116" s="283"/>
      <c r="M116" s="283"/>
      <c r="N116" s="249" t="s">
        <v>155</v>
      </c>
      <c r="O116" s="249" t="s">
        <v>127</v>
      </c>
      <c r="P116" s="272" t="s">
        <v>7</v>
      </c>
      <c r="Q116" s="51">
        <v>1.83</v>
      </c>
      <c r="R116" s="36" t="s">
        <v>2</v>
      </c>
      <c r="S116" s="300">
        <f>37429.1*0.67</f>
        <v>25077.496999999999</v>
      </c>
      <c r="T116" s="249"/>
      <c r="U116" s="249"/>
      <c r="V116" s="272"/>
      <c r="W116" s="51"/>
      <c r="X116" s="36"/>
      <c r="Y116" s="300"/>
      <c r="Z116" s="54"/>
      <c r="AA116" s="54"/>
      <c r="AB116" s="54"/>
      <c r="AC116" s="53"/>
      <c r="AD116" s="53"/>
      <c r="AE116" s="54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</row>
    <row r="117" spans="1:44" x14ac:dyDescent="0.25">
      <c r="A117" s="287"/>
      <c r="B117" s="238"/>
      <c r="C117" s="222"/>
      <c r="D117" s="222"/>
      <c r="E117" s="222"/>
      <c r="F117" s="222"/>
      <c r="G117" s="244"/>
      <c r="H117" s="284"/>
      <c r="I117" s="284"/>
      <c r="J117" s="293"/>
      <c r="K117" s="284"/>
      <c r="L117" s="284"/>
      <c r="M117" s="284"/>
      <c r="N117" s="250"/>
      <c r="O117" s="250"/>
      <c r="P117" s="273"/>
      <c r="Q117" s="66">
        <v>21960</v>
      </c>
      <c r="R117" s="36" t="s">
        <v>4</v>
      </c>
      <c r="S117" s="301"/>
      <c r="T117" s="250"/>
      <c r="U117" s="250"/>
      <c r="V117" s="273"/>
      <c r="W117" s="66"/>
      <c r="X117" s="36"/>
      <c r="Y117" s="301"/>
      <c r="Z117" s="54"/>
      <c r="AA117" s="54"/>
      <c r="AB117" s="54"/>
      <c r="AC117" s="53"/>
      <c r="AD117" s="53"/>
      <c r="AE117" s="54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</row>
    <row r="118" spans="1:44" ht="45" x14ac:dyDescent="0.25">
      <c r="A118" s="287"/>
      <c r="B118" s="238"/>
      <c r="C118" s="222"/>
      <c r="D118" s="222"/>
      <c r="E118" s="222"/>
      <c r="F118" s="222"/>
      <c r="G118" s="244"/>
      <c r="H118" s="284"/>
      <c r="I118" s="284"/>
      <c r="J118" s="293"/>
      <c r="K118" s="284"/>
      <c r="L118" s="284"/>
      <c r="M118" s="284"/>
      <c r="N118" s="250"/>
      <c r="O118" s="250"/>
      <c r="P118" s="36" t="s">
        <v>46</v>
      </c>
      <c r="Q118" s="40">
        <v>361</v>
      </c>
      <c r="R118" s="36" t="s">
        <v>12</v>
      </c>
      <c r="S118" s="67">
        <v>451.3</v>
      </c>
      <c r="T118" s="250"/>
      <c r="U118" s="250"/>
      <c r="V118" s="36"/>
      <c r="W118" s="40"/>
      <c r="X118" s="36"/>
      <c r="Y118" s="67"/>
      <c r="Z118" s="54"/>
      <c r="AA118" s="54"/>
      <c r="AB118" s="54"/>
      <c r="AC118" s="53"/>
      <c r="AD118" s="53"/>
      <c r="AE118" s="54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</row>
    <row r="119" spans="1:44" x14ac:dyDescent="0.25">
      <c r="A119" s="287"/>
      <c r="B119" s="238"/>
      <c r="C119" s="222"/>
      <c r="D119" s="222"/>
      <c r="E119" s="222"/>
      <c r="F119" s="222"/>
      <c r="G119" s="244"/>
      <c r="H119" s="284"/>
      <c r="I119" s="284"/>
      <c r="J119" s="293"/>
      <c r="K119" s="284"/>
      <c r="L119" s="284"/>
      <c r="M119" s="284"/>
      <c r="N119" s="250"/>
      <c r="O119" s="250"/>
      <c r="P119" s="36" t="s">
        <v>13</v>
      </c>
      <c r="Q119" s="61">
        <v>3600</v>
      </c>
      <c r="R119" s="36" t="s">
        <v>4</v>
      </c>
      <c r="S119" s="67">
        <f>7748.1*0.67</f>
        <v>5191.2270000000008</v>
      </c>
      <c r="T119" s="250"/>
      <c r="U119" s="250"/>
      <c r="V119" s="36"/>
      <c r="W119" s="61"/>
      <c r="X119" s="36"/>
      <c r="Y119" s="67"/>
      <c r="Z119" s="54"/>
      <c r="AA119" s="54"/>
      <c r="AB119" s="54"/>
      <c r="AC119" s="53"/>
      <c r="AD119" s="53"/>
      <c r="AE119" s="54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</row>
    <row r="120" spans="1:44" ht="30" x14ac:dyDescent="0.25">
      <c r="A120" s="288"/>
      <c r="B120" s="239"/>
      <c r="C120" s="223"/>
      <c r="D120" s="223"/>
      <c r="E120" s="223"/>
      <c r="F120" s="223"/>
      <c r="G120" s="245"/>
      <c r="H120" s="285"/>
      <c r="I120" s="285"/>
      <c r="J120" s="294"/>
      <c r="K120" s="285"/>
      <c r="L120" s="285"/>
      <c r="M120" s="285"/>
      <c r="N120" s="251"/>
      <c r="O120" s="251"/>
      <c r="P120" s="82" t="s">
        <v>89</v>
      </c>
      <c r="Q120" s="40">
        <v>4</v>
      </c>
      <c r="R120" s="40" t="s">
        <v>90</v>
      </c>
      <c r="S120" s="77">
        <v>400</v>
      </c>
      <c r="T120" s="251"/>
      <c r="U120" s="251"/>
      <c r="V120" s="82"/>
      <c r="W120" s="40"/>
      <c r="X120" s="40"/>
      <c r="Y120" s="77"/>
      <c r="Z120" s="54"/>
      <c r="AA120" s="54"/>
      <c r="AB120" s="54"/>
      <c r="AC120" s="53"/>
      <c r="AD120" s="53"/>
      <c r="AE120" s="54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</row>
    <row r="121" spans="1:44" x14ac:dyDescent="0.25">
      <c r="A121" s="234">
        <v>21</v>
      </c>
      <c r="B121" s="237">
        <v>2220671</v>
      </c>
      <c r="C121" s="240" t="s">
        <v>214</v>
      </c>
      <c r="D121" s="221">
        <f>F121</f>
        <v>3.06</v>
      </c>
      <c r="E121" s="221">
        <f>G121</f>
        <v>27540</v>
      </c>
      <c r="F121" s="221">
        <v>3.06</v>
      </c>
      <c r="G121" s="243">
        <v>27540</v>
      </c>
      <c r="H121" s="75"/>
      <c r="I121" s="75"/>
      <c r="J121" s="109"/>
      <c r="K121" s="75"/>
      <c r="L121" s="75"/>
      <c r="M121" s="75"/>
      <c r="N121" s="249" t="s">
        <v>215</v>
      </c>
      <c r="O121" s="249" t="s">
        <v>216</v>
      </c>
      <c r="P121" s="252" t="s">
        <v>7</v>
      </c>
      <c r="Q121" s="40">
        <v>3.06</v>
      </c>
      <c r="R121" s="36" t="s">
        <v>2</v>
      </c>
      <c r="S121" s="270">
        <f>51996.7*0.67</f>
        <v>34837.788999999997</v>
      </c>
      <c r="T121" s="56"/>
      <c r="U121" s="56"/>
      <c r="V121" s="62"/>
      <c r="W121" s="56"/>
      <c r="X121" s="56"/>
      <c r="Y121" s="56"/>
      <c r="Z121" s="56"/>
      <c r="AA121" s="56"/>
      <c r="AB121" s="109"/>
      <c r="AC121" s="56"/>
      <c r="AD121" s="75"/>
      <c r="AE121" s="56"/>
      <c r="AF121" s="63"/>
      <c r="AG121" s="63"/>
      <c r="AH121" s="62"/>
      <c r="AI121" s="63"/>
      <c r="AJ121" s="62"/>
      <c r="AK121" s="66"/>
      <c r="AL121" s="94"/>
      <c r="AM121" s="94"/>
      <c r="AN121" s="252"/>
      <c r="AO121" s="40"/>
      <c r="AP121" s="36"/>
      <c r="AQ121" s="270"/>
      <c r="AR121" s="56"/>
    </row>
    <row r="122" spans="1:44" x14ac:dyDescent="0.25">
      <c r="A122" s="235"/>
      <c r="B122" s="238"/>
      <c r="C122" s="241"/>
      <c r="D122" s="222"/>
      <c r="E122" s="222"/>
      <c r="F122" s="222"/>
      <c r="G122" s="244"/>
      <c r="H122" s="75"/>
      <c r="I122" s="75"/>
      <c r="J122" s="109"/>
      <c r="K122" s="75"/>
      <c r="L122" s="75"/>
      <c r="M122" s="75"/>
      <c r="N122" s="250"/>
      <c r="O122" s="250"/>
      <c r="P122" s="252"/>
      <c r="Q122" s="58">
        <v>27540</v>
      </c>
      <c r="R122" s="36" t="s">
        <v>4</v>
      </c>
      <c r="S122" s="271"/>
      <c r="T122" s="56"/>
      <c r="U122" s="56"/>
      <c r="V122" s="62"/>
      <c r="W122" s="56"/>
      <c r="X122" s="56"/>
      <c r="Y122" s="56"/>
      <c r="Z122" s="56"/>
      <c r="AA122" s="56"/>
      <c r="AB122" s="109"/>
      <c r="AC122" s="56"/>
      <c r="AD122" s="75"/>
      <c r="AE122" s="56"/>
      <c r="AF122" s="63"/>
      <c r="AG122" s="63"/>
      <c r="AH122" s="62"/>
      <c r="AI122" s="63"/>
      <c r="AJ122" s="62"/>
      <c r="AK122" s="66"/>
      <c r="AL122" s="94"/>
      <c r="AM122" s="94"/>
      <c r="AN122" s="252"/>
      <c r="AO122" s="58"/>
      <c r="AP122" s="36"/>
      <c r="AQ122" s="271"/>
      <c r="AR122" s="56"/>
    </row>
    <row r="123" spans="1:44" x14ac:dyDescent="0.25">
      <c r="A123" s="236"/>
      <c r="B123" s="239"/>
      <c r="C123" s="242"/>
      <c r="D123" s="223"/>
      <c r="E123" s="223"/>
      <c r="F123" s="223"/>
      <c r="G123" s="245"/>
      <c r="H123" s="75"/>
      <c r="I123" s="75"/>
      <c r="J123" s="109"/>
      <c r="K123" s="75"/>
      <c r="L123" s="75"/>
      <c r="M123" s="75"/>
      <c r="N123" s="251"/>
      <c r="O123" s="251"/>
      <c r="P123" s="36" t="s">
        <v>13</v>
      </c>
      <c r="Q123" s="40">
        <v>12240</v>
      </c>
      <c r="R123" s="36" t="s">
        <v>4</v>
      </c>
      <c r="S123" s="61">
        <f>33123.9*0.67</f>
        <v>22193.013000000003</v>
      </c>
      <c r="T123" s="56"/>
      <c r="U123" s="56"/>
      <c r="V123" s="62"/>
      <c r="W123" s="56"/>
      <c r="X123" s="56"/>
      <c r="Y123" s="56"/>
      <c r="Z123" s="56"/>
      <c r="AA123" s="56"/>
      <c r="AB123" s="109"/>
      <c r="AC123" s="56"/>
      <c r="AD123" s="75"/>
      <c r="AE123" s="56"/>
      <c r="AF123" s="63"/>
      <c r="AG123" s="63"/>
      <c r="AH123" s="62"/>
      <c r="AI123" s="63"/>
      <c r="AJ123" s="62"/>
      <c r="AK123" s="66"/>
      <c r="AL123" s="94"/>
      <c r="AM123" s="94"/>
      <c r="AN123" s="36"/>
      <c r="AO123" s="40"/>
      <c r="AP123" s="36"/>
      <c r="AQ123" s="61"/>
      <c r="AR123" s="56"/>
    </row>
    <row r="124" spans="1:44" x14ac:dyDescent="0.25">
      <c r="A124" s="234">
        <v>22</v>
      </c>
      <c r="B124" s="237">
        <v>2223930</v>
      </c>
      <c r="C124" s="240" t="s">
        <v>219</v>
      </c>
      <c r="D124" s="221">
        <f>F124</f>
        <v>3.4750000000000001</v>
      </c>
      <c r="E124" s="221">
        <f>G124</f>
        <v>31275</v>
      </c>
      <c r="F124" s="221">
        <v>3.4750000000000001</v>
      </c>
      <c r="G124" s="243">
        <v>31275</v>
      </c>
      <c r="H124" s="75"/>
      <c r="I124" s="75"/>
      <c r="J124" s="109"/>
      <c r="K124" s="75"/>
      <c r="L124" s="75"/>
      <c r="M124" s="75"/>
      <c r="N124" s="249" t="s">
        <v>181</v>
      </c>
      <c r="O124" s="249" t="s">
        <v>220</v>
      </c>
      <c r="P124" s="252" t="s">
        <v>7</v>
      </c>
      <c r="Q124" s="40">
        <v>3.4750000000000001</v>
      </c>
      <c r="R124" s="36" t="s">
        <v>2</v>
      </c>
      <c r="S124" s="270">
        <f>58967.2*0.67</f>
        <v>39508.023999999998</v>
      </c>
      <c r="T124" s="56"/>
      <c r="U124" s="56"/>
      <c r="V124" s="62"/>
      <c r="W124" s="56"/>
      <c r="X124" s="56"/>
      <c r="Y124" s="56"/>
      <c r="Z124" s="56"/>
      <c r="AA124" s="56"/>
      <c r="AB124" s="109"/>
      <c r="AC124" s="56"/>
      <c r="AD124" s="75"/>
      <c r="AE124" s="56"/>
      <c r="AF124" s="63"/>
      <c r="AG124" s="63"/>
      <c r="AH124" s="62"/>
      <c r="AI124" s="63"/>
      <c r="AJ124" s="62"/>
      <c r="AK124" s="66"/>
      <c r="AL124" s="94"/>
      <c r="AM124" s="94"/>
      <c r="AN124" s="252"/>
      <c r="AO124" s="40"/>
      <c r="AP124" s="36"/>
      <c r="AQ124" s="270"/>
      <c r="AR124" s="56"/>
    </row>
    <row r="125" spans="1:44" x14ac:dyDescent="0.25">
      <c r="A125" s="235"/>
      <c r="B125" s="238"/>
      <c r="C125" s="241"/>
      <c r="D125" s="222"/>
      <c r="E125" s="222"/>
      <c r="F125" s="222"/>
      <c r="G125" s="244"/>
      <c r="H125" s="75"/>
      <c r="I125" s="75"/>
      <c r="J125" s="109"/>
      <c r="K125" s="75"/>
      <c r="L125" s="75"/>
      <c r="M125" s="75"/>
      <c r="N125" s="250"/>
      <c r="O125" s="250"/>
      <c r="P125" s="252"/>
      <c r="Q125" s="58">
        <v>31275</v>
      </c>
      <c r="R125" s="36" t="s">
        <v>4</v>
      </c>
      <c r="S125" s="271"/>
      <c r="T125" s="56"/>
      <c r="U125" s="56"/>
      <c r="V125" s="62"/>
      <c r="W125" s="56"/>
      <c r="X125" s="56"/>
      <c r="Y125" s="56"/>
      <c r="Z125" s="56"/>
      <c r="AA125" s="56"/>
      <c r="AB125" s="109"/>
      <c r="AC125" s="56"/>
      <c r="AD125" s="75"/>
      <c r="AE125" s="56"/>
      <c r="AF125" s="63"/>
      <c r="AG125" s="63"/>
      <c r="AH125" s="62"/>
      <c r="AI125" s="63"/>
      <c r="AJ125" s="62"/>
      <c r="AK125" s="66"/>
      <c r="AL125" s="94"/>
      <c r="AM125" s="94"/>
      <c r="AN125" s="252"/>
      <c r="AO125" s="58"/>
      <c r="AP125" s="36"/>
      <c r="AQ125" s="271"/>
      <c r="AR125" s="56"/>
    </row>
    <row r="126" spans="1:44" x14ac:dyDescent="0.25">
      <c r="A126" s="236"/>
      <c r="B126" s="239"/>
      <c r="C126" s="242"/>
      <c r="D126" s="223"/>
      <c r="E126" s="223"/>
      <c r="F126" s="223"/>
      <c r="G126" s="245"/>
      <c r="H126" s="75"/>
      <c r="I126" s="75"/>
      <c r="J126" s="109"/>
      <c r="K126" s="75"/>
      <c r="L126" s="75"/>
      <c r="M126" s="75"/>
      <c r="N126" s="251"/>
      <c r="O126" s="251"/>
      <c r="P126" s="36" t="s">
        <v>13</v>
      </c>
      <c r="Q126" s="40">
        <v>6950</v>
      </c>
      <c r="R126" s="36" t="s">
        <v>4</v>
      </c>
      <c r="S126" s="61">
        <f>18808.1*0.67</f>
        <v>12601.427</v>
      </c>
      <c r="T126" s="56"/>
      <c r="U126" s="56"/>
      <c r="V126" s="62"/>
      <c r="W126" s="56"/>
      <c r="X126" s="56"/>
      <c r="Y126" s="56"/>
      <c r="Z126" s="56"/>
      <c r="AA126" s="56"/>
      <c r="AB126" s="109"/>
      <c r="AC126" s="56"/>
      <c r="AD126" s="75"/>
      <c r="AE126" s="56"/>
      <c r="AF126" s="63"/>
      <c r="AG126" s="63"/>
      <c r="AH126" s="62"/>
      <c r="AI126" s="63"/>
      <c r="AJ126" s="62"/>
      <c r="AK126" s="66"/>
      <c r="AL126" s="94"/>
      <c r="AM126" s="94"/>
      <c r="AN126" s="36"/>
      <c r="AO126" s="40"/>
      <c r="AP126" s="36"/>
      <c r="AQ126" s="61"/>
      <c r="AR126" s="56"/>
    </row>
    <row r="127" spans="1:44" x14ac:dyDescent="0.25">
      <c r="A127" s="286">
        <v>23</v>
      </c>
      <c r="B127" s="237">
        <v>2223792</v>
      </c>
      <c r="C127" s="289" t="s">
        <v>146</v>
      </c>
      <c r="D127" s="221">
        <f>F127</f>
        <v>5.5</v>
      </c>
      <c r="E127" s="221">
        <f>G127</f>
        <v>44000</v>
      </c>
      <c r="F127" s="221">
        <v>5.5</v>
      </c>
      <c r="G127" s="221">
        <v>44000</v>
      </c>
      <c r="H127" s="283"/>
      <c r="I127" s="283"/>
      <c r="J127" s="292"/>
      <c r="K127" s="283"/>
      <c r="L127" s="283"/>
      <c r="M127" s="283"/>
      <c r="N127" s="283"/>
      <c r="O127" s="283"/>
      <c r="P127" s="283"/>
      <c r="Q127" s="283"/>
      <c r="R127" s="283"/>
      <c r="S127" s="297"/>
      <c r="T127" s="272" t="s">
        <v>147</v>
      </c>
      <c r="U127" s="272" t="s">
        <v>148</v>
      </c>
      <c r="V127" s="272" t="s">
        <v>7</v>
      </c>
      <c r="W127" s="36">
        <v>5.5</v>
      </c>
      <c r="X127" s="36" t="s">
        <v>2</v>
      </c>
      <c r="Y127" s="249">
        <f>47400.6*0.67</f>
        <v>31758.402000000002</v>
      </c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</row>
    <row r="128" spans="1:44" x14ac:dyDescent="0.25">
      <c r="A128" s="287"/>
      <c r="B128" s="238"/>
      <c r="C128" s="290"/>
      <c r="D128" s="222"/>
      <c r="E128" s="222"/>
      <c r="F128" s="222"/>
      <c r="G128" s="222"/>
      <c r="H128" s="284"/>
      <c r="I128" s="284"/>
      <c r="J128" s="293"/>
      <c r="K128" s="284"/>
      <c r="L128" s="284"/>
      <c r="M128" s="284"/>
      <c r="N128" s="284"/>
      <c r="O128" s="284"/>
      <c r="P128" s="284"/>
      <c r="Q128" s="284"/>
      <c r="R128" s="284"/>
      <c r="S128" s="298"/>
      <c r="T128" s="276"/>
      <c r="U128" s="276"/>
      <c r="V128" s="273"/>
      <c r="W128" s="48">
        <v>44000</v>
      </c>
      <c r="X128" s="36" t="s">
        <v>4</v>
      </c>
      <c r="Y128" s="251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</row>
    <row r="129" spans="1:44" x14ac:dyDescent="0.25">
      <c r="A129" s="287"/>
      <c r="B129" s="238"/>
      <c r="C129" s="290"/>
      <c r="D129" s="222"/>
      <c r="E129" s="222"/>
      <c r="F129" s="222"/>
      <c r="G129" s="222"/>
      <c r="H129" s="284"/>
      <c r="I129" s="284"/>
      <c r="J129" s="293"/>
      <c r="K129" s="284"/>
      <c r="L129" s="284"/>
      <c r="M129" s="284"/>
      <c r="N129" s="284"/>
      <c r="O129" s="284"/>
      <c r="P129" s="284"/>
      <c r="Q129" s="284"/>
      <c r="R129" s="284"/>
      <c r="S129" s="298"/>
      <c r="T129" s="276"/>
      <c r="U129" s="276"/>
      <c r="V129" s="36" t="s">
        <v>13</v>
      </c>
      <c r="W129" s="36">
        <v>11000</v>
      </c>
      <c r="X129" s="36" t="s">
        <v>4</v>
      </c>
      <c r="Y129" s="61">
        <f>29768.2*0.67</f>
        <v>19944.694000000003</v>
      </c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</row>
    <row r="130" spans="1:44" ht="45" x14ac:dyDescent="0.25">
      <c r="A130" s="288"/>
      <c r="B130" s="239"/>
      <c r="C130" s="291"/>
      <c r="D130" s="223"/>
      <c r="E130" s="223"/>
      <c r="F130" s="223"/>
      <c r="G130" s="223"/>
      <c r="H130" s="285"/>
      <c r="I130" s="285"/>
      <c r="J130" s="294"/>
      <c r="K130" s="285"/>
      <c r="L130" s="285"/>
      <c r="M130" s="285"/>
      <c r="N130" s="285"/>
      <c r="O130" s="285"/>
      <c r="P130" s="285"/>
      <c r="Q130" s="285"/>
      <c r="R130" s="285"/>
      <c r="S130" s="299"/>
      <c r="T130" s="273"/>
      <c r="U130" s="273"/>
      <c r="V130" s="59" t="s">
        <v>11</v>
      </c>
      <c r="W130" s="36">
        <v>224</v>
      </c>
      <c r="X130" s="36" t="s">
        <v>12</v>
      </c>
      <c r="Y130" s="61">
        <v>1120</v>
      </c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</row>
    <row r="131" spans="1:44" x14ac:dyDescent="0.25">
      <c r="A131" s="286">
        <v>24</v>
      </c>
      <c r="B131" s="237">
        <v>2226298</v>
      </c>
      <c r="C131" s="289" t="s">
        <v>149</v>
      </c>
      <c r="D131" s="221">
        <f>F131</f>
        <v>2.5</v>
      </c>
      <c r="E131" s="221">
        <f>G131</f>
        <v>27500</v>
      </c>
      <c r="F131" s="221">
        <v>2.5</v>
      </c>
      <c r="G131" s="221">
        <v>27500</v>
      </c>
      <c r="H131" s="283"/>
      <c r="I131" s="283"/>
      <c r="J131" s="292"/>
      <c r="K131" s="283"/>
      <c r="L131" s="283"/>
      <c r="M131" s="283"/>
      <c r="N131" s="283"/>
      <c r="O131" s="283"/>
      <c r="P131" s="283"/>
      <c r="Q131" s="283"/>
      <c r="R131" s="283"/>
      <c r="S131" s="297"/>
      <c r="T131" s="272" t="s">
        <v>136</v>
      </c>
      <c r="U131" s="272" t="s">
        <v>150</v>
      </c>
      <c r="V131" s="272" t="s">
        <v>7</v>
      </c>
      <c r="W131" s="36">
        <v>2.5</v>
      </c>
      <c r="X131" s="36" t="s">
        <v>2</v>
      </c>
      <c r="Y131" s="249">
        <f>47655.4*0.67</f>
        <v>31929.118000000002</v>
      </c>
      <c r="Z131" s="45">
        <f>Y131+Y133+Y134+Y135+Y136</f>
        <v>51736.958000000006</v>
      </c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</row>
    <row r="132" spans="1:44" x14ac:dyDescent="0.25">
      <c r="A132" s="287"/>
      <c r="B132" s="238"/>
      <c r="C132" s="290"/>
      <c r="D132" s="222"/>
      <c r="E132" s="222"/>
      <c r="F132" s="222"/>
      <c r="G132" s="222"/>
      <c r="H132" s="284"/>
      <c r="I132" s="284"/>
      <c r="J132" s="293"/>
      <c r="K132" s="284"/>
      <c r="L132" s="284"/>
      <c r="M132" s="284"/>
      <c r="N132" s="284"/>
      <c r="O132" s="284"/>
      <c r="P132" s="284"/>
      <c r="Q132" s="284"/>
      <c r="R132" s="284"/>
      <c r="S132" s="298"/>
      <c r="T132" s="276"/>
      <c r="U132" s="276"/>
      <c r="V132" s="273"/>
      <c r="W132" s="48">
        <v>27500</v>
      </c>
      <c r="X132" s="36" t="s">
        <v>4</v>
      </c>
      <c r="Y132" s="251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</row>
    <row r="133" spans="1:44" ht="30" x14ac:dyDescent="0.25">
      <c r="A133" s="287"/>
      <c r="B133" s="238"/>
      <c r="C133" s="290"/>
      <c r="D133" s="222"/>
      <c r="E133" s="222"/>
      <c r="F133" s="222"/>
      <c r="G133" s="222"/>
      <c r="H133" s="284"/>
      <c r="I133" s="284"/>
      <c r="J133" s="293"/>
      <c r="K133" s="284"/>
      <c r="L133" s="284"/>
      <c r="M133" s="284"/>
      <c r="N133" s="284"/>
      <c r="O133" s="284"/>
      <c r="P133" s="284"/>
      <c r="Q133" s="284"/>
      <c r="R133" s="284"/>
      <c r="S133" s="298"/>
      <c r="T133" s="276"/>
      <c r="U133" s="276"/>
      <c r="V133" s="82" t="s">
        <v>89</v>
      </c>
      <c r="W133" s="36">
        <v>6</v>
      </c>
      <c r="X133" s="40" t="s">
        <v>90</v>
      </c>
      <c r="Y133" s="40">
        <v>600</v>
      </c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</row>
    <row r="134" spans="1:44" x14ac:dyDescent="0.25">
      <c r="A134" s="287"/>
      <c r="B134" s="238"/>
      <c r="C134" s="290"/>
      <c r="D134" s="222"/>
      <c r="E134" s="222"/>
      <c r="F134" s="222"/>
      <c r="G134" s="222"/>
      <c r="H134" s="284"/>
      <c r="I134" s="284"/>
      <c r="J134" s="293"/>
      <c r="K134" s="284"/>
      <c r="L134" s="284"/>
      <c r="M134" s="284"/>
      <c r="N134" s="284"/>
      <c r="O134" s="284"/>
      <c r="P134" s="284"/>
      <c r="Q134" s="284"/>
      <c r="R134" s="284"/>
      <c r="S134" s="298"/>
      <c r="T134" s="276"/>
      <c r="U134" s="276"/>
      <c r="V134" s="36" t="s">
        <v>13</v>
      </c>
      <c r="W134" s="36">
        <v>10000</v>
      </c>
      <c r="X134" s="36" t="s">
        <v>4</v>
      </c>
      <c r="Y134" s="61">
        <f>27062*0.67</f>
        <v>18131.54</v>
      </c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</row>
    <row r="135" spans="1:44" ht="45" x14ac:dyDescent="0.25">
      <c r="A135" s="287"/>
      <c r="B135" s="238"/>
      <c r="C135" s="290"/>
      <c r="D135" s="222"/>
      <c r="E135" s="222"/>
      <c r="F135" s="222"/>
      <c r="G135" s="222"/>
      <c r="H135" s="284"/>
      <c r="I135" s="284"/>
      <c r="J135" s="293"/>
      <c r="K135" s="284"/>
      <c r="L135" s="284"/>
      <c r="M135" s="284"/>
      <c r="N135" s="284"/>
      <c r="O135" s="284"/>
      <c r="P135" s="284"/>
      <c r="Q135" s="284"/>
      <c r="R135" s="284"/>
      <c r="S135" s="298"/>
      <c r="T135" s="276"/>
      <c r="U135" s="276"/>
      <c r="V135" s="36" t="s">
        <v>46</v>
      </c>
      <c r="W135" s="36">
        <v>557</v>
      </c>
      <c r="X135" s="36" t="s">
        <v>12</v>
      </c>
      <c r="Y135" s="40">
        <v>696.3</v>
      </c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</row>
    <row r="136" spans="1:44" ht="45" x14ac:dyDescent="0.25">
      <c r="A136" s="288"/>
      <c r="B136" s="239"/>
      <c r="C136" s="291"/>
      <c r="D136" s="223"/>
      <c r="E136" s="223"/>
      <c r="F136" s="223"/>
      <c r="G136" s="223"/>
      <c r="H136" s="285"/>
      <c r="I136" s="285"/>
      <c r="J136" s="294"/>
      <c r="K136" s="285"/>
      <c r="L136" s="285"/>
      <c r="M136" s="285"/>
      <c r="N136" s="285"/>
      <c r="O136" s="285"/>
      <c r="P136" s="285"/>
      <c r="Q136" s="285"/>
      <c r="R136" s="285"/>
      <c r="S136" s="299"/>
      <c r="T136" s="273"/>
      <c r="U136" s="273"/>
      <c r="V136" s="59" t="s">
        <v>11</v>
      </c>
      <c r="W136" s="59">
        <v>76</v>
      </c>
      <c r="X136" s="36" t="s">
        <v>12</v>
      </c>
      <c r="Y136" s="76">
        <v>380</v>
      </c>
      <c r="Z136" s="54"/>
      <c r="AA136" s="54"/>
      <c r="AB136" s="54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</row>
    <row r="137" spans="1:44" x14ac:dyDescent="0.25">
      <c r="A137" s="286">
        <v>25</v>
      </c>
      <c r="B137" s="237">
        <v>2221937</v>
      </c>
      <c r="C137" s="289" t="s">
        <v>101</v>
      </c>
      <c r="D137" s="221">
        <f>F137</f>
        <v>2.16</v>
      </c>
      <c r="E137" s="221">
        <f>G137</f>
        <v>45465</v>
      </c>
      <c r="F137" s="221">
        <v>2.16</v>
      </c>
      <c r="G137" s="221">
        <v>45465</v>
      </c>
      <c r="H137" s="283"/>
      <c r="I137" s="283"/>
      <c r="J137" s="292"/>
      <c r="K137" s="283"/>
      <c r="L137" s="283"/>
      <c r="M137" s="283"/>
      <c r="N137" s="283"/>
      <c r="O137" s="283"/>
      <c r="P137" s="283"/>
      <c r="Q137" s="283"/>
      <c r="R137" s="283"/>
      <c r="S137" s="297"/>
      <c r="T137" s="272" t="s">
        <v>151</v>
      </c>
      <c r="U137" s="272" t="s">
        <v>152</v>
      </c>
      <c r="V137" s="272" t="s">
        <v>7</v>
      </c>
      <c r="W137" s="36">
        <v>2.165</v>
      </c>
      <c r="X137" s="36" t="s">
        <v>2</v>
      </c>
      <c r="Y137" s="270">
        <f>64526.8*0.67</f>
        <v>43232.956000000006</v>
      </c>
      <c r="Z137" s="54"/>
      <c r="AA137" s="54"/>
      <c r="AB137" s="54"/>
      <c r="AC137" s="53"/>
      <c r="AD137" s="53"/>
      <c r="AE137" s="54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</row>
    <row r="138" spans="1:44" x14ac:dyDescent="0.25">
      <c r="A138" s="287"/>
      <c r="B138" s="238"/>
      <c r="C138" s="290"/>
      <c r="D138" s="222"/>
      <c r="E138" s="222"/>
      <c r="F138" s="222"/>
      <c r="G138" s="222"/>
      <c r="H138" s="284"/>
      <c r="I138" s="284"/>
      <c r="J138" s="293"/>
      <c r="K138" s="284"/>
      <c r="L138" s="284"/>
      <c r="M138" s="284"/>
      <c r="N138" s="284"/>
      <c r="O138" s="284"/>
      <c r="P138" s="284"/>
      <c r="Q138" s="284"/>
      <c r="R138" s="284"/>
      <c r="S138" s="298"/>
      <c r="T138" s="276"/>
      <c r="U138" s="276"/>
      <c r="V138" s="273"/>
      <c r="W138" s="48">
        <v>45465</v>
      </c>
      <c r="X138" s="36" t="s">
        <v>4</v>
      </c>
      <c r="Y138" s="271"/>
      <c r="Z138" s="54"/>
      <c r="AA138" s="54"/>
      <c r="AB138" s="54"/>
      <c r="AC138" s="53"/>
      <c r="AD138" s="53"/>
      <c r="AE138" s="54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</row>
    <row r="139" spans="1:44" x14ac:dyDescent="0.25">
      <c r="A139" s="287"/>
      <c r="B139" s="238"/>
      <c r="C139" s="290"/>
      <c r="D139" s="222"/>
      <c r="E139" s="222"/>
      <c r="F139" s="222"/>
      <c r="G139" s="222"/>
      <c r="H139" s="284"/>
      <c r="I139" s="284"/>
      <c r="J139" s="293"/>
      <c r="K139" s="284"/>
      <c r="L139" s="284"/>
      <c r="M139" s="284"/>
      <c r="N139" s="284"/>
      <c r="O139" s="284"/>
      <c r="P139" s="284"/>
      <c r="Q139" s="284"/>
      <c r="R139" s="284"/>
      <c r="S139" s="298"/>
      <c r="T139" s="276"/>
      <c r="U139" s="276"/>
      <c r="V139" s="36" t="s">
        <v>13</v>
      </c>
      <c r="W139" s="36">
        <v>12990</v>
      </c>
      <c r="X139" s="36" t="s">
        <v>4</v>
      </c>
      <c r="Y139" s="61">
        <f>27134.7*0.67</f>
        <v>18180.249</v>
      </c>
      <c r="Z139" s="54"/>
      <c r="AA139" s="54"/>
      <c r="AB139" s="54"/>
      <c r="AC139" s="53"/>
      <c r="AD139" s="53"/>
      <c r="AE139" s="54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</row>
    <row r="140" spans="1:44" ht="45" x14ac:dyDescent="0.25">
      <c r="A140" s="287"/>
      <c r="B140" s="238"/>
      <c r="C140" s="290"/>
      <c r="D140" s="222"/>
      <c r="E140" s="222"/>
      <c r="F140" s="222"/>
      <c r="G140" s="222"/>
      <c r="H140" s="284"/>
      <c r="I140" s="284"/>
      <c r="J140" s="293"/>
      <c r="K140" s="284"/>
      <c r="L140" s="284"/>
      <c r="M140" s="284"/>
      <c r="N140" s="284"/>
      <c r="O140" s="284"/>
      <c r="P140" s="284"/>
      <c r="Q140" s="284"/>
      <c r="R140" s="284"/>
      <c r="S140" s="298"/>
      <c r="T140" s="276"/>
      <c r="U140" s="276"/>
      <c r="V140" s="36" t="s">
        <v>46</v>
      </c>
      <c r="W140" s="36">
        <v>776</v>
      </c>
      <c r="X140" s="36" t="s">
        <v>12</v>
      </c>
      <c r="Y140" s="40">
        <v>970</v>
      </c>
      <c r="Z140" s="54"/>
      <c r="AA140" s="54"/>
      <c r="AB140" s="54"/>
      <c r="AC140" s="53"/>
      <c r="AD140" s="53"/>
      <c r="AE140" s="54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</row>
    <row r="141" spans="1:44" ht="30" x14ac:dyDescent="0.25">
      <c r="A141" s="287"/>
      <c r="B141" s="238"/>
      <c r="C141" s="290"/>
      <c r="D141" s="222"/>
      <c r="E141" s="222"/>
      <c r="F141" s="222"/>
      <c r="G141" s="222"/>
      <c r="H141" s="284"/>
      <c r="I141" s="284"/>
      <c r="J141" s="293"/>
      <c r="K141" s="284"/>
      <c r="L141" s="284"/>
      <c r="M141" s="284"/>
      <c r="N141" s="284"/>
      <c r="O141" s="284"/>
      <c r="P141" s="284"/>
      <c r="Q141" s="284"/>
      <c r="R141" s="284"/>
      <c r="S141" s="298"/>
      <c r="T141" s="276"/>
      <c r="U141" s="276"/>
      <c r="V141" s="82" t="s">
        <v>89</v>
      </c>
      <c r="W141" s="36">
        <v>10</v>
      </c>
      <c r="X141" s="40" t="s">
        <v>90</v>
      </c>
      <c r="Y141" s="40">
        <v>1000</v>
      </c>
      <c r="Z141" s="54"/>
      <c r="AA141" s="54"/>
      <c r="AB141" s="54"/>
      <c r="AC141" s="53"/>
      <c r="AD141" s="53"/>
      <c r="AE141" s="54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</row>
    <row r="142" spans="1:44" ht="30" x14ac:dyDescent="0.25">
      <c r="A142" s="288"/>
      <c r="B142" s="239"/>
      <c r="C142" s="291"/>
      <c r="D142" s="223"/>
      <c r="E142" s="223"/>
      <c r="F142" s="223"/>
      <c r="G142" s="223"/>
      <c r="H142" s="285"/>
      <c r="I142" s="285"/>
      <c r="J142" s="294"/>
      <c r="K142" s="285"/>
      <c r="L142" s="285"/>
      <c r="M142" s="285"/>
      <c r="N142" s="285"/>
      <c r="O142" s="285"/>
      <c r="P142" s="285"/>
      <c r="Q142" s="285"/>
      <c r="R142" s="285"/>
      <c r="S142" s="299"/>
      <c r="T142" s="273"/>
      <c r="U142" s="273"/>
      <c r="V142" s="47" t="s">
        <v>9</v>
      </c>
      <c r="W142" s="36">
        <v>6</v>
      </c>
      <c r="X142" s="40" t="s">
        <v>90</v>
      </c>
      <c r="Y142" s="40">
        <v>1500</v>
      </c>
      <c r="Z142" s="54"/>
      <c r="AA142" s="54"/>
      <c r="AB142" s="54"/>
      <c r="AC142" s="53"/>
      <c r="AD142" s="53"/>
      <c r="AE142" s="54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</row>
    <row r="143" spans="1:44" x14ac:dyDescent="0.25">
      <c r="A143" s="302">
        <v>26</v>
      </c>
      <c r="B143" s="237">
        <v>2227016</v>
      </c>
      <c r="C143" s="221" t="s">
        <v>153</v>
      </c>
      <c r="D143" s="221">
        <f>F143</f>
        <v>1.97</v>
      </c>
      <c r="E143" s="221">
        <f>G143</f>
        <v>29550</v>
      </c>
      <c r="F143" s="221">
        <v>1.97</v>
      </c>
      <c r="G143" s="243">
        <f>1970*15</f>
        <v>29550</v>
      </c>
      <c r="H143" s="283"/>
      <c r="I143" s="283"/>
      <c r="J143" s="292"/>
      <c r="K143" s="283"/>
      <c r="L143" s="283"/>
      <c r="M143" s="283"/>
      <c r="N143" s="283"/>
      <c r="O143" s="283"/>
      <c r="P143" s="283"/>
      <c r="Q143" s="283"/>
      <c r="R143" s="283"/>
      <c r="S143" s="297"/>
      <c r="T143" s="249" t="s">
        <v>154</v>
      </c>
      <c r="U143" s="249" t="s">
        <v>155</v>
      </c>
      <c r="V143" s="272" t="s">
        <v>7</v>
      </c>
      <c r="W143" s="51">
        <v>1.97</v>
      </c>
      <c r="X143" s="36" t="s">
        <v>2</v>
      </c>
      <c r="Y143" s="300">
        <f>46446.3*0.67</f>
        <v>31119.021000000004</v>
      </c>
      <c r="Z143" s="54"/>
      <c r="AA143" s="54"/>
      <c r="AB143" s="54"/>
      <c r="AC143" s="53"/>
      <c r="AD143" s="53"/>
      <c r="AE143" s="54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</row>
    <row r="144" spans="1:44" x14ac:dyDescent="0.25">
      <c r="A144" s="303"/>
      <c r="B144" s="238"/>
      <c r="C144" s="222"/>
      <c r="D144" s="222"/>
      <c r="E144" s="222"/>
      <c r="F144" s="222"/>
      <c r="G144" s="244"/>
      <c r="H144" s="284"/>
      <c r="I144" s="284"/>
      <c r="J144" s="293"/>
      <c r="K144" s="284"/>
      <c r="L144" s="284"/>
      <c r="M144" s="284"/>
      <c r="N144" s="284"/>
      <c r="O144" s="284"/>
      <c r="P144" s="284"/>
      <c r="Q144" s="284"/>
      <c r="R144" s="284"/>
      <c r="S144" s="298"/>
      <c r="T144" s="250"/>
      <c r="U144" s="250"/>
      <c r="V144" s="273"/>
      <c r="W144" s="66">
        <v>29550</v>
      </c>
      <c r="X144" s="36" t="s">
        <v>4</v>
      </c>
      <c r="Y144" s="301"/>
      <c r="Z144" s="54"/>
      <c r="AA144" s="54"/>
      <c r="AB144" s="54"/>
      <c r="AC144" s="53"/>
      <c r="AD144" s="53"/>
      <c r="AE144" s="54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</row>
    <row r="145" spans="1:44" ht="45" x14ac:dyDescent="0.25">
      <c r="A145" s="303"/>
      <c r="B145" s="238"/>
      <c r="C145" s="222"/>
      <c r="D145" s="222"/>
      <c r="E145" s="222"/>
      <c r="F145" s="222"/>
      <c r="G145" s="244"/>
      <c r="H145" s="284"/>
      <c r="I145" s="284"/>
      <c r="J145" s="293"/>
      <c r="K145" s="284"/>
      <c r="L145" s="284"/>
      <c r="M145" s="284"/>
      <c r="N145" s="284"/>
      <c r="O145" s="284"/>
      <c r="P145" s="284"/>
      <c r="Q145" s="284"/>
      <c r="R145" s="284"/>
      <c r="S145" s="298"/>
      <c r="T145" s="250"/>
      <c r="U145" s="250"/>
      <c r="V145" s="36" t="s">
        <v>46</v>
      </c>
      <c r="W145" s="40">
        <v>330</v>
      </c>
      <c r="X145" s="36" t="s">
        <v>12</v>
      </c>
      <c r="Y145" s="67">
        <v>412.5</v>
      </c>
      <c r="Z145" s="54"/>
      <c r="AA145" s="54"/>
      <c r="AB145" s="54"/>
      <c r="AC145" s="53"/>
      <c r="AD145" s="53"/>
      <c r="AE145" s="54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</row>
    <row r="146" spans="1:44" x14ac:dyDescent="0.25">
      <c r="A146" s="303"/>
      <c r="B146" s="238"/>
      <c r="C146" s="222"/>
      <c r="D146" s="222"/>
      <c r="E146" s="222"/>
      <c r="F146" s="222"/>
      <c r="G146" s="244"/>
      <c r="H146" s="284"/>
      <c r="I146" s="284"/>
      <c r="J146" s="293"/>
      <c r="K146" s="284"/>
      <c r="L146" s="284"/>
      <c r="M146" s="284"/>
      <c r="N146" s="284"/>
      <c r="O146" s="284"/>
      <c r="P146" s="284"/>
      <c r="Q146" s="284"/>
      <c r="R146" s="284"/>
      <c r="S146" s="298"/>
      <c r="T146" s="250"/>
      <c r="U146" s="250"/>
      <c r="V146" s="36" t="s">
        <v>13</v>
      </c>
      <c r="W146" s="61">
        <v>1900</v>
      </c>
      <c r="X146" s="36" t="s">
        <v>4</v>
      </c>
      <c r="Y146" s="67">
        <f>8234.1*0.67</f>
        <v>5516.8470000000007</v>
      </c>
      <c r="Z146" s="54"/>
      <c r="AA146" s="54"/>
      <c r="AB146" s="54"/>
      <c r="AC146" s="53"/>
      <c r="AD146" s="53"/>
      <c r="AE146" s="54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</row>
    <row r="147" spans="1:44" ht="30" x14ac:dyDescent="0.25">
      <c r="A147" s="304"/>
      <c r="B147" s="239"/>
      <c r="C147" s="223"/>
      <c r="D147" s="223"/>
      <c r="E147" s="223"/>
      <c r="F147" s="223"/>
      <c r="G147" s="245"/>
      <c r="H147" s="285"/>
      <c r="I147" s="285"/>
      <c r="J147" s="294"/>
      <c r="K147" s="285"/>
      <c r="L147" s="285"/>
      <c r="M147" s="285"/>
      <c r="N147" s="285"/>
      <c r="O147" s="285"/>
      <c r="P147" s="285"/>
      <c r="Q147" s="285"/>
      <c r="R147" s="285"/>
      <c r="S147" s="299"/>
      <c r="T147" s="251"/>
      <c r="U147" s="251"/>
      <c r="V147" s="82" t="s">
        <v>89</v>
      </c>
      <c r="W147" s="40">
        <v>9</v>
      </c>
      <c r="X147" s="40" t="s">
        <v>90</v>
      </c>
      <c r="Y147" s="77">
        <v>900</v>
      </c>
      <c r="Z147" s="54"/>
      <c r="AA147" s="54"/>
      <c r="AB147" s="54"/>
      <c r="AC147" s="53"/>
      <c r="AD147" s="53"/>
      <c r="AE147" s="54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</row>
    <row r="148" spans="1:44" x14ac:dyDescent="0.25">
      <c r="A148" s="286">
        <v>27</v>
      </c>
      <c r="B148" s="237">
        <v>2225570</v>
      </c>
      <c r="C148" s="289" t="s">
        <v>152</v>
      </c>
      <c r="D148" s="221">
        <f>F148</f>
        <v>1.99</v>
      </c>
      <c r="E148" s="221">
        <f>G148</f>
        <v>19960</v>
      </c>
      <c r="F148" s="221">
        <v>1.99</v>
      </c>
      <c r="G148" s="221">
        <v>19960</v>
      </c>
      <c r="H148" s="283"/>
      <c r="I148" s="283"/>
      <c r="J148" s="292"/>
      <c r="K148" s="283"/>
      <c r="L148" s="283"/>
      <c r="M148" s="283"/>
      <c r="N148" s="283"/>
      <c r="O148" s="283"/>
      <c r="P148" s="283"/>
      <c r="Q148" s="283"/>
      <c r="R148" s="283"/>
      <c r="S148" s="297"/>
      <c r="T148" s="286" t="s">
        <v>101</v>
      </c>
      <c r="U148" s="286" t="s">
        <v>91</v>
      </c>
      <c r="V148" s="272" t="s">
        <v>7</v>
      </c>
      <c r="W148" s="45">
        <v>0.67</v>
      </c>
      <c r="X148" s="36" t="s">
        <v>2</v>
      </c>
      <c r="Y148" s="369">
        <f>15308.8*0.67</f>
        <v>10256.896000000001</v>
      </c>
      <c r="Z148" s="286"/>
      <c r="AA148" s="286"/>
      <c r="AB148" s="292"/>
      <c r="AC148" s="286"/>
      <c r="AD148" s="283"/>
      <c r="AE148" s="283"/>
      <c r="AF148" s="286"/>
      <c r="AG148" s="286"/>
      <c r="AH148" s="272"/>
      <c r="AI148" s="45"/>
      <c r="AJ148" s="36"/>
      <c r="AK148" s="369"/>
      <c r="AL148" s="53"/>
      <c r="AM148" s="53"/>
      <c r="AN148" s="53"/>
      <c r="AO148" s="53"/>
      <c r="AP148" s="53"/>
      <c r="AQ148" s="53"/>
      <c r="AR148" s="53"/>
    </row>
    <row r="149" spans="1:44" x14ac:dyDescent="0.25">
      <c r="A149" s="287"/>
      <c r="B149" s="238"/>
      <c r="C149" s="290"/>
      <c r="D149" s="222"/>
      <c r="E149" s="222"/>
      <c r="F149" s="222"/>
      <c r="G149" s="222"/>
      <c r="H149" s="284"/>
      <c r="I149" s="284"/>
      <c r="J149" s="293"/>
      <c r="K149" s="284"/>
      <c r="L149" s="284"/>
      <c r="M149" s="284"/>
      <c r="N149" s="284"/>
      <c r="O149" s="284"/>
      <c r="P149" s="284"/>
      <c r="Q149" s="284"/>
      <c r="R149" s="284"/>
      <c r="S149" s="298"/>
      <c r="T149" s="287"/>
      <c r="U149" s="287"/>
      <c r="V149" s="273"/>
      <c r="W149" s="45">
        <v>9400</v>
      </c>
      <c r="X149" s="36" t="s">
        <v>4</v>
      </c>
      <c r="Y149" s="370"/>
      <c r="Z149" s="287"/>
      <c r="AA149" s="287"/>
      <c r="AB149" s="293"/>
      <c r="AC149" s="287"/>
      <c r="AD149" s="284"/>
      <c r="AE149" s="287"/>
      <c r="AF149" s="287"/>
      <c r="AG149" s="287"/>
      <c r="AH149" s="273"/>
      <c r="AI149" s="45"/>
      <c r="AJ149" s="36"/>
      <c r="AK149" s="370"/>
      <c r="AL149" s="53"/>
      <c r="AM149" s="53"/>
      <c r="AN149" s="53"/>
      <c r="AO149" s="53"/>
      <c r="AP149" s="53"/>
      <c r="AQ149" s="53"/>
      <c r="AR149" s="53"/>
    </row>
    <row r="150" spans="1:44" x14ac:dyDescent="0.25">
      <c r="A150" s="287"/>
      <c r="B150" s="238"/>
      <c r="C150" s="290"/>
      <c r="D150" s="222"/>
      <c r="E150" s="222"/>
      <c r="F150" s="222"/>
      <c r="G150" s="222"/>
      <c r="H150" s="284"/>
      <c r="I150" s="284"/>
      <c r="J150" s="293"/>
      <c r="K150" s="284"/>
      <c r="L150" s="284"/>
      <c r="M150" s="284"/>
      <c r="N150" s="284"/>
      <c r="O150" s="284"/>
      <c r="P150" s="284"/>
      <c r="Q150" s="284"/>
      <c r="R150" s="284"/>
      <c r="S150" s="298"/>
      <c r="T150" s="287"/>
      <c r="U150" s="287"/>
      <c r="V150" s="36" t="s">
        <v>13</v>
      </c>
      <c r="W150" s="45">
        <v>4000</v>
      </c>
      <c r="X150" s="36" t="s">
        <v>4</v>
      </c>
      <c r="Y150" s="78">
        <f>8244.8*0.67</f>
        <v>5524.0159999999996</v>
      </c>
      <c r="Z150" s="287"/>
      <c r="AA150" s="287"/>
      <c r="AB150" s="293"/>
      <c r="AC150" s="287"/>
      <c r="AD150" s="284"/>
      <c r="AE150" s="287"/>
      <c r="AF150" s="287"/>
      <c r="AG150" s="287"/>
      <c r="AH150" s="36"/>
      <c r="AI150" s="45"/>
      <c r="AJ150" s="36"/>
      <c r="AK150" s="78"/>
      <c r="AL150" s="53"/>
      <c r="AM150" s="53"/>
      <c r="AN150" s="53"/>
      <c r="AO150" s="53"/>
      <c r="AP150" s="53"/>
      <c r="AQ150" s="53"/>
      <c r="AR150" s="53"/>
    </row>
    <row r="151" spans="1:44" ht="45" x14ac:dyDescent="0.25">
      <c r="A151" s="287"/>
      <c r="B151" s="238"/>
      <c r="C151" s="290"/>
      <c r="D151" s="222"/>
      <c r="E151" s="222"/>
      <c r="F151" s="222"/>
      <c r="G151" s="222"/>
      <c r="H151" s="284"/>
      <c r="I151" s="284"/>
      <c r="J151" s="293"/>
      <c r="K151" s="284"/>
      <c r="L151" s="284"/>
      <c r="M151" s="284"/>
      <c r="N151" s="284"/>
      <c r="O151" s="284"/>
      <c r="P151" s="284"/>
      <c r="Q151" s="284"/>
      <c r="R151" s="284"/>
      <c r="S151" s="298"/>
      <c r="T151" s="287"/>
      <c r="U151" s="287"/>
      <c r="V151" s="36" t="s">
        <v>46</v>
      </c>
      <c r="W151" s="45">
        <v>414</v>
      </c>
      <c r="X151" s="36" t="s">
        <v>12</v>
      </c>
      <c r="Y151" s="64">
        <v>515.5</v>
      </c>
      <c r="Z151" s="287"/>
      <c r="AA151" s="287"/>
      <c r="AB151" s="293"/>
      <c r="AC151" s="287"/>
      <c r="AD151" s="284"/>
      <c r="AE151" s="287"/>
      <c r="AF151" s="287"/>
      <c r="AG151" s="287"/>
      <c r="AH151" s="36"/>
      <c r="AI151" s="45"/>
      <c r="AJ151" s="36"/>
      <c r="AK151" s="64"/>
      <c r="AL151" s="53"/>
      <c r="AM151" s="53"/>
      <c r="AN151" s="53"/>
      <c r="AO151" s="53"/>
      <c r="AP151" s="53"/>
      <c r="AQ151" s="53"/>
      <c r="AR151" s="53"/>
    </row>
    <row r="152" spans="1:44" ht="30" x14ac:dyDescent="0.25">
      <c r="A152" s="288"/>
      <c r="B152" s="239"/>
      <c r="C152" s="291"/>
      <c r="D152" s="223"/>
      <c r="E152" s="223"/>
      <c r="F152" s="223"/>
      <c r="G152" s="223"/>
      <c r="H152" s="285"/>
      <c r="I152" s="285"/>
      <c r="J152" s="294"/>
      <c r="K152" s="285"/>
      <c r="L152" s="285"/>
      <c r="M152" s="285"/>
      <c r="N152" s="285"/>
      <c r="O152" s="285"/>
      <c r="P152" s="285"/>
      <c r="Q152" s="285"/>
      <c r="R152" s="285"/>
      <c r="S152" s="299"/>
      <c r="T152" s="288"/>
      <c r="U152" s="288"/>
      <c r="V152" s="89" t="s">
        <v>89</v>
      </c>
      <c r="W152" s="45">
        <v>2</v>
      </c>
      <c r="X152" s="45" t="s">
        <v>90</v>
      </c>
      <c r="Y152" s="64">
        <v>200</v>
      </c>
      <c r="Z152" s="288"/>
      <c r="AA152" s="288"/>
      <c r="AB152" s="294"/>
      <c r="AC152" s="288"/>
      <c r="AD152" s="285"/>
      <c r="AE152" s="288"/>
      <c r="AF152" s="288"/>
      <c r="AG152" s="288"/>
      <c r="AH152" s="89"/>
      <c r="AI152" s="45"/>
      <c r="AJ152" s="45"/>
      <c r="AK152" s="64"/>
      <c r="AL152" s="53"/>
      <c r="AM152" s="53"/>
      <c r="AN152" s="53"/>
      <c r="AO152" s="53"/>
      <c r="AP152" s="53"/>
      <c r="AQ152" s="53"/>
      <c r="AR152" s="53"/>
    </row>
    <row r="153" spans="1:44" x14ac:dyDescent="0.25">
      <c r="A153" s="286">
        <v>28</v>
      </c>
      <c r="B153" s="237">
        <v>2220732</v>
      </c>
      <c r="C153" s="289" t="s">
        <v>156</v>
      </c>
      <c r="D153" s="221">
        <f>F153</f>
        <v>1.2</v>
      </c>
      <c r="E153" s="221">
        <f>G153</f>
        <v>10800</v>
      </c>
      <c r="F153" s="221">
        <v>1.2</v>
      </c>
      <c r="G153" s="221">
        <v>10800</v>
      </c>
      <c r="H153" s="283"/>
      <c r="I153" s="283"/>
      <c r="J153" s="292"/>
      <c r="K153" s="283"/>
      <c r="L153" s="283"/>
      <c r="M153" s="283"/>
      <c r="N153" s="283"/>
      <c r="O153" s="283"/>
      <c r="P153" s="283"/>
      <c r="Q153" s="283"/>
      <c r="R153" s="283"/>
      <c r="S153" s="297"/>
      <c r="T153" s="286" t="s">
        <v>157</v>
      </c>
      <c r="U153" s="286" t="s">
        <v>97</v>
      </c>
      <c r="V153" s="272" t="s">
        <v>7</v>
      </c>
      <c r="W153" s="45">
        <v>1.2</v>
      </c>
      <c r="X153" s="36" t="s">
        <v>2</v>
      </c>
      <c r="Y153" s="369">
        <f>20343.3*0.67</f>
        <v>13630.011</v>
      </c>
      <c r="Z153" s="286"/>
      <c r="AA153" s="286"/>
      <c r="AB153" s="292"/>
      <c r="AC153" s="286"/>
      <c r="AD153" s="283"/>
      <c r="AE153" s="286"/>
      <c r="AF153" s="286"/>
      <c r="AG153" s="286"/>
      <c r="AH153" s="272"/>
      <c r="AI153" s="45"/>
      <c r="AJ153" s="36"/>
      <c r="AK153" s="369"/>
      <c r="AL153" s="53"/>
      <c r="AM153" s="53"/>
      <c r="AN153" s="53"/>
      <c r="AO153" s="53"/>
      <c r="AP153" s="53"/>
      <c r="AQ153" s="53"/>
      <c r="AR153" s="53"/>
    </row>
    <row r="154" spans="1:44" x14ac:dyDescent="0.25">
      <c r="A154" s="287"/>
      <c r="B154" s="238"/>
      <c r="C154" s="290"/>
      <c r="D154" s="222"/>
      <c r="E154" s="222"/>
      <c r="F154" s="222"/>
      <c r="G154" s="222"/>
      <c r="H154" s="284"/>
      <c r="I154" s="284"/>
      <c r="J154" s="293"/>
      <c r="K154" s="284"/>
      <c r="L154" s="284"/>
      <c r="M154" s="284"/>
      <c r="N154" s="284"/>
      <c r="O154" s="284"/>
      <c r="P154" s="284"/>
      <c r="Q154" s="284"/>
      <c r="R154" s="284"/>
      <c r="S154" s="298"/>
      <c r="T154" s="287"/>
      <c r="U154" s="287"/>
      <c r="V154" s="273"/>
      <c r="W154" s="45">
        <v>10800</v>
      </c>
      <c r="X154" s="36" t="s">
        <v>4</v>
      </c>
      <c r="Y154" s="370"/>
      <c r="Z154" s="287"/>
      <c r="AA154" s="287"/>
      <c r="AB154" s="293"/>
      <c r="AC154" s="287"/>
      <c r="AD154" s="284"/>
      <c r="AE154" s="287"/>
      <c r="AF154" s="287"/>
      <c r="AG154" s="287"/>
      <c r="AH154" s="273"/>
      <c r="AI154" s="45"/>
      <c r="AJ154" s="36"/>
      <c r="AK154" s="370"/>
      <c r="AL154" s="53"/>
      <c r="AM154" s="53"/>
      <c r="AN154" s="53"/>
      <c r="AO154" s="53"/>
      <c r="AP154" s="53"/>
      <c r="AQ154" s="53"/>
      <c r="AR154" s="53"/>
    </row>
    <row r="155" spans="1:44" x14ac:dyDescent="0.25">
      <c r="A155" s="287"/>
      <c r="B155" s="238"/>
      <c r="C155" s="290"/>
      <c r="D155" s="222"/>
      <c r="E155" s="222"/>
      <c r="F155" s="222"/>
      <c r="G155" s="222"/>
      <c r="H155" s="284"/>
      <c r="I155" s="284"/>
      <c r="J155" s="293"/>
      <c r="K155" s="284"/>
      <c r="L155" s="284"/>
      <c r="M155" s="284"/>
      <c r="N155" s="284"/>
      <c r="O155" s="284"/>
      <c r="P155" s="284"/>
      <c r="Q155" s="284"/>
      <c r="R155" s="284"/>
      <c r="S155" s="298"/>
      <c r="T155" s="287"/>
      <c r="U155" s="287"/>
      <c r="V155" s="36" t="s">
        <v>13</v>
      </c>
      <c r="W155" s="45">
        <v>5700</v>
      </c>
      <c r="X155" s="36" t="s">
        <v>4</v>
      </c>
      <c r="Y155" s="64">
        <f>15401.1*0.67</f>
        <v>10318.737000000001</v>
      </c>
      <c r="Z155" s="287"/>
      <c r="AA155" s="287"/>
      <c r="AB155" s="293"/>
      <c r="AC155" s="287"/>
      <c r="AD155" s="284"/>
      <c r="AE155" s="287"/>
      <c r="AF155" s="287"/>
      <c r="AG155" s="287"/>
      <c r="AH155" s="36"/>
      <c r="AI155" s="45"/>
      <c r="AJ155" s="36"/>
      <c r="AK155" s="64"/>
      <c r="AL155" s="53"/>
      <c r="AM155" s="53"/>
      <c r="AN155" s="53"/>
      <c r="AO155" s="53"/>
      <c r="AP155" s="53"/>
      <c r="AQ155" s="53"/>
      <c r="AR155" s="53"/>
    </row>
    <row r="156" spans="1:44" ht="45" x14ac:dyDescent="0.25">
      <c r="A156" s="287"/>
      <c r="B156" s="238"/>
      <c r="C156" s="290"/>
      <c r="D156" s="222"/>
      <c r="E156" s="222"/>
      <c r="F156" s="222"/>
      <c r="G156" s="222"/>
      <c r="H156" s="284"/>
      <c r="I156" s="284"/>
      <c r="J156" s="293"/>
      <c r="K156" s="284"/>
      <c r="L156" s="284"/>
      <c r="M156" s="284"/>
      <c r="N156" s="284"/>
      <c r="O156" s="284"/>
      <c r="P156" s="284"/>
      <c r="Q156" s="284"/>
      <c r="R156" s="284"/>
      <c r="S156" s="298"/>
      <c r="T156" s="287"/>
      <c r="U156" s="287"/>
      <c r="V156" s="36" t="s">
        <v>46</v>
      </c>
      <c r="W156" s="45">
        <v>369</v>
      </c>
      <c r="X156" s="36" t="s">
        <v>12</v>
      </c>
      <c r="Y156" s="64">
        <v>461.3</v>
      </c>
      <c r="Z156" s="287"/>
      <c r="AA156" s="287"/>
      <c r="AB156" s="293"/>
      <c r="AC156" s="287"/>
      <c r="AD156" s="284"/>
      <c r="AE156" s="287"/>
      <c r="AF156" s="287"/>
      <c r="AG156" s="287"/>
      <c r="AH156" s="36"/>
      <c r="AI156" s="45"/>
      <c r="AJ156" s="36"/>
      <c r="AK156" s="64"/>
      <c r="AL156" s="53"/>
      <c r="AM156" s="53"/>
      <c r="AN156" s="53"/>
      <c r="AO156" s="53"/>
      <c r="AP156" s="53"/>
      <c r="AQ156" s="53"/>
      <c r="AR156" s="53"/>
    </row>
    <row r="157" spans="1:44" x14ac:dyDescent="0.25">
      <c r="A157" s="288"/>
      <c r="B157" s="239"/>
      <c r="C157" s="291"/>
      <c r="D157" s="223"/>
      <c r="E157" s="223"/>
      <c r="F157" s="223"/>
      <c r="G157" s="223"/>
      <c r="H157" s="285"/>
      <c r="I157" s="285"/>
      <c r="J157" s="294"/>
      <c r="K157" s="285"/>
      <c r="L157" s="285"/>
      <c r="M157" s="285"/>
      <c r="N157" s="285"/>
      <c r="O157" s="285"/>
      <c r="P157" s="285"/>
      <c r="Q157" s="285"/>
      <c r="R157" s="285"/>
      <c r="S157" s="299"/>
      <c r="T157" s="288"/>
      <c r="U157" s="288"/>
      <c r="V157" s="89"/>
      <c r="W157" s="45"/>
      <c r="X157" s="45"/>
      <c r="Y157" s="64"/>
      <c r="Z157" s="288"/>
      <c r="AA157" s="288"/>
      <c r="AB157" s="294"/>
      <c r="AC157" s="288"/>
      <c r="AD157" s="285"/>
      <c r="AE157" s="288"/>
      <c r="AF157" s="288"/>
      <c r="AG157" s="288"/>
      <c r="AH157" s="89"/>
      <c r="AI157" s="45"/>
      <c r="AJ157" s="45"/>
      <c r="AK157" s="64"/>
      <c r="AL157" s="53"/>
      <c r="AM157" s="53"/>
      <c r="AN157" s="53"/>
      <c r="AO157" s="53"/>
      <c r="AP157" s="53"/>
      <c r="AQ157" s="53"/>
      <c r="AR157" s="53"/>
    </row>
    <row r="158" spans="1:44" x14ac:dyDescent="0.25">
      <c r="A158" s="286">
        <v>29</v>
      </c>
      <c r="B158" s="237">
        <v>2220181</v>
      </c>
      <c r="C158" s="289" t="s">
        <v>162</v>
      </c>
      <c r="D158" s="221">
        <f>F158</f>
        <v>1.135</v>
      </c>
      <c r="E158" s="221">
        <f>G158</f>
        <v>11000</v>
      </c>
      <c r="F158" s="221">
        <v>1.135</v>
      </c>
      <c r="G158" s="221">
        <v>11000</v>
      </c>
      <c r="H158" s="283"/>
      <c r="I158" s="283"/>
      <c r="J158" s="292"/>
      <c r="K158" s="283"/>
      <c r="L158" s="283"/>
      <c r="M158" s="283"/>
      <c r="N158" s="283"/>
      <c r="O158" s="283"/>
      <c r="P158" s="283"/>
      <c r="Q158" s="283"/>
      <c r="R158" s="283"/>
      <c r="S158" s="297"/>
      <c r="T158" s="286" t="s">
        <v>158</v>
      </c>
      <c r="U158" s="286" t="s">
        <v>163</v>
      </c>
      <c r="V158" s="272" t="s">
        <v>7</v>
      </c>
      <c r="W158" s="45">
        <v>1.135</v>
      </c>
      <c r="X158" s="36" t="s">
        <v>2</v>
      </c>
      <c r="Y158" s="369">
        <f>19707.5*0.67</f>
        <v>13204.025000000001</v>
      </c>
      <c r="Z158" s="286"/>
      <c r="AA158" s="286"/>
      <c r="AB158" s="292"/>
      <c r="AC158" s="286"/>
      <c r="AD158" s="283"/>
      <c r="AE158" s="286"/>
      <c r="AF158" s="286"/>
      <c r="AG158" s="286"/>
      <c r="AH158" s="272"/>
      <c r="AI158" s="45"/>
      <c r="AJ158" s="36"/>
      <c r="AK158" s="369"/>
      <c r="AL158" s="53"/>
      <c r="AM158" s="53"/>
      <c r="AN158" s="53"/>
      <c r="AO158" s="53"/>
      <c r="AP158" s="53"/>
      <c r="AQ158" s="53"/>
      <c r="AR158" s="53"/>
    </row>
    <row r="159" spans="1:44" x14ac:dyDescent="0.25">
      <c r="A159" s="287"/>
      <c r="B159" s="238"/>
      <c r="C159" s="290"/>
      <c r="D159" s="222"/>
      <c r="E159" s="222"/>
      <c r="F159" s="222"/>
      <c r="G159" s="222"/>
      <c r="H159" s="284"/>
      <c r="I159" s="284"/>
      <c r="J159" s="293"/>
      <c r="K159" s="284"/>
      <c r="L159" s="284"/>
      <c r="M159" s="284"/>
      <c r="N159" s="284"/>
      <c r="O159" s="284"/>
      <c r="P159" s="284"/>
      <c r="Q159" s="284"/>
      <c r="R159" s="284"/>
      <c r="S159" s="298"/>
      <c r="T159" s="287"/>
      <c r="U159" s="287"/>
      <c r="V159" s="273"/>
      <c r="W159" s="45">
        <v>11000</v>
      </c>
      <c r="X159" s="36" t="s">
        <v>4</v>
      </c>
      <c r="Y159" s="370"/>
      <c r="Z159" s="287"/>
      <c r="AA159" s="287"/>
      <c r="AB159" s="293"/>
      <c r="AC159" s="287"/>
      <c r="AD159" s="284"/>
      <c r="AE159" s="287"/>
      <c r="AF159" s="287"/>
      <c r="AG159" s="287"/>
      <c r="AH159" s="273"/>
      <c r="AI159" s="45"/>
      <c r="AJ159" s="36"/>
      <c r="AK159" s="370"/>
      <c r="AL159" s="53"/>
      <c r="AM159" s="53"/>
      <c r="AN159" s="53"/>
      <c r="AO159" s="53"/>
      <c r="AP159" s="53"/>
      <c r="AQ159" s="53"/>
      <c r="AR159" s="53"/>
    </row>
    <row r="160" spans="1:44" x14ac:dyDescent="0.25">
      <c r="A160" s="287"/>
      <c r="B160" s="238"/>
      <c r="C160" s="290"/>
      <c r="D160" s="222"/>
      <c r="E160" s="222"/>
      <c r="F160" s="222"/>
      <c r="G160" s="222"/>
      <c r="H160" s="284"/>
      <c r="I160" s="284"/>
      <c r="J160" s="293"/>
      <c r="K160" s="284"/>
      <c r="L160" s="284"/>
      <c r="M160" s="284"/>
      <c r="N160" s="284"/>
      <c r="O160" s="284"/>
      <c r="P160" s="284"/>
      <c r="Q160" s="284"/>
      <c r="R160" s="284"/>
      <c r="S160" s="298"/>
      <c r="T160" s="287"/>
      <c r="U160" s="287"/>
      <c r="V160" s="36" t="s">
        <v>13</v>
      </c>
      <c r="W160" s="45">
        <v>5300</v>
      </c>
      <c r="X160" s="36" t="s">
        <v>4</v>
      </c>
      <c r="Y160" s="64">
        <f>11082.2*0.67</f>
        <v>7425.0740000000005</v>
      </c>
      <c r="Z160" s="287"/>
      <c r="AA160" s="287"/>
      <c r="AB160" s="293"/>
      <c r="AC160" s="287"/>
      <c r="AD160" s="284"/>
      <c r="AE160" s="287"/>
      <c r="AF160" s="287"/>
      <c r="AG160" s="287"/>
      <c r="AH160" s="36"/>
      <c r="AI160" s="45"/>
      <c r="AJ160" s="36"/>
      <c r="AK160" s="64"/>
      <c r="AL160" s="53"/>
      <c r="AM160" s="53"/>
      <c r="AN160" s="53"/>
      <c r="AO160" s="53"/>
      <c r="AP160" s="53"/>
      <c r="AQ160" s="53"/>
      <c r="AR160" s="53"/>
    </row>
    <row r="161" spans="1:44" ht="45" x14ac:dyDescent="0.25">
      <c r="A161" s="287"/>
      <c r="B161" s="238"/>
      <c r="C161" s="290"/>
      <c r="D161" s="222"/>
      <c r="E161" s="222"/>
      <c r="F161" s="222"/>
      <c r="G161" s="222"/>
      <c r="H161" s="284"/>
      <c r="I161" s="284"/>
      <c r="J161" s="293"/>
      <c r="K161" s="284"/>
      <c r="L161" s="284"/>
      <c r="M161" s="284"/>
      <c r="N161" s="284"/>
      <c r="O161" s="284"/>
      <c r="P161" s="284"/>
      <c r="Q161" s="284"/>
      <c r="R161" s="284"/>
      <c r="S161" s="298"/>
      <c r="T161" s="287"/>
      <c r="U161" s="287"/>
      <c r="V161" s="36" t="s">
        <v>46</v>
      </c>
      <c r="W161" s="45">
        <v>315</v>
      </c>
      <c r="X161" s="36" t="s">
        <v>12</v>
      </c>
      <c r="Y161" s="64">
        <v>393.8</v>
      </c>
      <c r="Z161" s="287"/>
      <c r="AA161" s="287"/>
      <c r="AB161" s="293"/>
      <c r="AC161" s="287"/>
      <c r="AD161" s="284"/>
      <c r="AE161" s="287"/>
      <c r="AF161" s="287"/>
      <c r="AG161" s="287"/>
      <c r="AH161" s="36"/>
      <c r="AI161" s="45"/>
      <c r="AJ161" s="36"/>
      <c r="AK161" s="64"/>
      <c r="AL161" s="53"/>
      <c r="AM161" s="53"/>
      <c r="AN161" s="53"/>
      <c r="AO161" s="53"/>
      <c r="AP161" s="53"/>
      <c r="AQ161" s="53"/>
      <c r="AR161" s="53"/>
    </row>
    <row r="162" spans="1:44" ht="30" x14ac:dyDescent="0.25">
      <c r="A162" s="288"/>
      <c r="B162" s="239"/>
      <c r="C162" s="291"/>
      <c r="D162" s="223"/>
      <c r="E162" s="223"/>
      <c r="F162" s="223"/>
      <c r="G162" s="223"/>
      <c r="H162" s="285"/>
      <c r="I162" s="285"/>
      <c r="J162" s="294"/>
      <c r="K162" s="285"/>
      <c r="L162" s="285"/>
      <c r="M162" s="285"/>
      <c r="N162" s="285"/>
      <c r="O162" s="285"/>
      <c r="P162" s="285"/>
      <c r="Q162" s="285"/>
      <c r="R162" s="285"/>
      <c r="S162" s="299"/>
      <c r="T162" s="288"/>
      <c r="U162" s="288"/>
      <c r="V162" s="89" t="s">
        <v>89</v>
      </c>
      <c r="W162" s="45">
        <v>1</v>
      </c>
      <c r="X162" s="45" t="s">
        <v>90</v>
      </c>
      <c r="Y162" s="64">
        <v>100</v>
      </c>
      <c r="Z162" s="288"/>
      <c r="AA162" s="288"/>
      <c r="AB162" s="294"/>
      <c r="AC162" s="288"/>
      <c r="AD162" s="285"/>
      <c r="AE162" s="288"/>
      <c r="AF162" s="288"/>
      <c r="AG162" s="288"/>
      <c r="AH162" s="89"/>
      <c r="AI162" s="45"/>
      <c r="AJ162" s="45"/>
      <c r="AK162" s="64"/>
      <c r="AL162" s="53"/>
      <c r="AM162" s="53"/>
      <c r="AN162" s="53"/>
      <c r="AO162" s="53"/>
      <c r="AP162" s="53"/>
      <c r="AQ162" s="53"/>
      <c r="AR162" s="53"/>
    </row>
    <row r="163" spans="1:44" x14ac:dyDescent="0.25">
      <c r="A163" s="286">
        <v>30</v>
      </c>
      <c r="B163" s="237">
        <v>2229366</v>
      </c>
      <c r="C163" s="289" t="s">
        <v>164</v>
      </c>
      <c r="D163" s="221">
        <f>F163</f>
        <v>1.43</v>
      </c>
      <c r="E163" s="221">
        <f>G163</f>
        <v>12870</v>
      </c>
      <c r="F163" s="221">
        <v>1.43</v>
      </c>
      <c r="G163" s="221">
        <v>12870</v>
      </c>
      <c r="H163" s="283"/>
      <c r="I163" s="283"/>
      <c r="J163" s="292"/>
      <c r="K163" s="283"/>
      <c r="L163" s="283"/>
      <c r="M163" s="283"/>
      <c r="N163" s="283"/>
      <c r="O163" s="283"/>
      <c r="P163" s="283"/>
      <c r="Q163" s="283"/>
      <c r="R163" s="283"/>
      <c r="S163" s="297"/>
      <c r="T163" s="286" t="s">
        <v>101</v>
      </c>
      <c r="U163" s="286" t="s">
        <v>158</v>
      </c>
      <c r="V163" s="272" t="s">
        <v>7</v>
      </c>
      <c r="W163" s="45">
        <v>1.43</v>
      </c>
      <c r="X163" s="36" t="s">
        <v>2</v>
      </c>
      <c r="Y163" s="369">
        <f>24618.7*0.67</f>
        <v>16494.529000000002</v>
      </c>
      <c r="Z163" s="286"/>
      <c r="AA163" s="286"/>
      <c r="AB163" s="292"/>
      <c r="AC163" s="371"/>
      <c r="AD163" s="283"/>
      <c r="AE163" s="286"/>
      <c r="AF163" s="286"/>
      <c r="AG163" s="286"/>
      <c r="AH163" s="272"/>
      <c r="AI163" s="45"/>
      <c r="AJ163" s="36"/>
      <c r="AK163" s="369"/>
      <c r="AL163" s="53"/>
      <c r="AM163" s="53"/>
      <c r="AN163" s="53"/>
      <c r="AO163" s="53"/>
      <c r="AP163" s="53"/>
      <c r="AQ163" s="53"/>
      <c r="AR163" s="53"/>
    </row>
    <row r="164" spans="1:44" x14ac:dyDescent="0.25">
      <c r="A164" s="287"/>
      <c r="B164" s="238"/>
      <c r="C164" s="290"/>
      <c r="D164" s="222"/>
      <c r="E164" s="222"/>
      <c r="F164" s="222"/>
      <c r="G164" s="222"/>
      <c r="H164" s="284"/>
      <c r="I164" s="284"/>
      <c r="J164" s="293"/>
      <c r="K164" s="284"/>
      <c r="L164" s="284"/>
      <c r="M164" s="284"/>
      <c r="N164" s="284"/>
      <c r="O164" s="284"/>
      <c r="P164" s="284"/>
      <c r="Q164" s="284"/>
      <c r="R164" s="284"/>
      <c r="S164" s="298"/>
      <c r="T164" s="287"/>
      <c r="U164" s="287"/>
      <c r="V164" s="273"/>
      <c r="W164" s="45">
        <v>12870</v>
      </c>
      <c r="X164" s="36" t="s">
        <v>4</v>
      </c>
      <c r="Y164" s="370"/>
      <c r="Z164" s="287"/>
      <c r="AA164" s="287"/>
      <c r="AB164" s="293"/>
      <c r="AC164" s="372"/>
      <c r="AD164" s="284"/>
      <c r="AE164" s="287"/>
      <c r="AF164" s="287"/>
      <c r="AG164" s="287"/>
      <c r="AH164" s="273"/>
      <c r="AI164" s="45"/>
      <c r="AJ164" s="36"/>
      <c r="AK164" s="370"/>
      <c r="AL164" s="53"/>
      <c r="AM164" s="53"/>
      <c r="AN164" s="53"/>
      <c r="AO164" s="53"/>
      <c r="AP164" s="53"/>
      <c r="AQ164" s="53"/>
      <c r="AR164" s="53"/>
    </row>
    <row r="165" spans="1:44" x14ac:dyDescent="0.25">
      <c r="A165" s="287"/>
      <c r="B165" s="238"/>
      <c r="C165" s="290"/>
      <c r="D165" s="222"/>
      <c r="E165" s="222"/>
      <c r="F165" s="222"/>
      <c r="G165" s="222"/>
      <c r="H165" s="284"/>
      <c r="I165" s="284"/>
      <c r="J165" s="293"/>
      <c r="K165" s="284"/>
      <c r="L165" s="284"/>
      <c r="M165" s="284"/>
      <c r="N165" s="284"/>
      <c r="O165" s="284"/>
      <c r="P165" s="284"/>
      <c r="Q165" s="284"/>
      <c r="R165" s="284"/>
      <c r="S165" s="298"/>
      <c r="T165" s="287"/>
      <c r="U165" s="287"/>
      <c r="V165" s="36" t="s">
        <v>13</v>
      </c>
      <c r="W165" s="45">
        <v>8400</v>
      </c>
      <c r="X165" s="36" t="s">
        <v>4</v>
      </c>
      <c r="Y165" s="64">
        <f>17546.7*0.67</f>
        <v>11756.289000000001</v>
      </c>
      <c r="Z165" s="287"/>
      <c r="AA165" s="287"/>
      <c r="AB165" s="293"/>
      <c r="AC165" s="372"/>
      <c r="AD165" s="284"/>
      <c r="AE165" s="287"/>
      <c r="AF165" s="287"/>
      <c r="AG165" s="287"/>
      <c r="AH165" s="36"/>
      <c r="AI165" s="45"/>
      <c r="AJ165" s="36"/>
      <c r="AK165" s="64"/>
      <c r="AL165" s="53"/>
      <c r="AM165" s="53"/>
      <c r="AN165" s="53"/>
      <c r="AO165" s="53"/>
      <c r="AP165" s="53"/>
      <c r="AQ165" s="53"/>
      <c r="AR165" s="53"/>
    </row>
    <row r="166" spans="1:44" ht="45" x14ac:dyDescent="0.25">
      <c r="A166" s="288"/>
      <c r="B166" s="239"/>
      <c r="C166" s="291"/>
      <c r="D166" s="223"/>
      <c r="E166" s="223"/>
      <c r="F166" s="223"/>
      <c r="G166" s="223"/>
      <c r="H166" s="285"/>
      <c r="I166" s="285"/>
      <c r="J166" s="294"/>
      <c r="K166" s="285"/>
      <c r="L166" s="285"/>
      <c r="M166" s="285"/>
      <c r="N166" s="285"/>
      <c r="O166" s="285"/>
      <c r="P166" s="285"/>
      <c r="Q166" s="285"/>
      <c r="R166" s="285"/>
      <c r="S166" s="299"/>
      <c r="T166" s="288"/>
      <c r="U166" s="288"/>
      <c r="V166" s="36" t="s">
        <v>46</v>
      </c>
      <c r="W166" s="45">
        <v>370</v>
      </c>
      <c r="X166" s="36" t="s">
        <v>12</v>
      </c>
      <c r="Y166" s="64">
        <v>462.5</v>
      </c>
      <c r="Z166" s="288"/>
      <c r="AA166" s="288"/>
      <c r="AB166" s="294"/>
      <c r="AC166" s="373"/>
      <c r="AD166" s="285"/>
      <c r="AE166" s="288"/>
      <c r="AF166" s="288"/>
      <c r="AG166" s="288"/>
      <c r="AH166" s="36"/>
      <c r="AI166" s="45"/>
      <c r="AJ166" s="36"/>
      <c r="AK166" s="64"/>
      <c r="AL166" s="53"/>
      <c r="AM166" s="53"/>
      <c r="AN166" s="53"/>
      <c r="AO166" s="53"/>
      <c r="AP166" s="53"/>
      <c r="AQ166" s="53"/>
      <c r="AR166" s="53"/>
    </row>
    <row r="167" spans="1:44" x14ac:dyDescent="0.25">
      <c r="A167" s="286">
        <v>31</v>
      </c>
      <c r="B167" s="237">
        <v>2226713</v>
      </c>
      <c r="C167" s="289" t="s">
        <v>165</v>
      </c>
      <c r="D167" s="221">
        <f>F167</f>
        <v>2.7229999999999999</v>
      </c>
      <c r="E167" s="221">
        <f>G167</f>
        <v>49000</v>
      </c>
      <c r="F167" s="221">
        <v>2.7229999999999999</v>
      </c>
      <c r="G167" s="221">
        <v>49000</v>
      </c>
      <c r="H167" s="283"/>
      <c r="I167" s="283"/>
      <c r="J167" s="292"/>
      <c r="K167" s="283"/>
      <c r="L167" s="283"/>
      <c r="M167" s="283"/>
      <c r="N167" s="283"/>
      <c r="O167" s="283"/>
      <c r="P167" s="283"/>
      <c r="Q167" s="75"/>
      <c r="R167" s="75"/>
      <c r="S167" s="170"/>
      <c r="T167" s="286" t="s">
        <v>166</v>
      </c>
      <c r="U167" s="286" t="s">
        <v>167</v>
      </c>
      <c r="V167" s="272" t="s">
        <v>7</v>
      </c>
      <c r="W167" s="45">
        <v>2.72</v>
      </c>
      <c r="X167" s="36" t="s">
        <v>2</v>
      </c>
      <c r="Y167" s="369">
        <f>72154.9*0.67</f>
        <v>48343.782999999996</v>
      </c>
      <c r="Z167" s="56"/>
      <c r="AA167" s="56"/>
      <c r="AB167" s="89"/>
      <c r="AC167" s="286"/>
      <c r="AD167" s="283"/>
      <c r="AE167" s="286"/>
      <c r="AF167" s="286"/>
      <c r="AG167" s="286"/>
      <c r="AH167" s="272"/>
      <c r="AI167" s="45"/>
      <c r="AJ167" s="36"/>
      <c r="AK167" s="369"/>
      <c r="AL167" s="53"/>
      <c r="AM167" s="53"/>
      <c r="AN167" s="53"/>
      <c r="AO167" s="53"/>
      <c r="AP167" s="53"/>
      <c r="AQ167" s="53"/>
      <c r="AR167" s="53"/>
    </row>
    <row r="168" spans="1:44" x14ac:dyDescent="0.25">
      <c r="A168" s="287"/>
      <c r="B168" s="238"/>
      <c r="C168" s="290"/>
      <c r="D168" s="222"/>
      <c r="E168" s="222"/>
      <c r="F168" s="222"/>
      <c r="G168" s="222"/>
      <c r="H168" s="284"/>
      <c r="I168" s="284"/>
      <c r="J168" s="293"/>
      <c r="K168" s="284"/>
      <c r="L168" s="284"/>
      <c r="M168" s="284"/>
      <c r="N168" s="284"/>
      <c r="O168" s="284"/>
      <c r="P168" s="284"/>
      <c r="Q168" s="75"/>
      <c r="R168" s="75"/>
      <c r="S168" s="170"/>
      <c r="T168" s="287"/>
      <c r="U168" s="287"/>
      <c r="V168" s="273"/>
      <c r="W168" s="45">
        <v>49000</v>
      </c>
      <c r="X168" s="36" t="s">
        <v>4</v>
      </c>
      <c r="Y168" s="370"/>
      <c r="Z168" s="56"/>
      <c r="AA168" s="56"/>
      <c r="AB168" s="89"/>
      <c r="AC168" s="287"/>
      <c r="AD168" s="284"/>
      <c r="AE168" s="287"/>
      <c r="AF168" s="287"/>
      <c r="AG168" s="287"/>
      <c r="AH168" s="273"/>
      <c r="AI168" s="45"/>
      <c r="AJ168" s="36"/>
      <c r="AK168" s="370"/>
      <c r="AL168" s="53"/>
      <c r="AM168" s="53"/>
      <c r="AN168" s="53"/>
      <c r="AO168" s="53"/>
      <c r="AP168" s="53"/>
      <c r="AQ168" s="53"/>
      <c r="AR168" s="53"/>
    </row>
    <row r="169" spans="1:44" x14ac:dyDescent="0.25">
      <c r="A169" s="287"/>
      <c r="B169" s="238"/>
      <c r="C169" s="290"/>
      <c r="D169" s="222"/>
      <c r="E169" s="222"/>
      <c r="F169" s="222"/>
      <c r="G169" s="222"/>
      <c r="H169" s="284"/>
      <c r="I169" s="284"/>
      <c r="J169" s="293"/>
      <c r="K169" s="284"/>
      <c r="L169" s="284"/>
      <c r="M169" s="284"/>
      <c r="N169" s="284"/>
      <c r="O169" s="284"/>
      <c r="P169" s="284"/>
      <c r="Q169" s="75"/>
      <c r="R169" s="75"/>
      <c r="S169" s="170"/>
      <c r="T169" s="287"/>
      <c r="U169" s="287"/>
      <c r="V169" s="36" t="s">
        <v>13</v>
      </c>
      <c r="W169" s="45">
        <v>16200</v>
      </c>
      <c r="X169" s="36" t="s">
        <v>4</v>
      </c>
      <c r="Y169" s="64">
        <f>29352.9*0.67</f>
        <v>19666.443000000003</v>
      </c>
      <c r="Z169" s="56"/>
      <c r="AA169" s="56"/>
      <c r="AB169" s="89"/>
      <c r="AC169" s="287"/>
      <c r="AD169" s="284"/>
      <c r="AE169" s="287"/>
      <c r="AF169" s="287"/>
      <c r="AG169" s="287"/>
      <c r="AH169" s="36"/>
      <c r="AI169" s="45"/>
      <c r="AJ169" s="36"/>
      <c r="AK169" s="64"/>
      <c r="AL169" s="53"/>
      <c r="AM169" s="53"/>
      <c r="AN169" s="53"/>
      <c r="AO169" s="53"/>
      <c r="AP169" s="53"/>
      <c r="AQ169" s="53"/>
      <c r="AR169" s="53"/>
    </row>
    <row r="170" spans="1:44" ht="45" x14ac:dyDescent="0.25">
      <c r="A170" s="287"/>
      <c r="B170" s="238"/>
      <c r="C170" s="290"/>
      <c r="D170" s="222"/>
      <c r="E170" s="222"/>
      <c r="F170" s="222"/>
      <c r="G170" s="222"/>
      <c r="H170" s="284"/>
      <c r="I170" s="284"/>
      <c r="J170" s="293"/>
      <c r="K170" s="284"/>
      <c r="L170" s="284"/>
      <c r="M170" s="284"/>
      <c r="N170" s="284"/>
      <c r="O170" s="284"/>
      <c r="P170" s="284"/>
      <c r="Q170" s="75"/>
      <c r="R170" s="75"/>
      <c r="S170" s="170"/>
      <c r="T170" s="287"/>
      <c r="U170" s="287"/>
      <c r="V170" s="36" t="s">
        <v>46</v>
      </c>
      <c r="W170" s="45">
        <v>828</v>
      </c>
      <c r="X170" s="36" t="s">
        <v>12</v>
      </c>
      <c r="Y170" s="64">
        <v>1035</v>
      </c>
      <c r="Z170" s="56"/>
      <c r="AA170" s="56"/>
      <c r="AB170" s="89"/>
      <c r="AC170" s="287"/>
      <c r="AD170" s="284"/>
      <c r="AE170" s="287"/>
      <c r="AF170" s="287"/>
      <c r="AG170" s="287"/>
      <c r="AH170" s="36"/>
      <c r="AI170" s="45"/>
      <c r="AJ170" s="36"/>
      <c r="AK170" s="64"/>
      <c r="AL170" s="53"/>
      <c r="AM170" s="53"/>
      <c r="AN170" s="53"/>
      <c r="AO170" s="53"/>
      <c r="AP170" s="53"/>
      <c r="AQ170" s="53"/>
      <c r="AR170" s="53"/>
    </row>
    <row r="171" spans="1:44" ht="30" x14ac:dyDescent="0.25">
      <c r="A171" s="288"/>
      <c r="B171" s="239"/>
      <c r="C171" s="291"/>
      <c r="D171" s="223"/>
      <c r="E171" s="223"/>
      <c r="F171" s="223"/>
      <c r="G171" s="223"/>
      <c r="H171" s="285"/>
      <c r="I171" s="285"/>
      <c r="J171" s="294"/>
      <c r="K171" s="285"/>
      <c r="L171" s="285"/>
      <c r="M171" s="285"/>
      <c r="N171" s="285"/>
      <c r="O171" s="285"/>
      <c r="P171" s="285"/>
      <c r="Q171" s="75"/>
      <c r="R171" s="75"/>
      <c r="S171" s="170"/>
      <c r="T171" s="288"/>
      <c r="U171" s="288"/>
      <c r="V171" s="89" t="s">
        <v>89</v>
      </c>
      <c r="W171" s="45">
        <v>8</v>
      </c>
      <c r="X171" s="45" t="s">
        <v>90</v>
      </c>
      <c r="Y171" s="64">
        <v>800</v>
      </c>
      <c r="Z171" s="56"/>
      <c r="AA171" s="56"/>
      <c r="AB171" s="89"/>
      <c r="AC171" s="288"/>
      <c r="AD171" s="285"/>
      <c r="AE171" s="288"/>
      <c r="AF171" s="288"/>
      <c r="AG171" s="288"/>
      <c r="AH171" s="89"/>
      <c r="AI171" s="45"/>
      <c r="AJ171" s="45"/>
      <c r="AK171" s="64"/>
      <c r="AL171" s="53"/>
      <c r="AM171" s="53"/>
      <c r="AN171" s="53"/>
      <c r="AO171" s="53"/>
      <c r="AP171" s="53"/>
      <c r="AQ171" s="53"/>
      <c r="AR171" s="53"/>
    </row>
    <row r="172" spans="1:44" x14ac:dyDescent="0.25">
      <c r="A172" s="272">
        <v>32</v>
      </c>
      <c r="B172" s="272">
        <v>2227841</v>
      </c>
      <c r="C172" s="308" t="s">
        <v>102</v>
      </c>
      <c r="D172" s="308">
        <f>F172</f>
        <v>3.6</v>
      </c>
      <c r="E172" s="308">
        <f>G172</f>
        <v>86400</v>
      </c>
      <c r="F172" s="308">
        <v>3.6</v>
      </c>
      <c r="G172" s="311">
        <v>86400</v>
      </c>
      <c r="H172" s="249"/>
      <c r="I172" s="249"/>
      <c r="J172" s="97"/>
      <c r="K172" s="249"/>
      <c r="L172" s="272"/>
      <c r="M172" s="323"/>
      <c r="N172" s="249"/>
      <c r="O172" s="249"/>
      <c r="P172" s="272"/>
      <c r="Q172" s="42"/>
      <c r="R172" s="36"/>
      <c r="S172" s="375"/>
      <c r="T172" s="249" t="s">
        <v>93</v>
      </c>
      <c r="U172" s="249" t="s">
        <v>116</v>
      </c>
      <c r="V172" s="272" t="s">
        <v>7</v>
      </c>
      <c r="W172" s="42">
        <v>3.6</v>
      </c>
      <c r="X172" s="36" t="s">
        <v>2</v>
      </c>
      <c r="Y172" s="375">
        <f>118356.6*0.67</f>
        <v>79298.922000000006</v>
      </c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</row>
    <row r="173" spans="1:44" x14ac:dyDescent="0.25">
      <c r="A173" s="276"/>
      <c r="B173" s="276"/>
      <c r="C173" s="309"/>
      <c r="D173" s="309"/>
      <c r="E173" s="309"/>
      <c r="F173" s="309"/>
      <c r="G173" s="312"/>
      <c r="H173" s="250"/>
      <c r="I173" s="250"/>
      <c r="J173" s="98"/>
      <c r="K173" s="250"/>
      <c r="L173" s="276"/>
      <c r="M173" s="374"/>
      <c r="N173" s="250"/>
      <c r="O173" s="250"/>
      <c r="P173" s="273"/>
      <c r="Q173" s="110"/>
      <c r="R173" s="36"/>
      <c r="S173" s="376"/>
      <c r="T173" s="250"/>
      <c r="U173" s="250"/>
      <c r="V173" s="273"/>
      <c r="W173" s="110">
        <v>86400</v>
      </c>
      <c r="X173" s="36" t="s">
        <v>4</v>
      </c>
      <c r="Y173" s="37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</row>
    <row r="174" spans="1:44" x14ac:dyDescent="0.25">
      <c r="A174" s="276"/>
      <c r="B174" s="276"/>
      <c r="C174" s="309"/>
      <c r="D174" s="309"/>
      <c r="E174" s="309"/>
      <c r="F174" s="309"/>
      <c r="G174" s="312"/>
      <c r="H174" s="250"/>
      <c r="I174" s="250"/>
      <c r="J174" s="98"/>
      <c r="K174" s="250"/>
      <c r="L174" s="276"/>
      <c r="M174" s="374"/>
      <c r="N174" s="250"/>
      <c r="O174" s="250"/>
      <c r="P174" s="36"/>
      <c r="Q174" s="58"/>
      <c r="R174" s="36"/>
      <c r="S174" s="51"/>
      <c r="T174" s="250"/>
      <c r="U174" s="250"/>
      <c r="V174" s="36" t="s">
        <v>13</v>
      </c>
      <c r="W174" s="58">
        <v>6000</v>
      </c>
      <c r="X174" s="36" t="s">
        <v>4</v>
      </c>
      <c r="Y174" s="51">
        <f>12533.3*0.67</f>
        <v>8397.3109999999997</v>
      </c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</row>
    <row r="175" spans="1:44" ht="45" x14ac:dyDescent="0.25">
      <c r="A175" s="276"/>
      <c r="B175" s="276"/>
      <c r="C175" s="309"/>
      <c r="D175" s="309"/>
      <c r="E175" s="309"/>
      <c r="F175" s="309"/>
      <c r="G175" s="312"/>
      <c r="H175" s="250"/>
      <c r="I175" s="250"/>
      <c r="J175" s="276"/>
      <c r="K175" s="250"/>
      <c r="L175" s="276"/>
      <c r="M175" s="374"/>
      <c r="N175" s="250"/>
      <c r="O175" s="250"/>
      <c r="P175" s="36"/>
      <c r="Q175" s="40"/>
      <c r="R175" s="36"/>
      <c r="S175" s="51"/>
      <c r="T175" s="250"/>
      <c r="U175" s="250"/>
      <c r="V175" s="36" t="s">
        <v>46</v>
      </c>
      <c r="W175" s="40">
        <v>3700</v>
      </c>
      <c r="X175" s="36" t="s">
        <v>12</v>
      </c>
      <c r="Y175" s="51">
        <v>4625</v>
      </c>
      <c r="Z175" s="40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</row>
    <row r="176" spans="1:44" ht="30" x14ac:dyDescent="0.25">
      <c r="A176" s="276"/>
      <c r="B176" s="276"/>
      <c r="C176" s="309"/>
      <c r="D176" s="309"/>
      <c r="E176" s="309"/>
      <c r="F176" s="309"/>
      <c r="G176" s="312"/>
      <c r="H176" s="250"/>
      <c r="I176" s="250"/>
      <c r="J176" s="276"/>
      <c r="K176" s="250"/>
      <c r="L176" s="276"/>
      <c r="M176" s="374"/>
      <c r="N176" s="250"/>
      <c r="O176" s="250"/>
      <c r="P176" s="82"/>
      <c r="Q176" s="40"/>
      <c r="R176" s="40"/>
      <c r="S176" s="51"/>
      <c r="T176" s="250"/>
      <c r="U176" s="250"/>
      <c r="V176" s="82" t="s">
        <v>89</v>
      </c>
      <c r="W176" s="40">
        <v>10</v>
      </c>
      <c r="X176" s="40" t="s">
        <v>90</v>
      </c>
      <c r="Y176" s="51">
        <v>1000</v>
      </c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</row>
    <row r="177" spans="1:44" ht="30" x14ac:dyDescent="0.25">
      <c r="A177" s="273"/>
      <c r="B177" s="273"/>
      <c r="C177" s="310"/>
      <c r="D177" s="310"/>
      <c r="E177" s="310"/>
      <c r="F177" s="310"/>
      <c r="G177" s="313"/>
      <c r="H177" s="251"/>
      <c r="I177" s="251"/>
      <c r="J177" s="273"/>
      <c r="K177" s="251"/>
      <c r="L177" s="273"/>
      <c r="M177" s="324"/>
      <c r="N177" s="251"/>
      <c r="O177" s="251"/>
      <c r="P177" s="171"/>
      <c r="Q177" s="40"/>
      <c r="R177" s="40"/>
      <c r="S177" s="51"/>
      <c r="T177" s="251"/>
      <c r="U177" s="251"/>
      <c r="V177" s="171" t="s">
        <v>94</v>
      </c>
      <c r="W177" s="40">
        <f>4+8+4+8+6+2+8+8</f>
        <v>48</v>
      </c>
      <c r="X177" s="40" t="s">
        <v>90</v>
      </c>
      <c r="Y177" s="51">
        <v>12000</v>
      </c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</row>
    <row r="178" spans="1:44" x14ac:dyDescent="0.25">
      <c r="A178" s="286">
        <v>33</v>
      </c>
      <c r="B178" s="237">
        <v>2220994</v>
      </c>
      <c r="C178" s="289" t="s">
        <v>158</v>
      </c>
      <c r="D178" s="221">
        <f>F178</f>
        <v>1.1399999999999999</v>
      </c>
      <c r="E178" s="221">
        <f>G178</f>
        <v>11140</v>
      </c>
      <c r="F178" s="221">
        <v>1.1399999999999999</v>
      </c>
      <c r="G178" s="221">
        <v>11140</v>
      </c>
      <c r="H178" s="283"/>
      <c r="I178" s="283"/>
      <c r="J178" s="292"/>
      <c r="K178" s="283"/>
      <c r="L178" s="283"/>
      <c r="M178" s="283"/>
      <c r="N178" s="283"/>
      <c r="O178" s="283"/>
      <c r="P178" s="283"/>
      <c r="Q178" s="283"/>
      <c r="R178" s="283"/>
      <c r="S178" s="297"/>
      <c r="T178" s="286"/>
      <c r="U178" s="286"/>
      <c r="V178" s="272"/>
      <c r="W178" s="45"/>
      <c r="X178" s="36"/>
      <c r="Y178" s="369"/>
      <c r="Z178" s="286" t="s">
        <v>159</v>
      </c>
      <c r="AA178" s="286" t="s">
        <v>160</v>
      </c>
      <c r="AB178" s="272" t="s">
        <v>7</v>
      </c>
      <c r="AC178" s="45">
        <v>1.1399999999999999</v>
      </c>
      <c r="AD178" s="36" t="s">
        <v>2</v>
      </c>
      <c r="AE178" s="369">
        <f>19955.3*0.67</f>
        <v>13370.050999999999</v>
      </c>
      <c r="AF178" s="286"/>
      <c r="AG178" s="286"/>
      <c r="AH178" s="272"/>
      <c r="AI178" s="45"/>
      <c r="AJ178" s="36"/>
      <c r="AK178" s="369"/>
      <c r="AL178" s="53"/>
      <c r="AM178" s="53"/>
      <c r="AN178" s="53"/>
      <c r="AO178" s="53"/>
      <c r="AP178" s="53"/>
      <c r="AQ178" s="53"/>
      <c r="AR178" s="53"/>
    </row>
    <row r="179" spans="1:44" x14ac:dyDescent="0.25">
      <c r="A179" s="287"/>
      <c r="B179" s="238"/>
      <c r="C179" s="290"/>
      <c r="D179" s="222"/>
      <c r="E179" s="222"/>
      <c r="F179" s="222"/>
      <c r="G179" s="222"/>
      <c r="H179" s="284"/>
      <c r="I179" s="284"/>
      <c r="J179" s="293"/>
      <c r="K179" s="284"/>
      <c r="L179" s="284"/>
      <c r="M179" s="284"/>
      <c r="N179" s="284"/>
      <c r="O179" s="284"/>
      <c r="P179" s="284"/>
      <c r="Q179" s="284"/>
      <c r="R179" s="284"/>
      <c r="S179" s="298"/>
      <c r="T179" s="287"/>
      <c r="U179" s="287"/>
      <c r="V179" s="273"/>
      <c r="W179" s="45"/>
      <c r="X179" s="36"/>
      <c r="Y179" s="370"/>
      <c r="Z179" s="287"/>
      <c r="AA179" s="287"/>
      <c r="AB179" s="273"/>
      <c r="AC179" s="45">
        <v>11140</v>
      </c>
      <c r="AD179" s="36" t="s">
        <v>4</v>
      </c>
      <c r="AE179" s="370"/>
      <c r="AF179" s="287"/>
      <c r="AG179" s="287"/>
      <c r="AH179" s="273"/>
      <c r="AI179" s="45"/>
      <c r="AJ179" s="36"/>
      <c r="AK179" s="370"/>
      <c r="AL179" s="53"/>
      <c r="AM179" s="53"/>
      <c r="AN179" s="53"/>
      <c r="AO179" s="53"/>
      <c r="AP179" s="53"/>
      <c r="AQ179" s="53"/>
      <c r="AR179" s="53"/>
    </row>
    <row r="180" spans="1:44" x14ac:dyDescent="0.25">
      <c r="A180" s="287"/>
      <c r="B180" s="238"/>
      <c r="C180" s="290"/>
      <c r="D180" s="222"/>
      <c r="E180" s="222"/>
      <c r="F180" s="222"/>
      <c r="G180" s="222"/>
      <c r="H180" s="284"/>
      <c r="I180" s="284"/>
      <c r="J180" s="293"/>
      <c r="K180" s="284"/>
      <c r="L180" s="284"/>
      <c r="M180" s="284"/>
      <c r="N180" s="284"/>
      <c r="O180" s="284"/>
      <c r="P180" s="284"/>
      <c r="Q180" s="284"/>
      <c r="R180" s="284"/>
      <c r="S180" s="298"/>
      <c r="T180" s="287"/>
      <c r="U180" s="287"/>
      <c r="V180" s="36"/>
      <c r="W180" s="45"/>
      <c r="X180" s="36"/>
      <c r="Y180" s="64"/>
      <c r="Z180" s="287"/>
      <c r="AA180" s="287"/>
      <c r="AB180" s="36" t="s">
        <v>13</v>
      </c>
      <c r="AC180" s="45">
        <v>6000</v>
      </c>
      <c r="AD180" s="36" t="s">
        <v>4</v>
      </c>
      <c r="AE180" s="64">
        <f>12893.3*0.67</f>
        <v>8638.5110000000004</v>
      </c>
      <c r="AF180" s="287"/>
      <c r="AG180" s="287"/>
      <c r="AH180" s="36"/>
      <c r="AI180" s="45"/>
      <c r="AJ180" s="36"/>
      <c r="AK180" s="64"/>
      <c r="AL180" s="53"/>
      <c r="AM180" s="53"/>
      <c r="AN180" s="53"/>
      <c r="AO180" s="53"/>
      <c r="AP180" s="53"/>
      <c r="AQ180" s="53"/>
      <c r="AR180" s="53"/>
    </row>
    <row r="181" spans="1:44" ht="45" x14ac:dyDescent="0.25">
      <c r="A181" s="287"/>
      <c r="B181" s="238"/>
      <c r="C181" s="290"/>
      <c r="D181" s="222"/>
      <c r="E181" s="222"/>
      <c r="F181" s="222"/>
      <c r="G181" s="222"/>
      <c r="H181" s="284"/>
      <c r="I181" s="284"/>
      <c r="J181" s="293"/>
      <c r="K181" s="284"/>
      <c r="L181" s="284"/>
      <c r="M181" s="284"/>
      <c r="N181" s="284"/>
      <c r="O181" s="284"/>
      <c r="P181" s="284"/>
      <c r="Q181" s="284"/>
      <c r="R181" s="284"/>
      <c r="S181" s="298"/>
      <c r="T181" s="287"/>
      <c r="U181" s="287"/>
      <c r="V181" s="36"/>
      <c r="W181" s="45"/>
      <c r="X181" s="36"/>
      <c r="Y181" s="64"/>
      <c r="Z181" s="287"/>
      <c r="AA181" s="287"/>
      <c r="AB181" s="36" t="s">
        <v>46</v>
      </c>
      <c r="AC181" s="45">
        <v>417</v>
      </c>
      <c r="AD181" s="36" t="s">
        <v>12</v>
      </c>
      <c r="AE181" s="64">
        <v>521.29999999999995</v>
      </c>
      <c r="AF181" s="287"/>
      <c r="AG181" s="287"/>
      <c r="AH181" s="36"/>
      <c r="AI181" s="45"/>
      <c r="AJ181" s="36"/>
      <c r="AK181" s="64"/>
      <c r="AL181" s="53"/>
      <c r="AM181" s="53"/>
      <c r="AN181" s="53"/>
      <c r="AO181" s="53"/>
      <c r="AP181" s="53"/>
      <c r="AQ181" s="53"/>
      <c r="AR181" s="53"/>
    </row>
    <row r="182" spans="1:44" ht="30" x14ac:dyDescent="0.25">
      <c r="A182" s="288"/>
      <c r="B182" s="239"/>
      <c r="C182" s="291"/>
      <c r="D182" s="223"/>
      <c r="E182" s="223"/>
      <c r="F182" s="223"/>
      <c r="G182" s="223"/>
      <c r="H182" s="285"/>
      <c r="I182" s="285"/>
      <c r="J182" s="294"/>
      <c r="K182" s="285"/>
      <c r="L182" s="285"/>
      <c r="M182" s="285"/>
      <c r="N182" s="285"/>
      <c r="O182" s="285"/>
      <c r="P182" s="285"/>
      <c r="Q182" s="285"/>
      <c r="R182" s="285"/>
      <c r="S182" s="299"/>
      <c r="T182" s="288"/>
      <c r="U182" s="288"/>
      <c r="V182" s="89"/>
      <c r="W182" s="45"/>
      <c r="X182" s="45"/>
      <c r="Y182" s="64"/>
      <c r="Z182" s="288"/>
      <c r="AA182" s="288"/>
      <c r="AB182" s="89" t="s">
        <v>89</v>
      </c>
      <c r="AC182" s="45">
        <v>1</v>
      </c>
      <c r="AD182" s="45" t="s">
        <v>90</v>
      </c>
      <c r="AE182" s="64">
        <v>100</v>
      </c>
      <c r="AF182" s="288"/>
      <c r="AG182" s="288"/>
      <c r="AH182" s="89"/>
      <c r="AI182" s="45"/>
      <c r="AJ182" s="45"/>
      <c r="AK182" s="64"/>
      <c r="AL182" s="53"/>
      <c r="AM182" s="53"/>
      <c r="AN182" s="53"/>
      <c r="AO182" s="53"/>
      <c r="AP182" s="53"/>
      <c r="AQ182" s="53"/>
      <c r="AR182" s="53"/>
    </row>
    <row r="183" spans="1:44" x14ac:dyDescent="0.25">
      <c r="A183" s="286">
        <v>34</v>
      </c>
      <c r="B183" s="237">
        <v>2220994</v>
      </c>
      <c r="C183" s="289" t="s">
        <v>158</v>
      </c>
      <c r="D183" s="221">
        <f>F183</f>
        <v>0.35</v>
      </c>
      <c r="E183" s="221">
        <f>G183</f>
        <v>3500</v>
      </c>
      <c r="F183" s="221">
        <v>0.35</v>
      </c>
      <c r="G183" s="221">
        <v>3500</v>
      </c>
      <c r="H183" s="283"/>
      <c r="I183" s="283"/>
      <c r="J183" s="292"/>
      <c r="K183" s="283"/>
      <c r="L183" s="283"/>
      <c r="M183" s="283"/>
      <c r="N183" s="283"/>
      <c r="O183" s="283"/>
      <c r="P183" s="283"/>
      <c r="Q183" s="283"/>
      <c r="R183" s="283"/>
      <c r="S183" s="297"/>
      <c r="T183" s="286"/>
      <c r="U183" s="286"/>
      <c r="V183" s="272"/>
      <c r="W183" s="45"/>
      <c r="X183" s="36"/>
      <c r="Y183" s="369"/>
      <c r="Z183" s="286" t="s">
        <v>130</v>
      </c>
      <c r="AA183" s="286" t="s">
        <v>161</v>
      </c>
      <c r="AB183" s="272" t="s">
        <v>7</v>
      </c>
      <c r="AC183" s="45">
        <v>0.35</v>
      </c>
      <c r="AD183" s="36" t="s">
        <v>2</v>
      </c>
      <c r="AE183" s="369">
        <f>6434.2*0.67</f>
        <v>4310.9139999999998</v>
      </c>
      <c r="AF183" s="286"/>
      <c r="AG183" s="286"/>
      <c r="AH183" s="272"/>
      <c r="AI183" s="45"/>
      <c r="AJ183" s="36"/>
      <c r="AK183" s="369"/>
      <c r="AL183" s="53"/>
      <c r="AM183" s="53"/>
      <c r="AN183" s="53"/>
      <c r="AO183" s="53"/>
      <c r="AP183" s="53"/>
      <c r="AQ183" s="53"/>
      <c r="AR183" s="53"/>
    </row>
    <row r="184" spans="1:44" x14ac:dyDescent="0.25">
      <c r="A184" s="287"/>
      <c r="B184" s="238"/>
      <c r="C184" s="290"/>
      <c r="D184" s="222"/>
      <c r="E184" s="222"/>
      <c r="F184" s="222"/>
      <c r="G184" s="222"/>
      <c r="H184" s="284"/>
      <c r="I184" s="284"/>
      <c r="J184" s="293"/>
      <c r="K184" s="284"/>
      <c r="L184" s="284"/>
      <c r="M184" s="284"/>
      <c r="N184" s="284"/>
      <c r="O184" s="284"/>
      <c r="P184" s="284"/>
      <c r="Q184" s="284"/>
      <c r="R184" s="284"/>
      <c r="S184" s="298"/>
      <c r="T184" s="287"/>
      <c r="U184" s="287"/>
      <c r="V184" s="273"/>
      <c r="W184" s="45"/>
      <c r="X184" s="36"/>
      <c r="Y184" s="370"/>
      <c r="Z184" s="287"/>
      <c r="AA184" s="287"/>
      <c r="AB184" s="273"/>
      <c r="AC184" s="45">
        <v>3500</v>
      </c>
      <c r="AD184" s="36" t="s">
        <v>4</v>
      </c>
      <c r="AE184" s="370"/>
      <c r="AF184" s="287"/>
      <c r="AG184" s="287"/>
      <c r="AH184" s="273"/>
      <c r="AI184" s="45"/>
      <c r="AJ184" s="36"/>
      <c r="AK184" s="370"/>
      <c r="AL184" s="53"/>
      <c r="AM184" s="53"/>
      <c r="AN184" s="53"/>
      <c r="AO184" s="53"/>
      <c r="AP184" s="53"/>
      <c r="AQ184" s="53"/>
      <c r="AR184" s="53"/>
    </row>
    <row r="185" spans="1:44" x14ac:dyDescent="0.25">
      <c r="A185" s="287"/>
      <c r="B185" s="238"/>
      <c r="C185" s="290"/>
      <c r="D185" s="222"/>
      <c r="E185" s="222"/>
      <c r="F185" s="222"/>
      <c r="G185" s="222"/>
      <c r="H185" s="284"/>
      <c r="I185" s="284"/>
      <c r="J185" s="293"/>
      <c r="K185" s="284"/>
      <c r="L185" s="284"/>
      <c r="M185" s="284"/>
      <c r="N185" s="284"/>
      <c r="O185" s="284"/>
      <c r="P185" s="284"/>
      <c r="Q185" s="284"/>
      <c r="R185" s="284"/>
      <c r="S185" s="298"/>
      <c r="T185" s="287"/>
      <c r="U185" s="287"/>
      <c r="V185" s="36"/>
      <c r="W185" s="45"/>
      <c r="X185" s="36"/>
      <c r="Y185" s="64"/>
      <c r="Z185" s="287"/>
      <c r="AA185" s="287"/>
      <c r="AB185" s="36" t="s">
        <v>13</v>
      </c>
      <c r="AC185" s="45">
        <v>2100</v>
      </c>
      <c r="AD185" s="36" t="s">
        <v>4</v>
      </c>
      <c r="AE185" s="64">
        <f>4746.7*0.67</f>
        <v>3180.2890000000002</v>
      </c>
      <c r="AF185" s="287"/>
      <c r="AG185" s="287"/>
      <c r="AH185" s="36"/>
      <c r="AI185" s="45"/>
      <c r="AJ185" s="36"/>
      <c r="AK185" s="64"/>
      <c r="AL185" s="53"/>
      <c r="AM185" s="53"/>
      <c r="AN185" s="53"/>
      <c r="AO185" s="53"/>
      <c r="AP185" s="53"/>
      <c r="AQ185" s="53"/>
      <c r="AR185" s="53"/>
    </row>
    <row r="186" spans="1:44" x14ac:dyDescent="0.25">
      <c r="A186" s="287"/>
      <c r="B186" s="238"/>
      <c r="C186" s="290"/>
      <c r="D186" s="222"/>
      <c r="E186" s="222"/>
      <c r="F186" s="222"/>
      <c r="G186" s="222"/>
      <c r="H186" s="284"/>
      <c r="I186" s="284"/>
      <c r="J186" s="293"/>
      <c r="K186" s="284"/>
      <c r="L186" s="284"/>
      <c r="M186" s="284"/>
      <c r="N186" s="284"/>
      <c r="O186" s="284"/>
      <c r="P186" s="284"/>
      <c r="Q186" s="284"/>
      <c r="R186" s="284"/>
      <c r="S186" s="298"/>
      <c r="T186" s="287"/>
      <c r="U186" s="287"/>
      <c r="V186" s="172"/>
      <c r="W186" s="45"/>
      <c r="X186" s="28"/>
      <c r="Y186" s="64"/>
      <c r="Z186" s="287"/>
      <c r="AA186" s="287"/>
      <c r="AB186" s="172"/>
      <c r="AC186" s="45"/>
      <c r="AD186" s="28"/>
      <c r="AE186" s="64"/>
      <c r="AF186" s="287"/>
      <c r="AG186" s="287"/>
      <c r="AH186" s="172"/>
      <c r="AI186" s="45"/>
      <c r="AJ186" s="28"/>
      <c r="AK186" s="64"/>
      <c r="AL186" s="53"/>
      <c r="AM186" s="53"/>
      <c r="AN186" s="53"/>
      <c r="AO186" s="53"/>
      <c r="AP186" s="53"/>
      <c r="AQ186" s="53"/>
      <c r="AR186" s="53"/>
    </row>
    <row r="187" spans="1:44" x14ac:dyDescent="0.25">
      <c r="A187" s="288"/>
      <c r="B187" s="239"/>
      <c r="C187" s="291"/>
      <c r="D187" s="223"/>
      <c r="E187" s="223"/>
      <c r="F187" s="223"/>
      <c r="G187" s="223"/>
      <c r="H187" s="285"/>
      <c r="I187" s="285"/>
      <c r="J187" s="294"/>
      <c r="K187" s="285"/>
      <c r="L187" s="285"/>
      <c r="M187" s="285"/>
      <c r="N187" s="285"/>
      <c r="O187" s="285"/>
      <c r="P187" s="285"/>
      <c r="Q187" s="285"/>
      <c r="R187" s="285"/>
      <c r="S187" s="299"/>
      <c r="T187" s="288"/>
      <c r="U187" s="288"/>
      <c r="V187" s="172"/>
      <c r="W187" s="45"/>
      <c r="X187" s="53"/>
      <c r="Y187" s="64"/>
      <c r="Z187" s="288"/>
      <c r="AA187" s="288"/>
      <c r="AB187" s="172"/>
      <c r="AC187" s="45"/>
      <c r="AD187" s="53"/>
      <c r="AE187" s="64"/>
      <c r="AF187" s="288"/>
      <c r="AG187" s="288"/>
      <c r="AH187" s="172"/>
      <c r="AI187" s="45"/>
      <c r="AJ187" s="53"/>
      <c r="AK187" s="64"/>
      <c r="AL187" s="53"/>
      <c r="AM187" s="53"/>
      <c r="AN187" s="53"/>
      <c r="AO187" s="53"/>
      <c r="AP187" s="53"/>
      <c r="AQ187" s="53"/>
      <c r="AR187" s="53"/>
    </row>
    <row r="188" spans="1:44" x14ac:dyDescent="0.25">
      <c r="A188" s="286">
        <v>35</v>
      </c>
      <c r="B188" s="237">
        <v>2228356</v>
      </c>
      <c r="C188" s="282" t="s">
        <v>168</v>
      </c>
      <c r="D188" s="221">
        <f>F188</f>
        <v>2.1629999999999998</v>
      </c>
      <c r="E188" s="221">
        <f>G188</f>
        <v>43260</v>
      </c>
      <c r="F188" s="221">
        <v>2.1629999999999998</v>
      </c>
      <c r="G188" s="243">
        <v>43260</v>
      </c>
      <c r="H188" s="283"/>
      <c r="I188" s="283"/>
      <c r="J188" s="292"/>
      <c r="K188" s="283"/>
      <c r="L188" s="283"/>
      <c r="M188" s="283"/>
      <c r="N188" s="283"/>
      <c r="O188" s="283"/>
      <c r="P188" s="283"/>
      <c r="Q188" s="283"/>
      <c r="R188" s="283"/>
      <c r="S188" s="297"/>
      <c r="T188" s="359"/>
      <c r="U188" s="359"/>
      <c r="V188" s="359"/>
      <c r="W188" s="359"/>
      <c r="X188" s="359"/>
      <c r="Y188" s="359"/>
      <c r="Z188" s="286" t="s">
        <v>169</v>
      </c>
      <c r="AA188" s="286" t="s">
        <v>124</v>
      </c>
      <c r="AB188" s="272" t="s">
        <v>7</v>
      </c>
      <c r="AC188" s="53">
        <v>2.16</v>
      </c>
      <c r="AD188" s="36" t="s">
        <v>2</v>
      </c>
      <c r="AE188" s="283">
        <f>60509.2*0.67</f>
        <v>40541.163999999997</v>
      </c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</row>
    <row r="189" spans="1:44" x14ac:dyDescent="0.25">
      <c r="A189" s="287"/>
      <c r="B189" s="238"/>
      <c r="C189" s="282"/>
      <c r="D189" s="222"/>
      <c r="E189" s="222"/>
      <c r="F189" s="222"/>
      <c r="G189" s="244"/>
      <c r="H189" s="284"/>
      <c r="I189" s="284"/>
      <c r="J189" s="293"/>
      <c r="K189" s="284"/>
      <c r="L189" s="284"/>
      <c r="M189" s="284"/>
      <c r="N189" s="284"/>
      <c r="O189" s="284"/>
      <c r="P189" s="284"/>
      <c r="Q189" s="284"/>
      <c r="R189" s="284"/>
      <c r="S189" s="298"/>
      <c r="T189" s="360"/>
      <c r="U189" s="360"/>
      <c r="V189" s="360"/>
      <c r="W189" s="360"/>
      <c r="X189" s="360"/>
      <c r="Y189" s="360"/>
      <c r="Z189" s="287"/>
      <c r="AA189" s="287"/>
      <c r="AB189" s="273"/>
      <c r="AC189" s="74">
        <v>43260</v>
      </c>
      <c r="AD189" s="36" t="s">
        <v>4</v>
      </c>
      <c r="AE189" s="285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</row>
    <row r="190" spans="1:44" ht="30" x14ac:dyDescent="0.25">
      <c r="A190" s="287"/>
      <c r="B190" s="238"/>
      <c r="C190" s="282"/>
      <c r="D190" s="222"/>
      <c r="E190" s="222"/>
      <c r="F190" s="222"/>
      <c r="G190" s="244"/>
      <c r="H190" s="284"/>
      <c r="I190" s="284"/>
      <c r="J190" s="293"/>
      <c r="K190" s="284"/>
      <c r="L190" s="284"/>
      <c r="M190" s="284"/>
      <c r="N190" s="284"/>
      <c r="O190" s="284"/>
      <c r="P190" s="284"/>
      <c r="Q190" s="284"/>
      <c r="R190" s="284"/>
      <c r="S190" s="298"/>
      <c r="T190" s="360"/>
      <c r="U190" s="360"/>
      <c r="V190" s="360"/>
      <c r="W190" s="360"/>
      <c r="X190" s="360"/>
      <c r="Y190" s="360"/>
      <c r="Z190" s="287"/>
      <c r="AA190" s="287"/>
      <c r="AB190" s="89" t="s">
        <v>89</v>
      </c>
      <c r="AC190" s="53">
        <v>4</v>
      </c>
      <c r="AD190" s="45" t="s">
        <v>90</v>
      </c>
      <c r="AE190" s="45">
        <v>400</v>
      </c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</row>
    <row r="191" spans="1:44" x14ac:dyDescent="0.25">
      <c r="A191" s="287"/>
      <c r="B191" s="238"/>
      <c r="C191" s="282"/>
      <c r="D191" s="222"/>
      <c r="E191" s="222"/>
      <c r="F191" s="222"/>
      <c r="G191" s="244"/>
      <c r="H191" s="284"/>
      <c r="I191" s="284"/>
      <c r="J191" s="293"/>
      <c r="K191" s="284"/>
      <c r="L191" s="284"/>
      <c r="M191" s="284"/>
      <c r="N191" s="284"/>
      <c r="O191" s="284"/>
      <c r="P191" s="284"/>
      <c r="Q191" s="284"/>
      <c r="R191" s="284"/>
      <c r="S191" s="298"/>
      <c r="T191" s="360"/>
      <c r="U191" s="360"/>
      <c r="V191" s="360"/>
      <c r="W191" s="360"/>
      <c r="X191" s="360"/>
      <c r="Y191" s="360"/>
      <c r="Z191" s="287"/>
      <c r="AA191" s="287"/>
      <c r="AB191" s="36" t="s">
        <v>13</v>
      </c>
      <c r="AC191" s="53">
        <v>12000</v>
      </c>
      <c r="AD191" s="36" t="s">
        <v>4</v>
      </c>
      <c r="AE191" s="72">
        <f>25066.7*0.67</f>
        <v>16794.689000000002</v>
      </c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</row>
    <row r="192" spans="1:44" ht="45" x14ac:dyDescent="0.25">
      <c r="A192" s="288"/>
      <c r="B192" s="239"/>
      <c r="C192" s="282"/>
      <c r="D192" s="223"/>
      <c r="E192" s="223"/>
      <c r="F192" s="223"/>
      <c r="G192" s="245"/>
      <c r="H192" s="285"/>
      <c r="I192" s="285"/>
      <c r="J192" s="294"/>
      <c r="K192" s="285"/>
      <c r="L192" s="285"/>
      <c r="M192" s="285"/>
      <c r="N192" s="285"/>
      <c r="O192" s="285"/>
      <c r="P192" s="285"/>
      <c r="Q192" s="285"/>
      <c r="R192" s="285"/>
      <c r="S192" s="299"/>
      <c r="T192" s="361"/>
      <c r="U192" s="361"/>
      <c r="V192" s="361"/>
      <c r="W192" s="361"/>
      <c r="X192" s="361"/>
      <c r="Y192" s="361"/>
      <c r="Z192" s="288"/>
      <c r="AA192" s="288"/>
      <c r="AB192" s="36" t="s">
        <v>46</v>
      </c>
      <c r="AC192" s="53">
        <v>1200</v>
      </c>
      <c r="AD192" s="36" t="s">
        <v>12</v>
      </c>
      <c r="AE192" s="45">
        <v>1500</v>
      </c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</row>
    <row r="193" spans="1:44" x14ac:dyDescent="0.25">
      <c r="A193" s="286">
        <v>36</v>
      </c>
      <c r="B193" s="237">
        <v>2226132</v>
      </c>
      <c r="C193" s="289" t="s">
        <v>150</v>
      </c>
      <c r="D193" s="221">
        <f>F193</f>
        <v>1.29</v>
      </c>
      <c r="E193" s="221">
        <f>G193</f>
        <v>13000</v>
      </c>
      <c r="F193" s="221">
        <v>1.29</v>
      </c>
      <c r="G193" s="221">
        <v>13000</v>
      </c>
      <c r="H193" s="283"/>
      <c r="I193" s="283"/>
      <c r="J193" s="292"/>
      <c r="K193" s="283"/>
      <c r="L193" s="283"/>
      <c r="M193" s="283"/>
      <c r="N193" s="283"/>
      <c r="O193" s="283"/>
      <c r="P193" s="283"/>
      <c r="Q193" s="283"/>
      <c r="R193" s="283"/>
      <c r="S193" s="297"/>
      <c r="T193" s="286"/>
      <c r="U193" s="286"/>
      <c r="V193" s="272"/>
      <c r="W193" s="286"/>
      <c r="X193" s="272"/>
      <c r="Y193" s="286"/>
      <c r="Z193" s="286" t="s">
        <v>137</v>
      </c>
      <c r="AA193" s="286" t="s">
        <v>170</v>
      </c>
      <c r="AB193" s="272" t="s">
        <v>7</v>
      </c>
      <c r="AC193" s="53">
        <v>1.29</v>
      </c>
      <c r="AD193" s="36" t="s">
        <v>2</v>
      </c>
      <c r="AE193" s="295">
        <f>23454.4*0.67</f>
        <v>15714.448000000002</v>
      </c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</row>
    <row r="194" spans="1:44" x14ac:dyDescent="0.25">
      <c r="A194" s="287"/>
      <c r="B194" s="238"/>
      <c r="C194" s="290"/>
      <c r="D194" s="222"/>
      <c r="E194" s="222"/>
      <c r="F194" s="222"/>
      <c r="G194" s="222"/>
      <c r="H194" s="284"/>
      <c r="I194" s="284"/>
      <c r="J194" s="293"/>
      <c r="K194" s="284"/>
      <c r="L194" s="284"/>
      <c r="M194" s="284"/>
      <c r="N194" s="284"/>
      <c r="O194" s="284"/>
      <c r="P194" s="284"/>
      <c r="Q194" s="284"/>
      <c r="R194" s="284"/>
      <c r="S194" s="298"/>
      <c r="T194" s="287"/>
      <c r="U194" s="287"/>
      <c r="V194" s="276"/>
      <c r="W194" s="287"/>
      <c r="X194" s="276"/>
      <c r="Y194" s="287"/>
      <c r="Z194" s="287"/>
      <c r="AA194" s="287"/>
      <c r="AB194" s="273"/>
      <c r="AC194" s="74">
        <v>13000</v>
      </c>
      <c r="AD194" s="36" t="s">
        <v>4</v>
      </c>
      <c r="AE194" s="296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</row>
    <row r="195" spans="1:44" ht="30" x14ac:dyDescent="0.25">
      <c r="A195" s="287"/>
      <c r="B195" s="238"/>
      <c r="C195" s="290"/>
      <c r="D195" s="222"/>
      <c r="E195" s="222"/>
      <c r="F195" s="222"/>
      <c r="G195" s="222"/>
      <c r="H195" s="284"/>
      <c r="I195" s="284"/>
      <c r="J195" s="293"/>
      <c r="K195" s="284"/>
      <c r="L195" s="284"/>
      <c r="M195" s="284"/>
      <c r="N195" s="284"/>
      <c r="O195" s="284"/>
      <c r="P195" s="284"/>
      <c r="Q195" s="284"/>
      <c r="R195" s="284"/>
      <c r="S195" s="298"/>
      <c r="T195" s="287"/>
      <c r="U195" s="287"/>
      <c r="V195" s="276"/>
      <c r="W195" s="287"/>
      <c r="X195" s="276"/>
      <c r="Y195" s="287"/>
      <c r="Z195" s="287"/>
      <c r="AA195" s="287"/>
      <c r="AB195" s="89" t="s">
        <v>89</v>
      </c>
      <c r="AC195" s="53">
        <v>4</v>
      </c>
      <c r="AD195" s="45" t="s">
        <v>90</v>
      </c>
      <c r="AE195" s="45">
        <v>400</v>
      </c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</row>
    <row r="196" spans="1:44" x14ac:dyDescent="0.25">
      <c r="A196" s="287"/>
      <c r="B196" s="238"/>
      <c r="C196" s="290"/>
      <c r="D196" s="222"/>
      <c r="E196" s="222"/>
      <c r="F196" s="222"/>
      <c r="G196" s="222"/>
      <c r="H196" s="284"/>
      <c r="I196" s="284"/>
      <c r="J196" s="293"/>
      <c r="K196" s="284"/>
      <c r="L196" s="284"/>
      <c r="M196" s="284"/>
      <c r="N196" s="284"/>
      <c r="O196" s="284"/>
      <c r="P196" s="284"/>
      <c r="Q196" s="284"/>
      <c r="R196" s="284"/>
      <c r="S196" s="298"/>
      <c r="T196" s="287"/>
      <c r="U196" s="287"/>
      <c r="V196" s="276"/>
      <c r="W196" s="287"/>
      <c r="X196" s="276"/>
      <c r="Y196" s="287"/>
      <c r="Z196" s="287"/>
      <c r="AA196" s="287"/>
      <c r="AB196" s="36" t="s">
        <v>13</v>
      </c>
      <c r="AC196" s="53">
        <v>5160</v>
      </c>
      <c r="AD196" s="36" t="s">
        <v>4</v>
      </c>
      <c r="AE196" s="72">
        <f>9709.6*0.67</f>
        <v>6505.4320000000007</v>
      </c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</row>
    <row r="197" spans="1:44" ht="45" x14ac:dyDescent="0.25">
      <c r="A197" s="288"/>
      <c r="B197" s="239"/>
      <c r="C197" s="291"/>
      <c r="D197" s="223"/>
      <c r="E197" s="223"/>
      <c r="F197" s="223"/>
      <c r="G197" s="223"/>
      <c r="H197" s="285"/>
      <c r="I197" s="285"/>
      <c r="J197" s="294"/>
      <c r="K197" s="285"/>
      <c r="L197" s="285"/>
      <c r="M197" s="285"/>
      <c r="N197" s="285"/>
      <c r="O197" s="285"/>
      <c r="P197" s="285"/>
      <c r="Q197" s="285"/>
      <c r="R197" s="285"/>
      <c r="S197" s="299"/>
      <c r="T197" s="288"/>
      <c r="U197" s="288"/>
      <c r="V197" s="273"/>
      <c r="W197" s="288"/>
      <c r="X197" s="273"/>
      <c r="Y197" s="288"/>
      <c r="Z197" s="288"/>
      <c r="AA197" s="288"/>
      <c r="AB197" s="36" t="s">
        <v>46</v>
      </c>
      <c r="AC197" s="53">
        <v>240</v>
      </c>
      <c r="AD197" s="36" t="s">
        <v>12</v>
      </c>
      <c r="AE197" s="45">
        <v>300</v>
      </c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</row>
    <row r="198" spans="1:44" x14ac:dyDescent="0.25">
      <c r="A198" s="286">
        <v>37</v>
      </c>
      <c r="B198" s="237">
        <v>2223545</v>
      </c>
      <c r="C198" s="289" t="s">
        <v>171</v>
      </c>
      <c r="D198" s="221">
        <f>F198</f>
        <v>1.87</v>
      </c>
      <c r="E198" s="221">
        <f>G198</f>
        <v>17000</v>
      </c>
      <c r="F198" s="221">
        <v>1.87</v>
      </c>
      <c r="G198" s="221">
        <v>17000</v>
      </c>
      <c r="H198" s="283"/>
      <c r="I198" s="283"/>
      <c r="J198" s="292"/>
      <c r="K198" s="283"/>
      <c r="L198" s="283"/>
      <c r="M198" s="283"/>
      <c r="N198" s="283"/>
      <c r="O198" s="283"/>
      <c r="P198" s="283"/>
      <c r="Q198" s="283"/>
      <c r="R198" s="283"/>
      <c r="S198" s="297"/>
      <c r="T198" s="286"/>
      <c r="U198" s="286"/>
      <c r="V198" s="272"/>
      <c r="W198" s="286"/>
      <c r="X198" s="272"/>
      <c r="Y198" s="286"/>
      <c r="Z198" s="286" t="s">
        <v>172</v>
      </c>
      <c r="AA198" s="286" t="s">
        <v>173</v>
      </c>
      <c r="AB198" s="272" t="s">
        <v>7</v>
      </c>
      <c r="AC198" s="53">
        <v>1.87</v>
      </c>
      <c r="AD198" s="36" t="s">
        <v>2</v>
      </c>
      <c r="AE198" s="295">
        <f>31562.1*0.67</f>
        <v>21146.607</v>
      </c>
      <c r="AF198" s="45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</row>
    <row r="199" spans="1:44" x14ac:dyDescent="0.25">
      <c r="A199" s="287"/>
      <c r="B199" s="238"/>
      <c r="C199" s="290"/>
      <c r="D199" s="222"/>
      <c r="E199" s="222"/>
      <c r="F199" s="222"/>
      <c r="G199" s="222"/>
      <c r="H199" s="284"/>
      <c r="I199" s="284"/>
      <c r="J199" s="293"/>
      <c r="K199" s="284"/>
      <c r="L199" s="284"/>
      <c r="M199" s="284"/>
      <c r="N199" s="284"/>
      <c r="O199" s="284"/>
      <c r="P199" s="284"/>
      <c r="Q199" s="284"/>
      <c r="R199" s="284"/>
      <c r="S199" s="298"/>
      <c r="T199" s="287"/>
      <c r="U199" s="287"/>
      <c r="V199" s="276"/>
      <c r="W199" s="287"/>
      <c r="X199" s="276"/>
      <c r="Y199" s="287"/>
      <c r="Z199" s="287"/>
      <c r="AA199" s="287"/>
      <c r="AB199" s="273"/>
      <c r="AC199" s="74">
        <v>17000</v>
      </c>
      <c r="AD199" s="36" t="s">
        <v>4</v>
      </c>
      <c r="AE199" s="296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</row>
    <row r="200" spans="1:44" ht="30" x14ac:dyDescent="0.25">
      <c r="A200" s="287"/>
      <c r="B200" s="238"/>
      <c r="C200" s="290"/>
      <c r="D200" s="222"/>
      <c r="E200" s="222"/>
      <c r="F200" s="222"/>
      <c r="G200" s="222"/>
      <c r="H200" s="284"/>
      <c r="I200" s="284"/>
      <c r="J200" s="293"/>
      <c r="K200" s="284"/>
      <c r="L200" s="284"/>
      <c r="M200" s="284"/>
      <c r="N200" s="284"/>
      <c r="O200" s="284"/>
      <c r="P200" s="284"/>
      <c r="Q200" s="284"/>
      <c r="R200" s="284"/>
      <c r="S200" s="298"/>
      <c r="T200" s="287"/>
      <c r="U200" s="287"/>
      <c r="V200" s="276"/>
      <c r="W200" s="287"/>
      <c r="X200" s="276"/>
      <c r="Y200" s="287"/>
      <c r="Z200" s="287"/>
      <c r="AA200" s="287"/>
      <c r="AB200" s="89" t="s">
        <v>89</v>
      </c>
      <c r="AC200" s="53">
        <v>6</v>
      </c>
      <c r="AD200" s="45" t="s">
        <v>90</v>
      </c>
      <c r="AE200" s="45">
        <v>600</v>
      </c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</row>
    <row r="201" spans="1:44" x14ac:dyDescent="0.25">
      <c r="A201" s="287"/>
      <c r="B201" s="238"/>
      <c r="C201" s="290"/>
      <c r="D201" s="222"/>
      <c r="E201" s="222"/>
      <c r="F201" s="222"/>
      <c r="G201" s="222"/>
      <c r="H201" s="284"/>
      <c r="I201" s="284"/>
      <c r="J201" s="293"/>
      <c r="K201" s="284"/>
      <c r="L201" s="284"/>
      <c r="M201" s="284"/>
      <c r="N201" s="284"/>
      <c r="O201" s="284"/>
      <c r="P201" s="284"/>
      <c r="Q201" s="284"/>
      <c r="R201" s="284"/>
      <c r="S201" s="298"/>
      <c r="T201" s="287"/>
      <c r="U201" s="287"/>
      <c r="V201" s="276"/>
      <c r="W201" s="287"/>
      <c r="X201" s="276"/>
      <c r="Y201" s="287"/>
      <c r="Z201" s="287"/>
      <c r="AA201" s="287"/>
      <c r="AB201" s="36" t="s">
        <v>13</v>
      </c>
      <c r="AC201" s="53">
        <v>7480</v>
      </c>
      <c r="AD201" s="36" t="s">
        <v>4</v>
      </c>
      <c r="AE201" s="72">
        <f>20109.5*0.67</f>
        <v>13473.365000000002</v>
      </c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</row>
    <row r="202" spans="1:44" ht="45" x14ac:dyDescent="0.25">
      <c r="A202" s="288"/>
      <c r="B202" s="239"/>
      <c r="C202" s="291"/>
      <c r="D202" s="223"/>
      <c r="E202" s="223"/>
      <c r="F202" s="223"/>
      <c r="G202" s="223"/>
      <c r="H202" s="285"/>
      <c r="I202" s="285"/>
      <c r="J202" s="294"/>
      <c r="K202" s="285"/>
      <c r="L202" s="285"/>
      <c r="M202" s="285"/>
      <c r="N202" s="285"/>
      <c r="O202" s="285"/>
      <c r="P202" s="285"/>
      <c r="Q202" s="285"/>
      <c r="R202" s="285"/>
      <c r="S202" s="299"/>
      <c r="T202" s="288"/>
      <c r="U202" s="288"/>
      <c r="V202" s="273"/>
      <c r="W202" s="288"/>
      <c r="X202" s="273"/>
      <c r="Y202" s="288"/>
      <c r="Z202" s="288"/>
      <c r="AA202" s="288"/>
      <c r="AB202" s="36" t="s">
        <v>46</v>
      </c>
      <c r="AC202" s="53">
        <v>475</v>
      </c>
      <c r="AD202" s="36" t="s">
        <v>12</v>
      </c>
      <c r="AE202" s="45">
        <v>593.79999999999995</v>
      </c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</row>
    <row r="203" spans="1:44" x14ac:dyDescent="0.25">
      <c r="A203" s="286">
        <v>38</v>
      </c>
      <c r="B203" s="237">
        <v>2220903</v>
      </c>
      <c r="C203" s="289" t="s">
        <v>174</v>
      </c>
      <c r="D203" s="221">
        <f>F203</f>
        <v>2.89</v>
      </c>
      <c r="E203" s="221">
        <f>G203</f>
        <v>26000</v>
      </c>
      <c r="F203" s="221">
        <v>2.89</v>
      </c>
      <c r="G203" s="221">
        <v>26000</v>
      </c>
      <c r="H203" s="283"/>
      <c r="I203" s="283"/>
      <c r="J203" s="292"/>
      <c r="K203" s="283"/>
      <c r="L203" s="283"/>
      <c r="M203" s="283"/>
      <c r="N203" s="283"/>
      <c r="O203" s="283"/>
      <c r="P203" s="283"/>
      <c r="Q203" s="283"/>
      <c r="R203" s="283"/>
      <c r="S203" s="297"/>
      <c r="T203" s="286"/>
      <c r="U203" s="286"/>
      <c r="V203" s="272"/>
      <c r="W203" s="286"/>
      <c r="X203" s="272"/>
      <c r="Y203" s="286"/>
      <c r="Z203" s="286" t="s">
        <v>175</v>
      </c>
      <c r="AA203" s="286" t="s">
        <v>135</v>
      </c>
      <c r="AB203" s="272" t="s">
        <v>7</v>
      </c>
      <c r="AC203" s="53">
        <v>2.89</v>
      </c>
      <c r="AD203" s="36" t="s">
        <v>2</v>
      </c>
      <c r="AE203" s="295">
        <f>48480.8*0.67</f>
        <v>32482.136000000002</v>
      </c>
      <c r="AF203" s="45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</row>
    <row r="204" spans="1:44" x14ac:dyDescent="0.25">
      <c r="A204" s="287"/>
      <c r="B204" s="238"/>
      <c r="C204" s="290"/>
      <c r="D204" s="222"/>
      <c r="E204" s="222"/>
      <c r="F204" s="222"/>
      <c r="G204" s="222"/>
      <c r="H204" s="284"/>
      <c r="I204" s="284"/>
      <c r="J204" s="293"/>
      <c r="K204" s="284"/>
      <c r="L204" s="284"/>
      <c r="M204" s="284"/>
      <c r="N204" s="284"/>
      <c r="O204" s="284"/>
      <c r="P204" s="284"/>
      <c r="Q204" s="284"/>
      <c r="R204" s="284"/>
      <c r="S204" s="298"/>
      <c r="T204" s="287"/>
      <c r="U204" s="287"/>
      <c r="V204" s="276"/>
      <c r="W204" s="287"/>
      <c r="X204" s="276"/>
      <c r="Y204" s="287"/>
      <c r="Z204" s="287"/>
      <c r="AA204" s="287"/>
      <c r="AB204" s="273"/>
      <c r="AC204" s="74">
        <v>26000</v>
      </c>
      <c r="AD204" s="36" t="s">
        <v>4</v>
      </c>
      <c r="AE204" s="296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</row>
    <row r="205" spans="1:44" ht="30" x14ac:dyDescent="0.25">
      <c r="A205" s="287"/>
      <c r="B205" s="238"/>
      <c r="C205" s="290"/>
      <c r="D205" s="222"/>
      <c r="E205" s="222"/>
      <c r="F205" s="222"/>
      <c r="G205" s="222"/>
      <c r="H205" s="284"/>
      <c r="I205" s="284"/>
      <c r="J205" s="293"/>
      <c r="K205" s="284"/>
      <c r="L205" s="284"/>
      <c r="M205" s="284"/>
      <c r="N205" s="284"/>
      <c r="O205" s="284"/>
      <c r="P205" s="284"/>
      <c r="Q205" s="284"/>
      <c r="R205" s="284"/>
      <c r="S205" s="298"/>
      <c r="T205" s="287"/>
      <c r="U205" s="287"/>
      <c r="V205" s="276"/>
      <c r="W205" s="287"/>
      <c r="X205" s="276"/>
      <c r="Y205" s="287"/>
      <c r="Z205" s="287"/>
      <c r="AA205" s="287"/>
      <c r="AB205" s="89" t="s">
        <v>89</v>
      </c>
      <c r="AC205" s="53">
        <v>4</v>
      </c>
      <c r="AD205" s="45" t="s">
        <v>90</v>
      </c>
      <c r="AE205" s="45">
        <v>400</v>
      </c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</row>
    <row r="206" spans="1:44" x14ac:dyDescent="0.25">
      <c r="A206" s="287"/>
      <c r="B206" s="238"/>
      <c r="C206" s="290"/>
      <c r="D206" s="222"/>
      <c r="E206" s="222"/>
      <c r="F206" s="222"/>
      <c r="G206" s="222"/>
      <c r="H206" s="284"/>
      <c r="I206" s="284"/>
      <c r="J206" s="293"/>
      <c r="K206" s="284"/>
      <c r="L206" s="284"/>
      <c r="M206" s="284"/>
      <c r="N206" s="284"/>
      <c r="O206" s="284"/>
      <c r="P206" s="284"/>
      <c r="Q206" s="284"/>
      <c r="R206" s="284"/>
      <c r="S206" s="298"/>
      <c r="T206" s="287"/>
      <c r="U206" s="287"/>
      <c r="V206" s="276"/>
      <c r="W206" s="287"/>
      <c r="X206" s="276"/>
      <c r="Y206" s="287"/>
      <c r="Z206" s="287"/>
      <c r="AA206" s="287"/>
      <c r="AB206" s="36" t="s">
        <v>13</v>
      </c>
      <c r="AC206" s="53">
        <v>11560</v>
      </c>
      <c r="AD206" s="36" t="s">
        <v>4</v>
      </c>
      <c r="AE206" s="72">
        <f>31283.7*0.67</f>
        <v>20960.079000000002</v>
      </c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</row>
    <row r="207" spans="1:44" ht="45" x14ac:dyDescent="0.25">
      <c r="A207" s="288"/>
      <c r="B207" s="239"/>
      <c r="C207" s="291"/>
      <c r="D207" s="223"/>
      <c r="E207" s="223"/>
      <c r="F207" s="223"/>
      <c r="G207" s="223"/>
      <c r="H207" s="285"/>
      <c r="I207" s="285"/>
      <c r="J207" s="294"/>
      <c r="K207" s="285"/>
      <c r="L207" s="285"/>
      <c r="M207" s="285"/>
      <c r="N207" s="285"/>
      <c r="O207" s="285"/>
      <c r="P207" s="285"/>
      <c r="Q207" s="285"/>
      <c r="R207" s="285"/>
      <c r="S207" s="299"/>
      <c r="T207" s="288"/>
      <c r="U207" s="288"/>
      <c r="V207" s="273"/>
      <c r="W207" s="288"/>
      <c r="X207" s="273"/>
      <c r="Y207" s="288"/>
      <c r="Z207" s="288"/>
      <c r="AA207" s="288"/>
      <c r="AB207" s="36" t="s">
        <v>46</v>
      </c>
      <c r="AC207" s="53">
        <v>679</v>
      </c>
      <c r="AD207" s="36" t="s">
        <v>12</v>
      </c>
      <c r="AE207" s="45">
        <v>848.8</v>
      </c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</row>
    <row r="208" spans="1:44" x14ac:dyDescent="0.25">
      <c r="A208" s="280">
        <v>39</v>
      </c>
      <c r="B208" s="281">
        <v>2223092</v>
      </c>
      <c r="C208" s="282" t="s">
        <v>135</v>
      </c>
      <c r="D208" s="221">
        <f>F208</f>
        <v>4.1399999999999997</v>
      </c>
      <c r="E208" s="221">
        <f>G208</f>
        <v>33000</v>
      </c>
      <c r="F208" s="221">
        <v>4.1399999999999997</v>
      </c>
      <c r="G208" s="221">
        <v>33000</v>
      </c>
      <c r="H208" s="283"/>
      <c r="I208" s="283"/>
      <c r="J208" s="292"/>
      <c r="K208" s="283"/>
      <c r="L208" s="283"/>
      <c r="M208" s="283"/>
      <c r="N208" s="283"/>
      <c r="O208" s="283"/>
      <c r="P208" s="283"/>
      <c r="Q208" s="283"/>
      <c r="R208" s="283"/>
      <c r="S208" s="297"/>
      <c r="T208" s="286"/>
      <c r="U208" s="286"/>
      <c r="V208" s="272"/>
      <c r="W208" s="286"/>
      <c r="X208" s="272"/>
      <c r="Y208" s="272"/>
      <c r="Z208" s="272" t="s">
        <v>174</v>
      </c>
      <c r="AA208" s="272" t="s">
        <v>176</v>
      </c>
      <c r="AB208" s="272" t="s">
        <v>7</v>
      </c>
      <c r="AC208" s="36">
        <v>4.1399999999999997</v>
      </c>
      <c r="AD208" s="36" t="s">
        <v>2</v>
      </c>
      <c r="AE208" s="249">
        <f>47757.7*0.67</f>
        <v>31997.659</v>
      </c>
      <c r="AF208" s="36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</row>
    <row r="209" spans="1:44" x14ac:dyDescent="0.25">
      <c r="A209" s="280"/>
      <c r="B209" s="281"/>
      <c r="C209" s="282"/>
      <c r="D209" s="222"/>
      <c r="E209" s="222"/>
      <c r="F209" s="222"/>
      <c r="G209" s="222"/>
      <c r="H209" s="284"/>
      <c r="I209" s="284"/>
      <c r="J209" s="293"/>
      <c r="K209" s="284"/>
      <c r="L209" s="284"/>
      <c r="M209" s="284"/>
      <c r="N209" s="284"/>
      <c r="O209" s="284"/>
      <c r="P209" s="284"/>
      <c r="Q209" s="284"/>
      <c r="R209" s="284"/>
      <c r="S209" s="298"/>
      <c r="T209" s="287"/>
      <c r="U209" s="287"/>
      <c r="V209" s="276"/>
      <c r="W209" s="287"/>
      <c r="X209" s="276"/>
      <c r="Y209" s="276"/>
      <c r="Z209" s="276"/>
      <c r="AA209" s="276"/>
      <c r="AB209" s="273"/>
      <c r="AC209" s="48">
        <v>33000</v>
      </c>
      <c r="AD209" s="36" t="s">
        <v>4</v>
      </c>
      <c r="AE209" s="251"/>
      <c r="AF209" s="36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</row>
    <row r="210" spans="1:44" ht="30" x14ac:dyDescent="0.25">
      <c r="A210" s="280"/>
      <c r="B210" s="281"/>
      <c r="C210" s="282"/>
      <c r="D210" s="222"/>
      <c r="E210" s="222"/>
      <c r="F210" s="222"/>
      <c r="G210" s="222"/>
      <c r="H210" s="284"/>
      <c r="I210" s="284"/>
      <c r="J210" s="293"/>
      <c r="K210" s="284"/>
      <c r="L210" s="284"/>
      <c r="M210" s="284"/>
      <c r="N210" s="284"/>
      <c r="O210" s="284"/>
      <c r="P210" s="284"/>
      <c r="Q210" s="284"/>
      <c r="R210" s="284"/>
      <c r="S210" s="298"/>
      <c r="T210" s="287"/>
      <c r="U210" s="287"/>
      <c r="V210" s="276"/>
      <c r="W210" s="287"/>
      <c r="X210" s="276"/>
      <c r="Y210" s="276"/>
      <c r="Z210" s="276"/>
      <c r="AA210" s="276"/>
      <c r="AB210" s="82" t="s">
        <v>89</v>
      </c>
      <c r="AC210" s="36">
        <v>2</v>
      </c>
      <c r="AD210" s="40" t="s">
        <v>90</v>
      </c>
      <c r="AE210" s="40">
        <v>200</v>
      </c>
      <c r="AF210" s="36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</row>
    <row r="211" spans="1:44" x14ac:dyDescent="0.25">
      <c r="A211" s="280"/>
      <c r="B211" s="281"/>
      <c r="C211" s="282"/>
      <c r="D211" s="222"/>
      <c r="E211" s="222"/>
      <c r="F211" s="222"/>
      <c r="G211" s="222"/>
      <c r="H211" s="284"/>
      <c r="I211" s="284"/>
      <c r="J211" s="293"/>
      <c r="K211" s="284"/>
      <c r="L211" s="284"/>
      <c r="M211" s="284"/>
      <c r="N211" s="284"/>
      <c r="O211" s="284"/>
      <c r="P211" s="284"/>
      <c r="Q211" s="284"/>
      <c r="R211" s="284"/>
      <c r="S211" s="298"/>
      <c r="T211" s="287"/>
      <c r="U211" s="287"/>
      <c r="V211" s="276"/>
      <c r="W211" s="287"/>
      <c r="X211" s="276"/>
      <c r="Y211" s="276"/>
      <c r="Z211" s="276"/>
      <c r="AA211" s="276"/>
      <c r="AB211" s="36" t="s">
        <v>13</v>
      </c>
      <c r="AC211" s="36">
        <v>5600</v>
      </c>
      <c r="AD211" s="36" t="s">
        <v>4</v>
      </c>
      <c r="AE211" s="61">
        <f>15154.7*0.67</f>
        <v>10153.649000000001</v>
      </c>
      <c r="AF211" s="36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</row>
    <row r="212" spans="1:44" x14ac:dyDescent="0.25">
      <c r="A212" s="280"/>
      <c r="B212" s="281"/>
      <c r="C212" s="282"/>
      <c r="D212" s="223"/>
      <c r="E212" s="223"/>
      <c r="F212" s="223"/>
      <c r="G212" s="223"/>
      <c r="H212" s="285"/>
      <c r="I212" s="285"/>
      <c r="J212" s="294"/>
      <c r="K212" s="285"/>
      <c r="L212" s="285"/>
      <c r="M212" s="285"/>
      <c r="N212" s="285"/>
      <c r="O212" s="285"/>
      <c r="P212" s="285"/>
      <c r="Q212" s="285"/>
      <c r="R212" s="285"/>
      <c r="S212" s="299"/>
      <c r="T212" s="288"/>
      <c r="U212" s="288"/>
      <c r="V212" s="273"/>
      <c r="W212" s="288"/>
      <c r="X212" s="273"/>
      <c r="Y212" s="273"/>
      <c r="Z212" s="273"/>
      <c r="AA212" s="273"/>
      <c r="AB212" s="47" t="s">
        <v>14</v>
      </c>
      <c r="AC212" s="40">
        <v>2.84</v>
      </c>
      <c r="AD212" s="40" t="s">
        <v>2</v>
      </c>
      <c r="AE212" s="61">
        <v>10508</v>
      </c>
      <c r="AF212" s="36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</row>
    <row r="213" spans="1:44" x14ac:dyDescent="0.25">
      <c r="A213" s="286">
        <v>40</v>
      </c>
      <c r="B213" s="237">
        <v>2221310</v>
      </c>
      <c r="C213" s="289" t="s">
        <v>177</v>
      </c>
      <c r="D213" s="221">
        <f>F213</f>
        <v>2</v>
      </c>
      <c r="E213" s="221">
        <f>G213</f>
        <v>14000</v>
      </c>
      <c r="F213" s="221">
        <v>2</v>
      </c>
      <c r="G213" s="221">
        <v>14000</v>
      </c>
      <c r="H213" s="283"/>
      <c r="I213" s="283"/>
      <c r="J213" s="292"/>
      <c r="K213" s="283"/>
      <c r="L213" s="283"/>
      <c r="M213" s="283"/>
      <c r="N213" s="283"/>
      <c r="O213" s="283"/>
      <c r="P213" s="283"/>
      <c r="Q213" s="283"/>
      <c r="R213" s="283"/>
      <c r="S213" s="297"/>
      <c r="T213" s="286"/>
      <c r="U213" s="286"/>
      <c r="V213" s="272"/>
      <c r="W213" s="286"/>
      <c r="X213" s="272"/>
      <c r="Y213" s="272"/>
      <c r="Z213" s="272" t="s">
        <v>155</v>
      </c>
      <c r="AA213" s="272" t="s">
        <v>178</v>
      </c>
      <c r="AB213" s="272" t="s">
        <v>7</v>
      </c>
      <c r="AC213" s="36">
        <v>2</v>
      </c>
      <c r="AD213" s="36" t="s">
        <v>2</v>
      </c>
      <c r="AE213" s="249">
        <f>29828.9*0.67</f>
        <v>19985.363000000001</v>
      </c>
      <c r="AF213" s="36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</row>
    <row r="214" spans="1:44" x14ac:dyDescent="0.25">
      <c r="A214" s="287"/>
      <c r="B214" s="238"/>
      <c r="C214" s="290"/>
      <c r="D214" s="222"/>
      <c r="E214" s="222"/>
      <c r="F214" s="222"/>
      <c r="G214" s="222"/>
      <c r="H214" s="284"/>
      <c r="I214" s="284"/>
      <c r="J214" s="293"/>
      <c r="K214" s="284"/>
      <c r="L214" s="284"/>
      <c r="M214" s="284"/>
      <c r="N214" s="284"/>
      <c r="O214" s="284"/>
      <c r="P214" s="284"/>
      <c r="Q214" s="284"/>
      <c r="R214" s="284"/>
      <c r="S214" s="298"/>
      <c r="T214" s="287"/>
      <c r="U214" s="287"/>
      <c r="V214" s="276"/>
      <c r="W214" s="287"/>
      <c r="X214" s="276"/>
      <c r="Y214" s="276"/>
      <c r="Z214" s="276"/>
      <c r="AA214" s="276"/>
      <c r="AB214" s="273"/>
      <c r="AC214" s="48">
        <v>14000</v>
      </c>
      <c r="AD214" s="36" t="s">
        <v>4</v>
      </c>
      <c r="AE214" s="251"/>
      <c r="AF214" s="36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</row>
    <row r="215" spans="1:44" x14ac:dyDescent="0.25">
      <c r="A215" s="287"/>
      <c r="B215" s="238"/>
      <c r="C215" s="290"/>
      <c r="D215" s="222"/>
      <c r="E215" s="222"/>
      <c r="F215" s="222"/>
      <c r="G215" s="222"/>
      <c r="H215" s="284"/>
      <c r="I215" s="284"/>
      <c r="J215" s="293"/>
      <c r="K215" s="284"/>
      <c r="L215" s="284"/>
      <c r="M215" s="284"/>
      <c r="N215" s="284"/>
      <c r="O215" s="284"/>
      <c r="P215" s="284"/>
      <c r="Q215" s="284"/>
      <c r="R215" s="284"/>
      <c r="S215" s="298"/>
      <c r="T215" s="287"/>
      <c r="U215" s="287"/>
      <c r="V215" s="276"/>
      <c r="W215" s="287"/>
      <c r="X215" s="276"/>
      <c r="Y215" s="276"/>
      <c r="Z215" s="276"/>
      <c r="AA215" s="276"/>
      <c r="AB215" s="36" t="s">
        <v>13</v>
      </c>
      <c r="AC215" s="36">
        <v>8000</v>
      </c>
      <c r="AD215" s="36" t="s">
        <v>4</v>
      </c>
      <c r="AE215" s="61">
        <f>21649.6*0.67</f>
        <v>14505.232</v>
      </c>
      <c r="AF215" s="36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</row>
    <row r="216" spans="1:44" x14ac:dyDescent="0.25">
      <c r="A216" s="287"/>
      <c r="B216" s="238"/>
      <c r="C216" s="290"/>
      <c r="D216" s="222"/>
      <c r="E216" s="222"/>
      <c r="F216" s="222"/>
      <c r="G216" s="222"/>
      <c r="H216" s="284"/>
      <c r="I216" s="284"/>
      <c r="J216" s="293"/>
      <c r="K216" s="284"/>
      <c r="L216" s="284"/>
      <c r="M216" s="284"/>
      <c r="N216" s="284"/>
      <c r="O216" s="284"/>
      <c r="P216" s="284"/>
      <c r="Q216" s="284"/>
      <c r="R216" s="284"/>
      <c r="S216" s="298"/>
      <c r="T216" s="287"/>
      <c r="U216" s="287"/>
      <c r="V216" s="276"/>
      <c r="W216" s="287"/>
      <c r="X216" s="276"/>
      <c r="Y216" s="276"/>
      <c r="Z216" s="276"/>
      <c r="AA216" s="276"/>
      <c r="AB216" s="47" t="s">
        <v>14</v>
      </c>
      <c r="AC216" s="40">
        <v>0.38</v>
      </c>
      <c r="AD216" s="40" t="s">
        <v>2</v>
      </c>
      <c r="AE216" s="61">
        <v>1406</v>
      </c>
      <c r="AF216" s="36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</row>
    <row r="217" spans="1:44" ht="30" x14ac:dyDescent="0.25">
      <c r="A217" s="287"/>
      <c r="B217" s="238"/>
      <c r="C217" s="290"/>
      <c r="D217" s="222"/>
      <c r="E217" s="222"/>
      <c r="F217" s="222"/>
      <c r="G217" s="222"/>
      <c r="H217" s="284"/>
      <c r="I217" s="284"/>
      <c r="J217" s="293"/>
      <c r="K217" s="284"/>
      <c r="L217" s="284"/>
      <c r="M217" s="284"/>
      <c r="N217" s="284"/>
      <c r="O217" s="284"/>
      <c r="P217" s="284"/>
      <c r="Q217" s="284"/>
      <c r="R217" s="284"/>
      <c r="S217" s="298"/>
      <c r="T217" s="287"/>
      <c r="U217" s="287"/>
      <c r="V217" s="276"/>
      <c r="W217" s="287"/>
      <c r="X217" s="276"/>
      <c r="Y217" s="276"/>
      <c r="Z217" s="276"/>
      <c r="AA217" s="276"/>
      <c r="AB217" s="82" t="s">
        <v>89</v>
      </c>
      <c r="AC217" s="36">
        <v>2</v>
      </c>
      <c r="AD217" s="40" t="s">
        <v>90</v>
      </c>
      <c r="AE217" s="40">
        <v>200</v>
      </c>
      <c r="AF217" s="36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</row>
    <row r="218" spans="1:44" ht="45" x14ac:dyDescent="0.25">
      <c r="A218" s="288"/>
      <c r="B218" s="239"/>
      <c r="C218" s="291"/>
      <c r="D218" s="223"/>
      <c r="E218" s="223"/>
      <c r="F218" s="223"/>
      <c r="G218" s="223"/>
      <c r="H218" s="285"/>
      <c r="I218" s="285"/>
      <c r="J218" s="294"/>
      <c r="K218" s="285"/>
      <c r="L218" s="285"/>
      <c r="M218" s="285"/>
      <c r="N218" s="285"/>
      <c r="O218" s="285"/>
      <c r="P218" s="285"/>
      <c r="Q218" s="285"/>
      <c r="R218" s="285"/>
      <c r="S218" s="299"/>
      <c r="T218" s="288"/>
      <c r="U218" s="288"/>
      <c r="V218" s="273"/>
      <c r="W218" s="288"/>
      <c r="X218" s="273"/>
      <c r="Y218" s="273"/>
      <c r="Z218" s="273"/>
      <c r="AA218" s="273"/>
      <c r="AB218" s="36" t="s">
        <v>46</v>
      </c>
      <c r="AC218" s="36">
        <v>400</v>
      </c>
      <c r="AD218" s="36" t="s">
        <v>12</v>
      </c>
      <c r="AE218" s="40">
        <v>500</v>
      </c>
      <c r="AF218" s="36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</row>
    <row r="219" spans="1:44" x14ac:dyDescent="0.25">
      <c r="A219" s="286">
        <v>41</v>
      </c>
      <c r="B219" s="237">
        <v>2224454</v>
      </c>
      <c r="C219" s="289" t="s">
        <v>98</v>
      </c>
      <c r="D219" s="221">
        <f>F219</f>
        <v>3.54</v>
      </c>
      <c r="E219" s="221">
        <f>G219</f>
        <v>67279</v>
      </c>
      <c r="F219" s="221">
        <v>3.54</v>
      </c>
      <c r="G219" s="221">
        <v>67279</v>
      </c>
      <c r="H219" s="283"/>
      <c r="I219" s="283"/>
      <c r="J219" s="292"/>
      <c r="K219" s="283"/>
      <c r="L219" s="283"/>
      <c r="M219" s="283"/>
      <c r="N219" s="283"/>
      <c r="O219" s="283"/>
      <c r="P219" s="283"/>
      <c r="Q219" s="283"/>
      <c r="R219" s="283"/>
      <c r="S219" s="297"/>
      <c r="T219" s="286"/>
      <c r="U219" s="286"/>
      <c r="V219" s="272"/>
      <c r="W219" s="286"/>
      <c r="X219" s="272"/>
      <c r="Y219" s="272"/>
      <c r="Z219" s="289" t="s">
        <v>179</v>
      </c>
      <c r="AA219" s="272" t="s">
        <v>180</v>
      </c>
      <c r="AB219" s="272" t="s">
        <v>7</v>
      </c>
      <c r="AC219" s="36">
        <v>3.54</v>
      </c>
      <c r="AD219" s="36" t="s">
        <v>2</v>
      </c>
      <c r="AE219" s="270">
        <f>97345.9*0.67</f>
        <v>65221.752999999997</v>
      </c>
      <c r="AF219" s="40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</row>
    <row r="220" spans="1:44" x14ac:dyDescent="0.25">
      <c r="A220" s="287"/>
      <c r="B220" s="238"/>
      <c r="C220" s="290"/>
      <c r="D220" s="222"/>
      <c r="E220" s="222"/>
      <c r="F220" s="222"/>
      <c r="G220" s="222"/>
      <c r="H220" s="284"/>
      <c r="I220" s="284"/>
      <c r="J220" s="293"/>
      <c r="K220" s="284"/>
      <c r="L220" s="284"/>
      <c r="M220" s="284"/>
      <c r="N220" s="284"/>
      <c r="O220" s="284"/>
      <c r="P220" s="284"/>
      <c r="Q220" s="284"/>
      <c r="R220" s="284"/>
      <c r="S220" s="298"/>
      <c r="T220" s="287"/>
      <c r="U220" s="287"/>
      <c r="V220" s="276"/>
      <c r="W220" s="287"/>
      <c r="X220" s="276"/>
      <c r="Y220" s="276"/>
      <c r="Z220" s="290"/>
      <c r="AA220" s="276"/>
      <c r="AB220" s="273"/>
      <c r="AC220" s="48">
        <v>67279</v>
      </c>
      <c r="AD220" s="36" t="s">
        <v>4</v>
      </c>
      <c r="AE220" s="271"/>
      <c r="AF220" s="36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</row>
    <row r="221" spans="1:44" x14ac:dyDescent="0.25">
      <c r="A221" s="287"/>
      <c r="B221" s="238"/>
      <c r="C221" s="290"/>
      <c r="D221" s="222"/>
      <c r="E221" s="222"/>
      <c r="F221" s="222"/>
      <c r="G221" s="222"/>
      <c r="H221" s="284"/>
      <c r="I221" s="284"/>
      <c r="J221" s="293"/>
      <c r="K221" s="284"/>
      <c r="L221" s="284"/>
      <c r="M221" s="284"/>
      <c r="N221" s="284"/>
      <c r="O221" s="284"/>
      <c r="P221" s="284"/>
      <c r="Q221" s="284"/>
      <c r="R221" s="284"/>
      <c r="S221" s="298"/>
      <c r="T221" s="287"/>
      <c r="U221" s="287"/>
      <c r="V221" s="276"/>
      <c r="W221" s="287"/>
      <c r="X221" s="276"/>
      <c r="Y221" s="276"/>
      <c r="Z221" s="290"/>
      <c r="AA221" s="276"/>
      <c r="AB221" s="36" t="s">
        <v>13</v>
      </c>
      <c r="AC221" s="36">
        <v>21246</v>
      </c>
      <c r="AD221" s="36" t="s">
        <v>4</v>
      </c>
      <c r="AE221" s="61">
        <f>35233.5*0.67</f>
        <v>23606.445</v>
      </c>
      <c r="AF221" s="36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</row>
    <row r="222" spans="1:44" ht="45" x14ac:dyDescent="0.25">
      <c r="A222" s="287"/>
      <c r="B222" s="238"/>
      <c r="C222" s="290"/>
      <c r="D222" s="222"/>
      <c r="E222" s="222"/>
      <c r="F222" s="222"/>
      <c r="G222" s="222"/>
      <c r="H222" s="284"/>
      <c r="I222" s="284"/>
      <c r="J222" s="293"/>
      <c r="K222" s="284"/>
      <c r="L222" s="284"/>
      <c r="M222" s="284"/>
      <c r="N222" s="284"/>
      <c r="O222" s="284"/>
      <c r="P222" s="284"/>
      <c r="Q222" s="284"/>
      <c r="R222" s="284"/>
      <c r="S222" s="298"/>
      <c r="T222" s="287"/>
      <c r="U222" s="287"/>
      <c r="V222" s="276"/>
      <c r="W222" s="287"/>
      <c r="X222" s="276"/>
      <c r="Y222" s="276"/>
      <c r="Z222" s="290"/>
      <c r="AA222" s="276"/>
      <c r="AB222" s="36" t="s">
        <v>46</v>
      </c>
      <c r="AC222" s="36">
        <v>682</v>
      </c>
      <c r="AD222" s="36" t="s">
        <v>12</v>
      </c>
      <c r="AE222" s="40">
        <v>852.5</v>
      </c>
      <c r="AF222" s="36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</row>
    <row r="223" spans="1:44" ht="30" x14ac:dyDescent="0.25">
      <c r="A223" s="288"/>
      <c r="B223" s="239"/>
      <c r="C223" s="291"/>
      <c r="D223" s="223"/>
      <c r="E223" s="223"/>
      <c r="F223" s="223"/>
      <c r="G223" s="223"/>
      <c r="H223" s="285"/>
      <c r="I223" s="285"/>
      <c r="J223" s="294"/>
      <c r="K223" s="285"/>
      <c r="L223" s="285"/>
      <c r="M223" s="285"/>
      <c r="N223" s="285"/>
      <c r="O223" s="285"/>
      <c r="P223" s="285"/>
      <c r="Q223" s="285"/>
      <c r="R223" s="285"/>
      <c r="S223" s="299"/>
      <c r="T223" s="288"/>
      <c r="U223" s="288"/>
      <c r="V223" s="273"/>
      <c r="W223" s="288"/>
      <c r="X223" s="273"/>
      <c r="Y223" s="273"/>
      <c r="Z223" s="291"/>
      <c r="AA223" s="273"/>
      <c r="AB223" s="59" t="s">
        <v>94</v>
      </c>
      <c r="AC223" s="36">
        <f>24+10</f>
        <v>34</v>
      </c>
      <c r="AD223" s="36" t="s">
        <v>90</v>
      </c>
      <c r="AE223" s="40">
        <v>8500</v>
      </c>
      <c r="AF223" s="36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</row>
    <row r="224" spans="1:44" x14ac:dyDescent="0.25">
      <c r="A224" s="286">
        <v>42</v>
      </c>
      <c r="B224" s="237">
        <v>2220514</v>
      </c>
      <c r="C224" s="221" t="s">
        <v>181</v>
      </c>
      <c r="D224" s="308">
        <f>F224</f>
        <v>2</v>
      </c>
      <c r="E224" s="221">
        <f>G224</f>
        <v>16000</v>
      </c>
      <c r="F224" s="221">
        <v>2</v>
      </c>
      <c r="G224" s="243">
        <v>16000</v>
      </c>
      <c r="H224" s="45"/>
      <c r="I224" s="45"/>
      <c r="J224" s="89"/>
      <c r="K224" s="45"/>
      <c r="L224" s="45"/>
      <c r="M224" s="45"/>
      <c r="N224" s="45"/>
      <c r="O224" s="45"/>
      <c r="P224" s="45"/>
      <c r="Q224" s="45"/>
      <c r="R224" s="45"/>
      <c r="S224" s="71"/>
      <c r="T224" s="53"/>
      <c r="U224" s="53"/>
      <c r="V224" s="36"/>
      <c r="W224" s="53"/>
      <c r="X224" s="53"/>
      <c r="Y224" s="53"/>
      <c r="Z224" s="272" t="s">
        <v>182</v>
      </c>
      <c r="AA224" s="272" t="s">
        <v>183</v>
      </c>
      <c r="AB224" s="272" t="s">
        <v>7</v>
      </c>
      <c r="AC224" s="63">
        <v>2</v>
      </c>
      <c r="AD224" s="62" t="s">
        <v>2</v>
      </c>
      <c r="AE224" s="270">
        <f>32070.8*0.67</f>
        <v>21487.436000000002</v>
      </c>
      <c r="AF224" s="43"/>
      <c r="AG224" s="43"/>
      <c r="AH224" s="43"/>
      <c r="AI224" s="43"/>
      <c r="AJ224" s="43"/>
      <c r="AK224" s="43"/>
      <c r="AL224" s="272"/>
      <c r="AM224" s="272"/>
      <c r="AN224" s="272"/>
      <c r="AO224" s="63"/>
      <c r="AP224" s="62"/>
      <c r="AQ224" s="270"/>
      <c r="AR224" s="53"/>
    </row>
    <row r="225" spans="1:44" x14ac:dyDescent="0.25">
      <c r="A225" s="287"/>
      <c r="B225" s="238"/>
      <c r="C225" s="222"/>
      <c r="D225" s="309"/>
      <c r="E225" s="222"/>
      <c r="F225" s="222"/>
      <c r="G225" s="244"/>
      <c r="H225" s="45"/>
      <c r="I225" s="45"/>
      <c r="J225" s="89"/>
      <c r="K225" s="45"/>
      <c r="L225" s="45"/>
      <c r="M225" s="45"/>
      <c r="N225" s="45"/>
      <c r="O225" s="45"/>
      <c r="P225" s="45"/>
      <c r="Q225" s="45"/>
      <c r="R225" s="45"/>
      <c r="S225" s="71"/>
      <c r="T225" s="53"/>
      <c r="U225" s="53"/>
      <c r="V225" s="36"/>
      <c r="W225" s="53"/>
      <c r="X225" s="53"/>
      <c r="Y225" s="53"/>
      <c r="Z225" s="276"/>
      <c r="AA225" s="276"/>
      <c r="AB225" s="273"/>
      <c r="AC225" s="58">
        <v>16000</v>
      </c>
      <c r="AD225" s="36" t="s">
        <v>4</v>
      </c>
      <c r="AE225" s="271"/>
      <c r="AF225" s="43"/>
      <c r="AG225" s="43"/>
      <c r="AH225" s="43"/>
      <c r="AI225" s="43"/>
      <c r="AJ225" s="43"/>
      <c r="AK225" s="43"/>
      <c r="AL225" s="276"/>
      <c r="AM225" s="276"/>
      <c r="AN225" s="273"/>
      <c r="AO225" s="58"/>
      <c r="AP225" s="36"/>
      <c r="AQ225" s="271"/>
      <c r="AR225" s="53"/>
    </row>
    <row r="226" spans="1:44" ht="30" x14ac:dyDescent="0.25">
      <c r="A226" s="287"/>
      <c r="B226" s="238"/>
      <c r="C226" s="222"/>
      <c r="D226" s="309"/>
      <c r="E226" s="222"/>
      <c r="F226" s="222"/>
      <c r="G226" s="244"/>
      <c r="H226" s="45"/>
      <c r="I226" s="45"/>
      <c r="J226" s="89"/>
      <c r="K226" s="45"/>
      <c r="L226" s="45"/>
      <c r="M226" s="45"/>
      <c r="N226" s="45"/>
      <c r="O226" s="45"/>
      <c r="P226" s="45"/>
      <c r="Q226" s="45"/>
      <c r="R226" s="45"/>
      <c r="S226" s="71"/>
      <c r="T226" s="53"/>
      <c r="U226" s="53"/>
      <c r="V226" s="36"/>
      <c r="W226" s="53"/>
      <c r="X226" s="53"/>
      <c r="Y226" s="53"/>
      <c r="Z226" s="276"/>
      <c r="AA226" s="276"/>
      <c r="AB226" s="82" t="s">
        <v>89</v>
      </c>
      <c r="AC226" s="40">
        <v>6</v>
      </c>
      <c r="AD226" s="40" t="s">
        <v>90</v>
      </c>
      <c r="AE226" s="61">
        <v>600</v>
      </c>
      <c r="AF226" s="43"/>
      <c r="AG226" s="43"/>
      <c r="AH226" s="43"/>
      <c r="AI226" s="43"/>
      <c r="AJ226" s="43"/>
      <c r="AK226" s="43"/>
      <c r="AL226" s="276"/>
      <c r="AM226" s="276"/>
      <c r="AN226" s="82"/>
      <c r="AO226" s="40"/>
      <c r="AP226" s="40"/>
      <c r="AQ226" s="61"/>
      <c r="AR226" s="53"/>
    </row>
    <row r="227" spans="1:44" x14ac:dyDescent="0.25">
      <c r="A227" s="287"/>
      <c r="B227" s="238"/>
      <c r="C227" s="222"/>
      <c r="D227" s="309"/>
      <c r="E227" s="222"/>
      <c r="F227" s="222"/>
      <c r="G227" s="244"/>
      <c r="H227" s="45"/>
      <c r="I227" s="45"/>
      <c r="J227" s="89"/>
      <c r="K227" s="45"/>
      <c r="L227" s="45"/>
      <c r="M227" s="45"/>
      <c r="N227" s="45"/>
      <c r="O227" s="45"/>
      <c r="P227" s="45"/>
      <c r="Q227" s="45"/>
      <c r="R227" s="45"/>
      <c r="S227" s="71"/>
      <c r="T227" s="53"/>
      <c r="U227" s="53"/>
      <c r="V227" s="36"/>
      <c r="W227" s="53"/>
      <c r="X227" s="53"/>
      <c r="Y227" s="53"/>
      <c r="Z227" s="276"/>
      <c r="AA227" s="276"/>
      <c r="AB227" s="36" t="s">
        <v>13</v>
      </c>
      <c r="AC227" s="40">
        <v>8000</v>
      </c>
      <c r="AD227" s="36" t="s">
        <v>4</v>
      </c>
      <c r="AE227" s="61">
        <f>21649.6*0.67</f>
        <v>14505.232</v>
      </c>
      <c r="AF227" s="43"/>
      <c r="AG227" s="43"/>
      <c r="AH227" s="43"/>
      <c r="AI227" s="43"/>
      <c r="AJ227" s="43"/>
      <c r="AK227" s="43"/>
      <c r="AL227" s="276"/>
      <c r="AM227" s="276"/>
      <c r="AN227" s="36"/>
      <c r="AO227" s="40"/>
      <c r="AP227" s="36"/>
      <c r="AQ227" s="61"/>
      <c r="AR227" s="53"/>
    </row>
    <row r="228" spans="1:44" ht="45" x14ac:dyDescent="0.25">
      <c r="A228" s="288"/>
      <c r="B228" s="239"/>
      <c r="C228" s="223"/>
      <c r="D228" s="310"/>
      <c r="E228" s="223"/>
      <c r="F228" s="223"/>
      <c r="G228" s="245"/>
      <c r="H228" s="45"/>
      <c r="I228" s="45"/>
      <c r="J228" s="89"/>
      <c r="K228" s="45"/>
      <c r="L228" s="45"/>
      <c r="M228" s="45"/>
      <c r="N228" s="45"/>
      <c r="O228" s="45"/>
      <c r="P228" s="45"/>
      <c r="Q228" s="45"/>
      <c r="R228" s="45"/>
      <c r="S228" s="71"/>
      <c r="T228" s="53"/>
      <c r="U228" s="53"/>
      <c r="V228" s="36"/>
      <c r="W228" s="53"/>
      <c r="X228" s="53"/>
      <c r="Y228" s="53"/>
      <c r="Z228" s="273"/>
      <c r="AA228" s="273"/>
      <c r="AB228" s="36" t="s">
        <v>46</v>
      </c>
      <c r="AC228" s="40">
        <v>198</v>
      </c>
      <c r="AD228" s="36" t="s">
        <v>12</v>
      </c>
      <c r="AE228" s="61">
        <v>247.5</v>
      </c>
      <c r="AF228" s="43"/>
      <c r="AG228" s="43"/>
      <c r="AH228" s="43"/>
      <c r="AI228" s="43"/>
      <c r="AJ228" s="43"/>
      <c r="AK228" s="43"/>
      <c r="AL228" s="273"/>
      <c r="AM228" s="273"/>
      <c r="AN228" s="36"/>
      <c r="AO228" s="40"/>
      <c r="AP228" s="36"/>
      <c r="AQ228" s="61"/>
      <c r="AR228" s="53"/>
    </row>
    <row r="229" spans="1:44" ht="30" x14ac:dyDescent="0.25">
      <c r="A229" s="286">
        <v>43</v>
      </c>
      <c r="B229" s="237">
        <v>2220085</v>
      </c>
      <c r="C229" s="221" t="s">
        <v>184</v>
      </c>
      <c r="D229" s="221">
        <f>F229</f>
        <v>1.7</v>
      </c>
      <c r="E229" s="221">
        <f>G229</f>
        <v>15300</v>
      </c>
      <c r="F229" s="221">
        <v>1.7</v>
      </c>
      <c r="G229" s="243">
        <v>15300</v>
      </c>
      <c r="H229" s="45"/>
      <c r="I229" s="45"/>
      <c r="J229" s="89"/>
      <c r="K229" s="45"/>
      <c r="L229" s="45"/>
      <c r="M229" s="45"/>
      <c r="N229" s="45"/>
      <c r="O229" s="45"/>
      <c r="P229" s="45"/>
      <c r="Q229" s="45"/>
      <c r="R229" s="45"/>
      <c r="S229" s="71"/>
      <c r="T229" s="53"/>
      <c r="U229" s="53"/>
      <c r="V229" s="36"/>
      <c r="W229" s="53"/>
      <c r="X229" s="53"/>
      <c r="Y229" s="53"/>
      <c r="Z229" s="249" t="s">
        <v>138</v>
      </c>
      <c r="AA229" s="272" t="s">
        <v>185</v>
      </c>
      <c r="AB229" s="59" t="s">
        <v>7</v>
      </c>
      <c r="AC229" s="40">
        <v>1.7</v>
      </c>
      <c r="AD229" s="36" t="s">
        <v>2</v>
      </c>
      <c r="AE229" s="270">
        <f>28913.7*0.67</f>
        <v>19372.179</v>
      </c>
      <c r="AF229" s="43"/>
      <c r="AG229" s="43"/>
      <c r="AH229" s="43"/>
      <c r="AI229" s="43"/>
      <c r="AJ229" s="43"/>
      <c r="AK229" s="43"/>
      <c r="AL229" s="249"/>
      <c r="AM229" s="272"/>
      <c r="AN229" s="59"/>
      <c r="AO229" s="40"/>
      <c r="AP229" s="36"/>
      <c r="AQ229" s="270"/>
      <c r="AR229" s="53"/>
    </row>
    <row r="230" spans="1:44" x14ac:dyDescent="0.25">
      <c r="A230" s="287"/>
      <c r="B230" s="238"/>
      <c r="C230" s="222"/>
      <c r="D230" s="222"/>
      <c r="E230" s="222"/>
      <c r="F230" s="222"/>
      <c r="G230" s="244"/>
      <c r="H230" s="45"/>
      <c r="I230" s="45"/>
      <c r="J230" s="89"/>
      <c r="K230" s="45"/>
      <c r="L230" s="45"/>
      <c r="M230" s="45"/>
      <c r="N230" s="45"/>
      <c r="O230" s="45"/>
      <c r="P230" s="45"/>
      <c r="Q230" s="45"/>
      <c r="R230" s="45"/>
      <c r="S230" s="71"/>
      <c r="T230" s="53"/>
      <c r="U230" s="53"/>
      <c r="V230" s="36"/>
      <c r="W230" s="53"/>
      <c r="X230" s="53"/>
      <c r="Y230" s="53"/>
      <c r="Z230" s="250"/>
      <c r="AA230" s="276"/>
      <c r="AB230" s="62"/>
      <c r="AC230" s="40">
        <v>15300</v>
      </c>
      <c r="AD230" s="36" t="s">
        <v>4</v>
      </c>
      <c r="AE230" s="271"/>
      <c r="AF230" s="43"/>
      <c r="AG230" s="43"/>
      <c r="AH230" s="43"/>
      <c r="AI230" s="43"/>
      <c r="AJ230" s="43"/>
      <c r="AK230" s="43"/>
      <c r="AL230" s="250"/>
      <c r="AM230" s="276"/>
      <c r="AN230" s="62"/>
      <c r="AO230" s="40"/>
      <c r="AP230" s="36"/>
      <c r="AQ230" s="271"/>
      <c r="AR230" s="53"/>
    </row>
    <row r="231" spans="1:44" ht="30" x14ac:dyDescent="0.25">
      <c r="A231" s="287"/>
      <c r="B231" s="238"/>
      <c r="C231" s="222"/>
      <c r="D231" s="222"/>
      <c r="E231" s="222"/>
      <c r="F231" s="222"/>
      <c r="G231" s="244"/>
      <c r="H231" s="45"/>
      <c r="I231" s="45"/>
      <c r="J231" s="89"/>
      <c r="K231" s="45"/>
      <c r="L231" s="45"/>
      <c r="M231" s="45"/>
      <c r="N231" s="45"/>
      <c r="O231" s="45"/>
      <c r="P231" s="45"/>
      <c r="Q231" s="45"/>
      <c r="R231" s="45"/>
      <c r="S231" s="71"/>
      <c r="T231" s="53"/>
      <c r="U231" s="53"/>
      <c r="V231" s="36"/>
      <c r="W231" s="53"/>
      <c r="X231" s="53"/>
      <c r="Y231" s="53"/>
      <c r="Z231" s="250"/>
      <c r="AA231" s="276"/>
      <c r="AB231" s="82" t="s">
        <v>89</v>
      </c>
      <c r="AC231" s="40">
        <v>4</v>
      </c>
      <c r="AD231" s="40" t="s">
        <v>90</v>
      </c>
      <c r="AE231" s="40">
        <v>400</v>
      </c>
      <c r="AF231" s="43"/>
      <c r="AG231" s="43"/>
      <c r="AH231" s="43"/>
      <c r="AI231" s="43"/>
      <c r="AJ231" s="43"/>
      <c r="AK231" s="43"/>
      <c r="AL231" s="250"/>
      <c r="AM231" s="276"/>
      <c r="AN231" s="82"/>
      <c r="AO231" s="40"/>
      <c r="AP231" s="40"/>
      <c r="AQ231" s="40"/>
      <c r="AR231" s="53"/>
    </row>
    <row r="232" spans="1:44" x14ac:dyDescent="0.25">
      <c r="A232" s="287"/>
      <c r="B232" s="238"/>
      <c r="C232" s="222"/>
      <c r="D232" s="222"/>
      <c r="E232" s="222"/>
      <c r="F232" s="222"/>
      <c r="G232" s="244"/>
      <c r="H232" s="45"/>
      <c r="I232" s="45"/>
      <c r="J232" s="89"/>
      <c r="K232" s="45"/>
      <c r="L232" s="45"/>
      <c r="M232" s="45"/>
      <c r="N232" s="45"/>
      <c r="O232" s="45"/>
      <c r="P232" s="45"/>
      <c r="Q232" s="45"/>
      <c r="R232" s="45"/>
      <c r="S232" s="71"/>
      <c r="T232" s="53"/>
      <c r="U232" s="53"/>
      <c r="V232" s="36"/>
      <c r="W232" s="53"/>
      <c r="X232" s="53"/>
      <c r="Y232" s="53"/>
      <c r="Z232" s="250"/>
      <c r="AA232" s="276"/>
      <c r="AB232" s="36" t="s">
        <v>13</v>
      </c>
      <c r="AC232" s="40">
        <v>6800</v>
      </c>
      <c r="AD232" s="36" t="s">
        <v>4</v>
      </c>
      <c r="AE232" s="61">
        <f>13416.5*0.67</f>
        <v>8989.0550000000003</v>
      </c>
      <c r="AF232" s="43"/>
      <c r="AG232" s="43"/>
      <c r="AH232" s="43"/>
      <c r="AI232" s="43"/>
      <c r="AJ232" s="43"/>
      <c r="AK232" s="43"/>
      <c r="AL232" s="250"/>
      <c r="AM232" s="276"/>
      <c r="AN232" s="36"/>
      <c r="AO232" s="40"/>
      <c r="AP232" s="36"/>
      <c r="AQ232" s="61"/>
      <c r="AR232" s="53"/>
    </row>
    <row r="233" spans="1:44" ht="45" x14ac:dyDescent="0.25">
      <c r="A233" s="287"/>
      <c r="B233" s="238"/>
      <c r="C233" s="222"/>
      <c r="D233" s="222"/>
      <c r="E233" s="222"/>
      <c r="F233" s="222"/>
      <c r="G233" s="244"/>
      <c r="H233" s="45"/>
      <c r="I233" s="45"/>
      <c r="J233" s="89"/>
      <c r="K233" s="45"/>
      <c r="L233" s="45"/>
      <c r="M233" s="45"/>
      <c r="N233" s="45"/>
      <c r="O233" s="45"/>
      <c r="P233" s="45"/>
      <c r="Q233" s="45"/>
      <c r="R233" s="45"/>
      <c r="S233" s="71"/>
      <c r="T233" s="53"/>
      <c r="U233" s="53"/>
      <c r="V233" s="36"/>
      <c r="W233" s="53"/>
      <c r="X233" s="53"/>
      <c r="Y233" s="53"/>
      <c r="Z233" s="250"/>
      <c r="AA233" s="276"/>
      <c r="AB233" s="36" t="s">
        <v>46</v>
      </c>
      <c r="AC233" s="40">
        <v>224</v>
      </c>
      <c r="AD233" s="36" t="s">
        <v>12</v>
      </c>
      <c r="AE233" s="40">
        <v>280</v>
      </c>
      <c r="AF233" s="43"/>
      <c r="AG233" s="43"/>
      <c r="AH233" s="43"/>
      <c r="AI233" s="43"/>
      <c r="AJ233" s="43"/>
      <c r="AK233" s="43"/>
      <c r="AL233" s="250"/>
      <c r="AM233" s="276"/>
      <c r="AN233" s="36"/>
      <c r="AO233" s="40"/>
      <c r="AP233" s="36"/>
      <c r="AQ233" s="40"/>
      <c r="AR233" s="53"/>
    </row>
    <row r="234" spans="1:44" x14ac:dyDescent="0.25">
      <c r="A234" s="288"/>
      <c r="B234" s="239"/>
      <c r="C234" s="223"/>
      <c r="D234" s="223"/>
      <c r="E234" s="223"/>
      <c r="F234" s="223"/>
      <c r="G234" s="245"/>
      <c r="H234" s="45"/>
      <c r="I234" s="45"/>
      <c r="J234" s="89"/>
      <c r="K234" s="45"/>
      <c r="L234" s="45"/>
      <c r="M234" s="45"/>
      <c r="N234" s="45"/>
      <c r="O234" s="45"/>
      <c r="P234" s="45"/>
      <c r="Q234" s="45"/>
      <c r="R234" s="45"/>
      <c r="S234" s="71"/>
      <c r="T234" s="53"/>
      <c r="U234" s="53"/>
      <c r="V234" s="36"/>
      <c r="W234" s="53"/>
      <c r="X234" s="53"/>
      <c r="Y234" s="53"/>
      <c r="Z234" s="251"/>
      <c r="AA234" s="273"/>
      <c r="AB234" s="47" t="s">
        <v>14</v>
      </c>
      <c r="AC234" s="40">
        <v>1.7</v>
      </c>
      <c r="AD234" s="40" t="s">
        <v>2</v>
      </c>
      <c r="AE234" s="61">
        <v>6290</v>
      </c>
      <c r="AF234" s="43"/>
      <c r="AG234" s="43"/>
      <c r="AH234" s="43"/>
      <c r="AI234" s="43"/>
      <c r="AJ234" s="43"/>
      <c r="AK234" s="43"/>
      <c r="AL234" s="251"/>
      <c r="AM234" s="273"/>
      <c r="AN234" s="47"/>
      <c r="AO234" s="40"/>
      <c r="AP234" s="40"/>
      <c r="AQ234" s="61"/>
      <c r="AR234" s="53"/>
    </row>
    <row r="235" spans="1:44" x14ac:dyDescent="0.25">
      <c r="A235" s="272">
        <v>44</v>
      </c>
      <c r="B235" s="272">
        <v>2220122</v>
      </c>
      <c r="C235" s="308" t="s">
        <v>91</v>
      </c>
      <c r="D235" s="308">
        <f>F235</f>
        <v>4.88</v>
      </c>
      <c r="E235" s="308">
        <f>G235</f>
        <v>78080</v>
      </c>
      <c r="F235" s="308">
        <v>4.88</v>
      </c>
      <c r="G235" s="311">
        <v>78080</v>
      </c>
      <c r="H235" s="249"/>
      <c r="I235" s="249"/>
      <c r="J235" s="272"/>
      <c r="K235" s="51"/>
      <c r="L235" s="36"/>
      <c r="M235" s="323"/>
      <c r="N235" s="40"/>
      <c r="O235" s="40"/>
      <c r="P235" s="40"/>
      <c r="Q235" s="40"/>
      <c r="R235" s="40"/>
      <c r="S235" s="58"/>
      <c r="T235" s="36"/>
      <c r="U235" s="36"/>
      <c r="V235" s="36"/>
      <c r="W235" s="36"/>
      <c r="X235" s="36"/>
      <c r="Y235" s="36"/>
      <c r="Z235" s="249" t="s">
        <v>95</v>
      </c>
      <c r="AA235" s="249" t="s">
        <v>96</v>
      </c>
      <c r="AB235" s="272" t="s">
        <v>7</v>
      </c>
      <c r="AC235" s="51">
        <v>1</v>
      </c>
      <c r="AD235" s="36" t="s">
        <v>2</v>
      </c>
      <c r="AE235" s="323">
        <f>27405.6*0.67</f>
        <v>18361.752</v>
      </c>
      <c r="AF235" s="249"/>
      <c r="AG235" s="249"/>
      <c r="AH235" s="272"/>
      <c r="AI235" s="51"/>
      <c r="AJ235" s="36"/>
      <c r="AK235" s="323"/>
      <c r="AL235" s="36"/>
      <c r="AM235" s="36"/>
      <c r="AN235" s="36"/>
      <c r="AO235" s="36"/>
      <c r="AP235" s="36"/>
      <c r="AQ235" s="36"/>
      <c r="AR235" s="36"/>
    </row>
    <row r="236" spans="1:44" x14ac:dyDescent="0.25">
      <c r="A236" s="276"/>
      <c r="B236" s="276"/>
      <c r="C236" s="309"/>
      <c r="D236" s="309"/>
      <c r="E236" s="309"/>
      <c r="F236" s="309"/>
      <c r="G236" s="312"/>
      <c r="H236" s="250"/>
      <c r="I236" s="250"/>
      <c r="J236" s="273"/>
      <c r="K236" s="51"/>
      <c r="L236" s="36"/>
      <c r="M236" s="324"/>
      <c r="N236" s="40"/>
      <c r="O236" s="40"/>
      <c r="P236" s="40"/>
      <c r="Q236" s="40"/>
      <c r="R236" s="40"/>
      <c r="S236" s="58"/>
      <c r="T236" s="36"/>
      <c r="U236" s="36"/>
      <c r="V236" s="36"/>
      <c r="W236" s="36"/>
      <c r="X236" s="36"/>
      <c r="Y236" s="36"/>
      <c r="Z236" s="250"/>
      <c r="AA236" s="250"/>
      <c r="AB236" s="273"/>
      <c r="AC236" s="51">
        <v>19000</v>
      </c>
      <c r="AD236" s="36" t="s">
        <v>4</v>
      </c>
      <c r="AE236" s="324"/>
      <c r="AF236" s="250"/>
      <c r="AG236" s="250"/>
      <c r="AH236" s="273"/>
      <c r="AI236" s="51"/>
      <c r="AJ236" s="36"/>
      <c r="AK236" s="324"/>
      <c r="AL236" s="36"/>
      <c r="AM236" s="36"/>
      <c r="AN236" s="36"/>
      <c r="AO236" s="36"/>
      <c r="AP236" s="36"/>
      <c r="AQ236" s="36"/>
      <c r="AR236" s="36"/>
    </row>
    <row r="237" spans="1:44" x14ac:dyDescent="0.25">
      <c r="A237" s="273"/>
      <c r="B237" s="273"/>
      <c r="C237" s="309"/>
      <c r="D237" s="310"/>
      <c r="E237" s="310"/>
      <c r="F237" s="310"/>
      <c r="G237" s="313"/>
      <c r="H237" s="251"/>
      <c r="I237" s="251"/>
      <c r="J237" s="36"/>
      <c r="K237" s="51"/>
      <c r="L237" s="36"/>
      <c r="M237" s="57"/>
      <c r="N237" s="40"/>
      <c r="O237" s="40"/>
      <c r="P237" s="40"/>
      <c r="Q237" s="40"/>
      <c r="R237" s="40"/>
      <c r="S237" s="58"/>
      <c r="T237" s="36"/>
      <c r="U237" s="36"/>
      <c r="V237" s="36"/>
      <c r="W237" s="36"/>
      <c r="X237" s="36"/>
      <c r="Y237" s="36"/>
      <c r="Z237" s="251"/>
      <c r="AA237" s="251"/>
      <c r="AB237" s="36" t="s">
        <v>13</v>
      </c>
      <c r="AC237" s="51">
        <v>6000</v>
      </c>
      <c r="AD237" s="36" t="s">
        <v>4</v>
      </c>
      <c r="AE237" s="57">
        <f>17968*0.67</f>
        <v>12038.560000000001</v>
      </c>
      <c r="AF237" s="251"/>
      <c r="AG237" s="251"/>
      <c r="AH237" s="36"/>
      <c r="AI237" s="51"/>
      <c r="AJ237" s="36"/>
      <c r="AK237" s="57"/>
      <c r="AL237" s="36"/>
      <c r="AM237" s="36"/>
      <c r="AN237" s="36"/>
      <c r="AO237" s="36"/>
      <c r="AP237" s="36"/>
      <c r="AQ237" s="36"/>
      <c r="AR237" s="36"/>
    </row>
    <row r="238" spans="1:44" x14ac:dyDescent="0.25">
      <c r="A238" s="272">
        <v>45</v>
      </c>
      <c r="B238" s="272">
        <v>2227548</v>
      </c>
      <c r="C238" s="308" t="s">
        <v>100</v>
      </c>
      <c r="D238" s="308">
        <f>F238</f>
        <v>1.768</v>
      </c>
      <c r="E238" s="308">
        <f>G238</f>
        <v>30000</v>
      </c>
      <c r="F238" s="308">
        <v>1.768</v>
      </c>
      <c r="G238" s="311">
        <v>30000</v>
      </c>
      <c r="H238" s="249"/>
      <c r="I238" s="249"/>
      <c r="J238" s="272"/>
      <c r="K238" s="51"/>
      <c r="L238" s="36"/>
      <c r="M238" s="323"/>
      <c r="N238" s="40"/>
      <c r="O238" s="40"/>
      <c r="P238" s="40"/>
      <c r="Q238" s="40"/>
      <c r="R238" s="40"/>
      <c r="S238" s="58"/>
      <c r="T238" s="36"/>
      <c r="U238" s="36"/>
      <c r="V238" s="36"/>
      <c r="W238" s="36"/>
      <c r="X238" s="36"/>
      <c r="Y238" s="36"/>
      <c r="Z238" s="249" t="s">
        <v>101</v>
      </c>
      <c r="AA238" s="249" t="s">
        <v>102</v>
      </c>
      <c r="AB238" s="272" t="s">
        <v>7</v>
      </c>
      <c r="AC238" s="51">
        <v>0.9</v>
      </c>
      <c r="AD238" s="36" t="s">
        <v>2</v>
      </c>
      <c r="AE238" s="323">
        <f>23175.3*0.67</f>
        <v>15527.451000000001</v>
      </c>
      <c r="AF238" s="249"/>
      <c r="AG238" s="249"/>
      <c r="AH238" s="272"/>
      <c r="AI238" s="51"/>
      <c r="AJ238" s="36"/>
      <c r="AK238" s="323"/>
      <c r="AL238" s="36"/>
      <c r="AM238" s="36"/>
      <c r="AN238" s="36"/>
      <c r="AO238" s="36"/>
      <c r="AP238" s="36"/>
      <c r="AQ238" s="36"/>
      <c r="AR238" s="36"/>
    </row>
    <row r="239" spans="1:44" x14ac:dyDescent="0.25">
      <c r="A239" s="276"/>
      <c r="B239" s="276"/>
      <c r="C239" s="309"/>
      <c r="D239" s="309"/>
      <c r="E239" s="309"/>
      <c r="F239" s="309"/>
      <c r="G239" s="312"/>
      <c r="H239" s="250"/>
      <c r="I239" s="250"/>
      <c r="J239" s="273"/>
      <c r="K239" s="51"/>
      <c r="L239" s="36"/>
      <c r="M239" s="324"/>
      <c r="N239" s="40"/>
      <c r="O239" s="40"/>
      <c r="P239" s="40"/>
      <c r="Q239" s="40"/>
      <c r="R239" s="40"/>
      <c r="S239" s="58"/>
      <c r="T239" s="36"/>
      <c r="U239" s="36"/>
      <c r="V239" s="36"/>
      <c r="W239" s="36"/>
      <c r="X239" s="36"/>
      <c r="Y239" s="36"/>
      <c r="Z239" s="250"/>
      <c r="AA239" s="250"/>
      <c r="AB239" s="273"/>
      <c r="AC239" s="51">
        <v>15300</v>
      </c>
      <c r="AD239" s="36" t="s">
        <v>4</v>
      </c>
      <c r="AE239" s="324"/>
      <c r="AF239" s="250"/>
      <c r="AG239" s="250"/>
      <c r="AH239" s="273"/>
      <c r="AI239" s="51"/>
      <c r="AJ239" s="36"/>
      <c r="AK239" s="324"/>
      <c r="AL239" s="36"/>
      <c r="AM239" s="36"/>
      <c r="AN239" s="36"/>
      <c r="AO239" s="36"/>
      <c r="AP239" s="36"/>
      <c r="AQ239" s="36"/>
      <c r="AR239" s="36"/>
    </row>
    <row r="240" spans="1:44" x14ac:dyDescent="0.25">
      <c r="A240" s="276"/>
      <c r="B240" s="276"/>
      <c r="C240" s="309"/>
      <c r="D240" s="309"/>
      <c r="E240" s="309"/>
      <c r="F240" s="309"/>
      <c r="G240" s="312"/>
      <c r="H240" s="250"/>
      <c r="I240" s="250"/>
      <c r="J240" s="36"/>
      <c r="K240" s="51"/>
      <c r="L240" s="36"/>
      <c r="M240" s="57"/>
      <c r="N240" s="40"/>
      <c r="O240" s="40"/>
      <c r="P240" s="40"/>
      <c r="Q240" s="40"/>
      <c r="R240" s="40"/>
      <c r="S240" s="58"/>
      <c r="T240" s="36"/>
      <c r="U240" s="36"/>
      <c r="V240" s="36"/>
      <c r="W240" s="36"/>
      <c r="X240" s="36"/>
      <c r="Y240" s="36"/>
      <c r="Z240" s="250"/>
      <c r="AA240" s="250"/>
      <c r="AB240" s="36" t="s">
        <v>13</v>
      </c>
      <c r="AC240" s="51">
        <v>5400</v>
      </c>
      <c r="AD240" s="36" t="s">
        <v>4</v>
      </c>
      <c r="AE240" s="57">
        <f>11280*0.67</f>
        <v>7557.6</v>
      </c>
      <c r="AF240" s="250"/>
      <c r="AG240" s="250"/>
      <c r="AH240" s="36"/>
      <c r="AI240" s="51"/>
      <c r="AJ240" s="36"/>
      <c r="AK240" s="57"/>
      <c r="AL240" s="36"/>
      <c r="AM240" s="36"/>
      <c r="AN240" s="36"/>
      <c r="AO240" s="36"/>
      <c r="AP240" s="36"/>
      <c r="AQ240" s="36"/>
      <c r="AR240" s="36"/>
    </row>
    <row r="241" spans="1:44" ht="45" x14ac:dyDescent="0.25">
      <c r="A241" s="273"/>
      <c r="B241" s="273"/>
      <c r="C241" s="310"/>
      <c r="D241" s="310"/>
      <c r="E241" s="310"/>
      <c r="F241" s="310"/>
      <c r="G241" s="313"/>
      <c r="H241" s="251"/>
      <c r="I241" s="251"/>
      <c r="J241" s="36"/>
      <c r="K241" s="51"/>
      <c r="L241" s="36"/>
      <c r="M241" s="57"/>
      <c r="N241" s="40"/>
      <c r="O241" s="40"/>
      <c r="P241" s="40"/>
      <c r="Q241" s="40"/>
      <c r="R241" s="40"/>
      <c r="S241" s="58"/>
      <c r="T241" s="36"/>
      <c r="U241" s="36"/>
      <c r="V241" s="36"/>
      <c r="W241" s="36"/>
      <c r="X241" s="36"/>
      <c r="Y241" s="36"/>
      <c r="Z241" s="251"/>
      <c r="AA241" s="251"/>
      <c r="AB241" s="36" t="s">
        <v>46</v>
      </c>
      <c r="AC241" s="51">
        <v>500</v>
      </c>
      <c r="AD241" s="36" t="s">
        <v>12</v>
      </c>
      <c r="AE241" s="57">
        <v>625</v>
      </c>
      <c r="AF241" s="251"/>
      <c r="AG241" s="251"/>
      <c r="AH241" s="36"/>
      <c r="AI241" s="51"/>
      <c r="AJ241" s="36"/>
      <c r="AK241" s="57"/>
      <c r="AL241" s="36"/>
      <c r="AM241" s="36"/>
      <c r="AN241" s="36"/>
      <c r="AO241" s="36"/>
      <c r="AP241" s="36"/>
      <c r="AQ241" s="36"/>
      <c r="AR241" s="36"/>
    </row>
    <row r="242" spans="1:44" x14ac:dyDescent="0.25">
      <c r="A242" s="272">
        <v>46</v>
      </c>
      <c r="B242" s="272">
        <v>2224554</v>
      </c>
      <c r="C242" s="308" t="s">
        <v>117</v>
      </c>
      <c r="D242" s="308">
        <f>F242</f>
        <v>1.806</v>
      </c>
      <c r="E242" s="308">
        <f>G242</f>
        <v>30700</v>
      </c>
      <c r="F242" s="308">
        <v>1.806</v>
      </c>
      <c r="G242" s="311">
        <v>30700</v>
      </c>
      <c r="H242" s="249"/>
      <c r="I242" s="249"/>
      <c r="J242" s="272"/>
      <c r="K242" s="249"/>
      <c r="L242" s="272"/>
      <c r="M242" s="323"/>
      <c r="N242" s="249"/>
      <c r="O242" s="249"/>
      <c r="P242" s="272"/>
      <c r="Q242" s="40"/>
      <c r="R242" s="36"/>
      <c r="S242" s="375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249" t="s">
        <v>118</v>
      </c>
      <c r="AG242" s="249" t="s">
        <v>119</v>
      </c>
      <c r="AH242" s="272" t="s">
        <v>7</v>
      </c>
      <c r="AI242" s="40">
        <v>1.8</v>
      </c>
      <c r="AJ242" s="36" t="s">
        <v>2</v>
      </c>
      <c r="AK242" s="375">
        <f>46096.8*0.67</f>
        <v>30884.856000000003</v>
      </c>
      <c r="AL242" s="40"/>
      <c r="AM242" s="36"/>
      <c r="AN242" s="36"/>
      <c r="AO242" s="36"/>
      <c r="AP242" s="36"/>
      <c r="AQ242" s="36"/>
      <c r="AR242" s="36"/>
    </row>
    <row r="243" spans="1:44" x14ac:dyDescent="0.25">
      <c r="A243" s="276"/>
      <c r="B243" s="276"/>
      <c r="C243" s="309"/>
      <c r="D243" s="309"/>
      <c r="E243" s="309"/>
      <c r="F243" s="309"/>
      <c r="G243" s="312"/>
      <c r="H243" s="250"/>
      <c r="I243" s="250"/>
      <c r="J243" s="276"/>
      <c r="K243" s="250"/>
      <c r="L243" s="276"/>
      <c r="M243" s="374"/>
      <c r="N243" s="250"/>
      <c r="O243" s="250"/>
      <c r="P243" s="273"/>
      <c r="Q243" s="58"/>
      <c r="R243" s="36"/>
      <c r="S243" s="37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250"/>
      <c r="AG243" s="250"/>
      <c r="AH243" s="273"/>
      <c r="AI243" s="58">
        <v>30700</v>
      </c>
      <c r="AJ243" s="36" t="s">
        <v>4</v>
      </c>
      <c r="AK243" s="376"/>
      <c r="AL243" s="36"/>
      <c r="AM243" s="36"/>
      <c r="AN243" s="36"/>
      <c r="AO243" s="36"/>
      <c r="AP243" s="36"/>
      <c r="AQ243" s="36"/>
      <c r="AR243" s="36"/>
    </row>
    <row r="244" spans="1:44" x14ac:dyDescent="0.25">
      <c r="A244" s="276"/>
      <c r="B244" s="276"/>
      <c r="C244" s="309"/>
      <c r="D244" s="309"/>
      <c r="E244" s="309"/>
      <c r="F244" s="309"/>
      <c r="G244" s="312"/>
      <c r="H244" s="250"/>
      <c r="I244" s="250"/>
      <c r="J244" s="276"/>
      <c r="K244" s="250"/>
      <c r="L244" s="276"/>
      <c r="M244" s="374"/>
      <c r="N244" s="250"/>
      <c r="O244" s="250"/>
      <c r="P244" s="36"/>
      <c r="Q244" s="40"/>
      <c r="R244" s="36"/>
      <c r="S244" s="51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250"/>
      <c r="AG244" s="250"/>
      <c r="AH244" s="36" t="s">
        <v>13</v>
      </c>
      <c r="AI244" s="40">
        <v>10800</v>
      </c>
      <c r="AJ244" s="36" t="s">
        <v>4</v>
      </c>
      <c r="AK244" s="51">
        <f>23244.2*0.67</f>
        <v>15573.614000000001</v>
      </c>
      <c r="AL244" s="36"/>
      <c r="AM244" s="36"/>
      <c r="AN244" s="36"/>
      <c r="AO244" s="36"/>
      <c r="AP244" s="36"/>
      <c r="AQ244" s="36"/>
      <c r="AR244" s="36"/>
    </row>
    <row r="245" spans="1:44" ht="45" x14ac:dyDescent="0.25">
      <c r="A245" s="276"/>
      <c r="B245" s="276"/>
      <c r="C245" s="309"/>
      <c r="D245" s="309"/>
      <c r="E245" s="309"/>
      <c r="F245" s="309"/>
      <c r="G245" s="312"/>
      <c r="H245" s="250"/>
      <c r="I245" s="250"/>
      <c r="J245" s="276"/>
      <c r="K245" s="250"/>
      <c r="L245" s="276"/>
      <c r="M245" s="374"/>
      <c r="N245" s="250"/>
      <c r="O245" s="250"/>
      <c r="P245" s="36"/>
      <c r="Q245" s="40"/>
      <c r="R245" s="36"/>
      <c r="S245" s="51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250"/>
      <c r="AG245" s="250"/>
      <c r="AH245" s="36" t="s">
        <v>46</v>
      </c>
      <c r="AI245" s="40">
        <v>442</v>
      </c>
      <c r="AJ245" s="36" t="s">
        <v>12</v>
      </c>
      <c r="AK245" s="51">
        <v>552.5</v>
      </c>
      <c r="AL245" s="36"/>
      <c r="AM245" s="36"/>
      <c r="AN245" s="36"/>
      <c r="AO245" s="36"/>
      <c r="AP245" s="36"/>
      <c r="AQ245" s="36"/>
      <c r="AR245" s="36"/>
    </row>
    <row r="246" spans="1:44" ht="30" x14ac:dyDescent="0.25">
      <c r="A246" s="276"/>
      <c r="B246" s="276"/>
      <c r="C246" s="309"/>
      <c r="D246" s="309"/>
      <c r="E246" s="309"/>
      <c r="F246" s="309"/>
      <c r="G246" s="312"/>
      <c r="H246" s="250"/>
      <c r="I246" s="250"/>
      <c r="J246" s="276"/>
      <c r="K246" s="250"/>
      <c r="L246" s="276"/>
      <c r="M246" s="374"/>
      <c r="N246" s="250"/>
      <c r="O246" s="250"/>
      <c r="P246" s="82"/>
      <c r="Q246" s="40"/>
      <c r="R246" s="40"/>
      <c r="S246" s="51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250"/>
      <c r="AG246" s="250"/>
      <c r="AH246" s="82" t="s">
        <v>89</v>
      </c>
      <c r="AI246" s="40">
        <v>5</v>
      </c>
      <c r="AJ246" s="40" t="s">
        <v>90</v>
      </c>
      <c r="AK246" s="51">
        <v>500</v>
      </c>
      <c r="AL246" s="36"/>
      <c r="AM246" s="36"/>
      <c r="AN246" s="36"/>
      <c r="AO246" s="36"/>
      <c r="AP246" s="36"/>
      <c r="AQ246" s="36"/>
      <c r="AR246" s="36"/>
    </row>
    <row r="247" spans="1:44" ht="45" x14ac:dyDescent="0.25">
      <c r="A247" s="273"/>
      <c r="B247" s="273"/>
      <c r="C247" s="310"/>
      <c r="D247" s="310"/>
      <c r="E247" s="310"/>
      <c r="F247" s="310"/>
      <c r="G247" s="313"/>
      <c r="H247" s="251"/>
      <c r="I247" s="251"/>
      <c r="J247" s="273"/>
      <c r="K247" s="251"/>
      <c r="L247" s="273"/>
      <c r="M247" s="324"/>
      <c r="N247" s="251"/>
      <c r="O247" s="251"/>
      <c r="P247" s="171"/>
      <c r="Q247" s="40"/>
      <c r="R247" s="59"/>
      <c r="S247" s="51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251"/>
      <c r="AG247" s="251"/>
      <c r="AH247" s="171" t="s">
        <v>11</v>
      </c>
      <c r="AI247" s="40">
        <v>360</v>
      </c>
      <c r="AJ247" s="59" t="s">
        <v>12</v>
      </c>
      <c r="AK247" s="51">
        <v>1800</v>
      </c>
      <c r="AL247" s="36"/>
      <c r="AM247" s="36"/>
      <c r="AN247" s="36"/>
      <c r="AO247" s="36"/>
      <c r="AP247" s="36"/>
      <c r="AQ247" s="36"/>
      <c r="AR247" s="36"/>
    </row>
    <row r="248" spans="1:44" x14ac:dyDescent="0.25">
      <c r="A248" s="272">
        <v>47</v>
      </c>
      <c r="B248" s="272">
        <v>2228456</v>
      </c>
      <c r="C248" s="308" t="s">
        <v>120</v>
      </c>
      <c r="D248" s="308">
        <f>F248</f>
        <v>1.27</v>
      </c>
      <c r="E248" s="308">
        <f>G248</f>
        <v>13970</v>
      </c>
      <c r="F248" s="308">
        <v>1.27</v>
      </c>
      <c r="G248" s="308">
        <v>13970</v>
      </c>
      <c r="H248" s="249"/>
      <c r="I248" s="249"/>
      <c r="J248" s="272"/>
      <c r="K248" s="249"/>
      <c r="L248" s="272"/>
      <c r="M248" s="323"/>
      <c r="N248" s="249"/>
      <c r="O248" s="249"/>
      <c r="P248" s="272"/>
      <c r="Q248" s="40"/>
      <c r="R248" s="36"/>
      <c r="S248" s="375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249" t="s">
        <v>117</v>
      </c>
      <c r="AG248" s="249" t="s">
        <v>121</v>
      </c>
      <c r="AH248" s="272" t="s">
        <v>7</v>
      </c>
      <c r="AI248" s="40">
        <v>0.5</v>
      </c>
      <c r="AJ248" s="36" t="s">
        <v>2</v>
      </c>
      <c r="AK248" s="375">
        <f>9639.1*0.67</f>
        <v>6458.197000000001</v>
      </c>
      <c r="AL248" s="36"/>
      <c r="AM248" s="36"/>
      <c r="AN248" s="36"/>
      <c r="AO248" s="36"/>
      <c r="AP248" s="36"/>
      <c r="AQ248" s="36"/>
      <c r="AR248" s="36"/>
    </row>
    <row r="249" spans="1:44" x14ac:dyDescent="0.25">
      <c r="A249" s="276"/>
      <c r="B249" s="276"/>
      <c r="C249" s="309"/>
      <c r="D249" s="309"/>
      <c r="E249" s="309"/>
      <c r="F249" s="309"/>
      <c r="G249" s="309"/>
      <c r="H249" s="250"/>
      <c r="I249" s="250"/>
      <c r="J249" s="276"/>
      <c r="K249" s="250"/>
      <c r="L249" s="276"/>
      <c r="M249" s="374"/>
      <c r="N249" s="250"/>
      <c r="O249" s="250"/>
      <c r="P249" s="273"/>
      <c r="Q249" s="58"/>
      <c r="R249" s="36"/>
      <c r="S249" s="37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250"/>
      <c r="AG249" s="250"/>
      <c r="AH249" s="273"/>
      <c r="AI249" s="58">
        <v>5500</v>
      </c>
      <c r="AJ249" s="36" t="s">
        <v>4</v>
      </c>
      <c r="AK249" s="376"/>
      <c r="AL249" s="36"/>
      <c r="AM249" s="36"/>
      <c r="AN249" s="36"/>
      <c r="AO249" s="36"/>
      <c r="AP249" s="36"/>
      <c r="AQ249" s="36"/>
      <c r="AR249" s="36"/>
    </row>
    <row r="250" spans="1:44" x14ac:dyDescent="0.25">
      <c r="A250" s="273"/>
      <c r="B250" s="273"/>
      <c r="C250" s="310"/>
      <c r="D250" s="310"/>
      <c r="E250" s="310"/>
      <c r="F250" s="310"/>
      <c r="G250" s="310"/>
      <c r="H250" s="251"/>
      <c r="I250" s="251"/>
      <c r="J250" s="273"/>
      <c r="K250" s="251"/>
      <c r="L250" s="273"/>
      <c r="M250" s="324"/>
      <c r="N250" s="251"/>
      <c r="O250" s="251"/>
      <c r="P250" s="36"/>
      <c r="Q250" s="40"/>
      <c r="R250" s="36"/>
      <c r="S250" s="51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251"/>
      <c r="AG250" s="251"/>
      <c r="AH250" s="36" t="s">
        <v>13</v>
      </c>
      <c r="AI250" s="40">
        <v>3000</v>
      </c>
      <c r="AJ250" s="36" t="s">
        <v>4</v>
      </c>
      <c r="AK250" s="51">
        <f>6456.7*0.67</f>
        <v>4325.9890000000005</v>
      </c>
      <c r="AL250" s="36"/>
      <c r="AM250" s="36"/>
      <c r="AN250" s="36"/>
      <c r="AO250" s="36"/>
      <c r="AP250" s="36"/>
      <c r="AQ250" s="36"/>
      <c r="AR250" s="36"/>
    </row>
    <row r="251" spans="1:44" x14ac:dyDescent="0.25">
      <c r="A251" s="272">
        <v>48</v>
      </c>
      <c r="B251" s="305">
        <v>2225710</v>
      </c>
      <c r="C251" s="377" t="s">
        <v>129</v>
      </c>
      <c r="D251" s="308">
        <f>F251</f>
        <v>1.1499999999999999</v>
      </c>
      <c r="E251" s="308">
        <f>G251</f>
        <v>15000</v>
      </c>
      <c r="F251" s="308">
        <v>1.1499999999999999</v>
      </c>
      <c r="G251" s="308">
        <v>15000</v>
      </c>
      <c r="H251" s="249"/>
      <c r="I251" s="249"/>
      <c r="J251" s="277"/>
      <c r="K251" s="249"/>
      <c r="L251" s="249"/>
      <c r="M251" s="249"/>
      <c r="N251" s="272"/>
      <c r="O251" s="272"/>
      <c r="P251" s="272"/>
      <c r="Q251" s="40"/>
      <c r="R251" s="36"/>
      <c r="S251" s="274"/>
      <c r="T251" s="62"/>
      <c r="U251" s="62"/>
      <c r="V251" s="62"/>
      <c r="W251" s="62"/>
      <c r="X251" s="62"/>
      <c r="Y251" s="62"/>
      <c r="Z251" s="62"/>
      <c r="AA251" s="272"/>
      <c r="AB251" s="277"/>
      <c r="AC251" s="272"/>
      <c r="AD251" s="249"/>
      <c r="AE251" s="272"/>
      <c r="AF251" s="272" t="s">
        <v>130</v>
      </c>
      <c r="AG251" s="272" t="s">
        <v>131</v>
      </c>
      <c r="AH251" s="272" t="s">
        <v>7</v>
      </c>
      <c r="AI251" s="40">
        <v>1.1499999999999999</v>
      </c>
      <c r="AJ251" s="36" t="s">
        <v>2</v>
      </c>
      <c r="AK251" s="274">
        <f>24969.1*0.67</f>
        <v>16729.296999999999</v>
      </c>
      <c r="AL251" s="36"/>
      <c r="AM251" s="36"/>
      <c r="AN251" s="36"/>
      <c r="AO251" s="36"/>
      <c r="AP251" s="36"/>
      <c r="AQ251" s="36"/>
      <c r="AR251" s="36"/>
    </row>
    <row r="252" spans="1:44" x14ac:dyDescent="0.25">
      <c r="A252" s="276"/>
      <c r="B252" s="306"/>
      <c r="C252" s="378"/>
      <c r="D252" s="309"/>
      <c r="E252" s="309"/>
      <c r="F252" s="309"/>
      <c r="G252" s="309"/>
      <c r="H252" s="250"/>
      <c r="I252" s="250"/>
      <c r="J252" s="278"/>
      <c r="K252" s="250"/>
      <c r="L252" s="250"/>
      <c r="M252" s="250"/>
      <c r="N252" s="276"/>
      <c r="O252" s="276"/>
      <c r="P252" s="273"/>
      <c r="Q252" s="40"/>
      <c r="R252" s="36"/>
      <c r="S252" s="275"/>
      <c r="T252" s="62"/>
      <c r="U252" s="62"/>
      <c r="V252" s="62"/>
      <c r="W252" s="62"/>
      <c r="X252" s="62"/>
      <c r="Y252" s="62"/>
      <c r="Z252" s="62"/>
      <c r="AA252" s="276"/>
      <c r="AB252" s="278"/>
      <c r="AC252" s="276"/>
      <c r="AD252" s="250"/>
      <c r="AE252" s="276"/>
      <c r="AF252" s="276"/>
      <c r="AG252" s="276"/>
      <c r="AH252" s="273"/>
      <c r="AI252" s="40">
        <v>15000</v>
      </c>
      <c r="AJ252" s="36" t="s">
        <v>4</v>
      </c>
      <c r="AK252" s="275"/>
      <c r="AL252" s="36"/>
      <c r="AM252" s="36"/>
      <c r="AN252" s="36"/>
      <c r="AO252" s="36"/>
      <c r="AP252" s="36"/>
      <c r="AQ252" s="36"/>
      <c r="AR252" s="36"/>
    </row>
    <row r="253" spans="1:44" x14ac:dyDescent="0.25">
      <c r="A253" s="276"/>
      <c r="B253" s="306"/>
      <c r="C253" s="378"/>
      <c r="D253" s="309"/>
      <c r="E253" s="309"/>
      <c r="F253" s="309"/>
      <c r="G253" s="309"/>
      <c r="H253" s="250"/>
      <c r="I253" s="250"/>
      <c r="J253" s="278"/>
      <c r="K253" s="250"/>
      <c r="L253" s="250"/>
      <c r="M253" s="250"/>
      <c r="N253" s="276"/>
      <c r="O253" s="276"/>
      <c r="P253" s="36"/>
      <c r="Q253" s="40"/>
      <c r="R253" s="36"/>
      <c r="S253" s="77"/>
      <c r="T253" s="62"/>
      <c r="U253" s="62"/>
      <c r="V253" s="62"/>
      <c r="W253" s="62"/>
      <c r="X253" s="62"/>
      <c r="Y253" s="62"/>
      <c r="Z253" s="62"/>
      <c r="AA253" s="276"/>
      <c r="AB253" s="278"/>
      <c r="AC253" s="276"/>
      <c r="AD253" s="250"/>
      <c r="AE253" s="276"/>
      <c r="AF253" s="276"/>
      <c r="AG253" s="276"/>
      <c r="AH253" s="36" t="s">
        <v>13</v>
      </c>
      <c r="AI253" s="40">
        <v>6900</v>
      </c>
      <c r="AJ253" s="36" t="s">
        <v>4</v>
      </c>
      <c r="AK253" s="77">
        <f>14413.3*0.67</f>
        <v>9656.9110000000001</v>
      </c>
      <c r="AL253" s="36"/>
      <c r="AM253" s="36"/>
      <c r="AN253" s="36"/>
      <c r="AO253" s="36"/>
      <c r="AP253" s="36"/>
      <c r="AQ253" s="36"/>
      <c r="AR253" s="36"/>
    </row>
    <row r="254" spans="1:44" ht="45" x14ac:dyDescent="0.25">
      <c r="A254" s="276"/>
      <c r="B254" s="306"/>
      <c r="C254" s="378"/>
      <c r="D254" s="309"/>
      <c r="E254" s="309"/>
      <c r="F254" s="309"/>
      <c r="G254" s="309"/>
      <c r="H254" s="250"/>
      <c r="I254" s="250"/>
      <c r="J254" s="278"/>
      <c r="K254" s="250"/>
      <c r="L254" s="250"/>
      <c r="M254" s="250"/>
      <c r="N254" s="276"/>
      <c r="O254" s="276"/>
      <c r="P254" s="36"/>
      <c r="Q254" s="40"/>
      <c r="R254" s="36"/>
      <c r="S254" s="77"/>
      <c r="T254" s="62"/>
      <c r="U254" s="62"/>
      <c r="V254" s="62"/>
      <c r="W254" s="62"/>
      <c r="X254" s="62"/>
      <c r="Y254" s="62"/>
      <c r="Z254" s="62"/>
      <c r="AA254" s="276"/>
      <c r="AB254" s="278"/>
      <c r="AC254" s="276"/>
      <c r="AD254" s="250"/>
      <c r="AE254" s="276"/>
      <c r="AF254" s="276"/>
      <c r="AG254" s="276"/>
      <c r="AH254" s="36" t="s">
        <v>46</v>
      </c>
      <c r="AI254" s="40">
        <v>330</v>
      </c>
      <c r="AJ254" s="36" t="s">
        <v>12</v>
      </c>
      <c r="AK254" s="77">
        <v>412.5</v>
      </c>
      <c r="AL254" s="36"/>
      <c r="AM254" s="36"/>
      <c r="AN254" s="36"/>
      <c r="AO254" s="36"/>
      <c r="AP254" s="36"/>
      <c r="AQ254" s="36"/>
      <c r="AR254" s="36"/>
    </row>
    <row r="255" spans="1:44" ht="30" x14ac:dyDescent="0.25">
      <c r="A255" s="276"/>
      <c r="B255" s="306"/>
      <c r="C255" s="378"/>
      <c r="D255" s="309"/>
      <c r="E255" s="309"/>
      <c r="F255" s="309"/>
      <c r="G255" s="309"/>
      <c r="H255" s="250"/>
      <c r="I255" s="250"/>
      <c r="J255" s="278"/>
      <c r="K255" s="250"/>
      <c r="L255" s="250"/>
      <c r="M255" s="250"/>
      <c r="N255" s="276"/>
      <c r="O255" s="276"/>
      <c r="P255" s="82"/>
      <c r="Q255" s="40"/>
      <c r="R255" s="40"/>
      <c r="S255" s="77"/>
      <c r="T255" s="62"/>
      <c r="U255" s="62"/>
      <c r="V255" s="62"/>
      <c r="W255" s="62"/>
      <c r="X255" s="62"/>
      <c r="Y255" s="62"/>
      <c r="Z255" s="62"/>
      <c r="AA255" s="276"/>
      <c r="AB255" s="278"/>
      <c r="AC255" s="276"/>
      <c r="AD255" s="250"/>
      <c r="AE255" s="276"/>
      <c r="AF255" s="276"/>
      <c r="AG255" s="276"/>
      <c r="AH255" s="82" t="s">
        <v>89</v>
      </c>
      <c r="AI255" s="40">
        <v>6</v>
      </c>
      <c r="AJ255" s="40" t="s">
        <v>90</v>
      </c>
      <c r="AK255" s="77">
        <v>600</v>
      </c>
      <c r="AL255" s="36"/>
      <c r="AM255" s="36"/>
      <c r="AN255" s="36"/>
      <c r="AO255" s="36"/>
      <c r="AP255" s="36"/>
      <c r="AQ255" s="36"/>
      <c r="AR255" s="36"/>
    </row>
    <row r="256" spans="1:44" x14ac:dyDescent="0.25">
      <c r="A256" s="273"/>
      <c r="B256" s="307"/>
      <c r="C256" s="379"/>
      <c r="D256" s="310"/>
      <c r="E256" s="310"/>
      <c r="F256" s="310"/>
      <c r="G256" s="310"/>
      <c r="H256" s="251"/>
      <c r="I256" s="251"/>
      <c r="J256" s="279"/>
      <c r="K256" s="251"/>
      <c r="L256" s="251"/>
      <c r="M256" s="251"/>
      <c r="N256" s="273"/>
      <c r="O256" s="273"/>
      <c r="P256" s="47"/>
      <c r="Q256" s="40"/>
      <c r="R256" s="36"/>
      <c r="S256" s="77"/>
      <c r="T256" s="62"/>
      <c r="U256" s="62"/>
      <c r="V256" s="62"/>
      <c r="W256" s="62"/>
      <c r="X256" s="62"/>
      <c r="Y256" s="62"/>
      <c r="Z256" s="62"/>
      <c r="AA256" s="273"/>
      <c r="AB256" s="279"/>
      <c r="AC256" s="273"/>
      <c r="AD256" s="251"/>
      <c r="AE256" s="273"/>
      <c r="AF256" s="273"/>
      <c r="AG256" s="273"/>
      <c r="AH256" s="47"/>
      <c r="AI256" s="40"/>
      <c r="AJ256" s="36"/>
      <c r="AK256" s="77"/>
      <c r="AL256" s="36"/>
      <c r="AM256" s="36"/>
      <c r="AN256" s="36"/>
      <c r="AO256" s="36"/>
      <c r="AP256" s="36"/>
      <c r="AQ256" s="36"/>
      <c r="AR256" s="36"/>
    </row>
    <row r="257" spans="1:44" x14ac:dyDescent="0.25">
      <c r="A257" s="272">
        <v>49</v>
      </c>
      <c r="B257" s="305">
        <v>2220362</v>
      </c>
      <c r="C257" s="377" t="s">
        <v>132</v>
      </c>
      <c r="D257" s="308">
        <f>F257</f>
        <v>0.95</v>
      </c>
      <c r="E257" s="308">
        <f>G257</f>
        <v>16000</v>
      </c>
      <c r="F257" s="308">
        <v>0.95</v>
      </c>
      <c r="G257" s="308">
        <v>16000</v>
      </c>
      <c r="H257" s="249"/>
      <c r="I257" s="249"/>
      <c r="J257" s="277"/>
      <c r="K257" s="249"/>
      <c r="L257" s="249"/>
      <c r="M257" s="249"/>
      <c r="N257" s="272"/>
      <c r="O257" s="272"/>
      <c r="P257" s="272"/>
      <c r="Q257" s="40"/>
      <c r="R257" s="36"/>
      <c r="S257" s="274"/>
      <c r="T257" s="62"/>
      <c r="U257" s="62"/>
      <c r="V257" s="62"/>
      <c r="W257" s="62"/>
      <c r="X257" s="62"/>
      <c r="Y257" s="62"/>
      <c r="Z257" s="62"/>
      <c r="AA257" s="62"/>
      <c r="AB257" s="277"/>
      <c r="AC257" s="272"/>
      <c r="AD257" s="249"/>
      <c r="AE257" s="272"/>
      <c r="AF257" s="272" t="s">
        <v>102</v>
      </c>
      <c r="AG257" s="272" t="s">
        <v>133</v>
      </c>
      <c r="AH257" s="272" t="s">
        <v>7</v>
      </c>
      <c r="AI257" s="40">
        <v>0.95</v>
      </c>
      <c r="AJ257" s="36" t="s">
        <v>2</v>
      </c>
      <c r="AK257" s="274">
        <f>35694.8*0.67</f>
        <v>23915.516000000003</v>
      </c>
      <c r="AL257" s="36"/>
      <c r="AM257" s="36"/>
      <c r="AN257" s="36"/>
      <c r="AO257" s="36"/>
      <c r="AP257" s="36"/>
      <c r="AQ257" s="36"/>
      <c r="AR257" s="36"/>
    </row>
    <row r="258" spans="1:44" x14ac:dyDescent="0.25">
      <c r="A258" s="276"/>
      <c r="B258" s="306"/>
      <c r="C258" s="378"/>
      <c r="D258" s="309"/>
      <c r="E258" s="309"/>
      <c r="F258" s="309"/>
      <c r="G258" s="309"/>
      <c r="H258" s="250"/>
      <c r="I258" s="250"/>
      <c r="J258" s="278"/>
      <c r="K258" s="250"/>
      <c r="L258" s="250"/>
      <c r="M258" s="250"/>
      <c r="N258" s="276"/>
      <c r="O258" s="276"/>
      <c r="P258" s="273"/>
      <c r="Q258" s="40"/>
      <c r="R258" s="36"/>
      <c r="S258" s="275"/>
      <c r="T258" s="62"/>
      <c r="U258" s="62"/>
      <c r="V258" s="62"/>
      <c r="W258" s="62"/>
      <c r="X258" s="62"/>
      <c r="Y258" s="62"/>
      <c r="Z258" s="62"/>
      <c r="AA258" s="62"/>
      <c r="AB258" s="278"/>
      <c r="AC258" s="276"/>
      <c r="AD258" s="250"/>
      <c r="AE258" s="276"/>
      <c r="AF258" s="276"/>
      <c r="AG258" s="276"/>
      <c r="AH258" s="273"/>
      <c r="AI258" s="40">
        <v>16000</v>
      </c>
      <c r="AJ258" s="36" t="s">
        <v>4</v>
      </c>
      <c r="AK258" s="275"/>
      <c r="AL258" s="36"/>
      <c r="AM258" s="36"/>
      <c r="AN258" s="36"/>
      <c r="AO258" s="36"/>
      <c r="AP258" s="36"/>
      <c r="AQ258" s="36"/>
      <c r="AR258" s="36"/>
    </row>
    <row r="259" spans="1:44" x14ac:dyDescent="0.25">
      <c r="A259" s="276"/>
      <c r="B259" s="306"/>
      <c r="C259" s="378"/>
      <c r="D259" s="309"/>
      <c r="E259" s="309"/>
      <c r="F259" s="309"/>
      <c r="G259" s="309"/>
      <c r="H259" s="250"/>
      <c r="I259" s="250"/>
      <c r="J259" s="278"/>
      <c r="K259" s="250"/>
      <c r="L259" s="250"/>
      <c r="M259" s="250"/>
      <c r="N259" s="276"/>
      <c r="O259" s="276"/>
      <c r="P259" s="36"/>
      <c r="Q259" s="40"/>
      <c r="R259" s="36"/>
      <c r="S259" s="77"/>
      <c r="T259" s="36"/>
      <c r="U259" s="36"/>
      <c r="V259" s="36"/>
      <c r="W259" s="36"/>
      <c r="X259" s="36"/>
      <c r="Y259" s="36"/>
      <c r="Z259" s="62"/>
      <c r="AA259" s="62"/>
      <c r="AB259" s="278"/>
      <c r="AC259" s="276"/>
      <c r="AD259" s="250"/>
      <c r="AE259" s="276"/>
      <c r="AF259" s="276"/>
      <c r="AG259" s="276"/>
      <c r="AH259" s="36" t="s">
        <v>13</v>
      </c>
      <c r="AI259" s="40">
        <v>5700</v>
      </c>
      <c r="AJ259" s="36" t="s">
        <v>4</v>
      </c>
      <c r="AK259" s="77">
        <f>10577.2*0.67</f>
        <v>7086.7240000000011</v>
      </c>
      <c r="AL259" s="36"/>
      <c r="AM259" s="36"/>
      <c r="AN259" s="36"/>
      <c r="AO259" s="36"/>
      <c r="AP259" s="36"/>
      <c r="AQ259" s="36"/>
      <c r="AR259" s="36"/>
    </row>
    <row r="260" spans="1:44" ht="45" x14ac:dyDescent="0.25">
      <c r="A260" s="276"/>
      <c r="B260" s="306"/>
      <c r="C260" s="378"/>
      <c r="D260" s="309"/>
      <c r="E260" s="309"/>
      <c r="F260" s="309"/>
      <c r="G260" s="309"/>
      <c r="H260" s="250"/>
      <c r="I260" s="250"/>
      <c r="J260" s="278"/>
      <c r="K260" s="250"/>
      <c r="L260" s="250"/>
      <c r="M260" s="250"/>
      <c r="N260" s="276"/>
      <c r="O260" s="276"/>
      <c r="P260" s="36"/>
      <c r="Q260" s="40"/>
      <c r="R260" s="36"/>
      <c r="S260" s="77"/>
      <c r="T260" s="36"/>
      <c r="U260" s="36"/>
      <c r="V260" s="36"/>
      <c r="W260" s="36"/>
      <c r="X260" s="36"/>
      <c r="Y260" s="36"/>
      <c r="Z260" s="62"/>
      <c r="AA260" s="62"/>
      <c r="AB260" s="278"/>
      <c r="AC260" s="276"/>
      <c r="AD260" s="250"/>
      <c r="AE260" s="276"/>
      <c r="AF260" s="276"/>
      <c r="AG260" s="276"/>
      <c r="AH260" s="36" t="s">
        <v>46</v>
      </c>
      <c r="AI260" s="40">
        <v>1000</v>
      </c>
      <c r="AJ260" s="36" t="s">
        <v>12</v>
      </c>
      <c r="AK260" s="77">
        <v>1250</v>
      </c>
      <c r="AL260" s="36"/>
      <c r="AM260" s="36"/>
      <c r="AN260" s="36"/>
      <c r="AO260" s="36"/>
      <c r="AP260" s="36"/>
      <c r="AQ260" s="36"/>
      <c r="AR260" s="36"/>
    </row>
    <row r="261" spans="1:44" ht="30" x14ac:dyDescent="0.25">
      <c r="A261" s="273"/>
      <c r="B261" s="307"/>
      <c r="C261" s="379"/>
      <c r="D261" s="310"/>
      <c r="E261" s="310"/>
      <c r="F261" s="310"/>
      <c r="G261" s="310"/>
      <c r="H261" s="251"/>
      <c r="I261" s="251"/>
      <c r="J261" s="279"/>
      <c r="K261" s="251"/>
      <c r="L261" s="251"/>
      <c r="M261" s="251"/>
      <c r="N261" s="273"/>
      <c r="O261" s="273"/>
      <c r="P261" s="82"/>
      <c r="Q261" s="40"/>
      <c r="R261" s="40"/>
      <c r="S261" s="77"/>
      <c r="T261" s="36"/>
      <c r="U261" s="36"/>
      <c r="V261" s="36"/>
      <c r="W261" s="36"/>
      <c r="X261" s="36"/>
      <c r="Y261" s="36"/>
      <c r="Z261" s="62"/>
      <c r="AA261" s="62"/>
      <c r="AB261" s="279"/>
      <c r="AC261" s="273"/>
      <c r="AD261" s="251"/>
      <c r="AE261" s="273"/>
      <c r="AF261" s="273"/>
      <c r="AG261" s="273"/>
      <c r="AH261" s="82" t="s">
        <v>89</v>
      </c>
      <c r="AI261" s="40">
        <v>4</v>
      </c>
      <c r="AJ261" s="40" t="s">
        <v>90</v>
      </c>
      <c r="AK261" s="77">
        <v>400</v>
      </c>
      <c r="AL261" s="36"/>
      <c r="AM261" s="36"/>
      <c r="AN261" s="36"/>
      <c r="AO261" s="36"/>
      <c r="AP261" s="36"/>
      <c r="AQ261" s="36"/>
      <c r="AR261" s="36"/>
    </row>
    <row r="262" spans="1:44" x14ac:dyDescent="0.25">
      <c r="A262" s="272">
        <v>50</v>
      </c>
      <c r="B262" s="305">
        <v>2222517</v>
      </c>
      <c r="C262" s="377" t="s">
        <v>136</v>
      </c>
      <c r="D262" s="308">
        <f>F262</f>
        <v>2.621</v>
      </c>
      <c r="E262" s="308">
        <f>G262</f>
        <v>57750</v>
      </c>
      <c r="F262" s="308">
        <v>2.621</v>
      </c>
      <c r="G262" s="308">
        <v>57750</v>
      </c>
      <c r="H262" s="249"/>
      <c r="I262" s="249"/>
      <c r="J262" s="277"/>
      <c r="K262" s="249"/>
      <c r="L262" s="249"/>
      <c r="M262" s="249"/>
      <c r="N262" s="272"/>
      <c r="O262" s="272"/>
      <c r="P262" s="272"/>
      <c r="Q262" s="40"/>
      <c r="R262" s="36"/>
      <c r="S262" s="274"/>
      <c r="T262" s="272"/>
      <c r="U262" s="272"/>
      <c r="V262" s="272"/>
      <c r="W262" s="272"/>
      <c r="X262" s="272"/>
      <c r="Y262" s="272"/>
      <c r="Z262" s="272"/>
      <c r="AA262" s="272"/>
      <c r="AB262" s="277"/>
      <c r="AC262" s="272"/>
      <c r="AD262" s="249"/>
      <c r="AE262" s="272"/>
      <c r="AF262" s="272" t="s">
        <v>137</v>
      </c>
      <c r="AG262" s="272" t="s">
        <v>133</v>
      </c>
      <c r="AH262" s="272" t="s">
        <v>7</v>
      </c>
      <c r="AI262" s="40">
        <v>2.5</v>
      </c>
      <c r="AJ262" s="36" t="s">
        <v>2</v>
      </c>
      <c r="AK262" s="274">
        <f>78132*0.67</f>
        <v>52348.44</v>
      </c>
      <c r="AL262" s="36"/>
      <c r="AM262" s="36"/>
      <c r="AN262" s="36"/>
      <c r="AO262" s="36"/>
      <c r="AP262" s="36"/>
      <c r="AQ262" s="36"/>
      <c r="AR262" s="36"/>
    </row>
    <row r="263" spans="1:44" x14ac:dyDescent="0.25">
      <c r="A263" s="276"/>
      <c r="B263" s="306"/>
      <c r="C263" s="378"/>
      <c r="D263" s="309"/>
      <c r="E263" s="309"/>
      <c r="F263" s="309"/>
      <c r="G263" s="309"/>
      <c r="H263" s="250"/>
      <c r="I263" s="250"/>
      <c r="J263" s="278"/>
      <c r="K263" s="250"/>
      <c r="L263" s="250"/>
      <c r="M263" s="250"/>
      <c r="N263" s="276"/>
      <c r="O263" s="276"/>
      <c r="P263" s="273"/>
      <c r="Q263" s="40"/>
      <c r="R263" s="36"/>
      <c r="S263" s="275"/>
      <c r="T263" s="276"/>
      <c r="U263" s="276"/>
      <c r="V263" s="276"/>
      <c r="W263" s="276"/>
      <c r="X263" s="276"/>
      <c r="Y263" s="276"/>
      <c r="Z263" s="276"/>
      <c r="AA263" s="276"/>
      <c r="AB263" s="278"/>
      <c r="AC263" s="276"/>
      <c r="AD263" s="250"/>
      <c r="AE263" s="276"/>
      <c r="AF263" s="276"/>
      <c r="AG263" s="276"/>
      <c r="AH263" s="273"/>
      <c r="AI263" s="40">
        <v>55000</v>
      </c>
      <c r="AJ263" s="36" t="s">
        <v>4</v>
      </c>
      <c r="AK263" s="275"/>
      <c r="AL263" s="36"/>
      <c r="AM263" s="36"/>
      <c r="AN263" s="36"/>
      <c r="AO263" s="36"/>
      <c r="AP263" s="36"/>
      <c r="AQ263" s="36"/>
      <c r="AR263" s="36"/>
    </row>
    <row r="264" spans="1:44" x14ac:dyDescent="0.25">
      <c r="A264" s="276"/>
      <c r="B264" s="306"/>
      <c r="C264" s="378"/>
      <c r="D264" s="309"/>
      <c r="E264" s="309"/>
      <c r="F264" s="309"/>
      <c r="G264" s="309"/>
      <c r="H264" s="250"/>
      <c r="I264" s="250"/>
      <c r="J264" s="278"/>
      <c r="K264" s="250"/>
      <c r="L264" s="250"/>
      <c r="M264" s="250"/>
      <c r="N264" s="276"/>
      <c r="O264" s="276"/>
      <c r="P264" s="36"/>
      <c r="Q264" s="40"/>
      <c r="R264" s="36"/>
      <c r="S264" s="77"/>
      <c r="T264" s="276"/>
      <c r="U264" s="276"/>
      <c r="V264" s="276"/>
      <c r="W264" s="276"/>
      <c r="X264" s="276"/>
      <c r="Y264" s="276"/>
      <c r="Z264" s="276"/>
      <c r="AA264" s="276"/>
      <c r="AB264" s="278"/>
      <c r="AC264" s="276"/>
      <c r="AD264" s="250"/>
      <c r="AE264" s="276"/>
      <c r="AF264" s="276"/>
      <c r="AG264" s="276"/>
      <c r="AH264" s="36" t="s">
        <v>13</v>
      </c>
      <c r="AI264" s="40">
        <v>15000</v>
      </c>
      <c r="AJ264" s="36" t="s">
        <v>4</v>
      </c>
      <c r="AK264" s="77">
        <f>25018.2*0.67</f>
        <v>16762.194000000003</v>
      </c>
      <c r="AL264" s="36"/>
      <c r="AM264" s="36"/>
      <c r="AN264" s="36"/>
      <c r="AO264" s="36"/>
      <c r="AP264" s="36"/>
      <c r="AQ264" s="36"/>
      <c r="AR264" s="36"/>
    </row>
    <row r="265" spans="1:44" ht="45" x14ac:dyDescent="0.25">
      <c r="A265" s="276"/>
      <c r="B265" s="306"/>
      <c r="C265" s="378"/>
      <c r="D265" s="309"/>
      <c r="E265" s="309"/>
      <c r="F265" s="309"/>
      <c r="G265" s="309"/>
      <c r="H265" s="250"/>
      <c r="I265" s="250"/>
      <c r="J265" s="278"/>
      <c r="K265" s="250"/>
      <c r="L265" s="250"/>
      <c r="M265" s="250"/>
      <c r="N265" s="276"/>
      <c r="O265" s="276"/>
      <c r="P265" s="36"/>
      <c r="Q265" s="40"/>
      <c r="R265" s="36"/>
      <c r="S265" s="77"/>
      <c r="T265" s="276"/>
      <c r="U265" s="276"/>
      <c r="V265" s="276"/>
      <c r="W265" s="276"/>
      <c r="X265" s="276"/>
      <c r="Y265" s="276"/>
      <c r="Z265" s="276"/>
      <c r="AA265" s="276"/>
      <c r="AB265" s="278"/>
      <c r="AC265" s="276"/>
      <c r="AD265" s="250"/>
      <c r="AE265" s="276"/>
      <c r="AF265" s="276"/>
      <c r="AG265" s="276"/>
      <c r="AH265" s="36" t="s">
        <v>46</v>
      </c>
      <c r="AI265" s="40">
        <v>661</v>
      </c>
      <c r="AJ265" s="36" t="s">
        <v>12</v>
      </c>
      <c r="AK265" s="77">
        <v>826.3</v>
      </c>
      <c r="AL265" s="36"/>
      <c r="AM265" s="36"/>
      <c r="AN265" s="36"/>
      <c r="AO265" s="36"/>
      <c r="AP265" s="36"/>
      <c r="AQ265" s="36"/>
      <c r="AR265" s="36"/>
    </row>
    <row r="266" spans="1:44" ht="30" x14ac:dyDescent="0.25">
      <c r="A266" s="276"/>
      <c r="B266" s="306"/>
      <c r="C266" s="378"/>
      <c r="D266" s="309"/>
      <c r="E266" s="309"/>
      <c r="F266" s="309"/>
      <c r="G266" s="309"/>
      <c r="H266" s="250"/>
      <c r="I266" s="250"/>
      <c r="J266" s="278"/>
      <c r="K266" s="250"/>
      <c r="L266" s="250"/>
      <c r="M266" s="250"/>
      <c r="N266" s="276"/>
      <c r="O266" s="276"/>
      <c r="P266" s="82"/>
      <c r="Q266" s="40"/>
      <c r="R266" s="40"/>
      <c r="S266" s="77"/>
      <c r="T266" s="276"/>
      <c r="U266" s="276"/>
      <c r="V266" s="276"/>
      <c r="W266" s="276"/>
      <c r="X266" s="276"/>
      <c r="Y266" s="276"/>
      <c r="Z266" s="276"/>
      <c r="AA266" s="276"/>
      <c r="AB266" s="278"/>
      <c r="AC266" s="276"/>
      <c r="AD266" s="250"/>
      <c r="AE266" s="276"/>
      <c r="AF266" s="276"/>
      <c r="AG266" s="276"/>
      <c r="AH266" s="82" t="s">
        <v>89</v>
      </c>
      <c r="AI266" s="40">
        <v>10</v>
      </c>
      <c r="AJ266" s="40" t="s">
        <v>90</v>
      </c>
      <c r="AK266" s="77">
        <v>1000</v>
      </c>
      <c r="AL266" s="36"/>
      <c r="AM266" s="36"/>
      <c r="AN266" s="36"/>
      <c r="AO266" s="36"/>
      <c r="AP266" s="36"/>
      <c r="AQ266" s="36"/>
      <c r="AR266" s="36"/>
    </row>
    <row r="267" spans="1:44" ht="45" x14ac:dyDescent="0.25">
      <c r="A267" s="273"/>
      <c r="B267" s="307"/>
      <c r="C267" s="379"/>
      <c r="D267" s="310"/>
      <c r="E267" s="310"/>
      <c r="F267" s="310"/>
      <c r="G267" s="310"/>
      <c r="H267" s="251"/>
      <c r="I267" s="251"/>
      <c r="J267" s="279"/>
      <c r="K267" s="251"/>
      <c r="L267" s="251"/>
      <c r="M267" s="251"/>
      <c r="N267" s="273"/>
      <c r="O267" s="273"/>
      <c r="P267" s="47"/>
      <c r="Q267" s="40"/>
      <c r="R267" s="36"/>
      <c r="S267" s="77"/>
      <c r="T267" s="273"/>
      <c r="U267" s="273"/>
      <c r="V267" s="273"/>
      <c r="W267" s="273"/>
      <c r="X267" s="273"/>
      <c r="Y267" s="273"/>
      <c r="Z267" s="273"/>
      <c r="AA267" s="273"/>
      <c r="AB267" s="279"/>
      <c r="AC267" s="273"/>
      <c r="AD267" s="251"/>
      <c r="AE267" s="273"/>
      <c r="AF267" s="273"/>
      <c r="AG267" s="273"/>
      <c r="AH267" s="47" t="s">
        <v>11</v>
      </c>
      <c r="AI267" s="40">
        <v>1100</v>
      </c>
      <c r="AJ267" s="36" t="s">
        <v>12</v>
      </c>
      <c r="AK267" s="77">
        <v>5000</v>
      </c>
      <c r="AL267" s="36"/>
      <c r="AM267" s="36"/>
      <c r="AN267" s="36"/>
      <c r="AO267" s="36"/>
      <c r="AP267" s="36"/>
      <c r="AQ267" s="36"/>
      <c r="AR267" s="36"/>
    </row>
    <row r="268" spans="1:44" x14ac:dyDescent="0.25">
      <c r="A268" s="234">
        <v>51</v>
      </c>
      <c r="B268" s="237">
        <v>2228605</v>
      </c>
      <c r="C268" s="240" t="s">
        <v>188</v>
      </c>
      <c r="D268" s="221">
        <f>F268</f>
        <v>1.37</v>
      </c>
      <c r="E268" s="221">
        <f>G268</f>
        <v>21920</v>
      </c>
      <c r="F268" s="221">
        <v>1.37</v>
      </c>
      <c r="G268" s="243">
        <v>21920</v>
      </c>
      <c r="H268" s="75"/>
      <c r="I268" s="75"/>
      <c r="J268" s="109"/>
      <c r="K268" s="75"/>
      <c r="L268" s="75"/>
      <c r="M268" s="75"/>
      <c r="N268" s="75"/>
      <c r="O268" s="75"/>
      <c r="P268" s="75"/>
      <c r="Q268" s="75"/>
      <c r="R268" s="75"/>
      <c r="S268" s="170"/>
      <c r="T268" s="56"/>
      <c r="U268" s="56"/>
      <c r="V268" s="62"/>
      <c r="W268" s="56"/>
      <c r="X268" s="56"/>
      <c r="Y268" s="56"/>
      <c r="Z268" s="286"/>
      <c r="AA268" s="286"/>
      <c r="AB268" s="292"/>
      <c r="AC268" s="286"/>
      <c r="AD268" s="283"/>
      <c r="AE268" s="286"/>
      <c r="AF268" s="249" t="s">
        <v>189</v>
      </c>
      <c r="AG268" s="249" t="s">
        <v>190</v>
      </c>
      <c r="AH268" s="252" t="s">
        <v>7</v>
      </c>
      <c r="AI268" s="40">
        <v>1.37</v>
      </c>
      <c r="AJ268" s="36" t="s">
        <v>2</v>
      </c>
      <c r="AK268" s="270">
        <f>33785.2*0.67</f>
        <v>22636.083999999999</v>
      </c>
      <c r="AL268" s="63"/>
      <c r="AM268" s="63"/>
      <c r="AN268" s="99"/>
      <c r="AO268" s="63"/>
      <c r="AP268" s="62"/>
      <c r="AQ268" s="66"/>
      <c r="AR268" s="56"/>
    </row>
    <row r="269" spans="1:44" x14ac:dyDescent="0.25">
      <c r="A269" s="235"/>
      <c r="B269" s="238"/>
      <c r="C269" s="241"/>
      <c r="D269" s="222"/>
      <c r="E269" s="222"/>
      <c r="F269" s="222"/>
      <c r="G269" s="244"/>
      <c r="H269" s="75"/>
      <c r="I269" s="75"/>
      <c r="J269" s="109"/>
      <c r="K269" s="75"/>
      <c r="L269" s="75"/>
      <c r="M269" s="75"/>
      <c r="N269" s="75"/>
      <c r="O269" s="75"/>
      <c r="P269" s="75"/>
      <c r="Q269" s="75"/>
      <c r="R269" s="75"/>
      <c r="S269" s="170"/>
      <c r="T269" s="56"/>
      <c r="U269" s="56"/>
      <c r="V269" s="62"/>
      <c r="W269" s="56"/>
      <c r="X269" s="56"/>
      <c r="Y269" s="56"/>
      <c r="Z269" s="287"/>
      <c r="AA269" s="287"/>
      <c r="AB269" s="293"/>
      <c r="AC269" s="287"/>
      <c r="AD269" s="284"/>
      <c r="AE269" s="287"/>
      <c r="AF269" s="250"/>
      <c r="AG269" s="250"/>
      <c r="AH269" s="252"/>
      <c r="AI269" s="58">
        <v>21920</v>
      </c>
      <c r="AJ269" s="36" t="s">
        <v>4</v>
      </c>
      <c r="AK269" s="271"/>
      <c r="AL269" s="63"/>
      <c r="AM269" s="63"/>
      <c r="AN269" s="99"/>
      <c r="AO269" s="63"/>
      <c r="AP269" s="62"/>
      <c r="AQ269" s="66"/>
      <c r="AR269" s="56"/>
    </row>
    <row r="270" spans="1:44" x14ac:dyDescent="0.25">
      <c r="A270" s="236"/>
      <c r="B270" s="239"/>
      <c r="C270" s="242"/>
      <c r="D270" s="223"/>
      <c r="E270" s="223"/>
      <c r="F270" s="223"/>
      <c r="G270" s="245"/>
      <c r="H270" s="75"/>
      <c r="I270" s="75"/>
      <c r="J270" s="109"/>
      <c r="K270" s="75"/>
      <c r="L270" s="75"/>
      <c r="M270" s="75"/>
      <c r="N270" s="75"/>
      <c r="O270" s="75"/>
      <c r="P270" s="75"/>
      <c r="Q270" s="75"/>
      <c r="R270" s="75"/>
      <c r="S270" s="170"/>
      <c r="T270" s="56"/>
      <c r="U270" s="56"/>
      <c r="V270" s="62"/>
      <c r="W270" s="56"/>
      <c r="X270" s="56"/>
      <c r="Y270" s="56"/>
      <c r="Z270" s="288"/>
      <c r="AA270" s="288"/>
      <c r="AB270" s="294"/>
      <c r="AC270" s="288"/>
      <c r="AD270" s="285"/>
      <c r="AE270" s="288"/>
      <c r="AF270" s="251"/>
      <c r="AG270" s="251"/>
      <c r="AH270" s="36" t="s">
        <v>13</v>
      </c>
      <c r="AI270" s="40">
        <v>8220</v>
      </c>
      <c r="AJ270" s="36" t="s">
        <v>4</v>
      </c>
      <c r="AK270" s="61">
        <f>17691.4*0.67</f>
        <v>11853.238000000001</v>
      </c>
      <c r="AL270" s="63"/>
      <c r="AM270" s="63"/>
      <c r="AN270" s="99"/>
      <c r="AO270" s="63"/>
      <c r="AP270" s="62"/>
      <c r="AQ270" s="66"/>
      <c r="AR270" s="56"/>
    </row>
    <row r="271" spans="1:44" x14ac:dyDescent="0.25">
      <c r="A271" s="234">
        <v>52</v>
      </c>
      <c r="B271" s="237">
        <v>2229174</v>
      </c>
      <c r="C271" s="240" t="s">
        <v>191</v>
      </c>
      <c r="D271" s="221">
        <f t="shared" ref="D271" si="0">F271</f>
        <v>1.27</v>
      </c>
      <c r="E271" s="221">
        <f t="shared" ref="E271" si="1">G271</f>
        <v>10160</v>
      </c>
      <c r="F271" s="221">
        <v>1.27</v>
      </c>
      <c r="G271" s="243">
        <v>10160</v>
      </c>
      <c r="H271" s="75"/>
      <c r="I271" s="75"/>
      <c r="J271" s="109"/>
      <c r="K271" s="75"/>
      <c r="L271" s="75"/>
      <c r="M271" s="75"/>
      <c r="N271" s="75"/>
      <c r="O271" s="75"/>
      <c r="P271" s="75"/>
      <c r="Q271" s="75"/>
      <c r="R271" s="75"/>
      <c r="S271" s="170"/>
      <c r="T271" s="56"/>
      <c r="U271" s="56"/>
      <c r="V271" s="62"/>
      <c r="W271" s="56"/>
      <c r="X271" s="56"/>
      <c r="Y271" s="56"/>
      <c r="Z271" s="56"/>
      <c r="AA271" s="56"/>
      <c r="AB271" s="292"/>
      <c r="AC271" s="56"/>
      <c r="AD271" s="283"/>
      <c r="AE271" s="286"/>
      <c r="AF271" s="249" t="s">
        <v>141</v>
      </c>
      <c r="AG271" s="249" t="s">
        <v>192</v>
      </c>
      <c r="AH271" s="252" t="s">
        <v>7</v>
      </c>
      <c r="AI271" s="40">
        <v>1.27</v>
      </c>
      <c r="AJ271" s="36" t="s">
        <v>2</v>
      </c>
      <c r="AK271" s="270">
        <f>20583.9*0.67</f>
        <v>13791.213000000002</v>
      </c>
      <c r="AL271" s="63"/>
      <c r="AM271" s="63"/>
      <c r="AN271" s="99"/>
      <c r="AO271" s="63"/>
      <c r="AP271" s="62"/>
      <c r="AQ271" s="66"/>
      <c r="AR271" s="56"/>
    </row>
    <row r="272" spans="1:44" x14ac:dyDescent="0.25">
      <c r="A272" s="235"/>
      <c r="B272" s="238"/>
      <c r="C272" s="241"/>
      <c r="D272" s="222"/>
      <c r="E272" s="222"/>
      <c r="F272" s="222"/>
      <c r="G272" s="244"/>
      <c r="H272" s="75"/>
      <c r="I272" s="75"/>
      <c r="J272" s="109"/>
      <c r="K272" s="75"/>
      <c r="L272" s="75"/>
      <c r="M272" s="75"/>
      <c r="N272" s="75"/>
      <c r="O272" s="75"/>
      <c r="P272" s="75"/>
      <c r="Q272" s="75"/>
      <c r="R272" s="75"/>
      <c r="S272" s="170"/>
      <c r="T272" s="56"/>
      <c r="U272" s="56"/>
      <c r="V272" s="62"/>
      <c r="W272" s="56"/>
      <c r="X272" s="56"/>
      <c r="Y272" s="56"/>
      <c r="Z272" s="56"/>
      <c r="AA272" s="56"/>
      <c r="AB272" s="293"/>
      <c r="AC272" s="56"/>
      <c r="AD272" s="284"/>
      <c r="AE272" s="287"/>
      <c r="AF272" s="250"/>
      <c r="AG272" s="250"/>
      <c r="AH272" s="252"/>
      <c r="AI272" s="58">
        <v>10160</v>
      </c>
      <c r="AJ272" s="36" t="s">
        <v>4</v>
      </c>
      <c r="AK272" s="271"/>
      <c r="AL272" s="63"/>
      <c r="AM272" s="63"/>
      <c r="AN272" s="99"/>
      <c r="AO272" s="63"/>
      <c r="AP272" s="62"/>
      <c r="AQ272" s="66"/>
      <c r="AR272" s="56"/>
    </row>
    <row r="273" spans="1:44" x14ac:dyDescent="0.25">
      <c r="A273" s="236"/>
      <c r="B273" s="239"/>
      <c r="C273" s="242"/>
      <c r="D273" s="223"/>
      <c r="E273" s="223"/>
      <c r="F273" s="223"/>
      <c r="G273" s="245"/>
      <c r="H273" s="75"/>
      <c r="I273" s="75"/>
      <c r="J273" s="109"/>
      <c r="K273" s="75"/>
      <c r="L273" s="75"/>
      <c r="M273" s="75"/>
      <c r="N273" s="75"/>
      <c r="O273" s="75"/>
      <c r="P273" s="75"/>
      <c r="Q273" s="75"/>
      <c r="R273" s="75"/>
      <c r="S273" s="170"/>
      <c r="T273" s="56"/>
      <c r="U273" s="56"/>
      <c r="V273" s="62"/>
      <c r="W273" s="56"/>
      <c r="X273" s="56"/>
      <c r="Y273" s="56"/>
      <c r="Z273" s="56"/>
      <c r="AA273" s="56"/>
      <c r="AB273" s="294"/>
      <c r="AC273" s="56"/>
      <c r="AD273" s="285"/>
      <c r="AE273" s="288"/>
      <c r="AF273" s="251"/>
      <c r="AG273" s="251"/>
      <c r="AH273" s="36" t="s">
        <v>13</v>
      </c>
      <c r="AI273" s="40">
        <v>3810</v>
      </c>
      <c r="AJ273" s="36" t="s">
        <v>4</v>
      </c>
      <c r="AK273" s="61">
        <f>8200*0.67</f>
        <v>5494</v>
      </c>
      <c r="AL273" s="63"/>
      <c r="AM273" s="63"/>
      <c r="AN273" s="99"/>
      <c r="AO273" s="63"/>
      <c r="AP273" s="62"/>
      <c r="AQ273" s="66"/>
      <c r="AR273" s="56"/>
    </row>
    <row r="274" spans="1:44" x14ac:dyDescent="0.25">
      <c r="A274" s="234">
        <v>53</v>
      </c>
      <c r="B274" s="237">
        <v>2228801</v>
      </c>
      <c r="C274" s="240" t="s">
        <v>268</v>
      </c>
      <c r="D274" s="221">
        <f t="shared" ref="D274" si="2">F274</f>
        <v>1.0349999999999999</v>
      </c>
      <c r="E274" s="221">
        <f t="shared" ref="E274" si="3">G274</f>
        <v>8280</v>
      </c>
      <c r="F274" s="221">
        <v>1.0349999999999999</v>
      </c>
      <c r="G274" s="243">
        <v>8280</v>
      </c>
      <c r="H274" s="75"/>
      <c r="I274" s="75"/>
      <c r="J274" s="109"/>
      <c r="K274" s="75"/>
      <c r="L274" s="75"/>
      <c r="M274" s="75"/>
      <c r="N274" s="75"/>
      <c r="O274" s="75"/>
      <c r="P274" s="75"/>
      <c r="Q274" s="75"/>
      <c r="R274" s="75"/>
      <c r="S274" s="170"/>
      <c r="T274" s="56"/>
      <c r="U274" s="56"/>
      <c r="V274" s="62"/>
      <c r="W274" s="56"/>
      <c r="X274" s="56"/>
      <c r="Y274" s="56"/>
      <c r="Z274" s="56"/>
      <c r="AA274" s="56"/>
      <c r="AB274" s="109"/>
      <c r="AC274" s="56"/>
      <c r="AD274" s="75"/>
      <c r="AE274" s="56"/>
      <c r="AF274" s="249" t="s">
        <v>122</v>
      </c>
      <c r="AG274" s="249" t="s">
        <v>193</v>
      </c>
      <c r="AH274" s="252" t="s">
        <v>7</v>
      </c>
      <c r="AI274" s="40">
        <v>1.0349999999999999</v>
      </c>
      <c r="AJ274" s="36" t="s">
        <v>2</v>
      </c>
      <c r="AK274" s="270">
        <f>16886.1*0.67</f>
        <v>11313.687</v>
      </c>
      <c r="AL274" s="63"/>
      <c r="AM274" s="63"/>
      <c r="AN274" s="99"/>
      <c r="AO274" s="63"/>
      <c r="AP274" s="62"/>
      <c r="AQ274" s="66"/>
      <c r="AR274" s="56"/>
    </row>
    <row r="275" spans="1:44" x14ac:dyDescent="0.25">
      <c r="A275" s="235"/>
      <c r="B275" s="238"/>
      <c r="C275" s="241"/>
      <c r="D275" s="222"/>
      <c r="E275" s="222"/>
      <c r="F275" s="222"/>
      <c r="G275" s="244"/>
      <c r="H275" s="75"/>
      <c r="I275" s="75"/>
      <c r="J275" s="109"/>
      <c r="K275" s="75"/>
      <c r="L275" s="75"/>
      <c r="M275" s="75"/>
      <c r="N275" s="75"/>
      <c r="O275" s="75"/>
      <c r="P275" s="75"/>
      <c r="Q275" s="75"/>
      <c r="R275" s="75"/>
      <c r="S275" s="170"/>
      <c r="T275" s="56"/>
      <c r="U275" s="56"/>
      <c r="V275" s="62"/>
      <c r="W275" s="56"/>
      <c r="X275" s="56"/>
      <c r="Y275" s="56"/>
      <c r="Z275" s="56"/>
      <c r="AA275" s="56"/>
      <c r="AB275" s="109"/>
      <c r="AC275" s="56"/>
      <c r="AD275" s="75"/>
      <c r="AE275" s="56"/>
      <c r="AF275" s="250"/>
      <c r="AG275" s="250"/>
      <c r="AH275" s="252"/>
      <c r="AI275" s="58">
        <v>8280</v>
      </c>
      <c r="AJ275" s="36" t="s">
        <v>4</v>
      </c>
      <c r="AK275" s="271"/>
      <c r="AL275" s="63"/>
      <c r="AM275" s="63"/>
      <c r="AN275" s="99"/>
      <c r="AO275" s="63"/>
      <c r="AP275" s="62"/>
      <c r="AQ275" s="66"/>
      <c r="AR275" s="56"/>
    </row>
    <row r="276" spans="1:44" x14ac:dyDescent="0.25">
      <c r="A276" s="236"/>
      <c r="B276" s="239"/>
      <c r="C276" s="242"/>
      <c r="D276" s="223"/>
      <c r="E276" s="223"/>
      <c r="F276" s="223"/>
      <c r="G276" s="245"/>
      <c r="H276" s="75"/>
      <c r="I276" s="75"/>
      <c r="J276" s="109"/>
      <c r="K276" s="75"/>
      <c r="L276" s="75"/>
      <c r="M276" s="75"/>
      <c r="N276" s="75"/>
      <c r="O276" s="75"/>
      <c r="P276" s="75"/>
      <c r="Q276" s="75"/>
      <c r="R276" s="75"/>
      <c r="S276" s="170"/>
      <c r="T276" s="56"/>
      <c r="U276" s="56"/>
      <c r="V276" s="62"/>
      <c r="W276" s="56"/>
      <c r="X276" s="56"/>
      <c r="Y276" s="56"/>
      <c r="Z276" s="56"/>
      <c r="AA276" s="56"/>
      <c r="AB276" s="109"/>
      <c r="AC276" s="56"/>
      <c r="AD276" s="75"/>
      <c r="AE276" s="56"/>
      <c r="AF276" s="251"/>
      <c r="AG276" s="251"/>
      <c r="AH276" s="36" t="s">
        <v>13</v>
      </c>
      <c r="AI276" s="40">
        <v>3105</v>
      </c>
      <c r="AJ276" s="36" t="s">
        <v>4</v>
      </c>
      <c r="AK276" s="61">
        <f>6682.7*0.67</f>
        <v>4477.4090000000006</v>
      </c>
      <c r="AL276" s="63"/>
      <c r="AM276" s="63"/>
      <c r="AN276" s="99"/>
      <c r="AO276" s="63"/>
      <c r="AP276" s="62"/>
      <c r="AQ276" s="66"/>
      <c r="AR276" s="56"/>
    </row>
    <row r="277" spans="1:44" x14ac:dyDescent="0.25">
      <c r="A277" s="234">
        <v>54</v>
      </c>
      <c r="B277" s="237">
        <v>2228404</v>
      </c>
      <c r="C277" s="240" t="s">
        <v>194</v>
      </c>
      <c r="D277" s="221">
        <f t="shared" ref="D277" si="4">F277</f>
        <v>2.9</v>
      </c>
      <c r="E277" s="221">
        <f t="shared" ref="E277" si="5">G277</f>
        <v>34824</v>
      </c>
      <c r="F277" s="221">
        <v>2.9</v>
      </c>
      <c r="G277" s="243">
        <v>34824</v>
      </c>
      <c r="H277" s="75"/>
      <c r="I277" s="75"/>
      <c r="J277" s="109"/>
      <c r="K277" s="75"/>
      <c r="L277" s="75"/>
      <c r="M277" s="75"/>
      <c r="N277" s="75"/>
      <c r="O277" s="75"/>
      <c r="P277" s="75"/>
      <c r="Q277" s="75"/>
      <c r="R277" s="75"/>
      <c r="S277" s="170"/>
      <c r="T277" s="56"/>
      <c r="U277" s="56"/>
      <c r="V277" s="62"/>
      <c r="W277" s="56"/>
      <c r="X277" s="56"/>
      <c r="Y277" s="56"/>
      <c r="Z277" s="56"/>
      <c r="AA277" s="56"/>
      <c r="AB277" s="109"/>
      <c r="AC277" s="56"/>
      <c r="AD277" s="75"/>
      <c r="AE277" s="56"/>
      <c r="AF277" s="249" t="s">
        <v>162</v>
      </c>
      <c r="AG277" s="249" t="s">
        <v>195</v>
      </c>
      <c r="AH277" s="252" t="s">
        <v>7</v>
      </c>
      <c r="AI277" s="40">
        <v>2.9</v>
      </c>
      <c r="AJ277" s="36" t="s">
        <v>2</v>
      </c>
      <c r="AK277" s="270">
        <f>58579.3*0.67</f>
        <v>39248.131000000001</v>
      </c>
      <c r="AL277" s="63"/>
      <c r="AM277" s="63"/>
      <c r="AN277" s="99"/>
      <c r="AO277" s="63"/>
      <c r="AP277" s="62"/>
      <c r="AQ277" s="66"/>
      <c r="AR277" s="56"/>
    </row>
    <row r="278" spans="1:44" x14ac:dyDescent="0.25">
      <c r="A278" s="235"/>
      <c r="B278" s="238"/>
      <c r="C278" s="241"/>
      <c r="D278" s="222"/>
      <c r="E278" s="222"/>
      <c r="F278" s="222"/>
      <c r="G278" s="244"/>
      <c r="H278" s="75"/>
      <c r="I278" s="75"/>
      <c r="J278" s="109"/>
      <c r="K278" s="75"/>
      <c r="L278" s="75"/>
      <c r="M278" s="75"/>
      <c r="N278" s="75"/>
      <c r="O278" s="75"/>
      <c r="P278" s="75"/>
      <c r="Q278" s="75"/>
      <c r="R278" s="75"/>
      <c r="S278" s="170"/>
      <c r="T278" s="56"/>
      <c r="U278" s="56"/>
      <c r="V278" s="62"/>
      <c r="W278" s="56"/>
      <c r="X278" s="56"/>
      <c r="Y278" s="56"/>
      <c r="Z278" s="56"/>
      <c r="AA278" s="56"/>
      <c r="AB278" s="109"/>
      <c r="AC278" s="56"/>
      <c r="AD278" s="75"/>
      <c r="AE278" s="56"/>
      <c r="AF278" s="250"/>
      <c r="AG278" s="250"/>
      <c r="AH278" s="252"/>
      <c r="AI278" s="58">
        <v>34824</v>
      </c>
      <c r="AJ278" s="36" t="s">
        <v>4</v>
      </c>
      <c r="AK278" s="271"/>
      <c r="AL278" s="63"/>
      <c r="AM278" s="63"/>
      <c r="AN278" s="99"/>
      <c r="AO278" s="63"/>
      <c r="AP278" s="62"/>
      <c r="AQ278" s="66"/>
      <c r="AR278" s="56"/>
    </row>
    <row r="279" spans="1:44" x14ac:dyDescent="0.25">
      <c r="A279" s="236"/>
      <c r="B279" s="239"/>
      <c r="C279" s="242"/>
      <c r="D279" s="223"/>
      <c r="E279" s="223"/>
      <c r="F279" s="223"/>
      <c r="G279" s="245"/>
      <c r="H279" s="75"/>
      <c r="I279" s="75"/>
      <c r="J279" s="109"/>
      <c r="K279" s="75"/>
      <c r="L279" s="75"/>
      <c r="M279" s="75"/>
      <c r="N279" s="75"/>
      <c r="O279" s="75"/>
      <c r="P279" s="75"/>
      <c r="Q279" s="75"/>
      <c r="R279" s="75"/>
      <c r="S279" s="170"/>
      <c r="T279" s="56"/>
      <c r="U279" s="56"/>
      <c r="V279" s="62"/>
      <c r="W279" s="56"/>
      <c r="X279" s="56"/>
      <c r="Y279" s="56"/>
      <c r="Z279" s="56"/>
      <c r="AA279" s="56"/>
      <c r="AB279" s="109"/>
      <c r="AC279" s="56"/>
      <c r="AD279" s="75"/>
      <c r="AE279" s="56"/>
      <c r="AF279" s="251"/>
      <c r="AG279" s="251"/>
      <c r="AH279" s="36" t="s">
        <v>13</v>
      </c>
      <c r="AI279" s="40">
        <v>17412</v>
      </c>
      <c r="AJ279" s="36" t="s">
        <v>4</v>
      </c>
      <c r="AK279" s="61">
        <f>25064*0.67</f>
        <v>16792.88</v>
      </c>
      <c r="AL279" s="63"/>
      <c r="AM279" s="63"/>
      <c r="AN279" s="99"/>
      <c r="AO279" s="63"/>
      <c r="AP279" s="62"/>
      <c r="AQ279" s="66"/>
      <c r="AR279" s="56"/>
    </row>
    <row r="280" spans="1:44" x14ac:dyDescent="0.25">
      <c r="A280" s="234">
        <v>55</v>
      </c>
      <c r="B280" s="237">
        <v>2227796</v>
      </c>
      <c r="C280" s="240" t="s">
        <v>196</v>
      </c>
      <c r="D280" s="221">
        <f t="shared" ref="D280" si="6">F280</f>
        <v>1.1415999999999999</v>
      </c>
      <c r="E280" s="221">
        <f t="shared" ref="E280" si="7">G280</f>
        <v>14160</v>
      </c>
      <c r="F280" s="221">
        <v>1.1415999999999999</v>
      </c>
      <c r="G280" s="243">
        <v>14160</v>
      </c>
      <c r="H280" s="75"/>
      <c r="I280" s="75"/>
      <c r="J280" s="109"/>
      <c r="K280" s="75"/>
      <c r="L280" s="75"/>
      <c r="M280" s="75"/>
      <c r="N280" s="75"/>
      <c r="O280" s="75"/>
      <c r="P280" s="75"/>
      <c r="Q280" s="75"/>
      <c r="R280" s="75"/>
      <c r="S280" s="170"/>
      <c r="T280" s="56"/>
      <c r="U280" s="56"/>
      <c r="V280" s="62"/>
      <c r="W280" s="56"/>
      <c r="X280" s="56"/>
      <c r="Y280" s="56"/>
      <c r="Z280" s="56"/>
      <c r="AA280" s="56"/>
      <c r="AB280" s="109"/>
      <c r="AC280" s="56"/>
      <c r="AD280" s="75"/>
      <c r="AE280" s="56"/>
      <c r="AF280" s="249" t="s">
        <v>165</v>
      </c>
      <c r="AG280" s="249" t="s">
        <v>197</v>
      </c>
      <c r="AH280" s="252" t="s">
        <v>7</v>
      </c>
      <c r="AI280" s="40">
        <v>1.4159999999999999</v>
      </c>
      <c r="AJ280" s="36" t="s">
        <v>2</v>
      </c>
      <c r="AK280" s="270">
        <f>25885.8*0.67</f>
        <v>17343.486000000001</v>
      </c>
      <c r="AL280" s="63"/>
      <c r="AM280" s="63"/>
      <c r="AN280" s="99"/>
      <c r="AO280" s="63"/>
      <c r="AP280" s="62"/>
      <c r="AQ280" s="66"/>
      <c r="AR280" s="56"/>
    </row>
    <row r="281" spans="1:44" x14ac:dyDescent="0.25">
      <c r="A281" s="235"/>
      <c r="B281" s="238"/>
      <c r="C281" s="241"/>
      <c r="D281" s="222"/>
      <c r="E281" s="222"/>
      <c r="F281" s="222"/>
      <c r="G281" s="244"/>
      <c r="H281" s="75"/>
      <c r="I281" s="75"/>
      <c r="J281" s="109"/>
      <c r="K281" s="75"/>
      <c r="L281" s="75"/>
      <c r="M281" s="75"/>
      <c r="N281" s="75"/>
      <c r="O281" s="75"/>
      <c r="P281" s="75"/>
      <c r="Q281" s="75"/>
      <c r="R281" s="75"/>
      <c r="S281" s="170"/>
      <c r="T281" s="56"/>
      <c r="U281" s="56"/>
      <c r="V281" s="62"/>
      <c r="W281" s="56"/>
      <c r="X281" s="56"/>
      <c r="Y281" s="56"/>
      <c r="Z281" s="56"/>
      <c r="AA281" s="56"/>
      <c r="AB281" s="109"/>
      <c r="AC281" s="56"/>
      <c r="AD281" s="75"/>
      <c r="AE281" s="56"/>
      <c r="AF281" s="250"/>
      <c r="AG281" s="250"/>
      <c r="AH281" s="252"/>
      <c r="AI281" s="58">
        <v>14160</v>
      </c>
      <c r="AJ281" s="36" t="s">
        <v>4</v>
      </c>
      <c r="AK281" s="271"/>
      <c r="AL281" s="63"/>
      <c r="AM281" s="63"/>
      <c r="AN281" s="99"/>
      <c r="AO281" s="63"/>
      <c r="AP281" s="62"/>
      <c r="AQ281" s="66"/>
      <c r="AR281" s="56"/>
    </row>
    <row r="282" spans="1:44" x14ac:dyDescent="0.25">
      <c r="A282" s="236"/>
      <c r="B282" s="239"/>
      <c r="C282" s="242"/>
      <c r="D282" s="223"/>
      <c r="E282" s="223"/>
      <c r="F282" s="223"/>
      <c r="G282" s="245"/>
      <c r="H282" s="75"/>
      <c r="I282" s="75"/>
      <c r="J282" s="109"/>
      <c r="K282" s="75"/>
      <c r="L282" s="75"/>
      <c r="M282" s="75"/>
      <c r="N282" s="75"/>
      <c r="O282" s="75"/>
      <c r="P282" s="75"/>
      <c r="Q282" s="75"/>
      <c r="R282" s="75"/>
      <c r="S282" s="170"/>
      <c r="T282" s="56"/>
      <c r="U282" s="56"/>
      <c r="V282" s="62"/>
      <c r="W282" s="56"/>
      <c r="X282" s="56"/>
      <c r="Y282" s="56"/>
      <c r="Z282" s="56"/>
      <c r="AA282" s="56"/>
      <c r="AB282" s="109"/>
      <c r="AC282" s="56"/>
      <c r="AD282" s="75"/>
      <c r="AE282" s="56"/>
      <c r="AF282" s="251"/>
      <c r="AG282" s="251"/>
      <c r="AH282" s="36" t="s">
        <v>13</v>
      </c>
      <c r="AI282" s="40">
        <v>8496</v>
      </c>
      <c r="AJ282" s="36" t="s">
        <v>4</v>
      </c>
      <c r="AK282" s="61">
        <f>15752.8*0.67</f>
        <v>10554.376</v>
      </c>
      <c r="AL282" s="63"/>
      <c r="AM282" s="63"/>
      <c r="AN282" s="99"/>
      <c r="AO282" s="63"/>
      <c r="AP282" s="62"/>
      <c r="AQ282" s="66"/>
      <c r="AR282" s="56"/>
    </row>
    <row r="283" spans="1:44" x14ac:dyDescent="0.25">
      <c r="A283" s="234">
        <v>56</v>
      </c>
      <c r="B283" s="237">
        <v>2228574</v>
      </c>
      <c r="C283" s="240" t="s">
        <v>198</v>
      </c>
      <c r="D283" s="221">
        <f t="shared" ref="D283" si="8">F283</f>
        <v>2.34</v>
      </c>
      <c r="E283" s="221">
        <f t="shared" ref="E283" si="9">G283</f>
        <v>28080</v>
      </c>
      <c r="F283" s="221">
        <v>2.34</v>
      </c>
      <c r="G283" s="243">
        <v>28080</v>
      </c>
      <c r="H283" s="75"/>
      <c r="I283" s="75"/>
      <c r="J283" s="109"/>
      <c r="K283" s="75"/>
      <c r="L283" s="75"/>
      <c r="M283" s="75"/>
      <c r="N283" s="75"/>
      <c r="O283" s="75"/>
      <c r="P283" s="75"/>
      <c r="Q283" s="75"/>
      <c r="R283" s="75"/>
      <c r="S283" s="170"/>
      <c r="T283" s="56"/>
      <c r="U283" s="56"/>
      <c r="V283" s="62"/>
      <c r="W283" s="56"/>
      <c r="X283" s="56"/>
      <c r="Y283" s="56"/>
      <c r="Z283" s="56"/>
      <c r="AA283" s="56"/>
      <c r="AB283" s="109"/>
      <c r="AC283" s="56"/>
      <c r="AD283" s="75"/>
      <c r="AE283" s="56"/>
      <c r="AF283" s="249" t="s">
        <v>199</v>
      </c>
      <c r="AG283" s="249" t="s">
        <v>200</v>
      </c>
      <c r="AH283" s="252" t="s">
        <v>7</v>
      </c>
      <c r="AI283" s="40">
        <v>2.34</v>
      </c>
      <c r="AJ283" s="36" t="s">
        <v>2</v>
      </c>
      <c r="AK283" s="270">
        <f>47351.1*0.67</f>
        <v>31725.237000000001</v>
      </c>
      <c r="AL283" s="63"/>
      <c r="AM283" s="63"/>
      <c r="AN283" s="99"/>
      <c r="AO283" s="63"/>
      <c r="AP283" s="62"/>
      <c r="AQ283" s="66"/>
      <c r="AR283" s="56"/>
    </row>
    <row r="284" spans="1:44" x14ac:dyDescent="0.25">
      <c r="A284" s="235"/>
      <c r="B284" s="238"/>
      <c r="C284" s="241"/>
      <c r="D284" s="222"/>
      <c r="E284" s="222"/>
      <c r="F284" s="222"/>
      <c r="G284" s="244"/>
      <c r="H284" s="75"/>
      <c r="I284" s="75"/>
      <c r="J284" s="109"/>
      <c r="K284" s="75"/>
      <c r="L284" s="75"/>
      <c r="M284" s="75"/>
      <c r="N284" s="75"/>
      <c r="O284" s="75"/>
      <c r="P284" s="75"/>
      <c r="Q284" s="75"/>
      <c r="R284" s="75"/>
      <c r="S284" s="170"/>
      <c r="T284" s="56"/>
      <c r="U284" s="56"/>
      <c r="V284" s="62"/>
      <c r="W284" s="56"/>
      <c r="X284" s="56"/>
      <c r="Y284" s="56"/>
      <c r="Z284" s="56"/>
      <c r="AA284" s="56"/>
      <c r="AB284" s="109"/>
      <c r="AC284" s="56"/>
      <c r="AD284" s="75"/>
      <c r="AE284" s="56"/>
      <c r="AF284" s="250"/>
      <c r="AG284" s="250"/>
      <c r="AH284" s="252"/>
      <c r="AI284" s="58">
        <v>28080</v>
      </c>
      <c r="AJ284" s="36" t="s">
        <v>4</v>
      </c>
      <c r="AK284" s="271"/>
      <c r="AL284" s="63"/>
      <c r="AM284" s="63"/>
      <c r="AN284" s="99"/>
      <c r="AO284" s="63"/>
      <c r="AP284" s="62"/>
      <c r="AQ284" s="66"/>
      <c r="AR284" s="56"/>
    </row>
    <row r="285" spans="1:44" x14ac:dyDescent="0.25">
      <c r="A285" s="236"/>
      <c r="B285" s="239"/>
      <c r="C285" s="242"/>
      <c r="D285" s="223"/>
      <c r="E285" s="223"/>
      <c r="F285" s="223"/>
      <c r="G285" s="245"/>
      <c r="H285" s="75"/>
      <c r="I285" s="75"/>
      <c r="J285" s="109"/>
      <c r="K285" s="75"/>
      <c r="L285" s="75"/>
      <c r="M285" s="75"/>
      <c r="N285" s="75"/>
      <c r="O285" s="75"/>
      <c r="P285" s="75"/>
      <c r="Q285" s="75"/>
      <c r="R285" s="75"/>
      <c r="S285" s="170"/>
      <c r="T285" s="56"/>
      <c r="U285" s="56"/>
      <c r="V285" s="62"/>
      <c r="W285" s="56"/>
      <c r="X285" s="56"/>
      <c r="Y285" s="56"/>
      <c r="Z285" s="56"/>
      <c r="AA285" s="56"/>
      <c r="AB285" s="109"/>
      <c r="AC285" s="56"/>
      <c r="AD285" s="75"/>
      <c r="AE285" s="56"/>
      <c r="AF285" s="251"/>
      <c r="AG285" s="251"/>
      <c r="AH285" s="36" t="s">
        <v>13</v>
      </c>
      <c r="AI285" s="40">
        <v>14040</v>
      </c>
      <c r="AJ285" s="36" t="s">
        <v>4</v>
      </c>
      <c r="AK285" s="61">
        <f>21542.5*0.67</f>
        <v>14433.475</v>
      </c>
      <c r="AL285" s="63"/>
      <c r="AM285" s="63"/>
      <c r="AN285" s="99"/>
      <c r="AO285" s="63"/>
      <c r="AP285" s="62"/>
      <c r="AQ285" s="66"/>
      <c r="AR285" s="56"/>
    </row>
    <row r="286" spans="1:44" x14ac:dyDescent="0.25">
      <c r="A286" s="234">
        <v>57</v>
      </c>
      <c r="B286" s="237">
        <v>2225207</v>
      </c>
      <c r="C286" s="240" t="s">
        <v>111</v>
      </c>
      <c r="D286" s="221">
        <f t="shared" ref="D286" si="10">F286</f>
        <v>2.1</v>
      </c>
      <c r="E286" s="221">
        <f t="shared" ref="E286" si="11">G286</f>
        <v>25200</v>
      </c>
      <c r="F286" s="221">
        <v>2.1</v>
      </c>
      <c r="G286" s="243">
        <v>25200</v>
      </c>
      <c r="H286" s="75"/>
      <c r="I286" s="75"/>
      <c r="J286" s="109"/>
      <c r="K286" s="75"/>
      <c r="L286" s="75"/>
      <c r="M286" s="75"/>
      <c r="N286" s="75"/>
      <c r="O286" s="75"/>
      <c r="P286" s="75"/>
      <c r="Q286" s="75"/>
      <c r="R286" s="75"/>
      <c r="S286" s="170"/>
      <c r="T286" s="56"/>
      <c r="U286" s="56"/>
      <c r="V286" s="62"/>
      <c r="W286" s="56"/>
      <c r="X286" s="56"/>
      <c r="Y286" s="56"/>
      <c r="Z286" s="56"/>
      <c r="AA286" s="56"/>
      <c r="AB286" s="109"/>
      <c r="AC286" s="56"/>
      <c r="AD286" s="75"/>
      <c r="AE286" s="56"/>
      <c r="AF286" s="249" t="s">
        <v>201</v>
      </c>
      <c r="AG286" s="249" t="s">
        <v>202</v>
      </c>
      <c r="AH286" s="252" t="s">
        <v>7</v>
      </c>
      <c r="AI286" s="40">
        <v>2.1</v>
      </c>
      <c r="AJ286" s="36" t="s">
        <v>2</v>
      </c>
      <c r="AK286" s="270">
        <f>42556.1*0.67</f>
        <v>28512.587</v>
      </c>
      <c r="AL286" s="63"/>
      <c r="AM286" s="63"/>
      <c r="AN286" s="99"/>
      <c r="AO286" s="63"/>
      <c r="AP286" s="62"/>
      <c r="AQ286" s="66"/>
      <c r="AR286" s="56"/>
    </row>
    <row r="287" spans="1:44" x14ac:dyDescent="0.25">
      <c r="A287" s="235"/>
      <c r="B287" s="238"/>
      <c r="C287" s="241"/>
      <c r="D287" s="222"/>
      <c r="E287" s="222"/>
      <c r="F287" s="222"/>
      <c r="G287" s="244"/>
      <c r="H287" s="75"/>
      <c r="I287" s="75"/>
      <c r="J287" s="109"/>
      <c r="K287" s="75"/>
      <c r="L287" s="75"/>
      <c r="M287" s="75"/>
      <c r="N287" s="75"/>
      <c r="O287" s="75"/>
      <c r="P287" s="75"/>
      <c r="Q287" s="75"/>
      <c r="R287" s="75"/>
      <c r="S287" s="170"/>
      <c r="T287" s="56"/>
      <c r="U287" s="56"/>
      <c r="V287" s="62"/>
      <c r="W287" s="56"/>
      <c r="X287" s="56"/>
      <c r="Y287" s="56"/>
      <c r="Z287" s="56"/>
      <c r="AA287" s="56"/>
      <c r="AB287" s="109"/>
      <c r="AC287" s="56"/>
      <c r="AD287" s="75"/>
      <c r="AE287" s="56"/>
      <c r="AF287" s="250"/>
      <c r="AG287" s="250"/>
      <c r="AH287" s="252"/>
      <c r="AI287" s="58">
        <v>25200</v>
      </c>
      <c r="AJ287" s="36" t="s">
        <v>4</v>
      </c>
      <c r="AK287" s="271"/>
      <c r="AL287" s="63"/>
      <c r="AM287" s="63"/>
      <c r="AN287" s="99"/>
      <c r="AO287" s="63"/>
      <c r="AP287" s="62"/>
      <c r="AQ287" s="66"/>
      <c r="AR287" s="56"/>
    </row>
    <row r="288" spans="1:44" x14ac:dyDescent="0.25">
      <c r="A288" s="236"/>
      <c r="B288" s="239"/>
      <c r="C288" s="242"/>
      <c r="D288" s="223"/>
      <c r="E288" s="223"/>
      <c r="F288" s="223"/>
      <c r="G288" s="245"/>
      <c r="H288" s="75"/>
      <c r="I288" s="75"/>
      <c r="J288" s="109"/>
      <c r="K288" s="75"/>
      <c r="L288" s="75"/>
      <c r="M288" s="75"/>
      <c r="N288" s="75"/>
      <c r="O288" s="75"/>
      <c r="P288" s="75"/>
      <c r="Q288" s="75"/>
      <c r="R288" s="75"/>
      <c r="S288" s="170"/>
      <c r="T288" s="56"/>
      <c r="U288" s="56"/>
      <c r="V288" s="62"/>
      <c r="W288" s="56"/>
      <c r="X288" s="56"/>
      <c r="Y288" s="56"/>
      <c r="Z288" s="56"/>
      <c r="AA288" s="56"/>
      <c r="AB288" s="109"/>
      <c r="AC288" s="56"/>
      <c r="AD288" s="75"/>
      <c r="AE288" s="56"/>
      <c r="AF288" s="251"/>
      <c r="AG288" s="251"/>
      <c r="AH288" s="36" t="s">
        <v>13</v>
      </c>
      <c r="AI288" s="40">
        <v>12600</v>
      </c>
      <c r="AJ288" s="36" t="s">
        <v>4</v>
      </c>
      <c r="AK288" s="61">
        <f>20038.7*0.67</f>
        <v>13425.929000000002</v>
      </c>
      <c r="AL288" s="63"/>
      <c r="AM288" s="63"/>
      <c r="AN288" s="99"/>
      <c r="AO288" s="63"/>
      <c r="AP288" s="62"/>
      <c r="AQ288" s="66"/>
      <c r="AR288" s="56"/>
    </row>
    <row r="289" spans="1:44" x14ac:dyDescent="0.25">
      <c r="A289" s="234">
        <v>58</v>
      </c>
      <c r="B289" s="237">
        <v>2229400</v>
      </c>
      <c r="C289" s="240" t="s">
        <v>203</v>
      </c>
      <c r="D289" s="221">
        <f t="shared" ref="D289" si="12">F289</f>
        <v>3.29</v>
      </c>
      <c r="E289" s="221">
        <f t="shared" ref="E289" si="13">G289</f>
        <v>46060</v>
      </c>
      <c r="F289" s="221">
        <v>3.29</v>
      </c>
      <c r="G289" s="243">
        <v>46060</v>
      </c>
      <c r="H289" s="75"/>
      <c r="I289" s="75"/>
      <c r="J289" s="109"/>
      <c r="K289" s="75"/>
      <c r="L289" s="75"/>
      <c r="M289" s="75"/>
      <c r="N289" s="75"/>
      <c r="O289" s="75"/>
      <c r="P289" s="75"/>
      <c r="Q289" s="75"/>
      <c r="R289" s="75"/>
      <c r="S289" s="170"/>
      <c r="T289" s="56"/>
      <c r="U289" s="56"/>
      <c r="V289" s="62"/>
      <c r="W289" s="56"/>
      <c r="X289" s="56"/>
      <c r="Y289" s="56"/>
      <c r="Z289" s="56"/>
      <c r="AA289" s="56"/>
      <c r="AB289" s="109"/>
      <c r="AC289" s="56"/>
      <c r="AD289" s="75"/>
      <c r="AE289" s="56"/>
      <c r="AF289" s="249" t="s">
        <v>204</v>
      </c>
      <c r="AG289" s="249" t="s">
        <v>117</v>
      </c>
      <c r="AH289" s="252" t="s">
        <v>7</v>
      </c>
      <c r="AI289" s="40">
        <v>3.29</v>
      </c>
      <c r="AJ289" s="36" t="s">
        <v>2</v>
      </c>
      <c r="AK289" s="270">
        <f>73213*0.67</f>
        <v>49052.710000000006</v>
      </c>
      <c r="AL289" s="249"/>
      <c r="AM289" s="249"/>
      <c r="AN289" s="252"/>
      <c r="AO289" s="40"/>
      <c r="AP289" s="36"/>
      <c r="AQ289" s="270"/>
      <c r="AR289" s="56"/>
    </row>
    <row r="290" spans="1:44" x14ac:dyDescent="0.25">
      <c r="A290" s="235"/>
      <c r="B290" s="238"/>
      <c r="C290" s="241"/>
      <c r="D290" s="222"/>
      <c r="E290" s="222"/>
      <c r="F290" s="222"/>
      <c r="G290" s="244"/>
      <c r="H290" s="75"/>
      <c r="I290" s="75"/>
      <c r="J290" s="109"/>
      <c r="K290" s="75"/>
      <c r="L290" s="75"/>
      <c r="M290" s="75"/>
      <c r="N290" s="75"/>
      <c r="O290" s="75"/>
      <c r="P290" s="75"/>
      <c r="Q290" s="75"/>
      <c r="R290" s="75"/>
      <c r="S290" s="170"/>
      <c r="T290" s="56"/>
      <c r="U290" s="56"/>
      <c r="V290" s="62"/>
      <c r="W290" s="56"/>
      <c r="X290" s="56"/>
      <c r="Y290" s="56"/>
      <c r="Z290" s="56"/>
      <c r="AA290" s="56"/>
      <c r="AB290" s="109"/>
      <c r="AC290" s="56"/>
      <c r="AD290" s="75"/>
      <c r="AE290" s="56"/>
      <c r="AF290" s="250"/>
      <c r="AG290" s="250"/>
      <c r="AH290" s="252"/>
      <c r="AI290" s="58">
        <v>46060</v>
      </c>
      <c r="AJ290" s="36" t="s">
        <v>4</v>
      </c>
      <c r="AK290" s="271"/>
      <c r="AL290" s="250"/>
      <c r="AM290" s="250"/>
      <c r="AN290" s="252"/>
      <c r="AO290" s="58"/>
      <c r="AP290" s="36"/>
      <c r="AQ290" s="271"/>
      <c r="AR290" s="56"/>
    </row>
    <row r="291" spans="1:44" x14ac:dyDescent="0.25">
      <c r="A291" s="236"/>
      <c r="B291" s="239"/>
      <c r="C291" s="242"/>
      <c r="D291" s="223"/>
      <c r="E291" s="223"/>
      <c r="F291" s="223"/>
      <c r="G291" s="245"/>
      <c r="H291" s="75"/>
      <c r="I291" s="75"/>
      <c r="J291" s="109"/>
      <c r="K291" s="75"/>
      <c r="L291" s="75"/>
      <c r="M291" s="75"/>
      <c r="N291" s="75"/>
      <c r="O291" s="75"/>
      <c r="P291" s="75"/>
      <c r="Q291" s="75"/>
      <c r="R291" s="75"/>
      <c r="S291" s="170"/>
      <c r="T291" s="56"/>
      <c r="U291" s="56"/>
      <c r="V291" s="62"/>
      <c r="W291" s="56"/>
      <c r="X291" s="56"/>
      <c r="Y291" s="56"/>
      <c r="Z291" s="56"/>
      <c r="AA291" s="56"/>
      <c r="AB291" s="109"/>
      <c r="AC291" s="56"/>
      <c r="AD291" s="75"/>
      <c r="AE291" s="56"/>
      <c r="AF291" s="251"/>
      <c r="AG291" s="251"/>
      <c r="AH291" s="36" t="s">
        <v>13</v>
      </c>
      <c r="AI291" s="40">
        <v>9560</v>
      </c>
      <c r="AJ291" s="36" t="s">
        <v>4</v>
      </c>
      <c r="AK291" s="61">
        <f>17927.5*0.67</f>
        <v>12011.425000000001</v>
      </c>
      <c r="AL291" s="251"/>
      <c r="AM291" s="251"/>
      <c r="AN291" s="36"/>
      <c r="AO291" s="40"/>
      <c r="AP291" s="36"/>
      <c r="AQ291" s="61"/>
      <c r="AR291" s="56"/>
    </row>
    <row r="292" spans="1:44" x14ac:dyDescent="0.25">
      <c r="A292" s="234">
        <v>59</v>
      </c>
      <c r="B292" s="237">
        <v>2225980</v>
      </c>
      <c r="C292" s="240" t="s">
        <v>118</v>
      </c>
      <c r="D292" s="221">
        <f t="shared" ref="D292" si="14">F292</f>
        <v>1.216</v>
      </c>
      <c r="E292" s="221">
        <f t="shared" ref="E292" si="15">G292</f>
        <v>18240</v>
      </c>
      <c r="F292" s="221">
        <v>1.216</v>
      </c>
      <c r="G292" s="243">
        <v>18240</v>
      </c>
      <c r="H292" s="75"/>
      <c r="I292" s="75"/>
      <c r="J292" s="109"/>
      <c r="K292" s="75"/>
      <c r="L292" s="75"/>
      <c r="M292" s="75"/>
      <c r="N292" s="75"/>
      <c r="O292" s="75"/>
      <c r="P292" s="75"/>
      <c r="Q292" s="75"/>
      <c r="R292" s="75"/>
      <c r="S292" s="170"/>
      <c r="T292" s="56"/>
      <c r="U292" s="56"/>
      <c r="V292" s="62"/>
      <c r="W292" s="56"/>
      <c r="X292" s="56"/>
      <c r="Y292" s="56"/>
      <c r="Z292" s="56"/>
      <c r="AA292" s="56"/>
      <c r="AB292" s="109"/>
      <c r="AC292" s="56"/>
      <c r="AD292" s="75"/>
      <c r="AE292" s="56"/>
      <c r="AF292" s="249"/>
      <c r="AG292" s="249"/>
      <c r="AH292" s="252"/>
      <c r="AI292" s="40"/>
      <c r="AJ292" s="36"/>
      <c r="AK292" s="270"/>
      <c r="AL292" s="249" t="s">
        <v>117</v>
      </c>
      <c r="AM292" s="249" t="s">
        <v>102</v>
      </c>
      <c r="AN292" s="252" t="s">
        <v>7</v>
      </c>
      <c r="AO292" s="40">
        <v>1.216</v>
      </c>
      <c r="AP292" s="36" t="s">
        <v>2</v>
      </c>
      <c r="AQ292" s="270">
        <f>28764.8*0.7909</f>
        <v>22750.080320000001</v>
      </c>
      <c r="AR292" s="56"/>
    </row>
    <row r="293" spans="1:44" x14ac:dyDescent="0.25">
      <c r="A293" s="235"/>
      <c r="B293" s="238"/>
      <c r="C293" s="241"/>
      <c r="D293" s="222"/>
      <c r="E293" s="222"/>
      <c r="F293" s="222"/>
      <c r="G293" s="244"/>
      <c r="H293" s="75"/>
      <c r="I293" s="75"/>
      <c r="J293" s="109"/>
      <c r="K293" s="75"/>
      <c r="L293" s="75"/>
      <c r="M293" s="75"/>
      <c r="N293" s="75"/>
      <c r="O293" s="75"/>
      <c r="P293" s="75"/>
      <c r="Q293" s="75"/>
      <c r="R293" s="75"/>
      <c r="S293" s="170"/>
      <c r="T293" s="56"/>
      <c r="U293" s="56"/>
      <c r="V293" s="62"/>
      <c r="W293" s="56"/>
      <c r="X293" s="56"/>
      <c r="Y293" s="56"/>
      <c r="Z293" s="56"/>
      <c r="AA293" s="56"/>
      <c r="AB293" s="109"/>
      <c r="AC293" s="56"/>
      <c r="AD293" s="75"/>
      <c r="AE293" s="56"/>
      <c r="AF293" s="250"/>
      <c r="AG293" s="250"/>
      <c r="AH293" s="252"/>
      <c r="AI293" s="58"/>
      <c r="AJ293" s="36"/>
      <c r="AK293" s="271"/>
      <c r="AL293" s="250"/>
      <c r="AM293" s="250"/>
      <c r="AN293" s="252"/>
      <c r="AO293" s="58">
        <v>18240</v>
      </c>
      <c r="AP293" s="36" t="s">
        <v>4</v>
      </c>
      <c r="AQ293" s="271"/>
      <c r="AR293" s="56"/>
    </row>
    <row r="294" spans="1:44" x14ac:dyDescent="0.25">
      <c r="A294" s="236"/>
      <c r="B294" s="239"/>
      <c r="C294" s="242"/>
      <c r="D294" s="223"/>
      <c r="E294" s="223"/>
      <c r="F294" s="223"/>
      <c r="G294" s="245"/>
      <c r="H294" s="75"/>
      <c r="I294" s="75"/>
      <c r="J294" s="109"/>
      <c r="K294" s="75"/>
      <c r="L294" s="75"/>
      <c r="M294" s="75"/>
      <c r="N294" s="75"/>
      <c r="O294" s="75"/>
      <c r="P294" s="75"/>
      <c r="Q294" s="75"/>
      <c r="R294" s="75"/>
      <c r="S294" s="170"/>
      <c r="T294" s="56"/>
      <c r="U294" s="56"/>
      <c r="V294" s="62"/>
      <c r="W294" s="56"/>
      <c r="X294" s="56"/>
      <c r="Y294" s="56"/>
      <c r="Z294" s="56"/>
      <c r="AA294" s="56"/>
      <c r="AB294" s="109"/>
      <c r="AC294" s="56"/>
      <c r="AD294" s="75"/>
      <c r="AE294" s="56"/>
      <c r="AF294" s="251"/>
      <c r="AG294" s="251"/>
      <c r="AH294" s="36"/>
      <c r="AI294" s="40"/>
      <c r="AJ294" s="36"/>
      <c r="AK294" s="61"/>
      <c r="AL294" s="251"/>
      <c r="AM294" s="251"/>
      <c r="AN294" s="36" t="s">
        <v>13</v>
      </c>
      <c r="AO294" s="40">
        <v>7296</v>
      </c>
      <c r="AP294" s="36" t="s">
        <v>4</v>
      </c>
      <c r="AQ294" s="61">
        <f>15702.8*0.7909</f>
        <v>12419.344520000001</v>
      </c>
      <c r="AR294" s="56"/>
    </row>
    <row r="295" spans="1:44" x14ac:dyDescent="0.25">
      <c r="A295" s="234">
        <v>60</v>
      </c>
      <c r="B295" s="237">
        <v>2224247</v>
      </c>
      <c r="C295" s="240" t="s">
        <v>92</v>
      </c>
      <c r="D295" s="221">
        <f t="shared" ref="D295" si="16">F295</f>
        <v>1.6</v>
      </c>
      <c r="E295" s="221">
        <f t="shared" ref="E295" si="17">G295</f>
        <v>22400</v>
      </c>
      <c r="F295" s="221">
        <v>1.6</v>
      </c>
      <c r="G295" s="243">
        <v>22400</v>
      </c>
      <c r="H295" s="75"/>
      <c r="I295" s="75"/>
      <c r="J295" s="109"/>
      <c r="K295" s="75"/>
      <c r="L295" s="75"/>
      <c r="M295" s="75"/>
      <c r="N295" s="75"/>
      <c r="O295" s="75"/>
      <c r="P295" s="75"/>
      <c r="Q295" s="75"/>
      <c r="R295" s="75"/>
      <c r="S295" s="170"/>
      <c r="T295" s="56"/>
      <c r="U295" s="56"/>
      <c r="V295" s="62"/>
      <c r="W295" s="56"/>
      <c r="X295" s="56"/>
      <c r="Y295" s="56"/>
      <c r="Z295" s="56"/>
      <c r="AA295" s="56"/>
      <c r="AB295" s="109"/>
      <c r="AC295" s="56"/>
      <c r="AD295" s="75"/>
      <c r="AE295" s="56"/>
      <c r="AF295" s="63"/>
      <c r="AG295" s="63"/>
      <c r="AH295" s="62"/>
      <c r="AI295" s="63"/>
      <c r="AJ295" s="62"/>
      <c r="AK295" s="66"/>
      <c r="AL295" s="249" t="s">
        <v>205</v>
      </c>
      <c r="AM295" s="249" t="s">
        <v>206</v>
      </c>
      <c r="AN295" s="252" t="s">
        <v>7</v>
      </c>
      <c r="AO295" s="40">
        <v>1.6</v>
      </c>
      <c r="AP295" s="36" t="s">
        <v>2</v>
      </c>
      <c r="AQ295" s="270">
        <f>35961.5*0.7909</f>
        <v>28441.950350000003</v>
      </c>
      <c r="AR295" s="56"/>
    </row>
    <row r="296" spans="1:44" x14ac:dyDescent="0.25">
      <c r="A296" s="235"/>
      <c r="B296" s="238"/>
      <c r="C296" s="241"/>
      <c r="D296" s="222"/>
      <c r="E296" s="222"/>
      <c r="F296" s="222"/>
      <c r="G296" s="244"/>
      <c r="H296" s="75"/>
      <c r="I296" s="75"/>
      <c r="J296" s="109"/>
      <c r="K296" s="75"/>
      <c r="L296" s="75"/>
      <c r="M296" s="75"/>
      <c r="N296" s="75"/>
      <c r="O296" s="75"/>
      <c r="P296" s="75"/>
      <c r="Q296" s="75"/>
      <c r="R296" s="75"/>
      <c r="S296" s="170"/>
      <c r="T296" s="56"/>
      <c r="U296" s="56"/>
      <c r="V296" s="62"/>
      <c r="W296" s="56"/>
      <c r="X296" s="56"/>
      <c r="Y296" s="56"/>
      <c r="Z296" s="56"/>
      <c r="AA296" s="56"/>
      <c r="AB296" s="109"/>
      <c r="AC296" s="56"/>
      <c r="AD296" s="75"/>
      <c r="AE296" s="56"/>
      <c r="AF296" s="63"/>
      <c r="AG296" s="63"/>
      <c r="AH296" s="62"/>
      <c r="AI296" s="63"/>
      <c r="AJ296" s="62"/>
      <c r="AK296" s="66"/>
      <c r="AL296" s="250"/>
      <c r="AM296" s="250"/>
      <c r="AN296" s="252"/>
      <c r="AO296" s="58">
        <v>22400</v>
      </c>
      <c r="AP296" s="36" t="s">
        <v>4</v>
      </c>
      <c r="AQ296" s="271"/>
      <c r="AR296" s="56"/>
    </row>
    <row r="297" spans="1:44" x14ac:dyDescent="0.25">
      <c r="A297" s="236"/>
      <c r="B297" s="239"/>
      <c r="C297" s="242"/>
      <c r="D297" s="223"/>
      <c r="E297" s="223"/>
      <c r="F297" s="223"/>
      <c r="G297" s="245"/>
      <c r="H297" s="75"/>
      <c r="I297" s="75"/>
      <c r="J297" s="109"/>
      <c r="K297" s="75"/>
      <c r="L297" s="75"/>
      <c r="M297" s="75"/>
      <c r="N297" s="75"/>
      <c r="O297" s="75"/>
      <c r="P297" s="75"/>
      <c r="Q297" s="75"/>
      <c r="R297" s="75"/>
      <c r="S297" s="170"/>
      <c r="T297" s="56"/>
      <c r="U297" s="56"/>
      <c r="V297" s="62"/>
      <c r="W297" s="56"/>
      <c r="X297" s="56"/>
      <c r="Y297" s="56"/>
      <c r="Z297" s="56"/>
      <c r="AA297" s="56"/>
      <c r="AB297" s="109"/>
      <c r="AC297" s="56"/>
      <c r="AD297" s="75"/>
      <c r="AE297" s="56"/>
      <c r="AF297" s="63"/>
      <c r="AG297" s="63"/>
      <c r="AH297" s="62"/>
      <c r="AI297" s="63"/>
      <c r="AJ297" s="62"/>
      <c r="AK297" s="66"/>
      <c r="AL297" s="251"/>
      <c r="AM297" s="251"/>
      <c r="AN297" s="36" t="s">
        <v>13</v>
      </c>
      <c r="AO297" s="40">
        <v>9600</v>
      </c>
      <c r="AP297" s="36" t="s">
        <v>4</v>
      </c>
      <c r="AQ297" s="61">
        <f>25513.1*0.7909</f>
        <v>20178.31079</v>
      </c>
      <c r="AR297" s="56"/>
    </row>
    <row r="298" spans="1:44" x14ac:dyDescent="0.25">
      <c r="A298" s="234">
        <v>61</v>
      </c>
      <c r="B298" s="237">
        <v>2219828</v>
      </c>
      <c r="C298" s="240" t="s">
        <v>199</v>
      </c>
      <c r="D298" s="221">
        <f t="shared" ref="D298" si="18">F298</f>
        <v>1.2230000000000001</v>
      </c>
      <c r="E298" s="221">
        <f t="shared" ref="E298" si="19">G298</f>
        <v>13453</v>
      </c>
      <c r="F298" s="221">
        <v>1.2230000000000001</v>
      </c>
      <c r="G298" s="243">
        <v>13453</v>
      </c>
      <c r="H298" s="75"/>
      <c r="I298" s="75"/>
      <c r="J298" s="109"/>
      <c r="K298" s="75"/>
      <c r="L298" s="75"/>
      <c r="M298" s="75"/>
      <c r="N298" s="75"/>
      <c r="O298" s="75"/>
      <c r="P298" s="75"/>
      <c r="Q298" s="75"/>
      <c r="R298" s="75"/>
      <c r="S298" s="170"/>
      <c r="T298" s="56"/>
      <c r="U298" s="56"/>
      <c r="V298" s="62"/>
      <c r="W298" s="56"/>
      <c r="X298" s="56"/>
      <c r="Y298" s="56"/>
      <c r="Z298" s="56"/>
      <c r="AA298" s="56"/>
      <c r="AB298" s="109"/>
      <c r="AC298" s="56"/>
      <c r="AD298" s="75"/>
      <c r="AE298" s="56"/>
      <c r="AF298" s="63"/>
      <c r="AG298" s="63"/>
      <c r="AH298" s="62"/>
      <c r="AI298" s="63"/>
      <c r="AJ298" s="62"/>
      <c r="AK298" s="66"/>
      <c r="AL298" s="249" t="s">
        <v>207</v>
      </c>
      <c r="AM298" s="249" t="s">
        <v>208</v>
      </c>
      <c r="AN298" s="252" t="s">
        <v>7</v>
      </c>
      <c r="AO298" s="40">
        <v>1.22</v>
      </c>
      <c r="AP298" s="36" t="s">
        <v>2</v>
      </c>
      <c r="AQ298" s="270">
        <f>23736.9*0.7909</f>
        <v>18773.514210000001</v>
      </c>
      <c r="AR298" s="56"/>
    </row>
    <row r="299" spans="1:44" x14ac:dyDescent="0.25">
      <c r="A299" s="235"/>
      <c r="B299" s="238"/>
      <c r="C299" s="241"/>
      <c r="D299" s="222"/>
      <c r="E299" s="222"/>
      <c r="F299" s="222"/>
      <c r="G299" s="244"/>
      <c r="H299" s="75"/>
      <c r="I299" s="75"/>
      <c r="J299" s="109"/>
      <c r="K299" s="75"/>
      <c r="L299" s="75"/>
      <c r="M299" s="75"/>
      <c r="N299" s="75"/>
      <c r="O299" s="75"/>
      <c r="P299" s="75"/>
      <c r="Q299" s="75"/>
      <c r="R299" s="75"/>
      <c r="S299" s="170"/>
      <c r="T299" s="56"/>
      <c r="U299" s="56"/>
      <c r="V299" s="62"/>
      <c r="W299" s="56"/>
      <c r="X299" s="56"/>
      <c r="Y299" s="56"/>
      <c r="Z299" s="56"/>
      <c r="AA299" s="56"/>
      <c r="AB299" s="109"/>
      <c r="AC299" s="56"/>
      <c r="AD299" s="75"/>
      <c r="AE299" s="56"/>
      <c r="AF299" s="63"/>
      <c r="AG299" s="63"/>
      <c r="AH299" s="62"/>
      <c r="AI299" s="63"/>
      <c r="AJ299" s="62"/>
      <c r="AK299" s="66"/>
      <c r="AL299" s="250"/>
      <c r="AM299" s="250"/>
      <c r="AN299" s="252"/>
      <c r="AO299" s="58">
        <v>13453</v>
      </c>
      <c r="AP299" s="36" t="s">
        <v>4</v>
      </c>
      <c r="AQ299" s="271"/>
      <c r="AR299" s="56"/>
    </row>
    <row r="300" spans="1:44" x14ac:dyDescent="0.25">
      <c r="A300" s="236"/>
      <c r="B300" s="239"/>
      <c r="C300" s="242"/>
      <c r="D300" s="223"/>
      <c r="E300" s="223"/>
      <c r="F300" s="223"/>
      <c r="G300" s="245"/>
      <c r="H300" s="75"/>
      <c r="I300" s="75"/>
      <c r="J300" s="109"/>
      <c r="K300" s="75"/>
      <c r="L300" s="75"/>
      <c r="M300" s="75"/>
      <c r="N300" s="75"/>
      <c r="O300" s="75"/>
      <c r="P300" s="75"/>
      <c r="Q300" s="75"/>
      <c r="R300" s="75"/>
      <c r="S300" s="170"/>
      <c r="T300" s="56"/>
      <c r="U300" s="56"/>
      <c r="V300" s="62"/>
      <c r="W300" s="56"/>
      <c r="X300" s="56"/>
      <c r="Y300" s="56"/>
      <c r="Z300" s="56"/>
      <c r="AA300" s="56"/>
      <c r="AB300" s="109"/>
      <c r="AC300" s="56"/>
      <c r="AD300" s="75"/>
      <c r="AE300" s="56"/>
      <c r="AF300" s="63"/>
      <c r="AG300" s="63"/>
      <c r="AH300" s="62"/>
      <c r="AI300" s="63"/>
      <c r="AJ300" s="62"/>
      <c r="AK300" s="66"/>
      <c r="AL300" s="251"/>
      <c r="AM300" s="251"/>
      <c r="AN300" s="36" t="s">
        <v>13</v>
      </c>
      <c r="AO300" s="40">
        <v>7338</v>
      </c>
      <c r="AP300" s="36" t="s">
        <v>4</v>
      </c>
      <c r="AQ300" s="61">
        <f>23550.8*0.7909</f>
        <v>18626.327720000001</v>
      </c>
      <c r="AR300" s="56"/>
    </row>
    <row r="301" spans="1:44" x14ac:dyDescent="0.25">
      <c r="A301" s="234">
        <v>62</v>
      </c>
      <c r="B301" s="237">
        <v>2223488</v>
      </c>
      <c r="C301" s="240" t="s">
        <v>209</v>
      </c>
      <c r="D301" s="221">
        <f t="shared" ref="D301" si="20">F301</f>
        <v>1.7909999999999999</v>
      </c>
      <c r="E301" s="221">
        <f t="shared" ref="E301" si="21">G301</f>
        <v>25074</v>
      </c>
      <c r="F301" s="221">
        <v>1.7909999999999999</v>
      </c>
      <c r="G301" s="243">
        <v>25074</v>
      </c>
      <c r="H301" s="75"/>
      <c r="I301" s="75"/>
      <c r="J301" s="109"/>
      <c r="K301" s="75"/>
      <c r="L301" s="75"/>
      <c r="M301" s="75"/>
      <c r="N301" s="75"/>
      <c r="O301" s="75"/>
      <c r="P301" s="75"/>
      <c r="Q301" s="75"/>
      <c r="R301" s="75"/>
      <c r="S301" s="170"/>
      <c r="T301" s="56"/>
      <c r="U301" s="56"/>
      <c r="V301" s="62"/>
      <c r="W301" s="56"/>
      <c r="X301" s="56"/>
      <c r="Y301" s="56"/>
      <c r="Z301" s="56"/>
      <c r="AA301" s="56"/>
      <c r="AB301" s="109"/>
      <c r="AC301" s="56"/>
      <c r="AD301" s="75"/>
      <c r="AE301" s="56"/>
      <c r="AF301" s="63"/>
      <c r="AG301" s="63"/>
      <c r="AH301" s="62"/>
      <c r="AI301" s="63"/>
      <c r="AJ301" s="62"/>
      <c r="AK301" s="66"/>
      <c r="AL301" s="249" t="s">
        <v>162</v>
      </c>
      <c r="AM301" s="249" t="s">
        <v>116</v>
      </c>
      <c r="AN301" s="252" t="s">
        <v>7</v>
      </c>
      <c r="AO301" s="40">
        <v>1.79</v>
      </c>
      <c r="AP301" s="36" t="s">
        <v>2</v>
      </c>
      <c r="AQ301" s="270">
        <f>40182.8*0.7909</f>
        <v>31780.576520000006</v>
      </c>
      <c r="AR301" s="56"/>
    </row>
    <row r="302" spans="1:44" x14ac:dyDescent="0.25">
      <c r="A302" s="235"/>
      <c r="B302" s="238"/>
      <c r="C302" s="241"/>
      <c r="D302" s="222"/>
      <c r="E302" s="222"/>
      <c r="F302" s="222"/>
      <c r="G302" s="244"/>
      <c r="H302" s="75"/>
      <c r="I302" s="75"/>
      <c r="J302" s="109"/>
      <c r="K302" s="75"/>
      <c r="L302" s="75"/>
      <c r="M302" s="75"/>
      <c r="N302" s="75"/>
      <c r="O302" s="75"/>
      <c r="P302" s="75"/>
      <c r="Q302" s="75"/>
      <c r="R302" s="75"/>
      <c r="S302" s="170"/>
      <c r="T302" s="56"/>
      <c r="U302" s="56"/>
      <c r="V302" s="62"/>
      <c r="W302" s="56"/>
      <c r="X302" s="56"/>
      <c r="Y302" s="56"/>
      <c r="Z302" s="56"/>
      <c r="AA302" s="56"/>
      <c r="AB302" s="109"/>
      <c r="AC302" s="56"/>
      <c r="AD302" s="75"/>
      <c r="AE302" s="56"/>
      <c r="AF302" s="63"/>
      <c r="AG302" s="63"/>
      <c r="AH302" s="62"/>
      <c r="AI302" s="63"/>
      <c r="AJ302" s="62"/>
      <c r="AK302" s="66"/>
      <c r="AL302" s="250"/>
      <c r="AM302" s="250"/>
      <c r="AN302" s="252"/>
      <c r="AO302" s="58">
        <v>25074</v>
      </c>
      <c r="AP302" s="36" t="s">
        <v>4</v>
      </c>
      <c r="AQ302" s="271"/>
      <c r="AR302" s="56"/>
    </row>
    <row r="303" spans="1:44" x14ac:dyDescent="0.25">
      <c r="A303" s="236"/>
      <c r="B303" s="239"/>
      <c r="C303" s="242"/>
      <c r="D303" s="223"/>
      <c r="E303" s="223"/>
      <c r="F303" s="223"/>
      <c r="G303" s="245"/>
      <c r="H303" s="75"/>
      <c r="I303" s="75"/>
      <c r="J303" s="109"/>
      <c r="K303" s="75"/>
      <c r="L303" s="75"/>
      <c r="M303" s="75"/>
      <c r="N303" s="75"/>
      <c r="O303" s="75"/>
      <c r="P303" s="75"/>
      <c r="Q303" s="75"/>
      <c r="R303" s="75"/>
      <c r="S303" s="170"/>
      <c r="T303" s="56"/>
      <c r="U303" s="56"/>
      <c r="V303" s="62"/>
      <c r="W303" s="56"/>
      <c r="X303" s="56"/>
      <c r="Y303" s="56"/>
      <c r="Z303" s="56"/>
      <c r="AA303" s="56"/>
      <c r="AB303" s="109"/>
      <c r="AC303" s="56"/>
      <c r="AD303" s="75"/>
      <c r="AE303" s="56"/>
      <c r="AF303" s="63"/>
      <c r="AG303" s="63"/>
      <c r="AH303" s="62"/>
      <c r="AI303" s="63"/>
      <c r="AJ303" s="62"/>
      <c r="AK303" s="66"/>
      <c r="AL303" s="251"/>
      <c r="AM303" s="251"/>
      <c r="AN303" s="36" t="s">
        <v>13</v>
      </c>
      <c r="AO303" s="40">
        <v>10746</v>
      </c>
      <c r="AP303" s="36" t="s">
        <v>4</v>
      </c>
      <c r="AQ303" s="61">
        <f>23128*0.7909</f>
        <v>18291.9352</v>
      </c>
      <c r="AR303" s="56"/>
    </row>
    <row r="304" spans="1:44" x14ac:dyDescent="0.25">
      <c r="A304" s="234">
        <v>63</v>
      </c>
      <c r="B304" s="237">
        <v>2222592</v>
      </c>
      <c r="C304" s="240" t="s">
        <v>210</v>
      </c>
      <c r="D304" s="221">
        <f t="shared" ref="D304" si="22">F304</f>
        <v>1.8</v>
      </c>
      <c r="E304" s="221">
        <f t="shared" ref="E304" si="23">G304</f>
        <v>25200</v>
      </c>
      <c r="F304" s="221">
        <v>1.8</v>
      </c>
      <c r="G304" s="243">
        <v>25200</v>
      </c>
      <c r="H304" s="75"/>
      <c r="I304" s="75"/>
      <c r="J304" s="109"/>
      <c r="K304" s="75"/>
      <c r="L304" s="75"/>
      <c r="M304" s="75"/>
      <c r="N304" s="75"/>
      <c r="O304" s="75"/>
      <c r="P304" s="75"/>
      <c r="Q304" s="75"/>
      <c r="R304" s="75"/>
      <c r="S304" s="170"/>
      <c r="T304" s="56"/>
      <c r="U304" s="56"/>
      <c r="V304" s="62"/>
      <c r="W304" s="56"/>
      <c r="X304" s="56"/>
      <c r="Y304" s="56"/>
      <c r="Z304" s="56"/>
      <c r="AA304" s="56"/>
      <c r="AB304" s="109"/>
      <c r="AC304" s="56"/>
      <c r="AD304" s="75"/>
      <c r="AE304" s="56"/>
      <c r="AF304" s="63"/>
      <c r="AG304" s="63"/>
      <c r="AH304" s="62"/>
      <c r="AI304" s="63"/>
      <c r="AJ304" s="62"/>
      <c r="AK304" s="66"/>
      <c r="AL304" s="249" t="s">
        <v>211</v>
      </c>
      <c r="AM304" s="249" t="s">
        <v>212</v>
      </c>
      <c r="AN304" s="252" t="s">
        <v>7</v>
      </c>
      <c r="AO304" s="40">
        <v>1.8</v>
      </c>
      <c r="AP304" s="36" t="s">
        <v>2</v>
      </c>
      <c r="AQ304" s="270">
        <f>40381.7*0.7909</f>
        <v>31937.88653</v>
      </c>
      <c r="AR304" s="56"/>
    </row>
    <row r="305" spans="1:44" x14ac:dyDescent="0.25">
      <c r="A305" s="235"/>
      <c r="B305" s="238"/>
      <c r="C305" s="241"/>
      <c r="D305" s="222"/>
      <c r="E305" s="222"/>
      <c r="F305" s="222"/>
      <c r="G305" s="244"/>
      <c r="H305" s="75"/>
      <c r="I305" s="75"/>
      <c r="J305" s="109"/>
      <c r="K305" s="75"/>
      <c r="L305" s="75"/>
      <c r="M305" s="75"/>
      <c r="N305" s="75"/>
      <c r="O305" s="75"/>
      <c r="P305" s="75"/>
      <c r="Q305" s="75"/>
      <c r="R305" s="75"/>
      <c r="S305" s="170"/>
      <c r="T305" s="56"/>
      <c r="U305" s="56"/>
      <c r="V305" s="62"/>
      <c r="W305" s="56"/>
      <c r="X305" s="56"/>
      <c r="Y305" s="56"/>
      <c r="Z305" s="56"/>
      <c r="AA305" s="56"/>
      <c r="AB305" s="109"/>
      <c r="AC305" s="56"/>
      <c r="AD305" s="75"/>
      <c r="AE305" s="56"/>
      <c r="AF305" s="63"/>
      <c r="AG305" s="63"/>
      <c r="AH305" s="62"/>
      <c r="AI305" s="63"/>
      <c r="AJ305" s="62"/>
      <c r="AK305" s="66"/>
      <c r="AL305" s="250"/>
      <c r="AM305" s="250"/>
      <c r="AN305" s="252"/>
      <c r="AO305" s="58">
        <v>25200</v>
      </c>
      <c r="AP305" s="36" t="s">
        <v>4</v>
      </c>
      <c r="AQ305" s="271"/>
      <c r="AR305" s="56"/>
    </row>
    <row r="306" spans="1:44" x14ac:dyDescent="0.25">
      <c r="A306" s="236"/>
      <c r="B306" s="239"/>
      <c r="C306" s="242"/>
      <c r="D306" s="223"/>
      <c r="E306" s="223"/>
      <c r="F306" s="223"/>
      <c r="G306" s="245"/>
      <c r="H306" s="75"/>
      <c r="I306" s="75"/>
      <c r="J306" s="109"/>
      <c r="K306" s="75"/>
      <c r="L306" s="75"/>
      <c r="M306" s="75"/>
      <c r="N306" s="75"/>
      <c r="O306" s="75"/>
      <c r="P306" s="75"/>
      <c r="Q306" s="75"/>
      <c r="R306" s="75"/>
      <c r="S306" s="170"/>
      <c r="T306" s="56"/>
      <c r="U306" s="56"/>
      <c r="V306" s="62"/>
      <c r="W306" s="56"/>
      <c r="X306" s="56"/>
      <c r="Y306" s="56"/>
      <c r="Z306" s="56"/>
      <c r="AA306" s="56"/>
      <c r="AB306" s="109"/>
      <c r="AC306" s="56"/>
      <c r="AD306" s="75"/>
      <c r="AE306" s="56"/>
      <c r="AF306" s="63"/>
      <c r="AG306" s="63"/>
      <c r="AH306" s="62"/>
      <c r="AI306" s="63"/>
      <c r="AJ306" s="62"/>
      <c r="AK306" s="66"/>
      <c r="AL306" s="251"/>
      <c r="AM306" s="251"/>
      <c r="AN306" s="36" t="s">
        <v>13</v>
      </c>
      <c r="AO306" s="40">
        <v>10800</v>
      </c>
      <c r="AP306" s="36" t="s">
        <v>4</v>
      </c>
      <c r="AQ306" s="61">
        <f>23244.2*0.7909</f>
        <v>18383.837780000002</v>
      </c>
      <c r="AR306" s="56"/>
    </row>
    <row r="307" spans="1:44" x14ac:dyDescent="0.25">
      <c r="A307" s="234">
        <v>64</v>
      </c>
      <c r="B307" s="237">
        <v>2221607</v>
      </c>
      <c r="C307" s="240" t="s">
        <v>145</v>
      </c>
      <c r="D307" s="221">
        <f t="shared" ref="D307" si="24">F307</f>
        <v>1.502</v>
      </c>
      <c r="E307" s="221">
        <f t="shared" ref="E307" si="25">G307</f>
        <v>21028</v>
      </c>
      <c r="F307" s="221">
        <v>1.502</v>
      </c>
      <c r="G307" s="243">
        <v>21028</v>
      </c>
      <c r="H307" s="75"/>
      <c r="I307" s="75"/>
      <c r="J307" s="109"/>
      <c r="K307" s="75"/>
      <c r="L307" s="75"/>
      <c r="M307" s="75"/>
      <c r="N307" s="75"/>
      <c r="O307" s="75"/>
      <c r="P307" s="75"/>
      <c r="Q307" s="75"/>
      <c r="R307" s="75"/>
      <c r="S307" s="170"/>
      <c r="T307" s="56"/>
      <c r="U307" s="56"/>
      <c r="V307" s="62"/>
      <c r="W307" s="56"/>
      <c r="X307" s="56"/>
      <c r="Y307" s="56"/>
      <c r="Z307" s="56"/>
      <c r="AA307" s="56"/>
      <c r="AB307" s="109"/>
      <c r="AC307" s="56"/>
      <c r="AD307" s="75"/>
      <c r="AE307" s="56"/>
      <c r="AF307" s="63"/>
      <c r="AG307" s="63"/>
      <c r="AH307" s="62"/>
      <c r="AI307" s="63"/>
      <c r="AJ307" s="62"/>
      <c r="AK307" s="66"/>
      <c r="AL307" s="249" t="s">
        <v>212</v>
      </c>
      <c r="AM307" s="249" t="s">
        <v>213</v>
      </c>
      <c r="AN307" s="252" t="s">
        <v>7</v>
      </c>
      <c r="AO307" s="40">
        <v>1.502</v>
      </c>
      <c r="AP307" s="36" t="s">
        <v>2</v>
      </c>
      <c r="AQ307" s="270">
        <f>33795.6*0.7909</f>
        <v>26728.940040000001</v>
      </c>
      <c r="AR307" s="56"/>
    </row>
    <row r="308" spans="1:44" x14ac:dyDescent="0.25">
      <c r="A308" s="235"/>
      <c r="B308" s="238"/>
      <c r="C308" s="241"/>
      <c r="D308" s="222"/>
      <c r="E308" s="222"/>
      <c r="F308" s="222"/>
      <c r="G308" s="244"/>
      <c r="H308" s="75"/>
      <c r="I308" s="75"/>
      <c r="J308" s="109"/>
      <c r="K308" s="75"/>
      <c r="L308" s="75"/>
      <c r="M308" s="75"/>
      <c r="N308" s="75"/>
      <c r="O308" s="75"/>
      <c r="P308" s="75"/>
      <c r="Q308" s="75"/>
      <c r="R308" s="75"/>
      <c r="S308" s="170"/>
      <c r="T308" s="56"/>
      <c r="U308" s="56"/>
      <c r="V308" s="62"/>
      <c r="W308" s="56"/>
      <c r="X308" s="56"/>
      <c r="Y308" s="56"/>
      <c r="Z308" s="56"/>
      <c r="AA308" s="56"/>
      <c r="AB308" s="109"/>
      <c r="AC308" s="56"/>
      <c r="AD308" s="75"/>
      <c r="AE308" s="56"/>
      <c r="AF308" s="63"/>
      <c r="AG308" s="63"/>
      <c r="AH308" s="62"/>
      <c r="AI308" s="63"/>
      <c r="AJ308" s="62"/>
      <c r="AK308" s="66"/>
      <c r="AL308" s="250"/>
      <c r="AM308" s="250"/>
      <c r="AN308" s="252"/>
      <c r="AO308" s="58">
        <v>21028</v>
      </c>
      <c r="AP308" s="36" t="s">
        <v>4</v>
      </c>
      <c r="AQ308" s="271"/>
      <c r="AR308" s="56"/>
    </row>
    <row r="309" spans="1:44" x14ac:dyDescent="0.25">
      <c r="A309" s="236"/>
      <c r="B309" s="239"/>
      <c r="C309" s="242"/>
      <c r="D309" s="223"/>
      <c r="E309" s="223"/>
      <c r="F309" s="223"/>
      <c r="G309" s="245"/>
      <c r="H309" s="75"/>
      <c r="I309" s="75"/>
      <c r="J309" s="109"/>
      <c r="K309" s="75"/>
      <c r="L309" s="75"/>
      <c r="M309" s="75"/>
      <c r="N309" s="75"/>
      <c r="O309" s="75"/>
      <c r="P309" s="75"/>
      <c r="Q309" s="75"/>
      <c r="R309" s="75"/>
      <c r="S309" s="170"/>
      <c r="T309" s="56"/>
      <c r="U309" s="56"/>
      <c r="V309" s="62"/>
      <c r="W309" s="56"/>
      <c r="X309" s="56"/>
      <c r="Y309" s="56"/>
      <c r="Z309" s="56"/>
      <c r="AA309" s="56"/>
      <c r="AB309" s="109"/>
      <c r="AC309" s="56"/>
      <c r="AD309" s="75"/>
      <c r="AE309" s="56"/>
      <c r="AF309" s="63"/>
      <c r="AG309" s="63"/>
      <c r="AH309" s="62"/>
      <c r="AI309" s="63"/>
      <c r="AJ309" s="62"/>
      <c r="AK309" s="66"/>
      <c r="AL309" s="251"/>
      <c r="AM309" s="251"/>
      <c r="AN309" s="36" t="s">
        <v>13</v>
      </c>
      <c r="AO309" s="40">
        <v>9012</v>
      </c>
      <c r="AP309" s="36" t="s">
        <v>4</v>
      </c>
      <c r="AQ309" s="61">
        <f>19396*0.7909</f>
        <v>15340.296400000001</v>
      </c>
      <c r="AR309" s="56"/>
    </row>
    <row r="310" spans="1:44" x14ac:dyDescent="0.25">
      <c r="A310" s="234">
        <v>65</v>
      </c>
      <c r="B310" s="237">
        <v>2225081</v>
      </c>
      <c r="C310" s="240" t="s">
        <v>217</v>
      </c>
      <c r="D310" s="221">
        <f t="shared" ref="D310" si="26">F310</f>
        <v>6.51</v>
      </c>
      <c r="E310" s="221">
        <f t="shared" ref="E310" si="27">G310</f>
        <v>58590</v>
      </c>
      <c r="F310" s="221">
        <v>6.51</v>
      </c>
      <c r="G310" s="243">
        <v>58590</v>
      </c>
      <c r="H310" s="75"/>
      <c r="I310" s="75"/>
      <c r="J310" s="109"/>
      <c r="K310" s="75"/>
      <c r="L310" s="75"/>
      <c r="M310" s="75"/>
      <c r="N310" s="75"/>
      <c r="O310" s="75"/>
      <c r="P310" s="75"/>
      <c r="Q310" s="75"/>
      <c r="R310" s="75"/>
      <c r="S310" s="170"/>
      <c r="T310" s="56"/>
      <c r="U310" s="56"/>
      <c r="V310" s="62"/>
      <c r="W310" s="56"/>
      <c r="X310" s="56"/>
      <c r="Y310" s="56"/>
      <c r="Z310" s="56"/>
      <c r="AA310" s="56"/>
      <c r="AB310" s="109"/>
      <c r="AC310" s="56"/>
      <c r="AD310" s="75"/>
      <c r="AE310" s="56"/>
      <c r="AF310" s="63"/>
      <c r="AG310" s="63"/>
      <c r="AH310" s="62"/>
      <c r="AI310" s="63"/>
      <c r="AJ310" s="62"/>
      <c r="AK310" s="66"/>
      <c r="AL310" s="249" t="s">
        <v>215</v>
      </c>
      <c r="AM310" s="249" t="s">
        <v>218</v>
      </c>
      <c r="AN310" s="252" t="s">
        <v>7</v>
      </c>
      <c r="AO310" s="40">
        <v>6.51</v>
      </c>
      <c r="AP310" s="36" t="s">
        <v>2</v>
      </c>
      <c r="AQ310" s="270">
        <f>109944*0.7909</f>
        <v>86954.709600000002</v>
      </c>
      <c r="AR310" s="56"/>
    </row>
    <row r="311" spans="1:44" x14ac:dyDescent="0.25">
      <c r="A311" s="235"/>
      <c r="B311" s="238"/>
      <c r="C311" s="241"/>
      <c r="D311" s="222"/>
      <c r="E311" s="222"/>
      <c r="F311" s="222"/>
      <c r="G311" s="244"/>
      <c r="H311" s="75"/>
      <c r="I311" s="75"/>
      <c r="J311" s="109"/>
      <c r="K311" s="75"/>
      <c r="L311" s="75"/>
      <c r="M311" s="75"/>
      <c r="N311" s="75"/>
      <c r="O311" s="75"/>
      <c r="P311" s="75"/>
      <c r="Q311" s="75"/>
      <c r="R311" s="75"/>
      <c r="S311" s="170"/>
      <c r="T311" s="56"/>
      <c r="U311" s="56"/>
      <c r="V311" s="62"/>
      <c r="W311" s="56"/>
      <c r="X311" s="56"/>
      <c r="Y311" s="56"/>
      <c r="Z311" s="56"/>
      <c r="AA311" s="56"/>
      <c r="AB311" s="109"/>
      <c r="AC311" s="56"/>
      <c r="AD311" s="75"/>
      <c r="AE311" s="56"/>
      <c r="AF311" s="63"/>
      <c r="AG311" s="63"/>
      <c r="AH311" s="62"/>
      <c r="AI311" s="63"/>
      <c r="AJ311" s="62"/>
      <c r="AK311" s="66"/>
      <c r="AL311" s="250"/>
      <c r="AM311" s="250"/>
      <c r="AN311" s="252"/>
      <c r="AO311" s="58">
        <v>58590</v>
      </c>
      <c r="AP311" s="36" t="s">
        <v>4</v>
      </c>
      <c r="AQ311" s="271"/>
      <c r="AR311" s="56"/>
    </row>
    <row r="312" spans="1:44" x14ac:dyDescent="0.25">
      <c r="A312" s="236"/>
      <c r="B312" s="239"/>
      <c r="C312" s="242"/>
      <c r="D312" s="223"/>
      <c r="E312" s="223"/>
      <c r="F312" s="223"/>
      <c r="G312" s="245"/>
      <c r="H312" s="75"/>
      <c r="I312" s="75"/>
      <c r="J312" s="109"/>
      <c r="K312" s="75"/>
      <c r="L312" s="75"/>
      <c r="M312" s="75"/>
      <c r="N312" s="75"/>
      <c r="O312" s="75"/>
      <c r="P312" s="75"/>
      <c r="Q312" s="75"/>
      <c r="R312" s="75"/>
      <c r="S312" s="170"/>
      <c r="T312" s="56"/>
      <c r="U312" s="56"/>
      <c r="V312" s="62"/>
      <c r="W312" s="56"/>
      <c r="X312" s="56"/>
      <c r="Y312" s="56"/>
      <c r="Z312" s="56"/>
      <c r="AA312" s="56"/>
      <c r="AB312" s="109"/>
      <c r="AC312" s="56"/>
      <c r="AD312" s="75"/>
      <c r="AE312" s="56"/>
      <c r="AF312" s="63"/>
      <c r="AG312" s="63"/>
      <c r="AH312" s="62"/>
      <c r="AI312" s="63"/>
      <c r="AJ312" s="62"/>
      <c r="AK312" s="66"/>
      <c r="AL312" s="251"/>
      <c r="AM312" s="251"/>
      <c r="AN312" s="36" t="s">
        <v>13</v>
      </c>
      <c r="AO312" s="40">
        <v>13020</v>
      </c>
      <c r="AP312" s="36" t="s">
        <v>4</v>
      </c>
      <c r="AQ312" s="61">
        <f>35237.8*0.7909</f>
        <v>27869.576020000004</v>
      </c>
      <c r="AR312" s="56"/>
    </row>
    <row r="313" spans="1:44" x14ac:dyDescent="0.25">
      <c r="A313" s="234">
        <v>66</v>
      </c>
      <c r="B313" s="237">
        <v>2224267</v>
      </c>
      <c r="C313" s="240" t="s">
        <v>221</v>
      </c>
      <c r="D313" s="221">
        <f t="shared" ref="D313" si="28">F313</f>
        <v>1.837</v>
      </c>
      <c r="E313" s="221">
        <f t="shared" ref="E313" si="29">G313</f>
        <v>16533</v>
      </c>
      <c r="F313" s="221">
        <v>1.837</v>
      </c>
      <c r="G313" s="243">
        <v>16533</v>
      </c>
      <c r="H313" s="75"/>
      <c r="I313" s="75"/>
      <c r="J313" s="109"/>
      <c r="K313" s="75"/>
      <c r="L313" s="75"/>
      <c r="M313" s="75"/>
      <c r="N313" s="75"/>
      <c r="O313" s="75"/>
      <c r="P313" s="75"/>
      <c r="Q313" s="75"/>
      <c r="R313" s="75"/>
      <c r="S313" s="170"/>
      <c r="T313" s="56"/>
      <c r="U313" s="56"/>
      <c r="V313" s="62"/>
      <c r="W313" s="56"/>
      <c r="X313" s="56"/>
      <c r="Y313" s="56"/>
      <c r="Z313" s="56"/>
      <c r="AA313" s="56"/>
      <c r="AB313" s="109"/>
      <c r="AC313" s="56"/>
      <c r="AD313" s="75"/>
      <c r="AE313" s="56"/>
      <c r="AF313" s="63"/>
      <c r="AG313" s="63"/>
      <c r="AH313" s="62"/>
      <c r="AI313" s="63"/>
      <c r="AJ313" s="62"/>
      <c r="AK313" s="66"/>
      <c r="AL313" s="249" t="s">
        <v>222</v>
      </c>
      <c r="AM313" s="249" t="s">
        <v>223</v>
      </c>
      <c r="AN313" s="252" t="s">
        <v>7</v>
      </c>
      <c r="AO313" s="40">
        <v>1.837</v>
      </c>
      <c r="AP313" s="36" t="s">
        <v>2</v>
      </c>
      <c r="AQ313" s="270">
        <f>31454.8*0.7909</f>
        <v>24877.601320000002</v>
      </c>
      <c r="AR313" s="56"/>
    </row>
    <row r="314" spans="1:44" x14ac:dyDescent="0.25">
      <c r="A314" s="235"/>
      <c r="B314" s="238"/>
      <c r="C314" s="241"/>
      <c r="D314" s="222"/>
      <c r="E314" s="222"/>
      <c r="F314" s="222"/>
      <c r="G314" s="244"/>
      <c r="H314" s="75"/>
      <c r="I314" s="75"/>
      <c r="J314" s="109"/>
      <c r="K314" s="75"/>
      <c r="L314" s="75"/>
      <c r="M314" s="75"/>
      <c r="N314" s="75"/>
      <c r="O314" s="75"/>
      <c r="P314" s="75"/>
      <c r="Q314" s="75"/>
      <c r="R314" s="75"/>
      <c r="S314" s="170"/>
      <c r="T314" s="56"/>
      <c r="U314" s="56"/>
      <c r="V314" s="62"/>
      <c r="W314" s="56"/>
      <c r="X314" s="56"/>
      <c r="Y314" s="56"/>
      <c r="Z314" s="56"/>
      <c r="AA314" s="56"/>
      <c r="AB314" s="109"/>
      <c r="AC314" s="56"/>
      <c r="AD314" s="75"/>
      <c r="AE314" s="56"/>
      <c r="AF314" s="63"/>
      <c r="AG314" s="63"/>
      <c r="AH314" s="62"/>
      <c r="AI314" s="63"/>
      <c r="AJ314" s="62"/>
      <c r="AK314" s="66"/>
      <c r="AL314" s="250"/>
      <c r="AM314" s="250"/>
      <c r="AN314" s="252"/>
      <c r="AO314" s="58">
        <v>16533</v>
      </c>
      <c r="AP314" s="36" t="s">
        <v>4</v>
      </c>
      <c r="AQ314" s="271"/>
      <c r="AR314" s="56"/>
    </row>
    <row r="315" spans="1:44" x14ac:dyDescent="0.25">
      <c r="A315" s="236"/>
      <c r="B315" s="239"/>
      <c r="C315" s="242"/>
      <c r="D315" s="223"/>
      <c r="E315" s="223"/>
      <c r="F315" s="223"/>
      <c r="G315" s="245"/>
      <c r="H315" s="75"/>
      <c r="I315" s="75"/>
      <c r="J315" s="109"/>
      <c r="K315" s="75"/>
      <c r="L315" s="75"/>
      <c r="M315" s="75"/>
      <c r="N315" s="75"/>
      <c r="O315" s="75"/>
      <c r="P315" s="75"/>
      <c r="Q315" s="75"/>
      <c r="R315" s="75"/>
      <c r="S315" s="170"/>
      <c r="T315" s="56"/>
      <c r="U315" s="56"/>
      <c r="V315" s="62"/>
      <c r="W315" s="56"/>
      <c r="X315" s="56"/>
      <c r="Y315" s="56"/>
      <c r="Z315" s="56"/>
      <c r="AA315" s="56"/>
      <c r="AB315" s="109"/>
      <c r="AC315" s="56"/>
      <c r="AD315" s="75"/>
      <c r="AE315" s="56"/>
      <c r="AF315" s="63"/>
      <c r="AG315" s="63"/>
      <c r="AH315" s="62"/>
      <c r="AI315" s="63"/>
      <c r="AJ315" s="62"/>
      <c r="AK315" s="66"/>
      <c r="AL315" s="251"/>
      <c r="AM315" s="251"/>
      <c r="AN315" s="36" t="s">
        <v>13</v>
      </c>
      <c r="AO315" s="40">
        <v>7348</v>
      </c>
      <c r="AP315" s="36" t="s">
        <v>4</v>
      </c>
      <c r="AQ315" s="61">
        <f>19885.2*0.7909</f>
        <v>15727.204680000001</v>
      </c>
      <c r="AR315" s="56"/>
    </row>
    <row r="316" spans="1:44" x14ac:dyDescent="0.25">
      <c r="A316" s="234">
        <v>67</v>
      </c>
      <c r="B316" s="237">
        <v>2219833</v>
      </c>
      <c r="C316" s="240" t="s">
        <v>224</v>
      </c>
      <c r="D316" s="221">
        <f t="shared" ref="D316" si="30">F316</f>
        <v>4.7</v>
      </c>
      <c r="E316" s="221">
        <f t="shared" ref="E316" si="31">G316</f>
        <v>42300</v>
      </c>
      <c r="F316" s="221">
        <v>4.7</v>
      </c>
      <c r="G316" s="243">
        <v>42300</v>
      </c>
      <c r="H316" s="75"/>
      <c r="I316" s="75"/>
      <c r="J316" s="109"/>
      <c r="K316" s="75"/>
      <c r="L316" s="75"/>
      <c r="M316" s="75"/>
      <c r="N316" s="75"/>
      <c r="O316" s="75"/>
      <c r="P316" s="75"/>
      <c r="Q316" s="75"/>
      <c r="R316" s="75"/>
      <c r="S316" s="170"/>
      <c r="T316" s="56"/>
      <c r="U316" s="56"/>
      <c r="V316" s="62"/>
      <c r="W316" s="56"/>
      <c r="X316" s="56"/>
      <c r="Y316" s="56"/>
      <c r="Z316" s="56"/>
      <c r="AA316" s="56"/>
      <c r="AB316" s="109"/>
      <c r="AC316" s="56"/>
      <c r="AD316" s="75"/>
      <c r="AE316" s="56"/>
      <c r="AF316" s="63"/>
      <c r="AG316" s="63"/>
      <c r="AH316" s="62"/>
      <c r="AI316" s="63"/>
      <c r="AJ316" s="62"/>
      <c r="AK316" s="66"/>
      <c r="AL316" s="249" t="s">
        <v>225</v>
      </c>
      <c r="AM316" s="249" t="s">
        <v>226</v>
      </c>
      <c r="AN316" s="252" t="s">
        <v>7</v>
      </c>
      <c r="AO316" s="40">
        <v>4.7</v>
      </c>
      <c r="AP316" s="36" t="s">
        <v>2</v>
      </c>
      <c r="AQ316" s="270">
        <f>79542.7*0.7909</f>
        <v>62910.321430000004</v>
      </c>
      <c r="AR316" s="56"/>
    </row>
    <row r="317" spans="1:44" x14ac:dyDescent="0.25">
      <c r="A317" s="235"/>
      <c r="B317" s="238"/>
      <c r="C317" s="241"/>
      <c r="D317" s="222"/>
      <c r="E317" s="222"/>
      <c r="F317" s="222"/>
      <c r="G317" s="244"/>
      <c r="H317" s="75"/>
      <c r="I317" s="75"/>
      <c r="J317" s="109"/>
      <c r="K317" s="75"/>
      <c r="L317" s="75"/>
      <c r="M317" s="75"/>
      <c r="N317" s="75"/>
      <c r="O317" s="75"/>
      <c r="P317" s="75"/>
      <c r="Q317" s="75"/>
      <c r="R317" s="75"/>
      <c r="S317" s="170"/>
      <c r="T317" s="56"/>
      <c r="U317" s="56"/>
      <c r="V317" s="62"/>
      <c r="W317" s="56"/>
      <c r="X317" s="56"/>
      <c r="Y317" s="56"/>
      <c r="Z317" s="56"/>
      <c r="AA317" s="56"/>
      <c r="AB317" s="109"/>
      <c r="AC317" s="56"/>
      <c r="AD317" s="75"/>
      <c r="AE317" s="56"/>
      <c r="AF317" s="63"/>
      <c r="AG317" s="63"/>
      <c r="AH317" s="62"/>
      <c r="AI317" s="63"/>
      <c r="AJ317" s="62"/>
      <c r="AK317" s="66"/>
      <c r="AL317" s="250"/>
      <c r="AM317" s="250"/>
      <c r="AN317" s="252"/>
      <c r="AO317" s="58">
        <v>42300</v>
      </c>
      <c r="AP317" s="36" t="s">
        <v>4</v>
      </c>
      <c r="AQ317" s="271"/>
      <c r="AR317" s="56"/>
    </row>
    <row r="318" spans="1:44" x14ac:dyDescent="0.25">
      <c r="A318" s="236"/>
      <c r="B318" s="239"/>
      <c r="C318" s="242"/>
      <c r="D318" s="223"/>
      <c r="E318" s="223"/>
      <c r="F318" s="223"/>
      <c r="G318" s="245"/>
      <c r="H318" s="75"/>
      <c r="I318" s="75"/>
      <c r="J318" s="109"/>
      <c r="K318" s="75"/>
      <c r="L318" s="75"/>
      <c r="M318" s="75"/>
      <c r="N318" s="75"/>
      <c r="O318" s="75"/>
      <c r="P318" s="75"/>
      <c r="Q318" s="75"/>
      <c r="R318" s="75"/>
      <c r="S318" s="170"/>
      <c r="T318" s="56"/>
      <c r="U318" s="56"/>
      <c r="V318" s="62"/>
      <c r="W318" s="56"/>
      <c r="X318" s="56"/>
      <c r="Y318" s="56"/>
      <c r="Z318" s="56"/>
      <c r="AA318" s="56"/>
      <c r="AB318" s="109"/>
      <c r="AC318" s="56"/>
      <c r="AD318" s="75"/>
      <c r="AE318" s="56"/>
      <c r="AF318" s="63"/>
      <c r="AG318" s="63"/>
      <c r="AH318" s="62"/>
      <c r="AI318" s="63"/>
      <c r="AJ318" s="62"/>
      <c r="AK318" s="66"/>
      <c r="AL318" s="251"/>
      <c r="AM318" s="251"/>
      <c r="AN318" s="36" t="s">
        <v>13</v>
      </c>
      <c r="AO318" s="40">
        <v>9400</v>
      </c>
      <c r="AP318" s="36" t="s">
        <v>4</v>
      </c>
      <c r="AQ318" s="61">
        <f>25438.3*0.7909</f>
        <v>20119.151470000001</v>
      </c>
      <c r="AR318" s="56"/>
    </row>
    <row r="319" spans="1:44" x14ac:dyDescent="0.25">
      <c r="A319" s="234">
        <v>68</v>
      </c>
      <c r="B319" s="237">
        <v>2224658</v>
      </c>
      <c r="C319" s="240" t="s">
        <v>227</v>
      </c>
      <c r="D319" s="221">
        <f t="shared" ref="D319" si="32">F319</f>
        <v>0.94099999999999995</v>
      </c>
      <c r="E319" s="221">
        <f t="shared" ref="E319" si="33">G319</f>
        <v>8469</v>
      </c>
      <c r="F319" s="221">
        <v>0.94099999999999995</v>
      </c>
      <c r="G319" s="243">
        <v>8469</v>
      </c>
      <c r="H319" s="75"/>
      <c r="I319" s="75"/>
      <c r="J319" s="109"/>
      <c r="K319" s="75"/>
      <c r="L319" s="75"/>
      <c r="M319" s="75"/>
      <c r="N319" s="75"/>
      <c r="O319" s="75"/>
      <c r="P319" s="75"/>
      <c r="Q319" s="75"/>
      <c r="R319" s="75"/>
      <c r="S319" s="170"/>
      <c r="T319" s="56"/>
      <c r="U319" s="56"/>
      <c r="V319" s="62"/>
      <c r="W319" s="56"/>
      <c r="X319" s="56"/>
      <c r="Y319" s="56"/>
      <c r="Z319" s="56"/>
      <c r="AA319" s="56"/>
      <c r="AB319" s="109"/>
      <c r="AC319" s="56"/>
      <c r="AD319" s="75"/>
      <c r="AE319" s="56"/>
      <c r="AF319" s="63"/>
      <c r="AG319" s="63"/>
      <c r="AH319" s="62"/>
      <c r="AI319" s="63"/>
      <c r="AJ319" s="62"/>
      <c r="AK319" s="66"/>
      <c r="AL319" s="249" t="s">
        <v>228</v>
      </c>
      <c r="AM319" s="249" t="s">
        <v>229</v>
      </c>
      <c r="AN319" s="252" t="s">
        <v>7</v>
      </c>
      <c r="AO319" s="40">
        <v>0.94099999999999995</v>
      </c>
      <c r="AP319" s="36" t="s">
        <v>2</v>
      </c>
      <c r="AQ319" s="270">
        <f>16405.3*0.7909</f>
        <v>12974.95177</v>
      </c>
      <c r="AR319" s="56"/>
    </row>
    <row r="320" spans="1:44" x14ac:dyDescent="0.25">
      <c r="A320" s="235"/>
      <c r="B320" s="238"/>
      <c r="C320" s="241"/>
      <c r="D320" s="222"/>
      <c r="E320" s="222"/>
      <c r="F320" s="222"/>
      <c r="G320" s="244"/>
      <c r="H320" s="75"/>
      <c r="I320" s="75"/>
      <c r="J320" s="109"/>
      <c r="K320" s="75"/>
      <c r="L320" s="75"/>
      <c r="M320" s="75"/>
      <c r="N320" s="75"/>
      <c r="O320" s="75"/>
      <c r="P320" s="75"/>
      <c r="Q320" s="75"/>
      <c r="R320" s="75"/>
      <c r="S320" s="170"/>
      <c r="T320" s="56"/>
      <c r="U320" s="56"/>
      <c r="V320" s="62"/>
      <c r="W320" s="56"/>
      <c r="X320" s="56"/>
      <c r="Y320" s="56"/>
      <c r="Z320" s="56"/>
      <c r="AA320" s="56"/>
      <c r="AB320" s="109"/>
      <c r="AC320" s="56"/>
      <c r="AD320" s="75"/>
      <c r="AE320" s="56"/>
      <c r="AF320" s="63"/>
      <c r="AG320" s="63"/>
      <c r="AH320" s="62"/>
      <c r="AI320" s="63"/>
      <c r="AJ320" s="62"/>
      <c r="AK320" s="66"/>
      <c r="AL320" s="250"/>
      <c r="AM320" s="250"/>
      <c r="AN320" s="252"/>
      <c r="AO320" s="58">
        <v>8469</v>
      </c>
      <c r="AP320" s="36" t="s">
        <v>4</v>
      </c>
      <c r="AQ320" s="271"/>
      <c r="AR320" s="56"/>
    </row>
    <row r="321" spans="1:44" x14ac:dyDescent="0.25">
      <c r="A321" s="236"/>
      <c r="B321" s="239"/>
      <c r="C321" s="242"/>
      <c r="D321" s="223"/>
      <c r="E321" s="223"/>
      <c r="F321" s="223"/>
      <c r="G321" s="245"/>
      <c r="H321" s="75"/>
      <c r="I321" s="75"/>
      <c r="J321" s="109"/>
      <c r="K321" s="75"/>
      <c r="L321" s="75"/>
      <c r="M321" s="75"/>
      <c r="N321" s="75"/>
      <c r="O321" s="75"/>
      <c r="P321" s="75"/>
      <c r="Q321" s="75"/>
      <c r="R321" s="75"/>
      <c r="S321" s="170"/>
      <c r="T321" s="56"/>
      <c r="U321" s="56"/>
      <c r="V321" s="62"/>
      <c r="W321" s="56"/>
      <c r="X321" s="56"/>
      <c r="Y321" s="56"/>
      <c r="Z321" s="56"/>
      <c r="AA321" s="56"/>
      <c r="AB321" s="109"/>
      <c r="AC321" s="56"/>
      <c r="AD321" s="75"/>
      <c r="AE321" s="56"/>
      <c r="AF321" s="63"/>
      <c r="AG321" s="63"/>
      <c r="AH321" s="62"/>
      <c r="AI321" s="63"/>
      <c r="AJ321" s="62"/>
      <c r="AK321" s="66"/>
      <c r="AL321" s="251"/>
      <c r="AM321" s="251"/>
      <c r="AN321" s="36" t="s">
        <v>13</v>
      </c>
      <c r="AO321" s="40">
        <v>3764</v>
      </c>
      <c r="AP321" s="36" t="s">
        <v>4</v>
      </c>
      <c r="AQ321" s="61">
        <f>10186.2*0.7909</f>
        <v>8056.2655800000011</v>
      </c>
      <c r="AR321" s="56"/>
    </row>
    <row r="322" spans="1:44" x14ac:dyDescent="0.25">
      <c r="A322" s="234">
        <v>69</v>
      </c>
      <c r="B322" s="237">
        <v>2223385</v>
      </c>
      <c r="C322" s="240" t="s">
        <v>230</v>
      </c>
      <c r="D322" s="221">
        <f t="shared" ref="D322" si="34">F322</f>
        <v>0.66</v>
      </c>
      <c r="E322" s="221">
        <f t="shared" ref="E322" si="35">G322</f>
        <v>5940</v>
      </c>
      <c r="F322" s="221">
        <v>0.66</v>
      </c>
      <c r="G322" s="243">
        <v>5940</v>
      </c>
      <c r="H322" s="75"/>
      <c r="I322" s="75"/>
      <c r="J322" s="109"/>
      <c r="K322" s="75"/>
      <c r="L322" s="75"/>
      <c r="M322" s="75"/>
      <c r="N322" s="75"/>
      <c r="O322" s="75"/>
      <c r="P322" s="75"/>
      <c r="Q322" s="75"/>
      <c r="R322" s="75"/>
      <c r="S322" s="170"/>
      <c r="T322" s="56"/>
      <c r="U322" s="56"/>
      <c r="V322" s="62"/>
      <c r="W322" s="56"/>
      <c r="X322" s="56"/>
      <c r="Y322" s="56"/>
      <c r="Z322" s="56"/>
      <c r="AA322" s="56"/>
      <c r="AB322" s="109"/>
      <c r="AC322" s="56"/>
      <c r="AD322" s="75"/>
      <c r="AE322" s="56"/>
      <c r="AF322" s="63"/>
      <c r="AG322" s="63"/>
      <c r="AH322" s="62"/>
      <c r="AI322" s="63"/>
      <c r="AJ322" s="62"/>
      <c r="AK322" s="66"/>
      <c r="AL322" s="246" t="s">
        <v>231</v>
      </c>
      <c r="AM322" s="249" t="s">
        <v>123</v>
      </c>
      <c r="AN322" s="252" t="s">
        <v>7</v>
      </c>
      <c r="AO322" s="40">
        <v>0.66</v>
      </c>
      <c r="AP322" s="36" t="s">
        <v>2</v>
      </c>
      <c r="AQ322" s="270">
        <f>11685.6*0.7909</f>
        <v>9242.1410400000004</v>
      </c>
      <c r="AR322" s="56"/>
    </row>
    <row r="323" spans="1:44" x14ac:dyDescent="0.25">
      <c r="A323" s="235"/>
      <c r="B323" s="238"/>
      <c r="C323" s="241"/>
      <c r="D323" s="222"/>
      <c r="E323" s="222"/>
      <c r="F323" s="222"/>
      <c r="G323" s="244"/>
      <c r="H323" s="75"/>
      <c r="I323" s="75"/>
      <c r="J323" s="109"/>
      <c r="K323" s="75"/>
      <c r="L323" s="75"/>
      <c r="M323" s="75"/>
      <c r="N323" s="75"/>
      <c r="O323" s="75"/>
      <c r="P323" s="75"/>
      <c r="Q323" s="75"/>
      <c r="R323" s="75"/>
      <c r="S323" s="170"/>
      <c r="T323" s="56"/>
      <c r="U323" s="56"/>
      <c r="V323" s="62"/>
      <c r="W323" s="56"/>
      <c r="X323" s="56"/>
      <c r="Y323" s="56"/>
      <c r="Z323" s="56"/>
      <c r="AA323" s="56"/>
      <c r="AB323" s="109"/>
      <c r="AC323" s="56"/>
      <c r="AD323" s="75"/>
      <c r="AE323" s="56"/>
      <c r="AF323" s="63"/>
      <c r="AG323" s="63"/>
      <c r="AH323" s="62"/>
      <c r="AI323" s="63"/>
      <c r="AJ323" s="62"/>
      <c r="AK323" s="66"/>
      <c r="AL323" s="247"/>
      <c r="AM323" s="250"/>
      <c r="AN323" s="252"/>
      <c r="AO323" s="58">
        <v>5940</v>
      </c>
      <c r="AP323" s="36" t="s">
        <v>4</v>
      </c>
      <c r="AQ323" s="271"/>
      <c r="AR323" s="56"/>
    </row>
    <row r="324" spans="1:44" x14ac:dyDescent="0.25">
      <c r="A324" s="236"/>
      <c r="B324" s="239"/>
      <c r="C324" s="242"/>
      <c r="D324" s="223"/>
      <c r="E324" s="223"/>
      <c r="F324" s="223"/>
      <c r="G324" s="245"/>
      <c r="H324" s="75"/>
      <c r="I324" s="75"/>
      <c r="J324" s="109"/>
      <c r="K324" s="75"/>
      <c r="L324" s="75"/>
      <c r="M324" s="75"/>
      <c r="N324" s="75"/>
      <c r="O324" s="75"/>
      <c r="P324" s="75"/>
      <c r="Q324" s="75"/>
      <c r="R324" s="75"/>
      <c r="S324" s="170"/>
      <c r="T324" s="56"/>
      <c r="U324" s="56"/>
      <c r="V324" s="62"/>
      <c r="W324" s="56"/>
      <c r="X324" s="56"/>
      <c r="Y324" s="56"/>
      <c r="Z324" s="56"/>
      <c r="AA324" s="56"/>
      <c r="AB324" s="109"/>
      <c r="AC324" s="56"/>
      <c r="AD324" s="75"/>
      <c r="AE324" s="56"/>
      <c r="AF324" s="63"/>
      <c r="AG324" s="63"/>
      <c r="AH324" s="99"/>
      <c r="AI324" s="63"/>
      <c r="AJ324" s="62"/>
      <c r="AK324" s="66"/>
      <c r="AL324" s="248"/>
      <c r="AM324" s="251"/>
      <c r="AN324" s="36" t="s">
        <v>13</v>
      </c>
      <c r="AO324" s="40">
        <v>2640</v>
      </c>
      <c r="AP324" s="36" t="s">
        <v>4</v>
      </c>
      <c r="AQ324" s="61">
        <f>7144.4*0.7909</f>
        <v>5650.5059600000004</v>
      </c>
      <c r="AR324" s="56"/>
    </row>
    <row r="325" spans="1:44" x14ac:dyDescent="0.25">
      <c r="A325" s="234">
        <v>70</v>
      </c>
      <c r="B325" s="237">
        <v>2227459</v>
      </c>
      <c r="C325" s="240" t="s">
        <v>232</v>
      </c>
      <c r="D325" s="221">
        <f t="shared" ref="D325" si="36">F325</f>
        <v>2.2090000000000001</v>
      </c>
      <c r="E325" s="221">
        <f t="shared" ref="E325" si="37">G325</f>
        <v>20000</v>
      </c>
      <c r="F325" s="221">
        <v>2.2090000000000001</v>
      </c>
      <c r="G325" s="243">
        <v>20000</v>
      </c>
      <c r="H325" s="75"/>
      <c r="I325" s="75"/>
      <c r="J325" s="109"/>
      <c r="K325" s="75"/>
      <c r="L325" s="75"/>
      <c r="M325" s="75"/>
      <c r="N325" s="75"/>
      <c r="O325" s="75"/>
      <c r="P325" s="75"/>
      <c r="Q325" s="75"/>
      <c r="R325" s="75"/>
      <c r="S325" s="170"/>
      <c r="T325" s="56"/>
      <c r="U325" s="56"/>
      <c r="V325" s="62"/>
      <c r="W325" s="56"/>
      <c r="X325" s="56"/>
      <c r="Y325" s="56"/>
      <c r="Z325" s="56"/>
      <c r="AA325" s="56"/>
      <c r="AB325" s="109"/>
      <c r="AC325" s="56"/>
      <c r="AD325" s="75"/>
      <c r="AE325" s="56"/>
      <c r="AF325" s="63"/>
      <c r="AG325" s="63"/>
      <c r="AH325" s="99"/>
      <c r="AI325" s="63"/>
      <c r="AJ325" s="62"/>
      <c r="AK325" s="66"/>
      <c r="AL325" s="246" t="s">
        <v>100</v>
      </c>
      <c r="AM325" s="249" t="s">
        <v>152</v>
      </c>
      <c r="AN325" s="252" t="s">
        <v>7</v>
      </c>
      <c r="AO325" s="40">
        <v>2.21</v>
      </c>
      <c r="AP325" s="36" t="s">
        <v>2</v>
      </c>
      <c r="AQ325" s="270">
        <f>37703.1*0.7909</f>
        <v>29819.381789999999</v>
      </c>
      <c r="AR325" s="56"/>
    </row>
    <row r="326" spans="1:44" x14ac:dyDescent="0.25">
      <c r="A326" s="235"/>
      <c r="B326" s="238"/>
      <c r="C326" s="241"/>
      <c r="D326" s="222"/>
      <c r="E326" s="222"/>
      <c r="F326" s="222"/>
      <c r="G326" s="244"/>
      <c r="H326" s="75"/>
      <c r="I326" s="75"/>
      <c r="J326" s="109"/>
      <c r="K326" s="75"/>
      <c r="L326" s="75"/>
      <c r="M326" s="75"/>
      <c r="N326" s="75"/>
      <c r="O326" s="75"/>
      <c r="P326" s="75"/>
      <c r="Q326" s="75"/>
      <c r="R326" s="75"/>
      <c r="S326" s="170"/>
      <c r="T326" s="56"/>
      <c r="U326" s="56"/>
      <c r="V326" s="62"/>
      <c r="W326" s="56"/>
      <c r="X326" s="56"/>
      <c r="Y326" s="56"/>
      <c r="Z326" s="56"/>
      <c r="AA326" s="56"/>
      <c r="AB326" s="109"/>
      <c r="AC326" s="56"/>
      <c r="AD326" s="75"/>
      <c r="AE326" s="56"/>
      <c r="AF326" s="63"/>
      <c r="AG326" s="63"/>
      <c r="AH326" s="99"/>
      <c r="AI326" s="63"/>
      <c r="AJ326" s="62"/>
      <c r="AK326" s="66"/>
      <c r="AL326" s="247"/>
      <c r="AM326" s="250"/>
      <c r="AN326" s="252"/>
      <c r="AO326" s="58">
        <v>20000</v>
      </c>
      <c r="AP326" s="36" t="s">
        <v>4</v>
      </c>
      <c r="AQ326" s="271"/>
      <c r="AR326" s="56"/>
    </row>
    <row r="327" spans="1:44" x14ac:dyDescent="0.25">
      <c r="A327" s="236"/>
      <c r="B327" s="239"/>
      <c r="C327" s="242"/>
      <c r="D327" s="223"/>
      <c r="E327" s="223"/>
      <c r="F327" s="223"/>
      <c r="G327" s="245"/>
      <c r="H327" s="75"/>
      <c r="I327" s="75"/>
      <c r="J327" s="109"/>
      <c r="K327" s="75"/>
      <c r="L327" s="75"/>
      <c r="M327" s="75"/>
      <c r="N327" s="75"/>
      <c r="O327" s="75"/>
      <c r="P327" s="75"/>
      <c r="Q327" s="75"/>
      <c r="R327" s="75"/>
      <c r="S327" s="170"/>
      <c r="T327" s="56"/>
      <c r="U327" s="56"/>
      <c r="V327" s="62"/>
      <c r="W327" s="56"/>
      <c r="X327" s="56"/>
      <c r="Y327" s="56"/>
      <c r="Z327" s="56"/>
      <c r="AA327" s="56"/>
      <c r="AB327" s="109"/>
      <c r="AC327" s="56"/>
      <c r="AD327" s="75"/>
      <c r="AE327" s="56"/>
      <c r="AF327" s="63"/>
      <c r="AG327" s="63"/>
      <c r="AH327" s="99"/>
      <c r="AI327" s="63"/>
      <c r="AJ327" s="62"/>
      <c r="AK327" s="66"/>
      <c r="AL327" s="248"/>
      <c r="AM327" s="251"/>
      <c r="AN327" s="36" t="s">
        <v>13</v>
      </c>
      <c r="AO327" s="40">
        <v>13254</v>
      </c>
      <c r="AP327" s="36" t="s">
        <v>4</v>
      </c>
      <c r="AQ327" s="61">
        <f>21183.7*0.7909</f>
        <v>16754.188330000001</v>
      </c>
      <c r="AR327" s="56"/>
    </row>
    <row r="328" spans="1:44" ht="26.25" customHeight="1" x14ac:dyDescent="0.25">
      <c r="A328" s="419" t="s">
        <v>272</v>
      </c>
      <c r="B328" s="420"/>
      <c r="C328" s="420"/>
      <c r="D328" s="420"/>
      <c r="E328" s="421"/>
      <c r="F328" s="214">
        <f>SUM(F31:F327)</f>
        <v>158.28160000000003</v>
      </c>
      <c r="G328" s="214">
        <f>SUM(G31:G327)</f>
        <v>1959940</v>
      </c>
      <c r="H328" s="112"/>
      <c r="I328" s="112"/>
      <c r="J328" s="112"/>
      <c r="K328" s="214">
        <f>K31+K36+K42+K47+K52+K56+K61+K66+K70+K75+K351+3.55</f>
        <v>28.519000000000002</v>
      </c>
      <c r="L328" s="112" t="s">
        <v>2</v>
      </c>
      <c r="M328" s="113">
        <f>SUM(M31:M126)</f>
        <v>703810.89486469992</v>
      </c>
      <c r="N328" s="112"/>
      <c r="O328" s="112"/>
      <c r="P328" s="112"/>
      <c r="Q328" s="214">
        <f>Q81+Q85+Q90+Q95+Q101+Q106+Q110+Q116+Q121+Q124</f>
        <v>23.791</v>
      </c>
      <c r="R328" s="112" t="s">
        <v>2</v>
      </c>
      <c r="S328" s="114">
        <f>SUM(S81:S126)</f>
        <v>473836.60793520004</v>
      </c>
      <c r="T328" s="112"/>
      <c r="U328" s="112"/>
      <c r="V328" s="112"/>
      <c r="W328" s="214">
        <f>W127+W131+W137+W143+W148+W153+W158+W163+W167+W172+W61</f>
        <v>25.19</v>
      </c>
      <c r="X328" s="112" t="s">
        <v>2</v>
      </c>
      <c r="Y328" s="113">
        <f>SUM(Y61:Y177)</f>
        <v>510535.10900000011</v>
      </c>
      <c r="Z328" s="112"/>
      <c r="AA328" s="112"/>
      <c r="AB328" s="112"/>
      <c r="AC328" s="214">
        <f>AC178+AC183+AC188+AC193+AC198+AC203+AC208+AC213+AC219+AC224+AC229+AC235+AC238</f>
        <v>24.979999999999997</v>
      </c>
      <c r="AD328" s="112" t="s">
        <v>2</v>
      </c>
      <c r="AE328" s="113">
        <f>SUM(AE178:AE241)</f>
        <v>516699.95099999988</v>
      </c>
      <c r="AF328" s="112"/>
      <c r="AG328" s="112"/>
      <c r="AH328" s="112"/>
      <c r="AI328" s="214">
        <f>AI242+AI248+AI257+AI262+AI268+AI271+AI274+AI277+AI280+AI283+AI286+AI289+AI251</f>
        <v>22.621000000000002</v>
      </c>
      <c r="AJ328" s="112" t="s">
        <v>2</v>
      </c>
      <c r="AK328" s="113">
        <f>SUM(AK242:AK291)</f>
        <v>498748.90499999997</v>
      </c>
      <c r="AL328" s="112"/>
      <c r="AM328" s="112"/>
      <c r="AN328" s="112"/>
      <c r="AO328" s="214">
        <f>AO292+AO295+AO298+AO301+AO304+AO307+AO310+AO313+AO316+AO319+AO322+AO325</f>
        <v>25.986000000000001</v>
      </c>
      <c r="AP328" s="112"/>
      <c r="AQ328" s="113">
        <f>SUM(AQ289:AQ327)</f>
        <v>584608.99936999998</v>
      </c>
      <c r="AR328" s="115"/>
    </row>
    <row r="329" spans="1:44" ht="30" customHeight="1" x14ac:dyDescent="0.25">
      <c r="A329" s="198"/>
      <c r="B329" s="199"/>
      <c r="C329" s="200" t="s">
        <v>273</v>
      </c>
      <c r="D329" s="199"/>
      <c r="E329" s="199"/>
      <c r="F329" s="201"/>
      <c r="G329" s="201"/>
      <c r="H329" s="201"/>
      <c r="I329" s="201"/>
      <c r="J329" s="201"/>
      <c r="K329" s="201"/>
      <c r="L329" s="201"/>
      <c r="M329" s="202"/>
      <c r="N329" s="201"/>
      <c r="O329" s="201"/>
      <c r="P329" s="201"/>
      <c r="Q329" s="201"/>
      <c r="R329" s="201"/>
      <c r="S329" s="203"/>
      <c r="T329" s="201"/>
      <c r="U329" s="201"/>
      <c r="V329" s="201"/>
      <c r="W329" s="201"/>
      <c r="X329" s="201"/>
      <c r="Y329" s="202"/>
      <c r="Z329" s="201"/>
      <c r="AA329" s="201"/>
      <c r="AB329" s="201"/>
      <c r="AC329" s="201"/>
      <c r="AD329" s="201"/>
      <c r="AE329" s="202"/>
      <c r="AF329" s="201"/>
      <c r="AG329" s="201"/>
      <c r="AH329" s="201"/>
      <c r="AI329" s="201"/>
      <c r="AJ329" s="201"/>
      <c r="AK329" s="202"/>
      <c r="AL329" s="201"/>
      <c r="AM329" s="201"/>
      <c r="AN329" s="201"/>
      <c r="AO329" s="201"/>
      <c r="AP329" s="201"/>
      <c r="AQ329" s="202"/>
      <c r="AR329" s="204"/>
    </row>
    <row r="330" spans="1:44" ht="43.5" customHeight="1" x14ac:dyDescent="0.25">
      <c r="A330" s="191">
        <v>71</v>
      </c>
      <c r="B330" s="87" t="s">
        <v>242</v>
      </c>
      <c r="C330" s="39" t="s">
        <v>243</v>
      </c>
      <c r="D330" s="88"/>
      <c r="E330" s="88"/>
      <c r="F330" s="88">
        <v>4.7</v>
      </c>
      <c r="G330" s="88">
        <f>F330*8000</f>
        <v>37600</v>
      </c>
      <c r="H330" s="45"/>
      <c r="I330" s="45"/>
      <c r="J330" s="89"/>
      <c r="K330" s="45"/>
      <c r="L330" s="45"/>
      <c r="M330" s="45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45" t="s">
        <v>244</v>
      </c>
      <c r="AA330" s="45" t="s">
        <v>274</v>
      </c>
      <c r="AB330" s="45" t="s">
        <v>54</v>
      </c>
      <c r="AC330" s="45">
        <v>4.7</v>
      </c>
      <c r="AD330" s="45" t="s">
        <v>2</v>
      </c>
      <c r="AE330" s="185">
        <f>94000-13425.95</f>
        <v>80574.05</v>
      </c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</row>
    <row r="331" spans="1:44" ht="45" customHeight="1" x14ac:dyDescent="0.25">
      <c r="A331" s="191">
        <v>72</v>
      </c>
      <c r="B331" s="87" t="s">
        <v>245</v>
      </c>
      <c r="C331" s="90" t="s">
        <v>246</v>
      </c>
      <c r="D331" s="88"/>
      <c r="E331" s="88"/>
      <c r="F331" s="88">
        <v>0.4</v>
      </c>
      <c r="G331" s="88">
        <f t="shared" ref="G331:G339" si="38">F331*8000</f>
        <v>3200</v>
      </c>
      <c r="H331" s="45"/>
      <c r="I331" s="45"/>
      <c r="J331" s="89"/>
      <c r="K331" s="45"/>
      <c r="L331" s="45"/>
      <c r="M331" s="45"/>
      <c r="N331" s="45"/>
      <c r="O331" s="45"/>
      <c r="P331" s="45"/>
      <c r="Q331" s="45"/>
      <c r="R331" s="45"/>
      <c r="S331" s="53"/>
      <c r="T331" s="174" t="s">
        <v>275</v>
      </c>
      <c r="U331" s="174" t="s">
        <v>276</v>
      </c>
      <c r="V331" s="45" t="s">
        <v>54</v>
      </c>
      <c r="W331" s="53">
        <v>0.4</v>
      </c>
      <c r="X331" s="45" t="s">
        <v>2</v>
      </c>
      <c r="Y331" s="185">
        <v>8000</v>
      </c>
      <c r="Z331" s="186"/>
      <c r="AA331" s="186"/>
      <c r="AB331" s="186"/>
      <c r="AC331" s="186"/>
      <c r="AD331" s="186"/>
      <c r="AE331" s="186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</row>
    <row r="332" spans="1:44" ht="47.25" customHeight="1" x14ac:dyDescent="0.25">
      <c r="A332" s="191">
        <v>73</v>
      </c>
      <c r="B332" s="87" t="s">
        <v>247</v>
      </c>
      <c r="C332" s="90" t="s">
        <v>248</v>
      </c>
      <c r="D332" s="88"/>
      <c r="E332" s="88"/>
      <c r="F332" s="88">
        <v>2.2170000000000001</v>
      </c>
      <c r="G332" s="88">
        <f t="shared" si="38"/>
        <v>17736</v>
      </c>
      <c r="H332" s="45"/>
      <c r="I332" s="45"/>
      <c r="J332" s="89"/>
      <c r="K332" s="45"/>
      <c r="L332" s="45"/>
      <c r="M332" s="45"/>
      <c r="N332" s="190" t="s">
        <v>277</v>
      </c>
      <c r="O332" s="53" t="s">
        <v>278</v>
      </c>
      <c r="P332" s="45" t="s">
        <v>54</v>
      </c>
      <c r="Q332" s="53">
        <v>2.2200000000000002</v>
      </c>
      <c r="R332" s="45" t="s">
        <v>2</v>
      </c>
      <c r="S332" s="185">
        <v>33000</v>
      </c>
      <c r="T332" s="186"/>
      <c r="U332" s="186"/>
      <c r="V332" s="186"/>
      <c r="W332" s="186"/>
      <c r="X332" s="186"/>
      <c r="Y332" s="186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</row>
    <row r="333" spans="1:44" ht="61.5" customHeight="1" x14ac:dyDescent="0.25">
      <c r="A333" s="191">
        <v>74</v>
      </c>
      <c r="B333" s="87" t="s">
        <v>249</v>
      </c>
      <c r="C333" s="90" t="s">
        <v>250</v>
      </c>
      <c r="D333" s="88"/>
      <c r="E333" s="88"/>
      <c r="F333" s="88">
        <v>0.41699999999999998</v>
      </c>
      <c r="G333" s="88">
        <f t="shared" si="38"/>
        <v>3336</v>
      </c>
      <c r="H333" s="45"/>
      <c r="I333" s="45"/>
      <c r="J333" s="89"/>
      <c r="K333" s="45"/>
      <c r="L333" s="45"/>
      <c r="M333" s="45"/>
      <c r="N333" s="45"/>
      <c r="O333" s="45"/>
      <c r="P333" s="45"/>
      <c r="Q333" s="45"/>
      <c r="R333" s="45"/>
      <c r="S333" s="53"/>
      <c r="T333" s="174" t="s">
        <v>278</v>
      </c>
      <c r="U333" s="174" t="s">
        <v>279</v>
      </c>
      <c r="V333" s="45" t="s">
        <v>54</v>
      </c>
      <c r="W333" s="53">
        <v>0.42</v>
      </c>
      <c r="X333" s="45" t="s">
        <v>2</v>
      </c>
      <c r="Y333" s="185">
        <v>8400</v>
      </c>
      <c r="Z333" s="186"/>
      <c r="AA333" s="186"/>
      <c r="AB333" s="186"/>
      <c r="AC333" s="186"/>
      <c r="AD333" s="186"/>
      <c r="AE333" s="186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</row>
    <row r="334" spans="1:44" ht="72.75" customHeight="1" x14ac:dyDescent="0.25">
      <c r="A334" s="191">
        <v>75</v>
      </c>
      <c r="B334" s="87" t="s">
        <v>251</v>
      </c>
      <c r="C334" s="90" t="s">
        <v>252</v>
      </c>
      <c r="D334" s="88"/>
      <c r="E334" s="88"/>
      <c r="F334" s="88">
        <v>0.4</v>
      </c>
      <c r="G334" s="88">
        <f t="shared" si="38"/>
        <v>3200</v>
      </c>
      <c r="H334" s="45"/>
      <c r="I334" s="45"/>
      <c r="J334" s="89"/>
      <c r="K334" s="45"/>
      <c r="L334" s="45"/>
      <c r="M334" s="45"/>
      <c r="N334" s="45"/>
      <c r="O334" s="45"/>
      <c r="P334" s="45"/>
      <c r="Q334" s="45"/>
      <c r="R334" s="45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174" t="s">
        <v>280</v>
      </c>
      <c r="AG334" s="174" t="s">
        <v>281</v>
      </c>
      <c r="AH334" s="45" t="s">
        <v>54</v>
      </c>
      <c r="AI334" s="53">
        <v>0.4</v>
      </c>
      <c r="AJ334" s="45" t="s">
        <v>2</v>
      </c>
      <c r="AK334" s="185">
        <v>8000</v>
      </c>
      <c r="AL334" s="53"/>
      <c r="AM334" s="53"/>
      <c r="AN334" s="53"/>
      <c r="AO334" s="53"/>
      <c r="AP334" s="53"/>
      <c r="AQ334" s="53"/>
      <c r="AR334" s="53"/>
    </row>
    <row r="335" spans="1:44" ht="78.75" customHeight="1" x14ac:dyDescent="0.25">
      <c r="A335" s="191">
        <v>76</v>
      </c>
      <c r="B335" s="87" t="s">
        <v>255</v>
      </c>
      <c r="C335" s="90" t="s">
        <v>256</v>
      </c>
      <c r="D335" s="88"/>
      <c r="E335" s="88"/>
      <c r="F335" s="88">
        <v>0.3</v>
      </c>
      <c r="G335" s="88">
        <f t="shared" si="38"/>
        <v>2400</v>
      </c>
      <c r="H335" s="45"/>
      <c r="I335" s="45"/>
      <c r="J335" s="89"/>
      <c r="K335" s="45"/>
      <c r="L335" s="45"/>
      <c r="M335" s="45"/>
      <c r="N335" s="45"/>
      <c r="O335" s="45"/>
      <c r="P335" s="45"/>
      <c r="Q335" s="45"/>
      <c r="R335" s="45"/>
      <c r="S335" s="53" t="s">
        <v>257</v>
      </c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174" t="s">
        <v>254</v>
      </c>
      <c r="AM335" s="174" t="s">
        <v>253</v>
      </c>
      <c r="AN335" s="45" t="s">
        <v>54</v>
      </c>
      <c r="AO335" s="53">
        <v>0.3</v>
      </c>
      <c r="AP335" s="45" t="s">
        <v>2</v>
      </c>
      <c r="AQ335" s="185">
        <v>1500</v>
      </c>
      <c r="AR335" s="53"/>
    </row>
    <row r="336" spans="1:44" ht="15" customHeight="1" x14ac:dyDescent="0.25">
      <c r="A336" s="191">
        <v>77</v>
      </c>
      <c r="B336" s="87"/>
      <c r="C336" s="90" t="s">
        <v>258</v>
      </c>
      <c r="D336" s="88"/>
      <c r="E336" s="88"/>
      <c r="F336" s="88">
        <v>1.8</v>
      </c>
      <c r="G336" s="88">
        <f t="shared" si="38"/>
        <v>14400</v>
      </c>
      <c r="H336" s="45"/>
      <c r="I336" s="45"/>
      <c r="J336" s="89"/>
      <c r="K336" s="45"/>
      <c r="L336" s="45"/>
      <c r="M336" s="45"/>
      <c r="N336" s="45"/>
      <c r="O336" s="45"/>
      <c r="P336" s="45"/>
      <c r="Q336" s="45"/>
      <c r="R336" s="45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>
        <v>1.8</v>
      </c>
      <c r="AP336" s="45" t="s">
        <v>2</v>
      </c>
      <c r="AQ336" s="185">
        <v>25200</v>
      </c>
      <c r="AR336" s="53"/>
    </row>
    <row r="337" spans="1:86" ht="45.75" customHeight="1" x14ac:dyDescent="0.25">
      <c r="A337" s="191">
        <v>78</v>
      </c>
      <c r="B337" s="87"/>
      <c r="C337" s="90" t="s">
        <v>259</v>
      </c>
      <c r="D337" s="88"/>
      <c r="E337" s="88"/>
      <c r="F337" s="91">
        <v>7.1349999999999998</v>
      </c>
      <c r="G337" s="88">
        <f t="shared" si="38"/>
        <v>57080</v>
      </c>
      <c r="H337" s="45"/>
      <c r="I337" s="45"/>
      <c r="J337" s="89"/>
      <c r="K337" s="45"/>
      <c r="L337" s="45"/>
      <c r="M337" s="45"/>
      <c r="N337" s="45"/>
      <c r="O337" s="45"/>
      <c r="P337" s="45"/>
      <c r="Q337" s="45"/>
      <c r="R337" s="45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174" t="s">
        <v>260</v>
      </c>
      <c r="AG337" s="174" t="s">
        <v>261</v>
      </c>
      <c r="AH337" s="45" t="s">
        <v>54</v>
      </c>
      <c r="AI337" s="53">
        <v>7.1349999999999998</v>
      </c>
      <c r="AJ337" s="53" t="s">
        <v>2</v>
      </c>
      <c r="AK337" s="185">
        <f>99890+7756.09</f>
        <v>107646.09</v>
      </c>
      <c r="AL337" s="53"/>
      <c r="AM337" s="53"/>
      <c r="AN337" s="53"/>
      <c r="AO337" s="53"/>
      <c r="AP337" s="53"/>
      <c r="AQ337" s="185"/>
      <c r="AR337" s="53"/>
    </row>
    <row r="338" spans="1:86" ht="53.25" customHeight="1" x14ac:dyDescent="0.25">
      <c r="A338" s="191">
        <v>79</v>
      </c>
      <c r="B338" s="92"/>
      <c r="C338" s="90" t="s">
        <v>262</v>
      </c>
      <c r="D338" s="88"/>
      <c r="E338" s="88"/>
      <c r="F338" s="88">
        <v>0.4</v>
      </c>
      <c r="G338" s="88">
        <f t="shared" si="38"/>
        <v>3200</v>
      </c>
      <c r="H338" s="45"/>
      <c r="I338" s="45"/>
      <c r="J338" s="89"/>
      <c r="K338" s="45"/>
      <c r="L338" s="45"/>
      <c r="M338" s="45"/>
      <c r="N338" s="45"/>
      <c r="O338" s="45"/>
      <c r="P338" s="45"/>
      <c r="Q338" s="45"/>
      <c r="R338" s="45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174" t="s">
        <v>263</v>
      </c>
      <c r="AM338" s="174" t="s">
        <v>264</v>
      </c>
      <c r="AN338" s="45" t="s">
        <v>54</v>
      </c>
      <c r="AO338" s="53">
        <v>0.4</v>
      </c>
      <c r="AP338" s="45" t="s">
        <v>2</v>
      </c>
      <c r="AQ338" s="185">
        <v>5600</v>
      </c>
      <c r="AR338" s="53"/>
    </row>
    <row r="339" spans="1:86" ht="64.5" customHeight="1" x14ac:dyDescent="0.25">
      <c r="A339" s="191">
        <v>80</v>
      </c>
      <c r="B339" s="191"/>
      <c r="C339" s="192" t="s">
        <v>282</v>
      </c>
      <c r="D339" s="192">
        <v>9.36</v>
      </c>
      <c r="E339" s="88">
        <f>D339*8000</f>
        <v>74880</v>
      </c>
      <c r="F339" s="206">
        <v>0.8</v>
      </c>
      <c r="G339" s="186">
        <f t="shared" si="38"/>
        <v>6400</v>
      </c>
      <c r="H339" s="193"/>
      <c r="I339" s="193"/>
      <c r="J339" s="193"/>
      <c r="K339" s="193"/>
      <c r="L339" s="193"/>
      <c r="M339" s="194"/>
      <c r="N339" s="193"/>
      <c r="O339" s="193"/>
      <c r="P339" s="193"/>
      <c r="Q339" s="193"/>
      <c r="R339" s="193"/>
      <c r="S339" s="205"/>
      <c r="T339" s="193"/>
      <c r="U339" s="193"/>
      <c r="V339" s="193"/>
      <c r="W339" s="193"/>
      <c r="X339" s="193"/>
      <c r="Y339" s="194"/>
      <c r="Z339" s="193"/>
      <c r="AA339" s="193"/>
      <c r="AB339" s="193"/>
      <c r="AC339" s="193"/>
      <c r="AD339" s="193"/>
      <c r="AE339" s="194"/>
      <c r="AF339" s="193"/>
      <c r="AG339" s="193"/>
      <c r="AH339" s="193"/>
      <c r="AI339" s="193"/>
      <c r="AJ339" s="193"/>
      <c r="AK339" s="194"/>
      <c r="AL339" s="195" t="s">
        <v>290</v>
      </c>
      <c r="AM339" s="195" t="s">
        <v>289</v>
      </c>
      <c r="AN339" s="193"/>
      <c r="AO339" s="210">
        <v>0.8</v>
      </c>
      <c r="AP339" s="210" t="s">
        <v>2</v>
      </c>
      <c r="AQ339" s="207">
        <f>0.8*18000</f>
        <v>14400</v>
      </c>
      <c r="AR339" s="197"/>
    </row>
    <row r="340" spans="1:86" ht="25.5" customHeight="1" x14ac:dyDescent="0.25">
      <c r="A340" s="419" t="s">
        <v>283</v>
      </c>
      <c r="B340" s="420"/>
      <c r="C340" s="420"/>
      <c r="D340" s="420"/>
      <c r="E340" s="420"/>
      <c r="F340" s="208">
        <f>SUM(F330:F339)</f>
        <v>18.568999999999999</v>
      </c>
      <c r="G340" s="139">
        <f t="shared" ref="G340:AQ340" si="39">SUM(G330:G339)</f>
        <v>148552</v>
      </c>
      <c r="H340" s="139"/>
      <c r="I340" s="139"/>
      <c r="J340" s="139"/>
      <c r="K340" s="139"/>
      <c r="L340" s="139"/>
      <c r="M340" s="139"/>
      <c r="N340" s="139"/>
      <c r="O340" s="139"/>
      <c r="P340" s="139"/>
      <c r="Q340" s="139">
        <f t="shared" si="39"/>
        <v>2.2200000000000002</v>
      </c>
      <c r="R340" s="139" t="s">
        <v>2</v>
      </c>
      <c r="S340" s="139">
        <f t="shared" si="39"/>
        <v>33000</v>
      </c>
      <c r="T340" s="139"/>
      <c r="U340" s="139"/>
      <c r="V340" s="139"/>
      <c r="W340" s="139">
        <f>SUM(W330:W339)</f>
        <v>0.82000000000000006</v>
      </c>
      <c r="X340" s="139" t="s">
        <v>2</v>
      </c>
      <c r="Y340" s="139">
        <f>SUM(Y330:Y339)</f>
        <v>16400</v>
      </c>
      <c r="Z340" s="139"/>
      <c r="AA340" s="139"/>
      <c r="AB340" s="139"/>
      <c r="AC340" s="139">
        <f>SUM(AC330:AC339)</f>
        <v>4.7</v>
      </c>
      <c r="AD340" s="139" t="s">
        <v>2</v>
      </c>
      <c r="AE340" s="139">
        <f>SUM(AE330:AE339)</f>
        <v>80574.05</v>
      </c>
      <c r="AF340" s="139"/>
      <c r="AG340" s="139"/>
      <c r="AH340" s="139"/>
      <c r="AI340" s="139">
        <f t="shared" si="39"/>
        <v>7.5350000000000001</v>
      </c>
      <c r="AJ340" s="139" t="s">
        <v>2</v>
      </c>
      <c r="AK340" s="139">
        <f t="shared" si="39"/>
        <v>115646.09</v>
      </c>
      <c r="AL340" s="139"/>
      <c r="AM340" s="139"/>
      <c r="AN340" s="139"/>
      <c r="AO340" s="139">
        <f t="shared" si="39"/>
        <v>3.3</v>
      </c>
      <c r="AP340" s="139" t="s">
        <v>2</v>
      </c>
      <c r="AQ340" s="139">
        <f t="shared" si="39"/>
        <v>46700</v>
      </c>
      <c r="AR340" s="187"/>
    </row>
    <row r="341" spans="1:86" ht="15" customHeight="1" x14ac:dyDescent="0.25">
      <c r="A341" s="198"/>
      <c r="B341" s="199"/>
      <c r="C341" s="200" t="s">
        <v>284</v>
      </c>
      <c r="D341" s="199"/>
      <c r="E341" s="199"/>
      <c r="F341" s="201"/>
      <c r="G341" s="201"/>
      <c r="H341" s="201"/>
      <c r="I341" s="201"/>
      <c r="J341" s="201"/>
      <c r="K341" s="201"/>
      <c r="L341" s="201"/>
      <c r="M341" s="202"/>
      <c r="N341" s="201"/>
      <c r="O341" s="201"/>
      <c r="P341" s="201"/>
      <c r="Q341" s="201"/>
      <c r="R341" s="201"/>
      <c r="S341" s="203"/>
      <c r="T341" s="201"/>
      <c r="U341" s="201"/>
      <c r="V341" s="201"/>
      <c r="W341" s="201"/>
      <c r="X341" s="201"/>
      <c r="Y341" s="202"/>
      <c r="Z341" s="201"/>
      <c r="AA341" s="201"/>
      <c r="AB341" s="201"/>
      <c r="AC341" s="201"/>
      <c r="AD341" s="201"/>
      <c r="AE341" s="202"/>
      <c r="AF341" s="201"/>
      <c r="AG341" s="201"/>
      <c r="AH341" s="201"/>
      <c r="AI341" s="201"/>
      <c r="AJ341" s="201"/>
      <c r="AK341" s="202"/>
      <c r="AL341" s="201"/>
      <c r="AM341" s="201"/>
      <c r="AN341" s="201"/>
      <c r="AO341" s="201"/>
      <c r="AP341" s="201"/>
      <c r="AQ341" s="202"/>
      <c r="AR341" s="204"/>
    </row>
    <row r="342" spans="1:86" ht="30" customHeight="1" x14ac:dyDescent="0.25">
      <c r="A342" s="191">
        <v>81</v>
      </c>
      <c r="B342" s="191"/>
      <c r="C342" s="192" t="s">
        <v>285</v>
      </c>
      <c r="D342" s="192">
        <v>6.25</v>
      </c>
      <c r="E342" s="192">
        <f>D342*7000</f>
        <v>43750</v>
      </c>
      <c r="F342" s="192">
        <v>6.25</v>
      </c>
      <c r="G342" s="192">
        <f>F342*7000</f>
        <v>43750</v>
      </c>
      <c r="H342" s="193"/>
      <c r="I342" s="193"/>
      <c r="J342" s="193"/>
      <c r="K342" s="193"/>
      <c r="L342" s="193"/>
      <c r="M342" s="194"/>
      <c r="N342" s="195" t="s">
        <v>59</v>
      </c>
      <c r="O342" s="195" t="s">
        <v>286</v>
      </c>
      <c r="P342" s="195" t="s">
        <v>54</v>
      </c>
      <c r="Q342" s="195">
        <v>6.25</v>
      </c>
      <c r="R342" s="195" t="s">
        <v>2</v>
      </c>
      <c r="S342" s="196">
        <v>125000</v>
      </c>
      <c r="T342" s="193"/>
      <c r="U342" s="193"/>
      <c r="V342" s="193"/>
      <c r="W342" s="193"/>
      <c r="X342" s="193"/>
      <c r="Y342" s="194"/>
      <c r="Z342" s="193"/>
      <c r="AA342" s="193"/>
      <c r="AB342" s="193"/>
      <c r="AC342" s="193"/>
      <c r="AD342" s="193"/>
      <c r="AE342" s="194"/>
      <c r="AF342" s="193"/>
      <c r="AG342" s="193"/>
      <c r="AH342" s="193"/>
      <c r="AI342" s="193"/>
      <c r="AJ342" s="193"/>
      <c r="AK342" s="194"/>
      <c r="AL342" s="193"/>
      <c r="AM342" s="193"/>
      <c r="AN342" s="193"/>
      <c r="AO342" s="193"/>
      <c r="AP342" s="193"/>
      <c r="AQ342" s="194"/>
      <c r="AR342" s="197"/>
    </row>
    <row r="343" spans="1:86" s="173" customFormat="1" ht="28.5" customHeight="1" x14ac:dyDescent="0.2">
      <c r="A343" s="419" t="s">
        <v>288</v>
      </c>
      <c r="B343" s="420"/>
      <c r="C343" s="420"/>
      <c r="D343" s="420"/>
      <c r="E343" s="420"/>
      <c r="F343" s="140">
        <f>F342</f>
        <v>6.25</v>
      </c>
      <c r="G343" s="140">
        <f>G342</f>
        <v>43750</v>
      </c>
      <c r="H343" s="138"/>
      <c r="I343" s="138"/>
      <c r="J343" s="138"/>
      <c r="K343" s="138"/>
      <c r="L343" s="138"/>
      <c r="M343" s="183"/>
      <c r="N343" s="138"/>
      <c r="O343" s="138"/>
      <c r="P343" s="138"/>
      <c r="Q343" s="138">
        <f>Q342</f>
        <v>6.25</v>
      </c>
      <c r="R343" s="138" t="s">
        <v>2</v>
      </c>
      <c r="S343" s="140">
        <f>S342</f>
        <v>125000</v>
      </c>
      <c r="T343" s="138"/>
      <c r="U343" s="138"/>
      <c r="V343" s="138"/>
      <c r="W343" s="138"/>
      <c r="X343" s="138"/>
      <c r="Y343" s="183"/>
      <c r="Z343" s="138"/>
      <c r="AA343" s="138"/>
      <c r="AB343" s="138"/>
      <c r="AC343" s="138"/>
      <c r="AD343" s="138"/>
      <c r="AE343" s="183"/>
      <c r="AF343" s="138"/>
      <c r="AG343" s="138"/>
      <c r="AH343" s="138"/>
      <c r="AI343" s="138"/>
      <c r="AJ343" s="138"/>
      <c r="AK343" s="183"/>
      <c r="AL343" s="138"/>
      <c r="AM343" s="138"/>
      <c r="AN343" s="138"/>
      <c r="AO343" s="138"/>
      <c r="AP343" s="138"/>
      <c r="AQ343" s="183"/>
      <c r="AR343" s="184"/>
      <c r="AS343" s="209"/>
      <c r="AT343" s="209"/>
      <c r="AU343" s="209"/>
      <c r="AV343" s="209"/>
      <c r="AW343" s="209"/>
      <c r="AX343" s="209"/>
      <c r="AY343" s="209"/>
      <c r="AZ343" s="209"/>
      <c r="BA343" s="209"/>
      <c r="BB343" s="209"/>
      <c r="BC343" s="209"/>
      <c r="BD343" s="209"/>
      <c r="BE343" s="209"/>
      <c r="BF343" s="209"/>
      <c r="BG343" s="209"/>
      <c r="BH343" s="209"/>
      <c r="BI343" s="209"/>
      <c r="BJ343" s="209"/>
      <c r="BK343" s="209"/>
      <c r="BL343" s="209"/>
      <c r="BM343" s="209"/>
      <c r="BN343" s="209"/>
      <c r="BO343" s="209"/>
      <c r="BP343" s="209"/>
      <c r="BQ343" s="209"/>
      <c r="BR343" s="209"/>
      <c r="BS343" s="209"/>
      <c r="BT343" s="209"/>
      <c r="BU343" s="209"/>
      <c r="BV343" s="209"/>
      <c r="BW343" s="209"/>
      <c r="BX343" s="209"/>
      <c r="BY343" s="209"/>
      <c r="BZ343" s="209"/>
      <c r="CA343" s="209"/>
      <c r="CB343" s="209"/>
      <c r="CC343" s="209"/>
      <c r="CD343" s="209"/>
      <c r="CE343" s="209"/>
      <c r="CF343" s="209"/>
      <c r="CG343" s="209"/>
      <c r="CH343" s="209"/>
    </row>
    <row r="344" spans="1:86" s="173" customFormat="1" ht="15" customHeight="1" x14ac:dyDescent="0.2">
      <c r="A344" s="422" t="s">
        <v>287</v>
      </c>
      <c r="B344" s="423"/>
      <c r="C344" s="423"/>
      <c r="D344" s="423"/>
      <c r="E344" s="423"/>
      <c r="F344" s="183">
        <f>F328+F340+F342</f>
        <v>183.10060000000001</v>
      </c>
      <c r="G344" s="183">
        <f>G328+G340+G342</f>
        <v>2152242</v>
      </c>
      <c r="H344" s="138"/>
      <c r="I344" s="138"/>
      <c r="J344" s="138"/>
      <c r="K344" s="139">
        <f>K328+K340+K343</f>
        <v>28.519000000000002</v>
      </c>
      <c r="L344" s="139" t="s">
        <v>2</v>
      </c>
      <c r="M344" s="183">
        <f>M11+M328+M340+M342</f>
        <v>703810.89486469992</v>
      </c>
      <c r="N344" s="138"/>
      <c r="O344" s="138"/>
      <c r="P344" s="138"/>
      <c r="Q344" s="139">
        <f>Q328+Q340+Q343</f>
        <v>32.260999999999996</v>
      </c>
      <c r="R344" s="138" t="s">
        <v>2</v>
      </c>
      <c r="S344" s="183">
        <f>S328+S340+S342</f>
        <v>631836.60793519998</v>
      </c>
      <c r="T344" s="138"/>
      <c r="U344" s="138"/>
      <c r="V344" s="138"/>
      <c r="W344" s="183">
        <f>W328+W340+W342</f>
        <v>26.01</v>
      </c>
      <c r="X344" s="138" t="s">
        <v>2</v>
      </c>
      <c r="Y344" s="183">
        <f>Y328+Y340+Y342</f>
        <v>526935.10900000017</v>
      </c>
      <c r="Z344" s="138"/>
      <c r="AA344" s="138"/>
      <c r="AB344" s="138"/>
      <c r="AC344" s="183">
        <f>AC328+AC340+AC342</f>
        <v>29.679999999999996</v>
      </c>
      <c r="AD344" s="138"/>
      <c r="AE344" s="183">
        <f>AE328+AE340+AE342</f>
        <v>597274.00099999993</v>
      </c>
      <c r="AF344" s="138"/>
      <c r="AG344" s="138"/>
      <c r="AH344" s="138"/>
      <c r="AI344" s="183">
        <f>AI328+AI340+AI342</f>
        <v>30.156000000000002</v>
      </c>
      <c r="AJ344" s="138" t="s">
        <v>2</v>
      </c>
      <c r="AK344" s="183">
        <f>AK328+AK340+AK342</f>
        <v>614394.995</v>
      </c>
      <c r="AL344" s="138"/>
      <c r="AM344" s="138"/>
      <c r="AN344" s="138"/>
      <c r="AO344" s="183">
        <f>AO328+AO340+AO342</f>
        <v>29.286000000000001</v>
      </c>
      <c r="AP344" s="138" t="s">
        <v>2</v>
      </c>
      <c r="AQ344" s="183">
        <f>AQ328+AQ340+AQ342</f>
        <v>631308.99936999998</v>
      </c>
      <c r="AR344" s="184"/>
      <c r="AS344" s="209"/>
      <c r="AT344" s="209"/>
      <c r="AU344" s="209"/>
      <c r="AV344" s="209"/>
      <c r="AW344" s="209"/>
      <c r="AX344" s="209"/>
      <c r="AY344" s="209"/>
      <c r="AZ344" s="209"/>
      <c r="BA344" s="209"/>
      <c r="BB344" s="209"/>
      <c r="BC344" s="209"/>
      <c r="BD344" s="209"/>
      <c r="BE344" s="209"/>
      <c r="BF344" s="209"/>
      <c r="BG344" s="209"/>
      <c r="BH344" s="209"/>
      <c r="BI344" s="209"/>
      <c r="BJ344" s="209"/>
      <c r="BK344" s="209"/>
      <c r="BL344" s="209"/>
      <c r="BM344" s="209"/>
      <c r="BN344" s="209"/>
      <c r="BO344" s="209"/>
      <c r="BP344" s="209"/>
      <c r="BQ344" s="209"/>
      <c r="BR344" s="209"/>
      <c r="BS344" s="209"/>
      <c r="BT344" s="209"/>
      <c r="BU344" s="209"/>
      <c r="BV344" s="209"/>
      <c r="BW344" s="209"/>
      <c r="BX344" s="209"/>
      <c r="BY344" s="209"/>
      <c r="BZ344" s="209"/>
      <c r="CA344" s="209"/>
      <c r="CB344" s="209"/>
      <c r="CC344" s="209"/>
      <c r="CD344" s="209"/>
      <c r="CE344" s="209"/>
      <c r="CF344" s="209"/>
      <c r="CG344" s="209"/>
      <c r="CH344" s="209"/>
    </row>
    <row r="345" spans="1:86" x14ac:dyDescent="0.25">
      <c r="A345" s="253" t="s">
        <v>25</v>
      </c>
      <c r="B345" s="254"/>
      <c r="C345" s="254"/>
      <c r="D345" s="254"/>
      <c r="E345" s="254"/>
      <c r="F345" s="254"/>
      <c r="G345" s="254"/>
      <c r="H345" s="254"/>
      <c r="I345" s="255"/>
      <c r="J345" s="262" t="s">
        <v>7</v>
      </c>
      <c r="K345" s="116">
        <f>K31+K36+K42+K47+K52+K56+K61+K66+K70+K75</f>
        <v>21.419</v>
      </c>
      <c r="L345" s="117" t="s">
        <v>2</v>
      </c>
      <c r="M345" s="264">
        <f>M31+M36+M42+M47+M52+M56+M61+M66+M70+M75</f>
        <v>303563.54814870004</v>
      </c>
      <c r="N345" s="118"/>
      <c r="O345" s="119"/>
      <c r="P345" s="262" t="s">
        <v>7</v>
      </c>
      <c r="Q345" s="116">
        <f>Q344</f>
        <v>32.260999999999996</v>
      </c>
      <c r="R345" s="117" t="s">
        <v>2</v>
      </c>
      <c r="S345" s="266">
        <f>S344-S355-S357-S358-S359-S360-S361</f>
        <v>478726.31999999995</v>
      </c>
      <c r="T345" s="118"/>
      <c r="U345" s="119"/>
      <c r="V345" s="262" t="s">
        <v>7</v>
      </c>
      <c r="W345" s="116">
        <f>W61+W127+W131+W137+W143+W148+W153+W158+W163+W167+W172</f>
        <v>25.19</v>
      </c>
      <c r="X345" s="117" t="s">
        <v>2</v>
      </c>
      <c r="Y345" s="268">
        <f>Y344-Y355-Y357-Y360-Y358-Y361</f>
        <v>360317.90100000019</v>
      </c>
      <c r="Z345" s="118"/>
      <c r="AA345" s="119"/>
      <c r="AB345" s="262" t="s">
        <v>7</v>
      </c>
      <c r="AC345" s="116">
        <f>AC178+AC183+AC188+AC193+AC198+AC203+AC208+AC213+AC219+AC224+AC229+AC235+AC238</f>
        <v>24.979999999999997</v>
      </c>
      <c r="AD345" s="117" t="s">
        <v>2</v>
      </c>
      <c r="AE345" s="268">
        <f>AE344-AE355-AE358-AE359-AE360-AE361</f>
        <v>400092.96299999987</v>
      </c>
      <c r="AF345" s="118"/>
      <c r="AG345" s="119"/>
      <c r="AH345" s="262" t="s">
        <v>7</v>
      </c>
      <c r="AI345" s="116">
        <f>AI242+AI248+AI251+AI257+AI262+AI268+AI271+AI274+AI277+AI280+AI283+AI286+AI289</f>
        <v>22.621000000000002</v>
      </c>
      <c r="AJ345" s="117" t="s">
        <v>2</v>
      </c>
      <c r="AK345" s="268">
        <f>AK344-AK357-AK358-AK360-AK361</f>
        <v>459605.53100000002</v>
      </c>
      <c r="AL345" s="118"/>
      <c r="AM345" s="119"/>
      <c r="AN345" s="262" t="s">
        <v>7</v>
      </c>
      <c r="AO345" s="116">
        <f>AO292+AO295+AO298+AO301+AO304+AV345+AO307+AO310+AO313+AO316+AO319+AO322+AO325</f>
        <v>25.986000000000001</v>
      </c>
      <c r="AP345" s="117" t="s">
        <v>2</v>
      </c>
      <c r="AQ345" s="268">
        <f>AQ344-AQ358</f>
        <v>433892.05491999991</v>
      </c>
      <c r="AR345" s="120"/>
    </row>
    <row r="346" spans="1:86" x14ac:dyDescent="0.25">
      <c r="A346" s="256"/>
      <c r="B346" s="257"/>
      <c r="C346" s="257"/>
      <c r="D346" s="257"/>
      <c r="E346" s="257"/>
      <c r="F346" s="257"/>
      <c r="G346" s="257"/>
      <c r="H346" s="257"/>
      <c r="I346" s="258"/>
      <c r="J346" s="263"/>
      <c r="K346" s="116">
        <f>K32+K37+K43+K48+K53+K57+K62+K67+K71+K76</f>
        <v>271218</v>
      </c>
      <c r="L346" s="117" t="s">
        <v>4</v>
      </c>
      <c r="M346" s="265"/>
      <c r="N346" s="121"/>
      <c r="O346" s="122"/>
      <c r="P346" s="263"/>
      <c r="Q346" s="116">
        <f>Q82+Q86+Q91+Q96+Q102+Q107+Q111+Q117+Q122+Q125</f>
        <v>264307</v>
      </c>
      <c r="R346" s="117" t="s">
        <v>4</v>
      </c>
      <c r="S346" s="267"/>
      <c r="T346" s="121"/>
      <c r="U346" s="122"/>
      <c r="V346" s="263"/>
      <c r="W346" s="116">
        <f>W62+W128+W132+W138+W144+W149+W154+W159+W164+W168+W173</f>
        <v>344385</v>
      </c>
      <c r="X346" s="117" t="s">
        <v>4</v>
      </c>
      <c r="Y346" s="265"/>
      <c r="Z346" s="121"/>
      <c r="AA346" s="122"/>
      <c r="AB346" s="263"/>
      <c r="AC346" s="116">
        <f>AC179+AC184+AC189+AC194+AC199+AC204+AC209+AC214+AC220+AC225+AC230+AC236+AC239</f>
        <v>293779</v>
      </c>
      <c r="AD346" s="117" t="s">
        <v>4</v>
      </c>
      <c r="AE346" s="269"/>
      <c r="AF346" s="121"/>
      <c r="AG346" s="122"/>
      <c r="AH346" s="263"/>
      <c r="AI346" s="116">
        <f>AI243+AI249+AI252+AI258+AI263+AI269+AI272+AI275+AI278+AI281+AI284+AI287+AI290</f>
        <v>310884</v>
      </c>
      <c r="AJ346" s="117" t="s">
        <v>4</v>
      </c>
      <c r="AK346" s="265"/>
      <c r="AL346" s="121"/>
      <c r="AM346" s="122"/>
      <c r="AN346" s="263"/>
      <c r="AO346" s="116">
        <f>AO293+AO296+AO299+AO302+AO305+AV346+AO308+AO311+AO314+AO317+AO320+AO323+AO326</f>
        <v>277227</v>
      </c>
      <c r="AP346" s="117" t="s">
        <v>4</v>
      </c>
      <c r="AQ346" s="265"/>
      <c r="AR346" s="117"/>
    </row>
    <row r="347" spans="1:86" x14ac:dyDescent="0.25">
      <c r="A347" s="256"/>
      <c r="B347" s="257"/>
      <c r="C347" s="257"/>
      <c r="D347" s="257"/>
      <c r="E347" s="257"/>
      <c r="F347" s="257"/>
      <c r="G347" s="257"/>
      <c r="H347" s="257"/>
      <c r="I347" s="258"/>
      <c r="J347" s="262" t="s">
        <v>41</v>
      </c>
      <c r="K347" s="117" t="s">
        <v>84</v>
      </c>
      <c r="L347" s="117" t="s">
        <v>2</v>
      </c>
      <c r="M347" s="117" t="s">
        <v>84</v>
      </c>
      <c r="N347" s="121"/>
      <c r="O347" s="122"/>
      <c r="P347" s="262" t="s">
        <v>41</v>
      </c>
      <c r="Q347" s="117" t="s">
        <v>84</v>
      </c>
      <c r="R347" s="117" t="s">
        <v>2</v>
      </c>
      <c r="S347" s="123" t="s">
        <v>84</v>
      </c>
      <c r="T347" s="121"/>
      <c r="U347" s="122"/>
      <c r="V347" s="262" t="s">
        <v>41</v>
      </c>
      <c r="W347" s="117" t="s">
        <v>84</v>
      </c>
      <c r="X347" s="117" t="s">
        <v>2</v>
      </c>
      <c r="Y347" s="117" t="s">
        <v>84</v>
      </c>
      <c r="Z347" s="121"/>
      <c r="AA347" s="122"/>
      <c r="AB347" s="262" t="s">
        <v>41</v>
      </c>
      <c r="AC347" s="116" t="s">
        <v>84</v>
      </c>
      <c r="AD347" s="117" t="s">
        <v>2</v>
      </c>
      <c r="AE347" s="116" t="s">
        <v>84</v>
      </c>
      <c r="AF347" s="121"/>
      <c r="AG347" s="122"/>
      <c r="AH347" s="262" t="s">
        <v>41</v>
      </c>
      <c r="AI347" s="117" t="s">
        <v>84</v>
      </c>
      <c r="AJ347" s="117" t="s">
        <v>2</v>
      </c>
      <c r="AK347" s="117" t="s">
        <v>84</v>
      </c>
      <c r="AL347" s="121"/>
      <c r="AM347" s="122"/>
      <c r="AN347" s="262" t="s">
        <v>41</v>
      </c>
      <c r="AO347" s="117" t="s">
        <v>84</v>
      </c>
      <c r="AP347" s="117" t="s">
        <v>2</v>
      </c>
      <c r="AQ347" s="117" t="s">
        <v>84</v>
      </c>
      <c r="AR347" s="117"/>
    </row>
    <row r="348" spans="1:86" x14ac:dyDescent="0.25">
      <c r="A348" s="256"/>
      <c r="B348" s="257"/>
      <c r="C348" s="257"/>
      <c r="D348" s="257"/>
      <c r="E348" s="257"/>
      <c r="F348" s="257"/>
      <c r="G348" s="257"/>
      <c r="H348" s="257"/>
      <c r="I348" s="258"/>
      <c r="J348" s="263"/>
      <c r="K348" s="117" t="s">
        <v>84</v>
      </c>
      <c r="L348" s="117" t="s">
        <v>4</v>
      </c>
      <c r="M348" s="117" t="s">
        <v>84</v>
      </c>
      <c r="N348" s="121"/>
      <c r="O348" s="122"/>
      <c r="P348" s="263"/>
      <c r="Q348" s="117" t="s">
        <v>84</v>
      </c>
      <c r="R348" s="117" t="s">
        <v>4</v>
      </c>
      <c r="S348" s="123" t="s">
        <v>84</v>
      </c>
      <c r="T348" s="121"/>
      <c r="U348" s="122"/>
      <c r="V348" s="263"/>
      <c r="W348" s="117" t="s">
        <v>84</v>
      </c>
      <c r="X348" s="117" t="s">
        <v>4</v>
      </c>
      <c r="Y348" s="117" t="s">
        <v>84</v>
      </c>
      <c r="Z348" s="121"/>
      <c r="AA348" s="122"/>
      <c r="AB348" s="263"/>
      <c r="AC348" s="116" t="s">
        <v>84</v>
      </c>
      <c r="AD348" s="117" t="s">
        <v>4</v>
      </c>
      <c r="AE348" s="116" t="s">
        <v>84</v>
      </c>
      <c r="AF348" s="121"/>
      <c r="AG348" s="122"/>
      <c r="AH348" s="263"/>
      <c r="AI348" s="117" t="s">
        <v>84</v>
      </c>
      <c r="AJ348" s="117" t="s">
        <v>4</v>
      </c>
      <c r="AK348" s="117" t="s">
        <v>84</v>
      </c>
      <c r="AL348" s="121"/>
      <c r="AM348" s="122"/>
      <c r="AN348" s="263"/>
      <c r="AO348" s="117" t="s">
        <v>84</v>
      </c>
      <c r="AP348" s="117" t="s">
        <v>4</v>
      </c>
      <c r="AQ348" s="117" t="s">
        <v>84</v>
      </c>
      <c r="AR348" s="117"/>
    </row>
    <row r="349" spans="1:86" x14ac:dyDescent="0.25">
      <c r="A349" s="256"/>
      <c r="B349" s="257"/>
      <c r="C349" s="257"/>
      <c r="D349" s="257"/>
      <c r="E349" s="257"/>
      <c r="F349" s="257"/>
      <c r="G349" s="257"/>
      <c r="H349" s="257"/>
      <c r="I349" s="258"/>
      <c r="J349" s="262" t="s">
        <v>42</v>
      </c>
      <c r="K349" s="117" t="s">
        <v>84</v>
      </c>
      <c r="L349" s="117" t="s">
        <v>2</v>
      </c>
      <c r="M349" s="117" t="s">
        <v>84</v>
      </c>
      <c r="N349" s="121"/>
      <c r="O349" s="122"/>
      <c r="P349" s="262" t="s">
        <v>42</v>
      </c>
      <c r="Q349" s="117" t="s">
        <v>84</v>
      </c>
      <c r="R349" s="117" t="s">
        <v>2</v>
      </c>
      <c r="S349" s="380" t="s">
        <v>84</v>
      </c>
      <c r="T349" s="121"/>
      <c r="U349" s="122"/>
      <c r="V349" s="262" t="s">
        <v>42</v>
      </c>
      <c r="W349" s="117" t="s">
        <v>84</v>
      </c>
      <c r="X349" s="117" t="s">
        <v>2</v>
      </c>
      <c r="Y349" s="268" t="s">
        <v>84</v>
      </c>
      <c r="Z349" s="121"/>
      <c r="AA349" s="122"/>
      <c r="AB349" s="262" t="s">
        <v>42</v>
      </c>
      <c r="AC349" s="116" t="s">
        <v>84</v>
      </c>
      <c r="AD349" s="117" t="s">
        <v>2</v>
      </c>
      <c r="AE349" s="268" t="s">
        <v>84</v>
      </c>
      <c r="AF349" s="121"/>
      <c r="AG349" s="122"/>
      <c r="AH349" s="262" t="s">
        <v>42</v>
      </c>
      <c r="AI349" s="117" t="s">
        <v>84</v>
      </c>
      <c r="AJ349" s="117" t="s">
        <v>2</v>
      </c>
      <c r="AK349" s="117" t="s">
        <v>84</v>
      </c>
      <c r="AL349" s="121"/>
      <c r="AM349" s="122"/>
      <c r="AN349" s="262" t="s">
        <v>42</v>
      </c>
      <c r="AO349" s="117" t="s">
        <v>84</v>
      </c>
      <c r="AP349" s="117" t="s">
        <v>2</v>
      </c>
      <c r="AQ349" s="117" t="s">
        <v>84</v>
      </c>
      <c r="AR349" s="117"/>
    </row>
    <row r="350" spans="1:86" x14ac:dyDescent="0.25">
      <c r="A350" s="256"/>
      <c r="B350" s="257"/>
      <c r="C350" s="257"/>
      <c r="D350" s="257"/>
      <c r="E350" s="257"/>
      <c r="F350" s="257"/>
      <c r="G350" s="257"/>
      <c r="H350" s="257"/>
      <c r="I350" s="258"/>
      <c r="J350" s="263"/>
      <c r="K350" s="117" t="s">
        <v>84</v>
      </c>
      <c r="L350" s="117" t="s">
        <v>4</v>
      </c>
      <c r="M350" s="117" t="s">
        <v>84</v>
      </c>
      <c r="N350" s="121"/>
      <c r="O350" s="122"/>
      <c r="P350" s="263"/>
      <c r="Q350" s="116" t="s">
        <v>84</v>
      </c>
      <c r="R350" s="117" t="s">
        <v>4</v>
      </c>
      <c r="S350" s="267"/>
      <c r="T350" s="121"/>
      <c r="U350" s="122"/>
      <c r="V350" s="263"/>
      <c r="W350" s="117" t="s">
        <v>84</v>
      </c>
      <c r="X350" s="117" t="s">
        <v>4</v>
      </c>
      <c r="Y350" s="265"/>
      <c r="Z350" s="121"/>
      <c r="AA350" s="122"/>
      <c r="AB350" s="263"/>
      <c r="AC350" s="116" t="s">
        <v>84</v>
      </c>
      <c r="AD350" s="117" t="s">
        <v>4</v>
      </c>
      <c r="AE350" s="269"/>
      <c r="AF350" s="121"/>
      <c r="AG350" s="122"/>
      <c r="AH350" s="263"/>
      <c r="AI350" s="117" t="s">
        <v>84</v>
      </c>
      <c r="AJ350" s="117" t="s">
        <v>4</v>
      </c>
      <c r="AK350" s="117" t="s">
        <v>84</v>
      </c>
      <c r="AL350" s="121"/>
      <c r="AM350" s="122"/>
      <c r="AN350" s="263"/>
      <c r="AO350" s="117" t="s">
        <v>84</v>
      </c>
      <c r="AP350" s="117" t="s">
        <v>4</v>
      </c>
      <c r="AQ350" s="117" t="s">
        <v>84</v>
      </c>
      <c r="AR350" s="117"/>
    </row>
    <row r="351" spans="1:86" x14ac:dyDescent="0.25">
      <c r="A351" s="256"/>
      <c r="B351" s="257"/>
      <c r="C351" s="257"/>
      <c r="D351" s="257"/>
      <c r="E351" s="257"/>
      <c r="F351" s="257"/>
      <c r="G351" s="257"/>
      <c r="H351" s="257"/>
      <c r="I351" s="258"/>
      <c r="J351" s="262" t="s">
        <v>43</v>
      </c>
      <c r="K351" s="117">
        <v>3.55</v>
      </c>
      <c r="L351" s="117" t="s">
        <v>2</v>
      </c>
      <c r="M351" s="264">
        <f>M40+M41</f>
        <v>202000</v>
      </c>
      <c r="N351" s="121"/>
      <c r="O351" s="122"/>
      <c r="P351" s="262" t="s">
        <v>43</v>
      </c>
      <c r="Q351" s="117" t="s">
        <v>84</v>
      </c>
      <c r="R351" s="117" t="s">
        <v>2</v>
      </c>
      <c r="S351" s="266" t="s">
        <v>84</v>
      </c>
      <c r="T351" s="121"/>
      <c r="U351" s="122"/>
      <c r="V351" s="262" t="s">
        <v>43</v>
      </c>
      <c r="W351" s="117" t="s">
        <v>84</v>
      </c>
      <c r="X351" s="117" t="s">
        <v>2</v>
      </c>
      <c r="Y351" s="117" t="s">
        <v>84</v>
      </c>
      <c r="Z351" s="121"/>
      <c r="AA351" s="122"/>
      <c r="AB351" s="262" t="s">
        <v>43</v>
      </c>
      <c r="AC351" s="116" t="s">
        <v>84</v>
      </c>
      <c r="AD351" s="117" t="s">
        <v>2</v>
      </c>
      <c r="AE351" s="116" t="s">
        <v>84</v>
      </c>
      <c r="AF351" s="121"/>
      <c r="AG351" s="122"/>
      <c r="AH351" s="262" t="s">
        <v>43</v>
      </c>
      <c r="AI351" s="117" t="s">
        <v>84</v>
      </c>
      <c r="AJ351" s="117" t="s">
        <v>2</v>
      </c>
      <c r="AK351" s="117" t="s">
        <v>84</v>
      </c>
      <c r="AL351" s="121"/>
      <c r="AM351" s="122"/>
      <c r="AN351" s="262" t="s">
        <v>43</v>
      </c>
      <c r="AO351" s="117" t="s">
        <v>84</v>
      </c>
      <c r="AP351" s="117" t="s">
        <v>2</v>
      </c>
      <c r="AQ351" s="117" t="s">
        <v>84</v>
      </c>
      <c r="AR351" s="117"/>
    </row>
    <row r="352" spans="1:86" x14ac:dyDescent="0.25">
      <c r="A352" s="256"/>
      <c r="B352" s="257"/>
      <c r="C352" s="257"/>
      <c r="D352" s="257"/>
      <c r="E352" s="257"/>
      <c r="F352" s="257"/>
      <c r="G352" s="257"/>
      <c r="H352" s="257"/>
      <c r="I352" s="258"/>
      <c r="J352" s="263"/>
      <c r="K352" s="116">
        <f>K40+K41</f>
        <v>24150</v>
      </c>
      <c r="L352" s="117" t="s">
        <v>4</v>
      </c>
      <c r="M352" s="265"/>
      <c r="N352" s="121"/>
      <c r="O352" s="122"/>
      <c r="P352" s="263"/>
      <c r="Q352" s="116" t="s">
        <v>84</v>
      </c>
      <c r="R352" s="117" t="s">
        <v>4</v>
      </c>
      <c r="S352" s="267"/>
      <c r="T352" s="121"/>
      <c r="U352" s="122"/>
      <c r="V352" s="263"/>
      <c r="W352" s="117" t="s">
        <v>84</v>
      </c>
      <c r="X352" s="117" t="s">
        <v>4</v>
      </c>
      <c r="Y352" s="117" t="s">
        <v>84</v>
      </c>
      <c r="Z352" s="121"/>
      <c r="AA352" s="122"/>
      <c r="AB352" s="263"/>
      <c r="AC352" s="116" t="s">
        <v>84</v>
      </c>
      <c r="AD352" s="117" t="s">
        <v>4</v>
      </c>
      <c r="AE352" s="116" t="s">
        <v>84</v>
      </c>
      <c r="AF352" s="121"/>
      <c r="AG352" s="122"/>
      <c r="AH352" s="263"/>
      <c r="AI352" s="117" t="s">
        <v>84</v>
      </c>
      <c r="AJ352" s="117" t="s">
        <v>4</v>
      </c>
      <c r="AK352" s="117" t="s">
        <v>84</v>
      </c>
      <c r="AL352" s="121"/>
      <c r="AM352" s="122"/>
      <c r="AN352" s="263"/>
      <c r="AO352" s="117" t="s">
        <v>84</v>
      </c>
      <c r="AP352" s="117" t="s">
        <v>4</v>
      </c>
      <c r="AQ352" s="116" t="s">
        <v>84</v>
      </c>
      <c r="AR352" s="117"/>
    </row>
    <row r="353" spans="1:44" x14ac:dyDescent="0.25">
      <c r="A353" s="256"/>
      <c r="B353" s="257"/>
      <c r="C353" s="257"/>
      <c r="D353" s="257"/>
      <c r="E353" s="257"/>
      <c r="F353" s="257"/>
      <c r="G353" s="257"/>
      <c r="H353" s="257"/>
      <c r="I353" s="258"/>
      <c r="J353" s="262" t="s">
        <v>8</v>
      </c>
      <c r="K353" s="117" t="s">
        <v>84</v>
      </c>
      <c r="L353" s="117" t="s">
        <v>4</v>
      </c>
      <c r="M353" s="381" t="s">
        <v>84</v>
      </c>
      <c r="N353" s="121"/>
      <c r="O353" s="122"/>
      <c r="P353" s="262" t="s">
        <v>8</v>
      </c>
      <c r="Q353" s="117" t="s">
        <v>84</v>
      </c>
      <c r="R353" s="117" t="s">
        <v>4</v>
      </c>
      <c r="S353" s="380" t="s">
        <v>84</v>
      </c>
      <c r="T353" s="121"/>
      <c r="U353" s="122"/>
      <c r="V353" s="262" t="s">
        <v>8</v>
      </c>
      <c r="W353" s="117" t="s">
        <v>84</v>
      </c>
      <c r="X353" s="117" t="s">
        <v>4</v>
      </c>
      <c r="Y353" s="381" t="s">
        <v>84</v>
      </c>
      <c r="Z353" s="121"/>
      <c r="AA353" s="122"/>
      <c r="AB353" s="262" t="s">
        <v>8</v>
      </c>
      <c r="AC353" s="116" t="s">
        <v>84</v>
      </c>
      <c r="AD353" s="117" t="s">
        <v>4</v>
      </c>
      <c r="AE353" s="268" t="s">
        <v>84</v>
      </c>
      <c r="AF353" s="121"/>
      <c r="AG353" s="122"/>
      <c r="AH353" s="262" t="s">
        <v>8</v>
      </c>
      <c r="AI353" s="117" t="s">
        <v>84</v>
      </c>
      <c r="AJ353" s="117" t="s">
        <v>4</v>
      </c>
      <c r="AK353" s="381" t="s">
        <v>84</v>
      </c>
      <c r="AL353" s="121"/>
      <c r="AM353" s="122"/>
      <c r="AN353" s="262" t="s">
        <v>8</v>
      </c>
      <c r="AO353" s="117" t="s">
        <v>84</v>
      </c>
      <c r="AP353" s="117" t="s">
        <v>4</v>
      </c>
      <c r="AQ353" s="381" t="s">
        <v>84</v>
      </c>
      <c r="AR353" s="381"/>
    </row>
    <row r="354" spans="1:44" x14ac:dyDescent="0.25">
      <c r="A354" s="256"/>
      <c r="B354" s="257"/>
      <c r="C354" s="257"/>
      <c r="D354" s="257"/>
      <c r="E354" s="257"/>
      <c r="F354" s="257"/>
      <c r="G354" s="257"/>
      <c r="H354" s="257"/>
      <c r="I354" s="258"/>
      <c r="J354" s="263"/>
      <c r="K354" s="117" t="s">
        <v>84</v>
      </c>
      <c r="L354" s="117" t="s">
        <v>2</v>
      </c>
      <c r="M354" s="265"/>
      <c r="N354" s="121"/>
      <c r="O354" s="122"/>
      <c r="P354" s="263"/>
      <c r="Q354" s="117" t="s">
        <v>84</v>
      </c>
      <c r="R354" s="117" t="s">
        <v>2</v>
      </c>
      <c r="S354" s="267"/>
      <c r="T354" s="121"/>
      <c r="U354" s="122"/>
      <c r="V354" s="263"/>
      <c r="W354" s="117" t="s">
        <v>84</v>
      </c>
      <c r="X354" s="117" t="s">
        <v>2</v>
      </c>
      <c r="Y354" s="265"/>
      <c r="Z354" s="121"/>
      <c r="AA354" s="122"/>
      <c r="AB354" s="263"/>
      <c r="AC354" s="116" t="s">
        <v>84</v>
      </c>
      <c r="AD354" s="117" t="s">
        <v>2</v>
      </c>
      <c r="AE354" s="269"/>
      <c r="AF354" s="121"/>
      <c r="AG354" s="122"/>
      <c r="AH354" s="263"/>
      <c r="AI354" s="117" t="s">
        <v>84</v>
      </c>
      <c r="AJ354" s="117" t="s">
        <v>2</v>
      </c>
      <c r="AK354" s="265"/>
      <c r="AL354" s="121"/>
      <c r="AM354" s="122"/>
      <c r="AN354" s="263"/>
      <c r="AO354" s="117" t="s">
        <v>84</v>
      </c>
      <c r="AP354" s="117" t="s">
        <v>2</v>
      </c>
      <c r="AQ354" s="265"/>
      <c r="AR354" s="265"/>
    </row>
    <row r="355" spans="1:44" ht="42.75" x14ac:dyDescent="0.25">
      <c r="A355" s="256"/>
      <c r="B355" s="257"/>
      <c r="C355" s="257"/>
      <c r="D355" s="257"/>
      <c r="E355" s="257"/>
      <c r="F355" s="257"/>
      <c r="G355" s="257"/>
      <c r="H355" s="257"/>
      <c r="I355" s="258"/>
      <c r="J355" s="124" t="s">
        <v>9</v>
      </c>
      <c r="K355" s="116" t="s">
        <v>84</v>
      </c>
      <c r="L355" s="117" t="s">
        <v>10</v>
      </c>
      <c r="M355" s="125" t="s">
        <v>84</v>
      </c>
      <c r="N355" s="121"/>
      <c r="O355" s="122"/>
      <c r="P355" s="124" t="s">
        <v>9</v>
      </c>
      <c r="Q355" s="116">
        <f>Q84</f>
        <v>8</v>
      </c>
      <c r="R355" s="116" t="str">
        <f>R84</f>
        <v>шт</v>
      </c>
      <c r="S355" s="116">
        <f>S84</f>
        <v>2000</v>
      </c>
      <c r="T355" s="121"/>
      <c r="U355" s="122"/>
      <c r="V355" s="124" t="s">
        <v>9</v>
      </c>
      <c r="W355" s="116">
        <f>W142+W177</f>
        <v>54</v>
      </c>
      <c r="X355" s="117" t="s">
        <v>10</v>
      </c>
      <c r="Y355" s="116">
        <f t="shared" ref="Y355" si="40">Y142+Y177</f>
        <v>13500</v>
      </c>
      <c r="Z355" s="121"/>
      <c r="AA355" s="122"/>
      <c r="AB355" s="124" t="s">
        <v>9</v>
      </c>
      <c r="AC355" s="116">
        <f>AC223</f>
        <v>34</v>
      </c>
      <c r="AD355" s="117" t="s">
        <v>10</v>
      </c>
      <c r="AE355" s="116">
        <f>AE223</f>
        <v>8500</v>
      </c>
      <c r="AF355" s="121"/>
      <c r="AG355" s="122"/>
      <c r="AH355" s="124" t="s">
        <v>9</v>
      </c>
      <c r="AI355" s="117" t="s">
        <v>84</v>
      </c>
      <c r="AJ355" s="117" t="s">
        <v>10</v>
      </c>
      <c r="AK355" s="117" t="s">
        <v>84</v>
      </c>
      <c r="AL355" s="121"/>
      <c r="AM355" s="122"/>
      <c r="AN355" s="124" t="s">
        <v>9</v>
      </c>
      <c r="AO355" s="117" t="s">
        <v>84</v>
      </c>
      <c r="AP355" s="117" t="s">
        <v>10</v>
      </c>
      <c r="AQ355" s="117" t="s">
        <v>84</v>
      </c>
      <c r="AR355" s="117"/>
    </row>
    <row r="356" spans="1:44" ht="28.5" x14ac:dyDescent="0.25">
      <c r="A356" s="256"/>
      <c r="B356" s="257"/>
      <c r="C356" s="257"/>
      <c r="D356" s="257"/>
      <c r="E356" s="257"/>
      <c r="F356" s="257"/>
      <c r="G356" s="257"/>
      <c r="H356" s="257"/>
      <c r="I356" s="258"/>
      <c r="J356" s="124" t="s">
        <v>44</v>
      </c>
      <c r="K356" s="117" t="s">
        <v>84</v>
      </c>
      <c r="L356" s="117" t="s">
        <v>10</v>
      </c>
      <c r="M356" s="117" t="s">
        <v>84</v>
      </c>
      <c r="N356" s="121"/>
      <c r="O356" s="122"/>
      <c r="P356" s="124" t="s">
        <v>44</v>
      </c>
      <c r="Q356" s="117" t="s">
        <v>84</v>
      </c>
      <c r="R356" s="117" t="s">
        <v>10</v>
      </c>
      <c r="S356" s="123" t="s">
        <v>84</v>
      </c>
      <c r="T356" s="121"/>
      <c r="U356" s="122"/>
      <c r="V356" s="124" t="s">
        <v>44</v>
      </c>
      <c r="W356" s="117" t="s">
        <v>84</v>
      </c>
      <c r="X356" s="117" t="s">
        <v>10</v>
      </c>
      <c r="Y356" s="117" t="s">
        <v>84</v>
      </c>
      <c r="Z356" s="121"/>
      <c r="AA356" s="122"/>
      <c r="AB356" s="124" t="s">
        <v>44</v>
      </c>
      <c r="AC356" s="116" t="s">
        <v>84</v>
      </c>
      <c r="AD356" s="117" t="s">
        <v>10</v>
      </c>
      <c r="AE356" s="116" t="s">
        <v>84</v>
      </c>
      <c r="AF356" s="121"/>
      <c r="AG356" s="122"/>
      <c r="AH356" s="124" t="s">
        <v>44</v>
      </c>
      <c r="AI356" s="117" t="s">
        <v>84</v>
      </c>
      <c r="AJ356" s="117" t="s">
        <v>10</v>
      </c>
      <c r="AK356" s="117" t="s">
        <v>84</v>
      </c>
      <c r="AL356" s="121"/>
      <c r="AM356" s="122"/>
      <c r="AN356" s="124" t="s">
        <v>44</v>
      </c>
      <c r="AO356" s="117" t="s">
        <v>84</v>
      </c>
      <c r="AP356" s="117" t="s">
        <v>10</v>
      </c>
      <c r="AQ356" s="117" t="s">
        <v>84</v>
      </c>
      <c r="AR356" s="117"/>
    </row>
    <row r="357" spans="1:44" ht="42.75" x14ac:dyDescent="0.25">
      <c r="A357" s="256"/>
      <c r="B357" s="257"/>
      <c r="C357" s="257"/>
      <c r="D357" s="257"/>
      <c r="E357" s="257"/>
      <c r="F357" s="257"/>
      <c r="G357" s="257"/>
      <c r="H357" s="257"/>
      <c r="I357" s="258"/>
      <c r="J357" s="124" t="s">
        <v>11</v>
      </c>
      <c r="K357" s="116">
        <f>K34+K80</f>
        <v>1410</v>
      </c>
      <c r="L357" s="117" t="s">
        <v>12</v>
      </c>
      <c r="M357" s="116">
        <f>M34+M80</f>
        <v>14631</v>
      </c>
      <c r="N357" s="121"/>
      <c r="O357" s="122"/>
      <c r="P357" s="124" t="s">
        <v>11</v>
      </c>
      <c r="Q357" s="116">
        <f>Q100</f>
        <v>126</v>
      </c>
      <c r="R357" s="116" t="str">
        <f t="shared" ref="R357:S357" si="41">R100</f>
        <v>п.м.</v>
      </c>
      <c r="S357" s="116">
        <f t="shared" si="41"/>
        <v>630</v>
      </c>
      <c r="T357" s="121"/>
      <c r="U357" s="122"/>
      <c r="V357" s="124" t="s">
        <v>11</v>
      </c>
      <c r="W357" s="117">
        <f>W130+W136</f>
        <v>300</v>
      </c>
      <c r="X357" s="117" t="s">
        <v>12</v>
      </c>
      <c r="Y357" s="117">
        <f>Y130+Y136</f>
        <v>1500</v>
      </c>
      <c r="Z357" s="121"/>
      <c r="AA357" s="122"/>
      <c r="AB357" s="124" t="s">
        <v>11</v>
      </c>
      <c r="AC357" s="116" t="s">
        <v>84</v>
      </c>
      <c r="AD357" s="117" t="s">
        <v>12</v>
      </c>
      <c r="AE357" s="116" t="s">
        <v>84</v>
      </c>
      <c r="AF357" s="121"/>
      <c r="AG357" s="122"/>
      <c r="AH357" s="124" t="s">
        <v>11</v>
      </c>
      <c r="AI357" s="116">
        <f>AI247+AI267</f>
        <v>1460</v>
      </c>
      <c r="AJ357" s="117" t="s">
        <v>12</v>
      </c>
      <c r="AK357" s="116">
        <f t="shared" ref="AK357" si="42">AK247+AK267</f>
        <v>6800</v>
      </c>
      <c r="AL357" s="121"/>
      <c r="AM357" s="122"/>
      <c r="AN357" s="124" t="s">
        <v>11</v>
      </c>
      <c r="AO357" s="116"/>
      <c r="AP357" s="117" t="s">
        <v>12</v>
      </c>
      <c r="AQ357" s="116"/>
      <c r="AR357" s="117"/>
    </row>
    <row r="358" spans="1:44" x14ac:dyDescent="0.25">
      <c r="A358" s="256"/>
      <c r="B358" s="257"/>
      <c r="C358" s="257"/>
      <c r="D358" s="257"/>
      <c r="E358" s="257"/>
      <c r="F358" s="257"/>
      <c r="G358" s="257"/>
      <c r="H358" s="257"/>
      <c r="I358" s="258"/>
      <c r="J358" s="124" t="s">
        <v>13</v>
      </c>
      <c r="K358" s="116">
        <f>K33+K38+K44+K49+K54+K59+K64+K68+K72+K77</f>
        <v>118500</v>
      </c>
      <c r="L358" s="117" t="s">
        <v>4</v>
      </c>
      <c r="M358" s="116">
        <f>M33+M38+M44+M49+M54+M59+M64+M68+M72+M77</f>
        <v>167100.04671600001</v>
      </c>
      <c r="N358" s="121"/>
      <c r="O358" s="122"/>
      <c r="P358" s="124" t="s">
        <v>13</v>
      </c>
      <c r="Q358" s="126">
        <f>Q83+Q87+Q92+Q98+Q104+Q109+Q113+Q119+Q123+Q126</f>
        <v>92590</v>
      </c>
      <c r="R358" s="117" t="s">
        <v>4</v>
      </c>
      <c r="S358" s="127">
        <f>S83+S87+S92+S98+S104+S109+S113+S119+S123+S126</f>
        <v>137639.88793520001</v>
      </c>
      <c r="T358" s="121"/>
      <c r="U358" s="122"/>
      <c r="V358" s="124" t="s">
        <v>13</v>
      </c>
      <c r="W358" s="116">
        <f>W64+W129+W134+W139+W146+W150+W155+W160+W165+W169+W174</f>
        <v>90690</v>
      </c>
      <c r="X358" s="117" t="s">
        <v>4</v>
      </c>
      <c r="Y358" s="116">
        <f t="shared" ref="Y358" si="43">Y64+Y129+Y134+Y139+Y146+Y150+Y155+Y160+Y165+Y169+Y174</f>
        <v>136420.30799999999</v>
      </c>
      <c r="Z358" s="121"/>
      <c r="AA358" s="122"/>
      <c r="AB358" s="124" t="s">
        <v>13</v>
      </c>
      <c r="AC358" s="116">
        <f>AC180+AC185+AC191+AC196+AC201+AC206+AC211+AC215+AC221+AC227+AC232+AC237+AC240</f>
        <v>105346</v>
      </c>
      <c r="AD358" s="117" t="s">
        <v>4</v>
      </c>
      <c r="AE358" s="116">
        <f t="shared" ref="AE358" si="44">AE180+AE185+AE191+AE196+AE201+AE206+AE211+AE215+AE221+AE227+AE232+AE237+AE240</f>
        <v>160908.13800000001</v>
      </c>
      <c r="AF358" s="121"/>
      <c r="AG358" s="122"/>
      <c r="AH358" s="124" t="s">
        <v>13</v>
      </c>
      <c r="AI358" s="116">
        <f>AI244+AI250+AI253+AI259+AI264++AI270+AI273+AI276+AI279+AI282+AI285+AI288+AI291</f>
        <v>118643</v>
      </c>
      <c r="AJ358" s="117" t="s">
        <v>4</v>
      </c>
      <c r="AK358" s="116">
        <f t="shared" ref="AK358" si="45">AK244+AK250+AK253+AK259+AK264++AK270+AK273+AK276+AK279+AK282+AK285+AK288+AK291</f>
        <v>142448.16400000002</v>
      </c>
      <c r="AL358" s="121"/>
      <c r="AM358" s="122"/>
      <c r="AN358" s="124" t="s">
        <v>13</v>
      </c>
      <c r="AO358" s="116">
        <f>AO294+AO297+AO300+AO303+AO306+AO309+AO312+AO315+AO318+AO321+AO324+AO327</f>
        <v>104218</v>
      </c>
      <c r="AP358" s="117" t="s">
        <v>4</v>
      </c>
      <c r="AQ358" s="116">
        <f t="shared" ref="AQ358" si="46">AQ294+AQ297+AQ300+AQ303+AQ306+AQ309+AQ312+AQ315+AQ318+AQ321+AQ324+AQ327</f>
        <v>197416.94445000004</v>
      </c>
      <c r="AR358" s="117"/>
    </row>
    <row r="359" spans="1:44" ht="28.5" x14ac:dyDescent="0.25">
      <c r="A359" s="256"/>
      <c r="B359" s="257"/>
      <c r="C359" s="257"/>
      <c r="D359" s="257"/>
      <c r="E359" s="257"/>
      <c r="F359" s="257"/>
      <c r="G359" s="257"/>
      <c r="H359" s="257"/>
      <c r="I359" s="258"/>
      <c r="J359" s="124" t="s">
        <v>14</v>
      </c>
      <c r="K359" s="116">
        <f>K51</f>
        <v>1.5</v>
      </c>
      <c r="L359" s="116" t="str">
        <f>L51</f>
        <v>км</v>
      </c>
      <c r="M359" s="116">
        <f>M51</f>
        <v>5550</v>
      </c>
      <c r="N359" s="121"/>
      <c r="O359" s="122"/>
      <c r="P359" s="124" t="s">
        <v>14</v>
      </c>
      <c r="Q359" s="116">
        <f>Q115</f>
        <v>1.87</v>
      </c>
      <c r="R359" s="116" t="str">
        <f t="shared" ref="R359:S359" si="47">R115</f>
        <v>км</v>
      </c>
      <c r="S359" s="116">
        <f t="shared" si="47"/>
        <v>6919</v>
      </c>
      <c r="T359" s="121"/>
      <c r="U359" s="122"/>
      <c r="V359" s="124" t="s">
        <v>14</v>
      </c>
      <c r="W359" s="116" t="s">
        <v>84</v>
      </c>
      <c r="X359" s="116" t="s">
        <v>84</v>
      </c>
      <c r="Y359" s="116" t="s">
        <v>84</v>
      </c>
      <c r="Z359" s="121"/>
      <c r="AA359" s="122"/>
      <c r="AB359" s="124" t="s">
        <v>14</v>
      </c>
      <c r="AC359" s="116">
        <f>AC212+AC216+AC234</f>
        <v>4.92</v>
      </c>
      <c r="AD359" s="116" t="s">
        <v>2</v>
      </c>
      <c r="AE359" s="116">
        <f>AE212+AE216+AE234</f>
        <v>18204</v>
      </c>
      <c r="AF359" s="121"/>
      <c r="AG359" s="122"/>
      <c r="AH359" s="124" t="s">
        <v>14</v>
      </c>
      <c r="AI359" s="117" t="s">
        <v>84</v>
      </c>
      <c r="AJ359" s="117" t="s">
        <v>84</v>
      </c>
      <c r="AK359" s="117" t="s">
        <v>84</v>
      </c>
      <c r="AL359" s="121"/>
      <c r="AM359" s="122"/>
      <c r="AN359" s="124" t="s">
        <v>14</v>
      </c>
      <c r="AO359" s="116"/>
      <c r="AP359" s="116" t="s">
        <v>84</v>
      </c>
      <c r="AQ359" s="116"/>
      <c r="AR359" s="117"/>
    </row>
    <row r="360" spans="1:44" ht="42.75" x14ac:dyDescent="0.25">
      <c r="A360" s="256"/>
      <c r="B360" s="257"/>
      <c r="C360" s="257"/>
      <c r="D360" s="257"/>
      <c r="E360" s="257"/>
      <c r="F360" s="257"/>
      <c r="G360" s="257"/>
      <c r="H360" s="257"/>
      <c r="I360" s="258"/>
      <c r="J360" s="124" t="s">
        <v>46</v>
      </c>
      <c r="K360" s="116">
        <f>K39+K45+K55+K60+K65+K69+K73+K78</f>
        <v>6213</v>
      </c>
      <c r="L360" s="117" t="s">
        <v>12</v>
      </c>
      <c r="M360" s="116">
        <f>M39+M45+M55+M60+M65+M69+M73+M78</f>
        <v>7766.3</v>
      </c>
      <c r="N360" s="121"/>
      <c r="O360" s="128"/>
      <c r="P360" s="124" t="s">
        <v>46</v>
      </c>
      <c r="Q360" s="116">
        <f>Q88+Q94+Q99+Q105+Q108+Q114+Q118</f>
        <v>2735</v>
      </c>
      <c r="R360" s="117" t="s">
        <v>12</v>
      </c>
      <c r="S360" s="116">
        <f>S88+S94+S99+S105+S108+S114+S118</f>
        <v>3421.4000000000005</v>
      </c>
      <c r="T360" s="121"/>
      <c r="U360" s="128"/>
      <c r="V360" s="124" t="s">
        <v>46</v>
      </c>
      <c r="W360" s="116">
        <f>W65+W135+W140+W145+W151+W156+W161+W166+W170+W175</f>
        <v>8159</v>
      </c>
      <c r="X360" s="117" t="s">
        <v>12</v>
      </c>
      <c r="Y360" s="116">
        <f t="shared" ref="Y360" si="48">Y65+Y135+Y140+Y145+Y151+Y156+Y161+Y166+Y170+Y175</f>
        <v>10196.900000000001</v>
      </c>
      <c r="Z360" s="121"/>
      <c r="AA360" s="128"/>
      <c r="AB360" s="124" t="s">
        <v>46</v>
      </c>
      <c r="AC360" s="116">
        <f>AC181+AC192+AC197+AC202+AC207+AC218+AC222+AC228+AC233+AC241</f>
        <v>5015</v>
      </c>
      <c r="AD360" s="117" t="s">
        <v>12</v>
      </c>
      <c r="AE360" s="116">
        <f t="shared" ref="AE360" si="49">AE181+AE192+AE197+AE202+AE207+AE218+AE222+AE228+AE233+AE241</f>
        <v>6268.9000000000005</v>
      </c>
      <c r="AF360" s="121"/>
      <c r="AG360" s="128"/>
      <c r="AH360" s="124" t="s">
        <v>46</v>
      </c>
      <c r="AI360" s="116">
        <f>AI245+AI254+AI260+AI265</f>
        <v>2433</v>
      </c>
      <c r="AJ360" s="117" t="s">
        <v>12</v>
      </c>
      <c r="AK360" s="116">
        <f t="shared" ref="AK360:AK361" si="50">AK245+AK254+AK260+AK265</f>
        <v>3041.3</v>
      </c>
      <c r="AL360" s="121"/>
      <c r="AM360" s="128"/>
      <c r="AN360" s="124" t="s">
        <v>46</v>
      </c>
      <c r="AO360" s="116"/>
      <c r="AP360" s="117" t="s">
        <v>12</v>
      </c>
      <c r="AQ360" s="116"/>
      <c r="AR360" s="117"/>
    </row>
    <row r="361" spans="1:44" ht="42.75" x14ac:dyDescent="0.25">
      <c r="A361" s="259"/>
      <c r="B361" s="260"/>
      <c r="C361" s="260"/>
      <c r="D361" s="260"/>
      <c r="E361" s="260"/>
      <c r="F361" s="260"/>
      <c r="G361" s="260"/>
      <c r="H361" s="260"/>
      <c r="I361" s="261"/>
      <c r="J361" s="124" t="s">
        <v>233</v>
      </c>
      <c r="K361" s="116">
        <f>K35+K46+K50+K58+K63+K74+K79</f>
        <v>32</v>
      </c>
      <c r="L361" s="116" t="s">
        <v>10</v>
      </c>
      <c r="M361" s="116">
        <f>M35+M46+M50+M58+M63+M74+M79</f>
        <v>3200</v>
      </c>
      <c r="N361" s="121"/>
      <c r="O361" s="128"/>
      <c r="P361" s="124" t="s">
        <v>233</v>
      </c>
      <c r="Q361" s="116">
        <f>Q89+Q93+Q97+Q103+Q112+Q120</f>
        <v>25</v>
      </c>
      <c r="R361" s="116" t="s">
        <v>10</v>
      </c>
      <c r="S361" s="116">
        <f>S89+S93+S97+S103+S112+S120</f>
        <v>2500</v>
      </c>
      <c r="T361" s="121"/>
      <c r="U361" s="128"/>
      <c r="V361" s="124" t="s">
        <v>233</v>
      </c>
      <c r="W361" s="116">
        <f>W63+W133+W141+W147+W152+W162+W171+W176</f>
        <v>50</v>
      </c>
      <c r="X361" s="116" t="s">
        <v>10</v>
      </c>
      <c r="Y361" s="116">
        <f t="shared" ref="Y361" si="51">Y63+Y133+Y141+Y147+Y152+Y162+Y171+Y176</f>
        <v>5000</v>
      </c>
      <c r="Z361" s="121"/>
      <c r="AA361" s="128"/>
      <c r="AB361" s="124" t="s">
        <v>233</v>
      </c>
      <c r="AC361" s="116">
        <f>AC182+AC190+AC195+AC200+AC205+AC210+AC217+AC226+AC231</f>
        <v>33</v>
      </c>
      <c r="AD361" s="116" t="s">
        <v>10</v>
      </c>
      <c r="AE361" s="116">
        <f t="shared" ref="AE361" si="52">AE182+AE190+AE195+AE200+AE205+AE210+AE217+AE226+AE231</f>
        <v>3300</v>
      </c>
      <c r="AF361" s="121"/>
      <c r="AG361" s="128"/>
      <c r="AH361" s="124" t="s">
        <v>233</v>
      </c>
      <c r="AI361" s="116">
        <f>AI246+AI255+AI261+AI266</f>
        <v>25</v>
      </c>
      <c r="AJ361" s="116" t="s">
        <v>10</v>
      </c>
      <c r="AK361" s="116">
        <f t="shared" si="50"/>
        <v>2500</v>
      </c>
      <c r="AL361" s="121"/>
      <c r="AM361" s="128"/>
      <c r="AN361" s="124" t="s">
        <v>233</v>
      </c>
      <c r="AO361" s="116"/>
      <c r="AP361" s="116" t="s">
        <v>10</v>
      </c>
      <c r="AQ361" s="116"/>
      <c r="AR361" s="117"/>
    </row>
    <row r="362" spans="1:44" ht="15.75" x14ac:dyDescent="0.25">
      <c r="A362" s="129" t="s">
        <v>15</v>
      </c>
      <c r="B362" s="130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1"/>
      <c r="N362" s="130"/>
      <c r="O362" s="130"/>
      <c r="P362" s="130"/>
      <c r="Q362" s="130"/>
      <c r="R362" s="130"/>
      <c r="S362" s="132"/>
      <c r="T362" s="129"/>
      <c r="U362" s="129"/>
      <c r="V362" s="129"/>
      <c r="W362" s="129"/>
      <c r="X362" s="129"/>
      <c r="Y362" s="133"/>
      <c r="Z362" s="129"/>
      <c r="AA362" s="129"/>
      <c r="AB362" s="129"/>
      <c r="AC362" s="129"/>
      <c r="AD362" s="134"/>
      <c r="AE362" s="135"/>
      <c r="AF362" s="134"/>
      <c r="AG362" s="136"/>
      <c r="AH362" s="136"/>
      <c r="AI362" s="136"/>
      <c r="AJ362" s="136"/>
      <c r="AK362" s="137"/>
      <c r="AL362" s="136"/>
      <c r="AM362" s="136"/>
      <c r="AN362" s="136"/>
      <c r="AO362" s="136"/>
      <c r="AP362" s="136"/>
      <c r="AQ362" s="137"/>
      <c r="AR362" s="136"/>
    </row>
    <row r="363" spans="1:44" x14ac:dyDescent="0.25">
      <c r="A363" s="382" t="s">
        <v>16</v>
      </c>
      <c r="B363" s="383"/>
      <c r="C363" s="383"/>
      <c r="D363" s="383"/>
      <c r="E363" s="383"/>
      <c r="F363" s="383"/>
      <c r="G363" s="383"/>
      <c r="H363" s="383"/>
      <c r="I363" s="383"/>
      <c r="J363" s="383"/>
      <c r="K363" s="383"/>
      <c r="L363" s="383"/>
      <c r="M363" s="383"/>
      <c r="N363" s="383"/>
      <c r="O363" s="383"/>
      <c r="P363" s="383"/>
      <c r="Q363" s="383"/>
      <c r="R363" s="383"/>
      <c r="S363" s="384"/>
      <c r="T363" s="111"/>
      <c r="U363" s="111"/>
      <c r="V363" s="111"/>
      <c r="W363" s="111"/>
      <c r="X363" s="111"/>
      <c r="Y363" s="111"/>
      <c r="Z363" s="111"/>
      <c r="AA363" s="111"/>
      <c r="AB363" s="111"/>
      <c r="AC363" s="111"/>
      <c r="AD363" s="111"/>
      <c r="AE363" s="111"/>
      <c r="AF363" s="111"/>
      <c r="AG363" s="111"/>
      <c r="AH363" s="111"/>
      <c r="AI363" s="111"/>
      <c r="AJ363" s="111"/>
      <c r="AK363" s="111"/>
      <c r="AL363" s="111"/>
      <c r="AM363" s="111"/>
      <c r="AN363" s="111"/>
      <c r="AO363" s="111"/>
      <c r="AP363" s="111"/>
      <c r="AQ363" s="111"/>
      <c r="AR363" s="111"/>
    </row>
    <row r="364" spans="1:44" ht="45" x14ac:dyDescent="0.25">
      <c r="A364" s="53">
        <v>1</v>
      </c>
      <c r="B364" s="53"/>
      <c r="C364" s="53" t="s">
        <v>291</v>
      </c>
      <c r="D364" s="53"/>
      <c r="E364" s="53"/>
      <c r="F364" s="53">
        <v>45.368000000000002</v>
      </c>
      <c r="G364" s="53">
        <v>362944</v>
      </c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</row>
    <row r="365" spans="1:44" x14ac:dyDescent="0.25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212" t="s">
        <v>60</v>
      </c>
      <c r="U365" s="213" t="s">
        <v>61</v>
      </c>
      <c r="V365" s="213" t="s">
        <v>41</v>
      </c>
      <c r="W365" s="213">
        <v>4.3666999999999998</v>
      </c>
      <c r="X365" s="213" t="s">
        <v>2</v>
      </c>
      <c r="Y365" s="213">
        <v>233183.62899999999</v>
      </c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</row>
    <row r="366" spans="1:44" x14ac:dyDescent="0.25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212" t="s">
        <v>62</v>
      </c>
      <c r="U366" s="213" t="s">
        <v>60</v>
      </c>
      <c r="V366" s="213" t="s">
        <v>41</v>
      </c>
      <c r="W366" s="213">
        <v>2</v>
      </c>
      <c r="X366" s="213" t="s">
        <v>2</v>
      </c>
      <c r="Y366" s="213">
        <v>47827.644</v>
      </c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</row>
    <row r="367" spans="1:44" x14ac:dyDescent="0.25">
      <c r="A367" s="53"/>
      <c r="B367" s="53"/>
      <c r="C367" s="53"/>
      <c r="D367" s="53"/>
      <c r="E367" s="53"/>
      <c r="F367" s="53"/>
      <c r="G367" s="53"/>
      <c r="H367" s="213" t="s">
        <v>292</v>
      </c>
      <c r="I367" s="213" t="s">
        <v>293</v>
      </c>
      <c r="J367" s="213" t="s">
        <v>63</v>
      </c>
      <c r="K367" s="213" t="s">
        <v>64</v>
      </c>
      <c r="L367" s="213" t="s">
        <v>294</v>
      </c>
      <c r="M367" s="213">
        <v>5235.3900000000003</v>
      </c>
      <c r="N367" s="213" t="s">
        <v>292</v>
      </c>
      <c r="O367" s="213" t="s">
        <v>293</v>
      </c>
      <c r="P367" s="213" t="s">
        <v>63</v>
      </c>
      <c r="Q367" s="213" t="s">
        <v>64</v>
      </c>
      <c r="R367" s="213" t="s">
        <v>294</v>
      </c>
      <c r="S367" s="213">
        <v>5460.5069999999996</v>
      </c>
      <c r="T367" s="213"/>
      <c r="U367" s="213"/>
      <c r="V367" s="213"/>
      <c r="W367" s="213"/>
      <c r="X367" s="213"/>
      <c r="Y367" s="213"/>
      <c r="Z367" s="213"/>
      <c r="AA367" s="213"/>
      <c r="AB367" s="21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</row>
    <row r="368" spans="1:44" ht="45" x14ac:dyDescent="0.25">
      <c r="A368" s="53">
        <v>2</v>
      </c>
      <c r="B368" s="53"/>
      <c r="C368" s="53" t="s">
        <v>295</v>
      </c>
      <c r="D368" s="53"/>
      <c r="E368" s="53"/>
      <c r="F368" s="53">
        <v>9.5</v>
      </c>
      <c r="G368" s="53">
        <v>76000</v>
      </c>
      <c r="H368" s="213"/>
      <c r="I368" s="213"/>
      <c r="J368" s="213"/>
      <c r="K368" s="213"/>
      <c r="L368" s="213"/>
      <c r="M368" s="213"/>
      <c r="N368" s="213"/>
      <c r="O368" s="213"/>
      <c r="P368" s="213"/>
      <c r="Q368" s="213"/>
      <c r="R368" s="213"/>
      <c r="S368" s="213"/>
      <c r="T368" s="213"/>
      <c r="U368" s="213"/>
      <c r="V368" s="213"/>
      <c r="W368" s="213"/>
      <c r="X368" s="213"/>
      <c r="Y368" s="213"/>
      <c r="Z368" s="213"/>
      <c r="AA368" s="213"/>
      <c r="AB368" s="21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</row>
    <row r="369" spans="1:44" x14ac:dyDescent="0.25">
      <c r="A369" s="53"/>
      <c r="B369" s="53"/>
      <c r="C369" s="53"/>
      <c r="D369" s="53"/>
      <c r="E369" s="53"/>
      <c r="F369" s="53"/>
      <c r="G369" s="53"/>
      <c r="H369" s="213" t="s">
        <v>56</v>
      </c>
      <c r="I369" s="213" t="s">
        <v>296</v>
      </c>
      <c r="J369" s="213" t="s">
        <v>63</v>
      </c>
      <c r="K369" s="213" t="s">
        <v>64</v>
      </c>
      <c r="L369" s="213" t="s">
        <v>297</v>
      </c>
      <c r="M369" s="213">
        <v>1235.6590000000001</v>
      </c>
      <c r="N369" s="213" t="s">
        <v>56</v>
      </c>
      <c r="O369" s="213" t="s">
        <v>296</v>
      </c>
      <c r="P369" s="213" t="s">
        <v>63</v>
      </c>
      <c r="Q369" s="213" t="s">
        <v>64</v>
      </c>
      <c r="R369" s="213" t="s">
        <v>297</v>
      </c>
      <c r="S369" s="213">
        <v>1233.3399999999999</v>
      </c>
      <c r="T369" s="213"/>
      <c r="U369" s="213"/>
      <c r="V369" s="213"/>
      <c r="W369" s="213"/>
      <c r="X369" s="213"/>
      <c r="Y369" s="213"/>
      <c r="Z369" s="213"/>
      <c r="AA369" s="213"/>
      <c r="AB369" s="21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</row>
    <row r="370" spans="1:44" x14ac:dyDescent="0.25">
      <c r="A370" s="53"/>
      <c r="B370" s="53"/>
      <c r="C370" s="53"/>
      <c r="D370" s="53"/>
      <c r="E370" s="53"/>
      <c r="F370" s="53"/>
      <c r="G370" s="53"/>
      <c r="H370" s="213"/>
      <c r="I370" s="213"/>
      <c r="J370" s="213"/>
      <c r="K370" s="213"/>
      <c r="L370" s="213"/>
      <c r="M370" s="213"/>
      <c r="N370" s="213"/>
      <c r="O370" s="213"/>
      <c r="P370" s="213"/>
      <c r="Q370" s="213"/>
      <c r="R370" s="213"/>
      <c r="S370" s="213"/>
      <c r="T370" s="213"/>
      <c r="U370" s="213"/>
      <c r="V370" s="213"/>
      <c r="W370" s="213"/>
      <c r="X370" s="213"/>
      <c r="Y370" s="213"/>
      <c r="Z370" s="213"/>
      <c r="AA370" s="213"/>
      <c r="AB370" s="21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</row>
    <row r="371" spans="1:44" x14ac:dyDescent="0.25">
      <c r="A371" s="53"/>
      <c r="B371" s="53"/>
      <c r="C371" s="53"/>
      <c r="D371" s="53"/>
      <c r="E371" s="53"/>
      <c r="F371" s="53"/>
      <c r="G371" s="53"/>
      <c r="H371" s="213"/>
      <c r="I371" s="213"/>
      <c r="J371" s="213"/>
      <c r="K371" s="213"/>
      <c r="L371" s="213"/>
      <c r="M371" s="213"/>
      <c r="N371" s="213"/>
      <c r="O371" s="213"/>
      <c r="P371" s="213"/>
      <c r="Q371" s="213"/>
      <c r="R371" s="213"/>
      <c r="S371" s="213"/>
      <c r="T371" s="213"/>
      <c r="U371" s="213"/>
      <c r="V371" s="213"/>
      <c r="W371" s="213"/>
      <c r="X371" s="213"/>
      <c r="Y371" s="213"/>
      <c r="Z371" s="213"/>
      <c r="AA371" s="213"/>
      <c r="AB371" s="21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</row>
    <row r="372" spans="1:44" ht="45" x14ac:dyDescent="0.25">
      <c r="A372" s="53">
        <v>3</v>
      </c>
      <c r="B372" s="53"/>
      <c r="C372" s="53" t="s">
        <v>298</v>
      </c>
      <c r="D372" s="53"/>
      <c r="E372" s="53"/>
      <c r="F372" s="53">
        <v>13.8</v>
      </c>
      <c r="G372" s="53">
        <v>110400</v>
      </c>
      <c r="H372" s="213"/>
      <c r="I372" s="213"/>
      <c r="J372" s="213"/>
      <c r="K372" s="213"/>
      <c r="L372" s="213"/>
      <c r="M372" s="213"/>
      <c r="N372" s="213"/>
      <c r="O372" s="213"/>
      <c r="P372" s="213"/>
      <c r="Q372" s="213"/>
      <c r="R372" s="213"/>
      <c r="S372" s="213"/>
      <c r="T372" s="213"/>
      <c r="U372" s="213"/>
      <c r="V372" s="213"/>
      <c r="W372" s="213"/>
      <c r="X372" s="213"/>
      <c r="Y372" s="213"/>
      <c r="Z372" s="213"/>
      <c r="AA372" s="213"/>
      <c r="AB372" s="21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</row>
    <row r="373" spans="1:44" x14ac:dyDescent="0.25">
      <c r="A373" s="53"/>
      <c r="B373" s="53"/>
      <c r="C373" s="53"/>
      <c r="D373" s="53"/>
      <c r="E373" s="53"/>
      <c r="F373" s="53"/>
      <c r="G373" s="53"/>
      <c r="H373" s="213" t="s">
        <v>55</v>
      </c>
      <c r="I373" s="213" t="s">
        <v>299</v>
      </c>
      <c r="J373" s="213" t="s">
        <v>63</v>
      </c>
      <c r="K373" s="213" t="s">
        <v>64</v>
      </c>
      <c r="L373" s="213" t="s">
        <v>300</v>
      </c>
      <c r="M373" s="213">
        <v>1717.7270000000001</v>
      </c>
      <c r="N373" s="213" t="s">
        <v>55</v>
      </c>
      <c r="O373" s="213" t="s">
        <v>299</v>
      </c>
      <c r="P373" s="213" t="s">
        <v>63</v>
      </c>
      <c r="Q373" s="213" t="s">
        <v>64</v>
      </c>
      <c r="R373" s="213" t="s">
        <v>300</v>
      </c>
      <c r="S373" s="213">
        <v>1872.14</v>
      </c>
      <c r="T373" s="213"/>
      <c r="U373" s="213"/>
      <c r="V373" s="213"/>
      <c r="W373" s="213"/>
      <c r="X373" s="213"/>
      <c r="Y373" s="213"/>
      <c r="Z373" s="213"/>
      <c r="AA373" s="213"/>
      <c r="AB373" s="21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</row>
    <row r="374" spans="1:44" x14ac:dyDescent="0.25">
      <c r="A374" s="53"/>
      <c r="B374" s="53"/>
      <c r="C374" s="53"/>
      <c r="D374" s="53"/>
      <c r="E374" s="53"/>
      <c r="F374" s="53"/>
      <c r="G374" s="53"/>
      <c r="H374" s="213"/>
      <c r="I374" s="213"/>
      <c r="J374" s="213"/>
      <c r="K374" s="213"/>
      <c r="L374" s="213"/>
      <c r="M374" s="213"/>
      <c r="N374" s="213"/>
      <c r="O374" s="213"/>
      <c r="P374" s="213"/>
      <c r="Q374" s="213"/>
      <c r="R374" s="213"/>
      <c r="S374" s="213"/>
      <c r="T374" s="213"/>
      <c r="U374" s="213"/>
      <c r="V374" s="213"/>
      <c r="W374" s="213"/>
      <c r="X374" s="213"/>
      <c r="Y374" s="213"/>
      <c r="Z374" s="213"/>
      <c r="AA374" s="213"/>
      <c r="AB374" s="21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</row>
    <row r="375" spans="1:44" x14ac:dyDescent="0.25">
      <c r="A375" s="53"/>
      <c r="B375" s="53"/>
      <c r="C375" s="53"/>
      <c r="D375" s="53"/>
      <c r="E375" s="53"/>
      <c r="F375" s="53"/>
      <c r="G375" s="53"/>
      <c r="H375" s="213"/>
      <c r="I375" s="213"/>
      <c r="J375" s="213"/>
      <c r="K375" s="213"/>
      <c r="L375" s="213"/>
      <c r="M375" s="213"/>
      <c r="N375" s="213"/>
      <c r="O375" s="213"/>
      <c r="P375" s="213"/>
      <c r="Q375" s="213"/>
      <c r="R375" s="213"/>
      <c r="S375" s="213"/>
      <c r="T375" s="213"/>
      <c r="U375" s="213"/>
      <c r="V375" s="213"/>
      <c r="W375" s="213"/>
      <c r="X375" s="213"/>
      <c r="Y375" s="213"/>
      <c r="Z375" s="213"/>
      <c r="AA375" s="213"/>
      <c r="AB375" s="21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</row>
    <row r="376" spans="1:44" ht="15" customHeight="1" x14ac:dyDescent="0.25">
      <c r="A376" s="385" t="s">
        <v>17</v>
      </c>
      <c r="B376" s="386"/>
      <c r="C376" s="386"/>
      <c r="D376" s="30"/>
      <c r="E376" s="30"/>
      <c r="F376" s="30"/>
      <c r="G376" s="30"/>
      <c r="H376" s="211"/>
      <c r="I376" s="211"/>
      <c r="J376" s="211"/>
      <c r="K376" s="211"/>
      <c r="L376" s="211"/>
      <c r="M376" s="211"/>
      <c r="N376" s="211"/>
      <c r="O376" s="211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</row>
    <row r="377" spans="1:44" ht="15" customHeight="1" x14ac:dyDescent="0.25">
      <c r="A377" s="387" t="s">
        <v>18</v>
      </c>
      <c r="B377" s="387"/>
      <c r="C377" s="387"/>
      <c r="D377" s="387"/>
      <c r="E377" s="387"/>
      <c r="F377" s="387"/>
      <c r="G377" s="387"/>
      <c r="H377" s="387"/>
      <c r="I377" s="387"/>
      <c r="J377" s="224" t="s">
        <v>7</v>
      </c>
      <c r="K377" s="14"/>
      <c r="L377" s="14" t="s">
        <v>2</v>
      </c>
      <c r="M377" s="14"/>
      <c r="N377" s="25"/>
      <c r="O377" s="15"/>
      <c r="P377" s="224" t="s">
        <v>7</v>
      </c>
      <c r="Q377" s="14"/>
      <c r="R377" s="14" t="s">
        <v>2</v>
      </c>
      <c r="S377" s="14"/>
      <c r="T377" s="25"/>
      <c r="U377" s="15"/>
      <c r="V377" s="224" t="s">
        <v>7</v>
      </c>
      <c r="W377" s="14"/>
      <c r="X377" s="14" t="s">
        <v>2</v>
      </c>
      <c r="Y377" s="14"/>
      <c r="Z377" s="25"/>
      <c r="AA377" s="15"/>
      <c r="AB377" s="224" t="s">
        <v>7</v>
      </c>
      <c r="AC377" s="14"/>
      <c r="AD377" s="14" t="s">
        <v>2</v>
      </c>
      <c r="AE377" s="14"/>
      <c r="AF377" s="25"/>
      <c r="AG377" s="15"/>
      <c r="AH377" s="224" t="s">
        <v>7</v>
      </c>
      <c r="AI377" s="14"/>
      <c r="AJ377" s="14" t="s">
        <v>2</v>
      </c>
      <c r="AK377" s="14"/>
      <c r="AL377" s="25"/>
      <c r="AM377" s="15"/>
      <c r="AN377" s="224" t="s">
        <v>7</v>
      </c>
      <c r="AO377" s="14"/>
      <c r="AP377" s="14" t="s">
        <v>2</v>
      </c>
      <c r="AQ377" s="14"/>
      <c r="AR377" s="14"/>
    </row>
    <row r="378" spans="1:44" x14ac:dyDescent="0.25">
      <c r="A378" s="387"/>
      <c r="B378" s="387"/>
      <c r="C378" s="387"/>
      <c r="D378" s="387"/>
      <c r="E378" s="387"/>
      <c r="F378" s="387"/>
      <c r="G378" s="387"/>
      <c r="H378" s="387"/>
      <c r="I378" s="387"/>
      <c r="J378" s="225"/>
      <c r="K378" s="14"/>
      <c r="L378" s="14" t="s">
        <v>4</v>
      </c>
      <c r="M378" s="14"/>
      <c r="N378" s="22"/>
      <c r="O378" s="16"/>
      <c r="P378" s="225"/>
      <c r="Q378" s="14"/>
      <c r="R378" s="14" t="s">
        <v>4</v>
      </c>
      <c r="S378" s="14"/>
      <c r="T378" s="22"/>
      <c r="U378" s="16"/>
      <c r="V378" s="225"/>
      <c r="W378" s="14"/>
      <c r="X378" s="14" t="s">
        <v>4</v>
      </c>
      <c r="Y378" s="14"/>
      <c r="Z378" s="22"/>
      <c r="AA378" s="16"/>
      <c r="AB378" s="225"/>
      <c r="AC378" s="14"/>
      <c r="AD378" s="14" t="s">
        <v>4</v>
      </c>
      <c r="AE378" s="14"/>
      <c r="AF378" s="22"/>
      <c r="AG378" s="16"/>
      <c r="AH378" s="225"/>
      <c r="AI378" s="14"/>
      <c r="AJ378" s="14" t="s">
        <v>4</v>
      </c>
      <c r="AK378" s="14"/>
      <c r="AL378" s="22"/>
      <c r="AM378" s="16"/>
      <c r="AN378" s="225"/>
      <c r="AO378" s="14"/>
      <c r="AP378" s="14" t="s">
        <v>4</v>
      </c>
      <c r="AQ378" s="14"/>
      <c r="AR378" s="14"/>
    </row>
    <row r="379" spans="1:44" ht="15" customHeight="1" x14ac:dyDescent="0.25">
      <c r="A379" s="387"/>
      <c r="B379" s="387"/>
      <c r="C379" s="387"/>
      <c r="D379" s="387"/>
      <c r="E379" s="387"/>
      <c r="F379" s="387"/>
      <c r="G379" s="387"/>
      <c r="H379" s="387"/>
      <c r="I379" s="387"/>
      <c r="J379" s="224" t="s">
        <v>41</v>
      </c>
      <c r="K379" s="14"/>
      <c r="L379" s="14" t="s">
        <v>2</v>
      </c>
      <c r="M379" s="14"/>
      <c r="N379" s="22"/>
      <c r="O379" s="16"/>
      <c r="P379" s="224" t="s">
        <v>41</v>
      </c>
      <c r="Q379" s="14"/>
      <c r="R379" s="14" t="s">
        <v>2</v>
      </c>
      <c r="S379" s="14"/>
      <c r="T379" s="22"/>
      <c r="U379" s="16"/>
      <c r="V379" s="224" t="s">
        <v>41</v>
      </c>
      <c r="W379" s="14">
        <f>W365+W366</f>
        <v>6.3666999999999998</v>
      </c>
      <c r="X379" s="14" t="s">
        <v>2</v>
      </c>
      <c r="Y379" s="14">
        <f>Y365+Y366</f>
        <v>281011.27299999999</v>
      </c>
      <c r="Z379" s="22"/>
      <c r="AA379" s="16"/>
      <c r="AB379" s="224" t="s">
        <v>41</v>
      </c>
      <c r="AC379" s="14"/>
      <c r="AD379" s="14" t="s">
        <v>2</v>
      </c>
      <c r="AE379" s="14"/>
      <c r="AF379" s="22"/>
      <c r="AG379" s="16"/>
      <c r="AH379" s="224" t="s">
        <v>41</v>
      </c>
      <c r="AI379" s="14"/>
      <c r="AJ379" s="14" t="s">
        <v>2</v>
      </c>
      <c r="AK379" s="14"/>
      <c r="AL379" s="22"/>
      <c r="AM379" s="16"/>
      <c r="AN379" s="224" t="s">
        <v>41</v>
      </c>
      <c r="AO379" s="14"/>
      <c r="AP379" s="14" t="s">
        <v>2</v>
      </c>
      <c r="AQ379" s="14"/>
      <c r="AR379" s="14"/>
    </row>
    <row r="380" spans="1:44" ht="15.75" customHeight="1" x14ac:dyDescent="0.25">
      <c r="A380" s="387"/>
      <c r="B380" s="387"/>
      <c r="C380" s="387"/>
      <c r="D380" s="387"/>
      <c r="E380" s="387"/>
      <c r="F380" s="387"/>
      <c r="G380" s="387"/>
      <c r="H380" s="387"/>
      <c r="I380" s="387"/>
      <c r="J380" s="225"/>
      <c r="K380" s="14"/>
      <c r="L380" s="14" t="s">
        <v>4</v>
      </c>
      <c r="M380" s="14"/>
      <c r="N380" s="22"/>
      <c r="O380" s="16"/>
      <c r="P380" s="225"/>
      <c r="Q380" s="14"/>
      <c r="R380" s="14" t="s">
        <v>4</v>
      </c>
      <c r="S380" s="14"/>
      <c r="T380" s="22"/>
      <c r="U380" s="16"/>
      <c r="V380" s="225"/>
      <c r="W380" s="14">
        <v>50933.599999999999</v>
      </c>
      <c r="X380" s="14" t="s">
        <v>4</v>
      </c>
      <c r="Y380" s="14"/>
      <c r="Z380" s="22"/>
      <c r="AA380" s="16"/>
      <c r="AB380" s="225"/>
      <c r="AC380" s="14"/>
      <c r="AD380" s="14" t="s">
        <v>4</v>
      </c>
      <c r="AE380" s="14"/>
      <c r="AF380" s="22"/>
      <c r="AG380" s="16"/>
      <c r="AH380" s="225"/>
      <c r="AI380" s="14"/>
      <c r="AJ380" s="14" t="s">
        <v>4</v>
      </c>
      <c r="AK380" s="14"/>
      <c r="AL380" s="22"/>
      <c r="AM380" s="16"/>
      <c r="AN380" s="225"/>
      <c r="AO380" s="14"/>
      <c r="AP380" s="14" t="s">
        <v>4</v>
      </c>
      <c r="AQ380" s="14"/>
      <c r="AR380" s="14"/>
    </row>
    <row r="381" spans="1:44" x14ac:dyDescent="0.25">
      <c r="A381" s="387"/>
      <c r="B381" s="387"/>
      <c r="C381" s="387"/>
      <c r="D381" s="387"/>
      <c r="E381" s="387"/>
      <c r="F381" s="387"/>
      <c r="G381" s="387"/>
      <c r="H381" s="387"/>
      <c r="I381" s="387"/>
      <c r="J381" s="224" t="s">
        <v>42</v>
      </c>
      <c r="K381" s="14"/>
      <c r="L381" s="14" t="s">
        <v>2</v>
      </c>
      <c r="M381" s="14"/>
      <c r="N381" s="22"/>
      <c r="O381" s="16"/>
      <c r="P381" s="224" t="s">
        <v>42</v>
      </c>
      <c r="Q381" s="14"/>
      <c r="R381" s="14" t="s">
        <v>2</v>
      </c>
      <c r="S381" s="14"/>
      <c r="T381" s="22"/>
      <c r="U381" s="16"/>
      <c r="V381" s="224" t="s">
        <v>42</v>
      </c>
      <c r="W381" s="14"/>
      <c r="X381" s="14" t="s">
        <v>2</v>
      </c>
      <c r="Y381" s="14"/>
      <c r="Z381" s="22"/>
      <c r="AA381" s="16"/>
      <c r="AB381" s="224" t="s">
        <v>42</v>
      </c>
      <c r="AC381" s="14"/>
      <c r="AD381" s="14" t="s">
        <v>2</v>
      </c>
      <c r="AE381" s="14"/>
      <c r="AF381" s="22"/>
      <c r="AG381" s="16"/>
      <c r="AH381" s="224" t="s">
        <v>42</v>
      </c>
      <c r="AI381" s="14"/>
      <c r="AJ381" s="14" t="s">
        <v>2</v>
      </c>
      <c r="AK381" s="14"/>
      <c r="AL381" s="22"/>
      <c r="AM381" s="16"/>
      <c r="AN381" s="224" t="s">
        <v>42</v>
      </c>
      <c r="AO381" s="14"/>
      <c r="AP381" s="14" t="s">
        <v>2</v>
      </c>
      <c r="AQ381" s="14"/>
      <c r="AR381" s="14"/>
    </row>
    <row r="382" spans="1:44" x14ac:dyDescent="0.25">
      <c r="A382" s="387"/>
      <c r="B382" s="387"/>
      <c r="C382" s="387"/>
      <c r="D382" s="387"/>
      <c r="E382" s="387"/>
      <c r="F382" s="387"/>
      <c r="G382" s="387"/>
      <c r="H382" s="387"/>
      <c r="I382" s="387"/>
      <c r="J382" s="225"/>
      <c r="K382" s="14"/>
      <c r="L382" s="14" t="s">
        <v>4</v>
      </c>
      <c r="M382" s="14"/>
      <c r="N382" s="22"/>
      <c r="O382" s="16"/>
      <c r="P382" s="225"/>
      <c r="Q382" s="14"/>
      <c r="R382" s="14" t="s">
        <v>4</v>
      </c>
      <c r="S382" s="14"/>
      <c r="T382" s="22"/>
      <c r="U382" s="16"/>
      <c r="V382" s="225"/>
      <c r="W382" s="14"/>
      <c r="X382" s="14" t="s">
        <v>4</v>
      </c>
      <c r="Y382" s="14"/>
      <c r="Z382" s="22"/>
      <c r="AA382" s="16"/>
      <c r="AB382" s="225"/>
      <c r="AC382" s="14"/>
      <c r="AD382" s="14" t="s">
        <v>4</v>
      </c>
      <c r="AE382" s="14"/>
      <c r="AF382" s="22"/>
      <c r="AG382" s="16"/>
      <c r="AH382" s="225"/>
      <c r="AI382" s="14"/>
      <c r="AJ382" s="14" t="s">
        <v>4</v>
      </c>
      <c r="AK382" s="14"/>
      <c r="AL382" s="22"/>
      <c r="AM382" s="16"/>
      <c r="AN382" s="225"/>
      <c r="AO382" s="14"/>
      <c r="AP382" s="14" t="s">
        <v>4</v>
      </c>
      <c r="AQ382" s="14"/>
      <c r="AR382" s="14"/>
    </row>
    <row r="383" spans="1:44" x14ac:dyDescent="0.25">
      <c r="A383" s="387"/>
      <c r="B383" s="387"/>
      <c r="C383" s="387"/>
      <c r="D383" s="387"/>
      <c r="E383" s="387"/>
      <c r="F383" s="387"/>
      <c r="G383" s="387"/>
      <c r="H383" s="387"/>
      <c r="I383" s="387"/>
      <c r="J383" s="224" t="s">
        <v>43</v>
      </c>
      <c r="K383" s="14"/>
      <c r="L383" s="14" t="s">
        <v>2</v>
      </c>
      <c r="M383" s="14"/>
      <c r="N383" s="22"/>
      <c r="O383" s="16"/>
      <c r="P383" s="224" t="s">
        <v>43</v>
      </c>
      <c r="Q383" s="14"/>
      <c r="R383" s="14" t="s">
        <v>2</v>
      </c>
      <c r="S383" s="14"/>
      <c r="T383" s="22"/>
      <c r="U383" s="16"/>
      <c r="V383" s="224" t="s">
        <v>43</v>
      </c>
      <c r="W383" s="14"/>
      <c r="X383" s="14" t="s">
        <v>2</v>
      </c>
      <c r="Y383" s="14"/>
      <c r="Z383" s="22"/>
      <c r="AA383" s="16"/>
      <c r="AB383" s="224" t="s">
        <v>43</v>
      </c>
      <c r="AC383" s="14"/>
      <c r="AD383" s="14" t="s">
        <v>2</v>
      </c>
      <c r="AE383" s="14"/>
      <c r="AF383" s="22"/>
      <c r="AG383" s="16"/>
      <c r="AH383" s="224" t="s">
        <v>43</v>
      </c>
      <c r="AI383" s="14"/>
      <c r="AJ383" s="14" t="s">
        <v>2</v>
      </c>
      <c r="AK383" s="14"/>
      <c r="AL383" s="22"/>
      <c r="AM383" s="16"/>
      <c r="AN383" s="224" t="s">
        <v>43</v>
      </c>
      <c r="AO383" s="14"/>
      <c r="AP383" s="14" t="s">
        <v>2</v>
      </c>
      <c r="AQ383" s="14"/>
      <c r="AR383" s="14"/>
    </row>
    <row r="384" spans="1:44" x14ac:dyDescent="0.25">
      <c r="A384" s="387"/>
      <c r="B384" s="387"/>
      <c r="C384" s="387"/>
      <c r="D384" s="387"/>
      <c r="E384" s="387"/>
      <c r="F384" s="387"/>
      <c r="G384" s="387"/>
      <c r="H384" s="387"/>
      <c r="I384" s="387"/>
      <c r="J384" s="225"/>
      <c r="K384" s="14"/>
      <c r="L384" s="14" t="s">
        <v>4</v>
      </c>
      <c r="M384" s="14"/>
      <c r="N384" s="22"/>
      <c r="O384" s="16"/>
      <c r="P384" s="225"/>
      <c r="Q384" s="14"/>
      <c r="R384" s="14" t="s">
        <v>4</v>
      </c>
      <c r="S384" s="14"/>
      <c r="T384" s="22"/>
      <c r="U384" s="16"/>
      <c r="V384" s="225"/>
      <c r="W384" s="14"/>
      <c r="X384" s="14" t="s">
        <v>4</v>
      </c>
      <c r="Y384" s="14"/>
      <c r="Z384" s="22"/>
      <c r="AA384" s="16"/>
      <c r="AB384" s="225"/>
      <c r="AC384" s="14"/>
      <c r="AD384" s="14" t="s">
        <v>4</v>
      </c>
      <c r="AE384" s="14"/>
      <c r="AF384" s="22"/>
      <c r="AG384" s="16"/>
      <c r="AH384" s="225"/>
      <c r="AI384" s="14"/>
      <c r="AJ384" s="14" t="s">
        <v>4</v>
      </c>
      <c r="AK384" s="14"/>
      <c r="AL384" s="22"/>
      <c r="AM384" s="16"/>
      <c r="AN384" s="225"/>
      <c r="AO384" s="14"/>
      <c r="AP384" s="14" t="s">
        <v>4</v>
      </c>
      <c r="AQ384" s="14"/>
      <c r="AR384" s="14"/>
    </row>
    <row r="385" spans="1:44" x14ac:dyDescent="0.25">
      <c r="A385" s="387"/>
      <c r="B385" s="387"/>
      <c r="C385" s="387"/>
      <c r="D385" s="387"/>
      <c r="E385" s="387"/>
      <c r="F385" s="387"/>
      <c r="G385" s="387"/>
      <c r="H385" s="387"/>
      <c r="I385" s="387"/>
      <c r="J385" s="226" t="s">
        <v>8</v>
      </c>
      <c r="K385" s="14">
        <v>27122</v>
      </c>
      <c r="L385" s="14" t="s">
        <v>4</v>
      </c>
      <c r="M385" s="226">
        <f>M367+M369+M373</f>
        <v>8188.7760000000007</v>
      </c>
      <c r="N385" s="22"/>
      <c r="O385" s="16"/>
      <c r="P385" s="226" t="s">
        <v>8</v>
      </c>
      <c r="Q385" s="14">
        <v>27122</v>
      </c>
      <c r="R385" s="14" t="s">
        <v>4</v>
      </c>
      <c r="S385" s="226">
        <f>S367+S369+S373</f>
        <v>8565.9869999999992</v>
      </c>
      <c r="T385" s="22"/>
      <c r="U385" s="16"/>
      <c r="V385" s="224" t="s">
        <v>8</v>
      </c>
      <c r="W385" s="14"/>
      <c r="X385" s="14" t="s">
        <v>4</v>
      </c>
      <c r="Y385" s="226"/>
      <c r="Z385" s="22"/>
      <c r="AA385" s="16"/>
      <c r="AB385" s="226" t="s">
        <v>8</v>
      </c>
      <c r="AC385" s="14"/>
      <c r="AD385" s="14" t="s">
        <v>4</v>
      </c>
      <c r="AE385" s="226"/>
      <c r="AF385" s="22"/>
      <c r="AG385" s="16"/>
      <c r="AH385" s="226" t="s">
        <v>8</v>
      </c>
      <c r="AI385" s="14"/>
      <c r="AJ385" s="14" t="s">
        <v>4</v>
      </c>
      <c r="AK385" s="226"/>
      <c r="AL385" s="22"/>
      <c r="AM385" s="16"/>
      <c r="AN385" s="226" t="s">
        <v>8</v>
      </c>
      <c r="AO385" s="14"/>
      <c r="AP385" s="14" t="s">
        <v>4</v>
      </c>
      <c r="AQ385" s="226"/>
      <c r="AR385" s="226"/>
    </row>
    <row r="386" spans="1:44" x14ac:dyDescent="0.25">
      <c r="A386" s="387"/>
      <c r="B386" s="387"/>
      <c r="C386" s="387"/>
      <c r="D386" s="387"/>
      <c r="E386" s="387"/>
      <c r="F386" s="387"/>
      <c r="G386" s="387"/>
      <c r="H386" s="387"/>
      <c r="I386" s="387"/>
      <c r="J386" s="227"/>
      <c r="K386" s="14">
        <v>68.668000000000006</v>
      </c>
      <c r="L386" s="14" t="s">
        <v>2</v>
      </c>
      <c r="M386" s="227"/>
      <c r="N386" s="22"/>
      <c r="O386" s="16"/>
      <c r="P386" s="227"/>
      <c r="Q386" s="14">
        <v>68.668000000000006</v>
      </c>
      <c r="R386" s="14" t="s">
        <v>2</v>
      </c>
      <c r="S386" s="227"/>
      <c r="T386" s="22"/>
      <c r="U386" s="16"/>
      <c r="V386" s="225"/>
      <c r="W386" s="14"/>
      <c r="X386" s="14" t="s">
        <v>2</v>
      </c>
      <c r="Y386" s="227"/>
      <c r="Z386" s="22"/>
      <c r="AA386" s="16"/>
      <c r="AB386" s="227"/>
      <c r="AC386" s="14"/>
      <c r="AD386" s="14" t="s">
        <v>2</v>
      </c>
      <c r="AE386" s="227"/>
      <c r="AF386" s="22"/>
      <c r="AG386" s="16"/>
      <c r="AH386" s="227"/>
      <c r="AI386" s="14"/>
      <c r="AJ386" s="14" t="s">
        <v>2</v>
      </c>
      <c r="AK386" s="227"/>
      <c r="AL386" s="22"/>
      <c r="AM386" s="16"/>
      <c r="AN386" s="227"/>
      <c r="AO386" s="14"/>
      <c r="AP386" s="14" t="s">
        <v>2</v>
      </c>
      <c r="AQ386" s="227"/>
      <c r="AR386" s="227"/>
    </row>
    <row r="387" spans="1:44" ht="42.75" x14ac:dyDescent="0.25">
      <c r="A387" s="387"/>
      <c r="B387" s="387"/>
      <c r="C387" s="387"/>
      <c r="D387" s="387"/>
      <c r="E387" s="387"/>
      <c r="F387" s="387"/>
      <c r="G387" s="387"/>
      <c r="H387" s="387"/>
      <c r="I387" s="387"/>
      <c r="J387" s="13" t="s">
        <v>9</v>
      </c>
      <c r="K387" s="14"/>
      <c r="L387" s="14" t="s">
        <v>10</v>
      </c>
      <c r="M387" s="14"/>
      <c r="N387" s="22"/>
      <c r="O387" s="16"/>
      <c r="P387" s="13" t="s">
        <v>9</v>
      </c>
      <c r="Q387" s="14"/>
      <c r="R387" s="14" t="s">
        <v>10</v>
      </c>
      <c r="S387" s="14"/>
      <c r="T387" s="22"/>
      <c r="U387" s="16"/>
      <c r="V387" s="13" t="s">
        <v>9</v>
      </c>
      <c r="W387" s="14"/>
      <c r="X387" s="14" t="s">
        <v>10</v>
      </c>
      <c r="Y387" s="14"/>
      <c r="Z387" s="22"/>
      <c r="AA387" s="16"/>
      <c r="AB387" s="13" t="s">
        <v>9</v>
      </c>
      <c r="AC387" s="14"/>
      <c r="AD387" s="14" t="s">
        <v>10</v>
      </c>
      <c r="AE387" s="14"/>
      <c r="AF387" s="22"/>
      <c r="AG387" s="16"/>
      <c r="AH387" s="13" t="s">
        <v>9</v>
      </c>
      <c r="AI387" s="14"/>
      <c r="AJ387" s="14" t="s">
        <v>10</v>
      </c>
      <c r="AK387" s="14"/>
      <c r="AL387" s="22"/>
      <c r="AM387" s="16"/>
      <c r="AN387" s="13" t="s">
        <v>9</v>
      </c>
      <c r="AO387" s="14"/>
      <c r="AP387" s="14" t="s">
        <v>10</v>
      </c>
      <c r="AQ387" s="14"/>
      <c r="AR387" s="14"/>
    </row>
    <row r="388" spans="1:44" ht="28.5" x14ac:dyDescent="0.25">
      <c r="A388" s="387"/>
      <c r="B388" s="387"/>
      <c r="C388" s="387"/>
      <c r="D388" s="387"/>
      <c r="E388" s="387"/>
      <c r="F388" s="387"/>
      <c r="G388" s="387"/>
      <c r="H388" s="387"/>
      <c r="I388" s="387"/>
      <c r="J388" s="13" t="s">
        <v>44</v>
      </c>
      <c r="K388" s="14"/>
      <c r="L388" s="14" t="s">
        <v>10</v>
      </c>
      <c r="M388" s="14"/>
      <c r="N388" s="22"/>
      <c r="O388" s="16"/>
      <c r="P388" s="13" t="s">
        <v>44</v>
      </c>
      <c r="Q388" s="14"/>
      <c r="R388" s="14" t="s">
        <v>10</v>
      </c>
      <c r="S388" s="14"/>
      <c r="T388" s="22"/>
      <c r="U388" s="16"/>
      <c r="V388" s="13" t="s">
        <v>44</v>
      </c>
      <c r="W388" s="14"/>
      <c r="X388" s="14" t="s">
        <v>10</v>
      </c>
      <c r="Y388" s="14"/>
      <c r="Z388" s="22"/>
      <c r="AA388" s="16"/>
      <c r="AB388" s="13" t="s">
        <v>44</v>
      </c>
      <c r="AC388" s="14"/>
      <c r="AD388" s="14" t="s">
        <v>10</v>
      </c>
      <c r="AE388" s="14"/>
      <c r="AF388" s="22"/>
      <c r="AG388" s="16"/>
      <c r="AH388" s="13" t="s">
        <v>44</v>
      </c>
      <c r="AI388" s="14"/>
      <c r="AJ388" s="14" t="s">
        <v>10</v>
      </c>
      <c r="AK388" s="14"/>
      <c r="AL388" s="22"/>
      <c r="AM388" s="16"/>
      <c r="AN388" s="13" t="s">
        <v>44</v>
      </c>
      <c r="AO388" s="14"/>
      <c r="AP388" s="14" t="s">
        <v>10</v>
      </c>
      <c r="AQ388" s="14"/>
      <c r="AR388" s="14"/>
    </row>
    <row r="389" spans="1:44" ht="42.75" x14ac:dyDescent="0.25">
      <c r="A389" s="387"/>
      <c r="B389" s="387"/>
      <c r="C389" s="387"/>
      <c r="D389" s="387"/>
      <c r="E389" s="387"/>
      <c r="F389" s="387"/>
      <c r="G389" s="387"/>
      <c r="H389" s="387"/>
      <c r="I389" s="387"/>
      <c r="J389" s="13" t="s">
        <v>11</v>
      </c>
      <c r="K389" s="14"/>
      <c r="L389" s="14" t="s">
        <v>12</v>
      </c>
      <c r="M389" s="14"/>
      <c r="N389" s="22"/>
      <c r="O389" s="16"/>
      <c r="P389" s="13" t="s">
        <v>11</v>
      </c>
      <c r="Q389" s="14"/>
      <c r="R389" s="14" t="s">
        <v>12</v>
      </c>
      <c r="S389" s="14"/>
      <c r="T389" s="22"/>
      <c r="U389" s="16"/>
      <c r="V389" s="13" t="s">
        <v>11</v>
      </c>
      <c r="W389" s="14"/>
      <c r="X389" s="14" t="s">
        <v>12</v>
      </c>
      <c r="Y389" s="14"/>
      <c r="Z389" s="22"/>
      <c r="AA389" s="16"/>
      <c r="AB389" s="13" t="s">
        <v>11</v>
      </c>
      <c r="AC389" s="14"/>
      <c r="AD389" s="14" t="s">
        <v>12</v>
      </c>
      <c r="AE389" s="14"/>
      <c r="AF389" s="22"/>
      <c r="AG389" s="16"/>
      <c r="AH389" s="13" t="s">
        <v>11</v>
      </c>
      <c r="AI389" s="14"/>
      <c r="AJ389" s="14" t="s">
        <v>12</v>
      </c>
      <c r="AK389" s="14"/>
      <c r="AL389" s="22"/>
      <c r="AM389" s="16"/>
      <c r="AN389" s="13" t="s">
        <v>11</v>
      </c>
      <c r="AO389" s="14"/>
      <c r="AP389" s="14" t="s">
        <v>12</v>
      </c>
      <c r="AQ389" s="14"/>
      <c r="AR389" s="14"/>
    </row>
    <row r="390" spans="1:44" x14ac:dyDescent="0.25">
      <c r="A390" s="387"/>
      <c r="B390" s="387"/>
      <c r="C390" s="387"/>
      <c r="D390" s="387"/>
      <c r="E390" s="387"/>
      <c r="F390" s="387"/>
      <c r="G390" s="387"/>
      <c r="H390" s="387"/>
      <c r="I390" s="387"/>
      <c r="J390" s="13" t="s">
        <v>13</v>
      </c>
      <c r="K390" s="14"/>
      <c r="L390" s="14" t="s">
        <v>4</v>
      </c>
      <c r="M390" s="14"/>
      <c r="N390" s="22"/>
      <c r="O390" s="16"/>
      <c r="P390" s="13" t="s">
        <v>13</v>
      </c>
      <c r="Q390" s="14"/>
      <c r="R390" s="14" t="s">
        <v>4</v>
      </c>
      <c r="S390" s="14"/>
      <c r="T390" s="22"/>
      <c r="U390" s="16"/>
      <c r="V390" s="13" t="s">
        <v>13</v>
      </c>
      <c r="W390" s="14"/>
      <c r="X390" s="14" t="s">
        <v>4</v>
      </c>
      <c r="Y390" s="14"/>
      <c r="Z390" s="22"/>
      <c r="AA390" s="16"/>
      <c r="AB390" s="13" t="s">
        <v>13</v>
      </c>
      <c r="AC390" s="14"/>
      <c r="AD390" s="14" t="s">
        <v>4</v>
      </c>
      <c r="AE390" s="14"/>
      <c r="AF390" s="22"/>
      <c r="AG390" s="16"/>
      <c r="AH390" s="13" t="s">
        <v>13</v>
      </c>
      <c r="AI390" s="14"/>
      <c r="AJ390" s="14" t="s">
        <v>4</v>
      </c>
      <c r="AK390" s="14"/>
      <c r="AL390" s="22"/>
      <c r="AM390" s="16"/>
      <c r="AN390" s="13" t="s">
        <v>13</v>
      </c>
      <c r="AO390" s="14"/>
      <c r="AP390" s="14" t="s">
        <v>4</v>
      </c>
      <c r="AQ390" s="14"/>
      <c r="AR390" s="14"/>
    </row>
    <row r="391" spans="1:44" ht="28.5" x14ac:dyDescent="0.25">
      <c r="A391" s="387"/>
      <c r="B391" s="387"/>
      <c r="C391" s="387"/>
      <c r="D391" s="387"/>
      <c r="E391" s="387"/>
      <c r="F391" s="387"/>
      <c r="G391" s="387"/>
      <c r="H391" s="387"/>
      <c r="I391" s="387"/>
      <c r="J391" s="13" t="s">
        <v>14</v>
      </c>
      <c r="K391" s="14"/>
      <c r="L391" s="14"/>
      <c r="M391" s="14"/>
      <c r="N391" s="22"/>
      <c r="O391" s="16"/>
      <c r="P391" s="13" t="s">
        <v>14</v>
      </c>
      <c r="Q391" s="14"/>
      <c r="R391" s="14"/>
      <c r="S391" s="14"/>
      <c r="T391" s="22"/>
      <c r="U391" s="16"/>
      <c r="V391" s="13" t="s">
        <v>14</v>
      </c>
      <c r="W391" s="14"/>
      <c r="X391" s="14"/>
      <c r="Y391" s="14"/>
      <c r="Z391" s="22"/>
      <c r="AA391" s="16"/>
      <c r="AB391" s="13" t="s">
        <v>14</v>
      </c>
      <c r="AC391" s="14"/>
      <c r="AD391" s="14"/>
      <c r="AE391" s="14"/>
      <c r="AF391" s="22"/>
      <c r="AG391" s="16"/>
      <c r="AH391" s="13" t="s">
        <v>14</v>
      </c>
      <c r="AI391" s="14"/>
      <c r="AJ391" s="14"/>
      <c r="AK391" s="14"/>
      <c r="AL391" s="22"/>
      <c r="AM391" s="16"/>
      <c r="AN391" s="13" t="s">
        <v>14</v>
      </c>
      <c r="AO391" s="14"/>
      <c r="AP391" s="14"/>
      <c r="AQ391" s="14"/>
      <c r="AR391" s="14"/>
    </row>
    <row r="392" spans="1:44" ht="42.75" x14ac:dyDescent="0.25">
      <c r="A392" s="387"/>
      <c r="B392" s="387"/>
      <c r="C392" s="387"/>
      <c r="D392" s="387"/>
      <c r="E392" s="387"/>
      <c r="F392" s="387"/>
      <c r="G392" s="387"/>
      <c r="H392" s="387"/>
      <c r="I392" s="387"/>
      <c r="J392" s="13" t="s">
        <v>46</v>
      </c>
      <c r="K392" s="14"/>
      <c r="L392" s="14" t="s">
        <v>12</v>
      </c>
      <c r="M392" s="14"/>
      <c r="N392" s="22"/>
      <c r="O392" s="21"/>
      <c r="P392" s="13" t="s">
        <v>46</v>
      </c>
      <c r="Q392" s="14"/>
      <c r="R392" s="14" t="s">
        <v>12</v>
      </c>
      <c r="S392" s="14"/>
      <c r="T392" s="22"/>
      <c r="U392" s="21"/>
      <c r="V392" s="13" t="s">
        <v>46</v>
      </c>
      <c r="W392" s="14"/>
      <c r="X392" s="14" t="s">
        <v>12</v>
      </c>
      <c r="Y392" s="14"/>
      <c r="Z392" s="22"/>
      <c r="AA392" s="21"/>
      <c r="AB392" s="13" t="s">
        <v>46</v>
      </c>
      <c r="AC392" s="14"/>
      <c r="AD392" s="14" t="s">
        <v>12</v>
      </c>
      <c r="AE392" s="14"/>
      <c r="AF392" s="22"/>
      <c r="AG392" s="21"/>
      <c r="AH392" s="13" t="s">
        <v>46</v>
      </c>
      <c r="AI392" s="14"/>
      <c r="AJ392" s="14" t="s">
        <v>12</v>
      </c>
      <c r="AK392" s="14"/>
      <c r="AL392" s="22"/>
      <c r="AM392" s="21"/>
      <c r="AN392" s="13" t="s">
        <v>46</v>
      </c>
      <c r="AO392" s="14"/>
      <c r="AP392" s="14" t="s">
        <v>12</v>
      </c>
      <c r="AQ392" s="14"/>
      <c r="AR392" s="14"/>
    </row>
    <row r="393" spans="1:44" x14ac:dyDescent="0.25">
      <c r="A393" s="387"/>
      <c r="B393" s="387"/>
      <c r="C393" s="387"/>
      <c r="D393" s="387"/>
      <c r="E393" s="387"/>
      <c r="F393" s="387"/>
      <c r="G393" s="387"/>
      <c r="H393" s="387"/>
      <c r="I393" s="387"/>
      <c r="J393" s="13" t="s">
        <v>45</v>
      </c>
      <c r="K393" s="14"/>
      <c r="L393" s="14"/>
      <c r="M393" s="14"/>
      <c r="N393" s="22"/>
      <c r="O393" s="21"/>
      <c r="P393" s="13" t="s">
        <v>45</v>
      </c>
      <c r="Q393" s="14"/>
      <c r="R393" s="14"/>
      <c r="S393" s="14"/>
      <c r="T393" s="22"/>
      <c r="U393" s="21"/>
      <c r="V393" s="13" t="s">
        <v>45</v>
      </c>
      <c r="W393" s="14"/>
      <c r="X393" s="14"/>
      <c r="Y393" s="14"/>
      <c r="Z393" s="22"/>
      <c r="AA393" s="21"/>
      <c r="AB393" s="13" t="s">
        <v>45</v>
      </c>
      <c r="AC393" s="14"/>
      <c r="AD393" s="14"/>
      <c r="AE393" s="14"/>
      <c r="AF393" s="22"/>
      <c r="AG393" s="21"/>
      <c r="AH393" s="13" t="s">
        <v>45</v>
      </c>
      <c r="AI393" s="14"/>
      <c r="AJ393" s="14"/>
      <c r="AK393" s="14"/>
      <c r="AL393" s="22"/>
      <c r="AM393" s="21"/>
      <c r="AN393" s="13" t="s">
        <v>45</v>
      </c>
      <c r="AO393" s="14"/>
      <c r="AP393" s="14"/>
      <c r="AQ393" s="14"/>
      <c r="AR393" s="14"/>
    </row>
    <row r="394" spans="1:44" x14ac:dyDescent="0.25">
      <c r="A394" s="382" t="s">
        <v>19</v>
      </c>
      <c r="B394" s="383"/>
      <c r="C394" s="383"/>
      <c r="D394" s="383"/>
      <c r="E394" s="383"/>
      <c r="F394" s="383"/>
      <c r="G394" s="383"/>
      <c r="H394" s="383"/>
      <c r="I394" s="383"/>
      <c r="J394" s="383"/>
      <c r="K394" s="383"/>
      <c r="L394" s="383"/>
      <c r="M394" s="383"/>
      <c r="N394" s="383"/>
      <c r="O394" s="383"/>
      <c r="P394" s="383"/>
      <c r="Q394" s="383"/>
      <c r="R394" s="384"/>
      <c r="S394" s="102"/>
      <c r="T394" s="111"/>
      <c r="U394" s="111"/>
      <c r="V394" s="111"/>
      <c r="W394" s="111"/>
      <c r="X394" s="111"/>
      <c r="Y394" s="111"/>
      <c r="Z394" s="111"/>
      <c r="AA394" s="111"/>
      <c r="AB394" s="111"/>
      <c r="AC394" s="111"/>
      <c r="AD394" s="111"/>
      <c r="AE394" s="111"/>
      <c r="AF394" s="111"/>
      <c r="AG394" s="111"/>
      <c r="AH394" s="111"/>
      <c r="AI394" s="111"/>
      <c r="AJ394" s="111"/>
      <c r="AK394" s="111"/>
      <c r="AL394" s="111"/>
      <c r="AM394" s="111"/>
      <c r="AN394" s="111"/>
      <c r="AO394" s="111"/>
      <c r="AP394" s="111"/>
      <c r="AQ394" s="111"/>
      <c r="AR394" s="111"/>
    </row>
    <row r="395" spans="1:44" x14ac:dyDescent="0.25">
      <c r="A395" s="36">
        <v>1</v>
      </c>
      <c r="B395" s="37" t="s">
        <v>65</v>
      </c>
      <c r="C395" s="36" t="s">
        <v>66</v>
      </c>
      <c r="D395" s="38">
        <v>2.8540000000000001</v>
      </c>
      <c r="E395" s="39"/>
      <c r="F395" s="40">
        <f>D395</f>
        <v>2.8540000000000001</v>
      </c>
      <c r="G395" s="40"/>
      <c r="H395" s="40"/>
      <c r="I395" s="40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93"/>
      <c r="U395" s="36"/>
      <c r="V395" s="36"/>
      <c r="W395" s="36"/>
      <c r="X395" s="36"/>
      <c r="Y395" s="41"/>
      <c r="Z395" s="36"/>
      <c r="AA395" s="36"/>
      <c r="AB395" s="36"/>
      <c r="AC395" s="36"/>
      <c r="AD395" s="36"/>
      <c r="AE395" s="36"/>
      <c r="AF395" s="36" t="s">
        <v>55</v>
      </c>
      <c r="AG395" s="36" t="s">
        <v>266</v>
      </c>
      <c r="AH395" s="36" t="s">
        <v>54</v>
      </c>
      <c r="AI395" s="36">
        <v>2.8540000000000001</v>
      </c>
      <c r="AJ395" s="36" t="s">
        <v>2</v>
      </c>
      <c r="AK395" s="41">
        <f t="shared" ref="AK395" si="53">AI395*12.567*1000</f>
        <v>35866.218000000001</v>
      </c>
      <c r="AL395" s="36"/>
      <c r="AM395" s="36"/>
      <c r="AN395" s="36"/>
      <c r="AO395" s="36"/>
      <c r="AP395" s="36"/>
      <c r="AQ395" s="41"/>
      <c r="AR395" s="95"/>
    </row>
    <row r="396" spans="1:44" x14ac:dyDescent="0.25">
      <c r="A396" s="36">
        <v>2</v>
      </c>
      <c r="B396" s="37" t="s">
        <v>67</v>
      </c>
      <c r="C396" s="36" t="s">
        <v>68</v>
      </c>
      <c r="D396" s="38">
        <v>14</v>
      </c>
      <c r="E396" s="39"/>
      <c r="F396" s="40">
        <f>D396</f>
        <v>14</v>
      </c>
      <c r="G396" s="40"/>
      <c r="H396" s="40"/>
      <c r="I396" s="40"/>
      <c r="J396" s="36"/>
      <c r="K396" s="36"/>
      <c r="L396" s="36"/>
      <c r="M396" s="36"/>
      <c r="N396" s="36" t="s">
        <v>55</v>
      </c>
      <c r="O396" s="36" t="s">
        <v>57</v>
      </c>
      <c r="P396" s="36" t="s">
        <v>54</v>
      </c>
      <c r="Q396" s="36">
        <v>7</v>
      </c>
      <c r="R396" s="36" t="s">
        <v>2</v>
      </c>
      <c r="S396" s="41">
        <f>Q396*12.567*1000</f>
        <v>87969</v>
      </c>
      <c r="T396" s="93" t="s">
        <v>57</v>
      </c>
      <c r="U396" s="36" t="s">
        <v>265</v>
      </c>
      <c r="V396" s="36" t="s">
        <v>54</v>
      </c>
      <c r="W396" s="36">
        <v>7</v>
      </c>
      <c r="X396" s="36" t="s">
        <v>2</v>
      </c>
      <c r="Y396" s="41">
        <f t="shared" ref="Y396" si="54">W396*12.567*1000</f>
        <v>87969</v>
      </c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41"/>
      <c r="AR396" s="95"/>
    </row>
    <row r="397" spans="1:44" x14ac:dyDescent="0.25">
      <c r="A397" s="36">
        <v>3</v>
      </c>
      <c r="B397" s="37" t="s">
        <v>74</v>
      </c>
      <c r="C397" s="36" t="s">
        <v>75</v>
      </c>
      <c r="D397" s="38">
        <v>9.125</v>
      </c>
      <c r="E397" s="39"/>
      <c r="F397" s="40">
        <f>D397</f>
        <v>9.125</v>
      </c>
      <c r="G397" s="40"/>
      <c r="H397" s="40"/>
      <c r="I397" s="40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93"/>
      <c r="U397" s="36"/>
      <c r="V397" s="36"/>
      <c r="W397" s="36"/>
      <c r="X397" s="36"/>
      <c r="Y397" s="41"/>
      <c r="Z397" s="36" t="s">
        <v>55</v>
      </c>
      <c r="AA397" s="36" t="s">
        <v>267</v>
      </c>
      <c r="AB397" s="36" t="s">
        <v>54</v>
      </c>
      <c r="AC397" s="36">
        <v>9.125</v>
      </c>
      <c r="AD397" s="36" t="s">
        <v>2</v>
      </c>
      <c r="AE397" s="41">
        <f t="shared" ref="AE397" si="55">AC397*12.567*1000</f>
        <v>114673.875</v>
      </c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41"/>
      <c r="AR397" s="95"/>
    </row>
    <row r="398" spans="1:44" x14ac:dyDescent="0.25">
      <c r="A398" s="388" t="s">
        <v>51</v>
      </c>
      <c r="B398" s="389"/>
      <c r="C398" s="390"/>
      <c r="D398" s="138"/>
      <c r="E398" s="138"/>
      <c r="F398" s="138"/>
      <c r="G398" s="138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>
        <f>Q396</f>
        <v>7</v>
      </c>
      <c r="R398" s="138" t="s">
        <v>2</v>
      </c>
      <c r="S398" s="140">
        <f>S396</f>
        <v>87969</v>
      </c>
      <c r="T398" s="138"/>
      <c r="U398" s="138"/>
      <c r="V398" s="138"/>
      <c r="W398" s="138">
        <f>W396</f>
        <v>7</v>
      </c>
      <c r="X398" s="138" t="s">
        <v>2</v>
      </c>
      <c r="Y398" s="138">
        <f>Y396</f>
        <v>87969</v>
      </c>
      <c r="Z398" s="138"/>
      <c r="AA398" s="138"/>
      <c r="AB398" s="138"/>
      <c r="AC398" s="138">
        <f>AC397</f>
        <v>9.125</v>
      </c>
      <c r="AD398" s="138" t="s">
        <v>2</v>
      </c>
      <c r="AE398" s="138">
        <f>AE397</f>
        <v>114673.875</v>
      </c>
      <c r="AF398" s="138"/>
      <c r="AG398" s="138"/>
      <c r="AH398" s="138"/>
      <c r="AI398" s="138">
        <f>AI395</f>
        <v>2.8540000000000001</v>
      </c>
      <c r="AJ398" s="138" t="s">
        <v>2</v>
      </c>
      <c r="AK398" s="138">
        <f>AK395</f>
        <v>35866.218000000001</v>
      </c>
      <c r="AL398" s="138"/>
      <c r="AM398" s="138"/>
      <c r="AN398" s="138"/>
      <c r="AO398" s="138"/>
      <c r="AP398" s="138"/>
      <c r="AQ398" s="138"/>
      <c r="AR398" s="138"/>
    </row>
    <row r="399" spans="1:44" x14ac:dyDescent="0.25">
      <c r="A399" s="391" t="s">
        <v>20</v>
      </c>
      <c r="B399" s="392"/>
      <c r="C399" s="392"/>
      <c r="D399" s="392"/>
      <c r="E399" s="392"/>
      <c r="F399" s="392"/>
      <c r="G399" s="392"/>
      <c r="H399" s="392"/>
      <c r="I399" s="393"/>
      <c r="J399" s="400" t="s">
        <v>7</v>
      </c>
      <c r="K399" s="134"/>
      <c r="L399" s="134" t="s">
        <v>2</v>
      </c>
      <c r="M399" s="134"/>
      <c r="N399" s="141"/>
      <c r="O399" s="142"/>
      <c r="P399" s="400" t="s">
        <v>7</v>
      </c>
      <c r="Q399" s="134">
        <f>Q396</f>
        <v>7</v>
      </c>
      <c r="R399" s="134" t="s">
        <v>2</v>
      </c>
      <c r="S399" s="143">
        <f>S396</f>
        <v>87969</v>
      </c>
      <c r="T399" s="141"/>
      <c r="U399" s="142"/>
      <c r="V399" s="400" t="s">
        <v>7</v>
      </c>
      <c r="W399" s="134">
        <f>W396</f>
        <v>7</v>
      </c>
      <c r="X399" s="134" t="s">
        <v>2</v>
      </c>
      <c r="Y399" s="134">
        <f>Y396</f>
        <v>87969</v>
      </c>
      <c r="Z399" s="141"/>
      <c r="AA399" s="142"/>
      <c r="AB399" s="400" t="s">
        <v>7</v>
      </c>
      <c r="AC399" s="134">
        <f>AC397</f>
        <v>9.125</v>
      </c>
      <c r="AD399" s="134" t="s">
        <v>2</v>
      </c>
      <c r="AE399" s="134">
        <f>AE397</f>
        <v>114673.875</v>
      </c>
      <c r="AF399" s="141"/>
      <c r="AG399" s="142"/>
      <c r="AH399" s="400" t="s">
        <v>7</v>
      </c>
      <c r="AI399" s="134">
        <f>AI395</f>
        <v>2.8540000000000001</v>
      </c>
      <c r="AJ399" s="134" t="s">
        <v>2</v>
      </c>
      <c r="AK399" s="134">
        <f>AK395</f>
        <v>35866.218000000001</v>
      </c>
      <c r="AL399" s="141"/>
      <c r="AM399" s="142"/>
      <c r="AN399" s="400" t="s">
        <v>7</v>
      </c>
      <c r="AO399" s="134"/>
      <c r="AP399" s="134" t="s">
        <v>2</v>
      </c>
      <c r="AQ399" s="134"/>
      <c r="AR399" s="134"/>
    </row>
    <row r="400" spans="1:44" x14ac:dyDescent="0.25">
      <c r="A400" s="394"/>
      <c r="B400" s="395"/>
      <c r="C400" s="395"/>
      <c r="D400" s="395"/>
      <c r="E400" s="395"/>
      <c r="F400" s="395"/>
      <c r="G400" s="395"/>
      <c r="H400" s="395"/>
      <c r="I400" s="396"/>
      <c r="J400" s="401"/>
      <c r="K400" s="134"/>
      <c r="L400" s="134" t="s">
        <v>4</v>
      </c>
      <c r="M400" s="134"/>
      <c r="N400" s="144"/>
      <c r="O400" s="145"/>
      <c r="P400" s="401"/>
      <c r="Q400" s="134"/>
      <c r="R400" s="134" t="s">
        <v>4</v>
      </c>
      <c r="S400" s="143"/>
      <c r="T400" s="144"/>
      <c r="U400" s="145"/>
      <c r="V400" s="401"/>
      <c r="W400" s="134"/>
      <c r="X400" s="134" t="s">
        <v>4</v>
      </c>
      <c r="Y400" s="134"/>
      <c r="Z400" s="144"/>
      <c r="AA400" s="145"/>
      <c r="AB400" s="401"/>
      <c r="AC400" s="134"/>
      <c r="AD400" s="134" t="s">
        <v>4</v>
      </c>
      <c r="AE400" s="134"/>
      <c r="AF400" s="144"/>
      <c r="AG400" s="145"/>
      <c r="AH400" s="401"/>
      <c r="AI400" s="134"/>
      <c r="AJ400" s="134" t="s">
        <v>4</v>
      </c>
      <c r="AK400" s="134"/>
      <c r="AL400" s="144"/>
      <c r="AM400" s="145"/>
      <c r="AN400" s="401"/>
      <c r="AO400" s="134"/>
      <c r="AP400" s="134" t="s">
        <v>4</v>
      </c>
      <c r="AQ400" s="134"/>
      <c r="AR400" s="134"/>
    </row>
    <row r="401" spans="1:44" x14ac:dyDescent="0.25">
      <c r="A401" s="394"/>
      <c r="B401" s="395"/>
      <c r="C401" s="395"/>
      <c r="D401" s="395"/>
      <c r="E401" s="395"/>
      <c r="F401" s="395"/>
      <c r="G401" s="395"/>
      <c r="H401" s="395"/>
      <c r="I401" s="396"/>
      <c r="J401" s="400" t="s">
        <v>41</v>
      </c>
      <c r="K401" s="134"/>
      <c r="L401" s="134" t="s">
        <v>2</v>
      </c>
      <c r="M401" s="134"/>
      <c r="N401" s="144"/>
      <c r="O401" s="145"/>
      <c r="P401" s="400" t="s">
        <v>41</v>
      </c>
      <c r="Q401" s="134"/>
      <c r="R401" s="134" t="s">
        <v>2</v>
      </c>
      <c r="S401" s="143"/>
      <c r="T401" s="144"/>
      <c r="U401" s="145"/>
      <c r="V401" s="400" t="s">
        <v>41</v>
      </c>
      <c r="W401" s="134"/>
      <c r="X401" s="134" t="s">
        <v>2</v>
      </c>
      <c r="Y401" s="134"/>
      <c r="Z401" s="144"/>
      <c r="AA401" s="145"/>
      <c r="AB401" s="400" t="s">
        <v>41</v>
      </c>
      <c r="AC401" s="134"/>
      <c r="AD401" s="134" t="s">
        <v>2</v>
      </c>
      <c r="AE401" s="134"/>
      <c r="AF401" s="144"/>
      <c r="AG401" s="145"/>
      <c r="AH401" s="400" t="s">
        <v>41</v>
      </c>
      <c r="AI401" s="134"/>
      <c r="AJ401" s="134" t="s">
        <v>2</v>
      </c>
      <c r="AK401" s="134"/>
      <c r="AL401" s="144"/>
      <c r="AM401" s="145"/>
      <c r="AN401" s="400" t="s">
        <v>41</v>
      </c>
      <c r="AO401" s="134"/>
      <c r="AP401" s="134" t="s">
        <v>2</v>
      </c>
      <c r="AQ401" s="134"/>
      <c r="AR401" s="134"/>
    </row>
    <row r="402" spans="1:44" x14ac:dyDescent="0.25">
      <c r="A402" s="394"/>
      <c r="B402" s="395"/>
      <c r="C402" s="395"/>
      <c r="D402" s="395"/>
      <c r="E402" s="395"/>
      <c r="F402" s="395"/>
      <c r="G402" s="395"/>
      <c r="H402" s="395"/>
      <c r="I402" s="396"/>
      <c r="J402" s="401"/>
      <c r="K402" s="134"/>
      <c r="L402" s="134" t="s">
        <v>4</v>
      </c>
      <c r="M402" s="134"/>
      <c r="N402" s="144"/>
      <c r="O402" s="145"/>
      <c r="P402" s="401"/>
      <c r="Q402" s="134"/>
      <c r="R402" s="134" t="s">
        <v>4</v>
      </c>
      <c r="S402" s="143"/>
      <c r="T402" s="144"/>
      <c r="U402" s="145"/>
      <c r="V402" s="401"/>
      <c r="W402" s="134"/>
      <c r="X402" s="134" t="s">
        <v>4</v>
      </c>
      <c r="Y402" s="134"/>
      <c r="Z402" s="144"/>
      <c r="AA402" s="145"/>
      <c r="AB402" s="401"/>
      <c r="AC402" s="134"/>
      <c r="AD402" s="134" t="s">
        <v>4</v>
      </c>
      <c r="AE402" s="134"/>
      <c r="AF402" s="144"/>
      <c r="AG402" s="145"/>
      <c r="AH402" s="401"/>
      <c r="AI402" s="134"/>
      <c r="AJ402" s="134" t="s">
        <v>4</v>
      </c>
      <c r="AK402" s="134"/>
      <c r="AL402" s="144"/>
      <c r="AM402" s="145"/>
      <c r="AN402" s="401"/>
      <c r="AO402" s="134"/>
      <c r="AP402" s="134" t="s">
        <v>4</v>
      </c>
      <c r="AQ402" s="134"/>
      <c r="AR402" s="134"/>
    </row>
    <row r="403" spans="1:44" x14ac:dyDescent="0.25">
      <c r="A403" s="394"/>
      <c r="B403" s="395"/>
      <c r="C403" s="395"/>
      <c r="D403" s="395"/>
      <c r="E403" s="395"/>
      <c r="F403" s="395"/>
      <c r="G403" s="395"/>
      <c r="H403" s="395"/>
      <c r="I403" s="396"/>
      <c r="J403" s="400" t="s">
        <v>42</v>
      </c>
      <c r="K403" s="134"/>
      <c r="L403" s="134" t="s">
        <v>2</v>
      </c>
      <c r="M403" s="134"/>
      <c r="N403" s="144"/>
      <c r="O403" s="145"/>
      <c r="P403" s="400" t="s">
        <v>42</v>
      </c>
      <c r="Q403" s="134"/>
      <c r="R403" s="134" t="s">
        <v>2</v>
      </c>
      <c r="S403" s="143"/>
      <c r="T403" s="144"/>
      <c r="U403" s="145"/>
      <c r="V403" s="400" t="s">
        <v>42</v>
      </c>
      <c r="W403" s="134"/>
      <c r="X403" s="134" t="s">
        <v>2</v>
      </c>
      <c r="Y403" s="134"/>
      <c r="Z403" s="144"/>
      <c r="AA403" s="145"/>
      <c r="AB403" s="400" t="s">
        <v>42</v>
      </c>
      <c r="AC403" s="134"/>
      <c r="AD403" s="134" t="s">
        <v>2</v>
      </c>
      <c r="AE403" s="134"/>
      <c r="AF403" s="144"/>
      <c r="AG403" s="145"/>
      <c r="AH403" s="400" t="s">
        <v>42</v>
      </c>
      <c r="AI403" s="134"/>
      <c r="AJ403" s="134" t="s">
        <v>2</v>
      </c>
      <c r="AK403" s="134"/>
      <c r="AL403" s="144"/>
      <c r="AM403" s="145"/>
      <c r="AN403" s="400" t="s">
        <v>42</v>
      </c>
      <c r="AO403" s="134"/>
      <c r="AP403" s="134" t="s">
        <v>2</v>
      </c>
      <c r="AQ403" s="134"/>
      <c r="AR403" s="134"/>
    </row>
    <row r="404" spans="1:44" x14ac:dyDescent="0.25">
      <c r="A404" s="394"/>
      <c r="B404" s="395"/>
      <c r="C404" s="395"/>
      <c r="D404" s="395"/>
      <c r="E404" s="395"/>
      <c r="F404" s="395"/>
      <c r="G404" s="395"/>
      <c r="H404" s="395"/>
      <c r="I404" s="396"/>
      <c r="J404" s="401"/>
      <c r="K404" s="134"/>
      <c r="L404" s="134" t="s">
        <v>4</v>
      </c>
      <c r="M404" s="134"/>
      <c r="N404" s="144"/>
      <c r="O404" s="145"/>
      <c r="P404" s="401"/>
      <c r="Q404" s="134"/>
      <c r="R404" s="134" t="s">
        <v>4</v>
      </c>
      <c r="S404" s="143"/>
      <c r="T404" s="144"/>
      <c r="U404" s="145"/>
      <c r="V404" s="401"/>
      <c r="W404" s="134"/>
      <c r="X404" s="134" t="s">
        <v>4</v>
      </c>
      <c r="Y404" s="134"/>
      <c r="Z404" s="144"/>
      <c r="AA404" s="145"/>
      <c r="AB404" s="401"/>
      <c r="AC404" s="134"/>
      <c r="AD404" s="134" t="s">
        <v>4</v>
      </c>
      <c r="AE404" s="134"/>
      <c r="AF404" s="144"/>
      <c r="AG404" s="145"/>
      <c r="AH404" s="401"/>
      <c r="AI404" s="134"/>
      <c r="AJ404" s="134" t="s">
        <v>4</v>
      </c>
      <c r="AK404" s="134"/>
      <c r="AL404" s="144"/>
      <c r="AM404" s="145"/>
      <c r="AN404" s="401"/>
      <c r="AO404" s="134"/>
      <c r="AP404" s="134" t="s">
        <v>4</v>
      </c>
      <c r="AQ404" s="134"/>
      <c r="AR404" s="134"/>
    </row>
    <row r="405" spans="1:44" x14ac:dyDescent="0.25">
      <c r="A405" s="394"/>
      <c r="B405" s="395"/>
      <c r="C405" s="395"/>
      <c r="D405" s="395"/>
      <c r="E405" s="395"/>
      <c r="F405" s="395"/>
      <c r="G405" s="395"/>
      <c r="H405" s="395"/>
      <c r="I405" s="396"/>
      <c r="J405" s="400" t="s">
        <v>43</v>
      </c>
      <c r="K405" s="134"/>
      <c r="L405" s="134" t="s">
        <v>2</v>
      </c>
      <c r="M405" s="134"/>
      <c r="N405" s="144"/>
      <c r="O405" s="145"/>
      <c r="P405" s="400" t="s">
        <v>43</v>
      </c>
      <c r="Q405" s="134"/>
      <c r="R405" s="134" t="s">
        <v>2</v>
      </c>
      <c r="S405" s="143"/>
      <c r="T405" s="144"/>
      <c r="U405" s="145"/>
      <c r="V405" s="400" t="s">
        <v>43</v>
      </c>
      <c r="W405" s="134"/>
      <c r="X405" s="134" t="s">
        <v>2</v>
      </c>
      <c r="Y405" s="134"/>
      <c r="Z405" s="144"/>
      <c r="AA405" s="145"/>
      <c r="AB405" s="400" t="s">
        <v>43</v>
      </c>
      <c r="AC405" s="134"/>
      <c r="AD405" s="134" t="s">
        <v>2</v>
      </c>
      <c r="AE405" s="134"/>
      <c r="AF405" s="144"/>
      <c r="AG405" s="145"/>
      <c r="AH405" s="400" t="s">
        <v>43</v>
      </c>
      <c r="AI405" s="134"/>
      <c r="AJ405" s="134" t="s">
        <v>2</v>
      </c>
      <c r="AK405" s="134"/>
      <c r="AL405" s="144"/>
      <c r="AM405" s="145"/>
      <c r="AN405" s="400" t="s">
        <v>43</v>
      </c>
      <c r="AO405" s="134"/>
      <c r="AP405" s="134" t="s">
        <v>2</v>
      </c>
      <c r="AQ405" s="134"/>
      <c r="AR405" s="134"/>
    </row>
    <row r="406" spans="1:44" x14ac:dyDescent="0.25">
      <c r="A406" s="394"/>
      <c r="B406" s="395"/>
      <c r="C406" s="395"/>
      <c r="D406" s="395"/>
      <c r="E406" s="395"/>
      <c r="F406" s="395"/>
      <c r="G406" s="395"/>
      <c r="H406" s="395"/>
      <c r="I406" s="396"/>
      <c r="J406" s="401"/>
      <c r="K406" s="134"/>
      <c r="L406" s="134" t="s">
        <v>4</v>
      </c>
      <c r="M406" s="134"/>
      <c r="N406" s="144"/>
      <c r="O406" s="145"/>
      <c r="P406" s="401"/>
      <c r="Q406" s="134"/>
      <c r="R406" s="134" t="s">
        <v>4</v>
      </c>
      <c r="S406" s="143"/>
      <c r="T406" s="144"/>
      <c r="U406" s="145"/>
      <c r="V406" s="401"/>
      <c r="W406" s="134"/>
      <c r="X406" s="134" t="s">
        <v>4</v>
      </c>
      <c r="Y406" s="134"/>
      <c r="Z406" s="144"/>
      <c r="AA406" s="145"/>
      <c r="AB406" s="401"/>
      <c r="AC406" s="134"/>
      <c r="AD406" s="134" t="s">
        <v>4</v>
      </c>
      <c r="AE406" s="134"/>
      <c r="AF406" s="144"/>
      <c r="AG406" s="145"/>
      <c r="AH406" s="401"/>
      <c r="AI406" s="134"/>
      <c r="AJ406" s="134" t="s">
        <v>4</v>
      </c>
      <c r="AK406" s="134"/>
      <c r="AL406" s="144"/>
      <c r="AM406" s="145"/>
      <c r="AN406" s="401"/>
      <c r="AO406" s="134"/>
      <c r="AP406" s="134" t="s">
        <v>4</v>
      </c>
      <c r="AQ406" s="134"/>
      <c r="AR406" s="134"/>
    </row>
    <row r="407" spans="1:44" x14ac:dyDescent="0.25">
      <c r="A407" s="394"/>
      <c r="B407" s="395"/>
      <c r="C407" s="395"/>
      <c r="D407" s="395"/>
      <c r="E407" s="395"/>
      <c r="F407" s="395"/>
      <c r="G407" s="395"/>
      <c r="H407" s="395"/>
      <c r="I407" s="396"/>
      <c r="J407" s="402" t="s">
        <v>8</v>
      </c>
      <c r="K407" s="134"/>
      <c r="L407" s="134" t="s">
        <v>4</v>
      </c>
      <c r="M407" s="402"/>
      <c r="N407" s="144"/>
      <c r="O407" s="145"/>
      <c r="P407" s="402" t="s">
        <v>8</v>
      </c>
      <c r="Q407" s="134"/>
      <c r="R407" s="134" t="s">
        <v>4</v>
      </c>
      <c r="S407" s="416"/>
      <c r="T407" s="144"/>
      <c r="U407" s="145"/>
      <c r="V407" s="402" t="s">
        <v>8</v>
      </c>
      <c r="W407" s="134"/>
      <c r="X407" s="134" t="s">
        <v>4</v>
      </c>
      <c r="Y407" s="402"/>
      <c r="Z407" s="144"/>
      <c r="AA407" s="145"/>
      <c r="AB407" s="402" t="s">
        <v>8</v>
      </c>
      <c r="AC407" s="134"/>
      <c r="AD407" s="134" t="s">
        <v>4</v>
      </c>
      <c r="AE407" s="402"/>
      <c r="AF407" s="144"/>
      <c r="AG407" s="145"/>
      <c r="AH407" s="402" t="s">
        <v>8</v>
      </c>
      <c r="AI407" s="134"/>
      <c r="AJ407" s="134" t="s">
        <v>4</v>
      </c>
      <c r="AK407" s="402"/>
      <c r="AL407" s="144"/>
      <c r="AM407" s="145"/>
      <c r="AN407" s="402" t="s">
        <v>8</v>
      </c>
      <c r="AO407" s="134"/>
      <c r="AP407" s="134" t="s">
        <v>4</v>
      </c>
      <c r="AQ407" s="402"/>
      <c r="AR407" s="402"/>
    </row>
    <row r="408" spans="1:44" x14ac:dyDescent="0.25">
      <c r="A408" s="394"/>
      <c r="B408" s="395"/>
      <c r="C408" s="395"/>
      <c r="D408" s="395"/>
      <c r="E408" s="395"/>
      <c r="F408" s="395"/>
      <c r="G408" s="395"/>
      <c r="H408" s="395"/>
      <c r="I408" s="396"/>
      <c r="J408" s="403"/>
      <c r="K408" s="134"/>
      <c r="L408" s="134" t="s">
        <v>2</v>
      </c>
      <c r="M408" s="403"/>
      <c r="N408" s="144"/>
      <c r="O408" s="145"/>
      <c r="P408" s="403"/>
      <c r="Q408" s="134"/>
      <c r="R408" s="134" t="s">
        <v>2</v>
      </c>
      <c r="S408" s="417"/>
      <c r="T408" s="144"/>
      <c r="U408" s="145"/>
      <c r="V408" s="403"/>
      <c r="W408" s="134"/>
      <c r="X408" s="134" t="s">
        <v>2</v>
      </c>
      <c r="Y408" s="403"/>
      <c r="Z408" s="144"/>
      <c r="AA408" s="145"/>
      <c r="AB408" s="403"/>
      <c r="AC408" s="134"/>
      <c r="AD408" s="134" t="s">
        <v>2</v>
      </c>
      <c r="AE408" s="403"/>
      <c r="AF408" s="144"/>
      <c r="AG408" s="145"/>
      <c r="AH408" s="403"/>
      <c r="AI408" s="134"/>
      <c r="AJ408" s="134" t="s">
        <v>2</v>
      </c>
      <c r="AK408" s="403"/>
      <c r="AL408" s="144"/>
      <c r="AM408" s="145"/>
      <c r="AN408" s="403"/>
      <c r="AO408" s="134"/>
      <c r="AP408" s="134" t="s">
        <v>2</v>
      </c>
      <c r="AQ408" s="403"/>
      <c r="AR408" s="403"/>
    </row>
    <row r="409" spans="1:44" ht="42.75" x14ac:dyDescent="0.25">
      <c r="A409" s="394"/>
      <c r="B409" s="395"/>
      <c r="C409" s="395"/>
      <c r="D409" s="395"/>
      <c r="E409" s="395"/>
      <c r="F409" s="395"/>
      <c r="G409" s="395"/>
      <c r="H409" s="395"/>
      <c r="I409" s="396"/>
      <c r="J409" s="146" t="s">
        <v>9</v>
      </c>
      <c r="K409" s="134"/>
      <c r="L409" s="134" t="s">
        <v>10</v>
      </c>
      <c r="M409" s="134"/>
      <c r="N409" s="144"/>
      <c r="O409" s="145"/>
      <c r="P409" s="146" t="s">
        <v>9</v>
      </c>
      <c r="Q409" s="134"/>
      <c r="R409" s="134" t="s">
        <v>10</v>
      </c>
      <c r="S409" s="143"/>
      <c r="T409" s="144"/>
      <c r="U409" s="145"/>
      <c r="V409" s="146" t="s">
        <v>9</v>
      </c>
      <c r="W409" s="134"/>
      <c r="X409" s="134" t="s">
        <v>10</v>
      </c>
      <c r="Y409" s="134"/>
      <c r="Z409" s="144"/>
      <c r="AA409" s="145"/>
      <c r="AB409" s="146" t="s">
        <v>9</v>
      </c>
      <c r="AC409" s="134"/>
      <c r="AD409" s="134" t="s">
        <v>10</v>
      </c>
      <c r="AE409" s="134"/>
      <c r="AF409" s="144"/>
      <c r="AG409" s="145"/>
      <c r="AH409" s="146" t="s">
        <v>9</v>
      </c>
      <c r="AI409" s="134"/>
      <c r="AJ409" s="134" t="s">
        <v>10</v>
      </c>
      <c r="AK409" s="134"/>
      <c r="AL409" s="144"/>
      <c r="AM409" s="145"/>
      <c r="AN409" s="146" t="s">
        <v>9</v>
      </c>
      <c r="AO409" s="134"/>
      <c r="AP409" s="134" t="s">
        <v>10</v>
      </c>
      <c r="AQ409" s="134"/>
      <c r="AR409" s="134"/>
    </row>
    <row r="410" spans="1:44" ht="28.5" x14ac:dyDescent="0.25">
      <c r="A410" s="394"/>
      <c r="B410" s="395"/>
      <c r="C410" s="395"/>
      <c r="D410" s="395"/>
      <c r="E410" s="395"/>
      <c r="F410" s="395"/>
      <c r="G410" s="395"/>
      <c r="H410" s="395"/>
      <c r="I410" s="396"/>
      <c r="J410" s="146" t="s">
        <v>44</v>
      </c>
      <c r="K410" s="134"/>
      <c r="L410" s="134" t="s">
        <v>10</v>
      </c>
      <c r="M410" s="134"/>
      <c r="N410" s="144"/>
      <c r="O410" s="145"/>
      <c r="P410" s="146" t="s">
        <v>44</v>
      </c>
      <c r="Q410" s="134"/>
      <c r="R410" s="134" t="s">
        <v>10</v>
      </c>
      <c r="S410" s="143"/>
      <c r="T410" s="144"/>
      <c r="U410" s="145"/>
      <c r="V410" s="146" t="s">
        <v>44</v>
      </c>
      <c r="W410" s="134"/>
      <c r="X410" s="134" t="s">
        <v>10</v>
      </c>
      <c r="Y410" s="134"/>
      <c r="Z410" s="144"/>
      <c r="AA410" s="145"/>
      <c r="AB410" s="146" t="s">
        <v>44</v>
      </c>
      <c r="AC410" s="134"/>
      <c r="AD410" s="134" t="s">
        <v>10</v>
      </c>
      <c r="AE410" s="134"/>
      <c r="AF410" s="144"/>
      <c r="AG410" s="145"/>
      <c r="AH410" s="146" t="s">
        <v>44</v>
      </c>
      <c r="AI410" s="134"/>
      <c r="AJ410" s="134" t="s">
        <v>10</v>
      </c>
      <c r="AK410" s="134"/>
      <c r="AL410" s="144"/>
      <c r="AM410" s="145"/>
      <c r="AN410" s="146" t="s">
        <v>44</v>
      </c>
      <c r="AO410" s="134"/>
      <c r="AP410" s="134" t="s">
        <v>10</v>
      </c>
      <c r="AQ410" s="134"/>
      <c r="AR410" s="134"/>
    </row>
    <row r="411" spans="1:44" ht="42.75" x14ac:dyDescent="0.25">
      <c r="A411" s="394"/>
      <c r="B411" s="395"/>
      <c r="C411" s="395"/>
      <c r="D411" s="395"/>
      <c r="E411" s="395"/>
      <c r="F411" s="395"/>
      <c r="G411" s="395"/>
      <c r="H411" s="395"/>
      <c r="I411" s="396"/>
      <c r="J411" s="146" t="s">
        <v>11</v>
      </c>
      <c r="K411" s="134"/>
      <c r="L411" s="134" t="s">
        <v>12</v>
      </c>
      <c r="M411" s="134"/>
      <c r="N411" s="144"/>
      <c r="O411" s="145"/>
      <c r="P411" s="146" t="s">
        <v>11</v>
      </c>
      <c r="Q411" s="134"/>
      <c r="R411" s="134" t="s">
        <v>12</v>
      </c>
      <c r="S411" s="143"/>
      <c r="T411" s="144"/>
      <c r="U411" s="145"/>
      <c r="V411" s="146" t="s">
        <v>11</v>
      </c>
      <c r="W411" s="134"/>
      <c r="X411" s="134" t="s">
        <v>12</v>
      </c>
      <c r="Y411" s="134"/>
      <c r="Z411" s="144"/>
      <c r="AA411" s="145"/>
      <c r="AB411" s="146" t="s">
        <v>11</v>
      </c>
      <c r="AC411" s="134"/>
      <c r="AD411" s="134" t="s">
        <v>12</v>
      </c>
      <c r="AE411" s="134"/>
      <c r="AF411" s="144"/>
      <c r="AG411" s="145"/>
      <c r="AH411" s="146" t="s">
        <v>11</v>
      </c>
      <c r="AI411" s="134"/>
      <c r="AJ411" s="134" t="s">
        <v>12</v>
      </c>
      <c r="AK411" s="134"/>
      <c r="AL411" s="144"/>
      <c r="AM411" s="145"/>
      <c r="AN411" s="146" t="s">
        <v>11</v>
      </c>
      <c r="AO411" s="134"/>
      <c r="AP411" s="134" t="s">
        <v>12</v>
      </c>
      <c r="AQ411" s="134"/>
      <c r="AR411" s="134"/>
    </row>
    <row r="412" spans="1:44" x14ac:dyDescent="0.25">
      <c r="A412" s="394"/>
      <c r="B412" s="395"/>
      <c r="C412" s="395"/>
      <c r="D412" s="395"/>
      <c r="E412" s="395"/>
      <c r="F412" s="395"/>
      <c r="G412" s="395"/>
      <c r="H412" s="395"/>
      <c r="I412" s="396"/>
      <c r="J412" s="146" t="s">
        <v>13</v>
      </c>
      <c r="K412" s="134"/>
      <c r="L412" s="134" t="s">
        <v>4</v>
      </c>
      <c r="M412" s="134"/>
      <c r="N412" s="144"/>
      <c r="O412" s="145"/>
      <c r="P412" s="146" t="s">
        <v>13</v>
      </c>
      <c r="Q412" s="134"/>
      <c r="R412" s="134" t="s">
        <v>4</v>
      </c>
      <c r="S412" s="143"/>
      <c r="T412" s="144"/>
      <c r="U412" s="145"/>
      <c r="V412" s="146" t="s">
        <v>13</v>
      </c>
      <c r="W412" s="134"/>
      <c r="X412" s="134" t="s">
        <v>4</v>
      </c>
      <c r="Y412" s="134"/>
      <c r="Z412" s="144"/>
      <c r="AA412" s="145"/>
      <c r="AB412" s="146" t="s">
        <v>13</v>
      </c>
      <c r="AC412" s="134"/>
      <c r="AD412" s="134" t="s">
        <v>4</v>
      </c>
      <c r="AE412" s="134"/>
      <c r="AF412" s="144"/>
      <c r="AG412" s="145"/>
      <c r="AH412" s="146" t="s">
        <v>13</v>
      </c>
      <c r="AI412" s="134"/>
      <c r="AJ412" s="134" t="s">
        <v>4</v>
      </c>
      <c r="AK412" s="134"/>
      <c r="AL412" s="144"/>
      <c r="AM412" s="145"/>
      <c r="AN412" s="146" t="s">
        <v>13</v>
      </c>
      <c r="AO412" s="134"/>
      <c r="AP412" s="134" t="s">
        <v>4</v>
      </c>
      <c r="AQ412" s="134"/>
      <c r="AR412" s="134"/>
    </row>
    <row r="413" spans="1:44" ht="28.5" x14ac:dyDescent="0.25">
      <c r="A413" s="394"/>
      <c r="B413" s="395"/>
      <c r="C413" s="395"/>
      <c r="D413" s="395"/>
      <c r="E413" s="395"/>
      <c r="F413" s="395"/>
      <c r="G413" s="395"/>
      <c r="H413" s="395"/>
      <c r="I413" s="396"/>
      <c r="J413" s="146" t="s">
        <v>14</v>
      </c>
      <c r="K413" s="134"/>
      <c r="L413" s="134"/>
      <c r="M413" s="134"/>
      <c r="N413" s="144"/>
      <c r="O413" s="145"/>
      <c r="P413" s="146" t="s">
        <v>14</v>
      </c>
      <c r="Q413" s="134"/>
      <c r="R413" s="134"/>
      <c r="S413" s="143"/>
      <c r="T413" s="144"/>
      <c r="U413" s="145"/>
      <c r="V413" s="146" t="s">
        <v>14</v>
      </c>
      <c r="W413" s="134"/>
      <c r="X413" s="134"/>
      <c r="Y413" s="134"/>
      <c r="Z413" s="144"/>
      <c r="AA413" s="145"/>
      <c r="AB413" s="146" t="s">
        <v>14</v>
      </c>
      <c r="AC413" s="134"/>
      <c r="AD413" s="134"/>
      <c r="AE413" s="134"/>
      <c r="AF413" s="144"/>
      <c r="AG413" s="145"/>
      <c r="AH413" s="146" t="s">
        <v>14</v>
      </c>
      <c r="AI413" s="134"/>
      <c r="AJ413" s="134"/>
      <c r="AK413" s="134"/>
      <c r="AL413" s="144"/>
      <c r="AM413" s="145"/>
      <c r="AN413" s="146" t="s">
        <v>14</v>
      </c>
      <c r="AO413" s="134"/>
      <c r="AP413" s="134"/>
      <c r="AQ413" s="134"/>
      <c r="AR413" s="134"/>
    </row>
    <row r="414" spans="1:44" ht="42.75" x14ac:dyDescent="0.25">
      <c r="A414" s="394"/>
      <c r="B414" s="395"/>
      <c r="C414" s="395"/>
      <c r="D414" s="395"/>
      <c r="E414" s="395"/>
      <c r="F414" s="395"/>
      <c r="G414" s="395"/>
      <c r="H414" s="395"/>
      <c r="I414" s="396"/>
      <c r="J414" s="146" t="s">
        <v>46</v>
      </c>
      <c r="K414" s="134"/>
      <c r="L414" s="134" t="s">
        <v>12</v>
      </c>
      <c r="M414" s="134"/>
      <c r="N414" s="144"/>
      <c r="O414" s="147"/>
      <c r="P414" s="146" t="s">
        <v>46</v>
      </c>
      <c r="Q414" s="134"/>
      <c r="R414" s="134" t="s">
        <v>12</v>
      </c>
      <c r="S414" s="143"/>
      <c r="T414" s="144"/>
      <c r="U414" s="147"/>
      <c r="V414" s="146" t="s">
        <v>46</v>
      </c>
      <c r="W414" s="134"/>
      <c r="X414" s="134" t="s">
        <v>12</v>
      </c>
      <c r="Y414" s="134"/>
      <c r="Z414" s="144"/>
      <c r="AA414" s="147"/>
      <c r="AB414" s="146" t="s">
        <v>46</v>
      </c>
      <c r="AC414" s="134"/>
      <c r="AD414" s="134" t="s">
        <v>12</v>
      </c>
      <c r="AE414" s="134"/>
      <c r="AF414" s="144"/>
      <c r="AG414" s="147"/>
      <c r="AH414" s="146" t="s">
        <v>46</v>
      </c>
      <c r="AI414" s="134"/>
      <c r="AJ414" s="134" t="s">
        <v>12</v>
      </c>
      <c r="AK414" s="134"/>
      <c r="AL414" s="144"/>
      <c r="AM414" s="147"/>
      <c r="AN414" s="146" t="s">
        <v>46</v>
      </c>
      <c r="AO414" s="134"/>
      <c r="AP414" s="134" t="s">
        <v>12</v>
      </c>
      <c r="AQ414" s="134"/>
      <c r="AR414" s="134"/>
    </row>
    <row r="415" spans="1:44" x14ac:dyDescent="0.25">
      <c r="A415" s="397"/>
      <c r="B415" s="398"/>
      <c r="C415" s="398"/>
      <c r="D415" s="398"/>
      <c r="E415" s="398"/>
      <c r="F415" s="398"/>
      <c r="G415" s="398"/>
      <c r="H415" s="398"/>
      <c r="I415" s="399"/>
      <c r="J415" s="146" t="s">
        <v>45</v>
      </c>
      <c r="K415" s="134"/>
      <c r="L415" s="134"/>
      <c r="M415" s="134"/>
      <c r="N415" s="144"/>
      <c r="O415" s="147"/>
      <c r="P415" s="146" t="s">
        <v>45</v>
      </c>
      <c r="Q415" s="134"/>
      <c r="R415" s="134"/>
      <c r="S415" s="143"/>
      <c r="T415" s="144"/>
      <c r="U415" s="147"/>
      <c r="V415" s="146" t="s">
        <v>45</v>
      </c>
      <c r="W415" s="134"/>
      <c r="X415" s="134"/>
      <c r="Y415" s="134"/>
      <c r="Z415" s="144"/>
      <c r="AA415" s="147"/>
      <c r="AB415" s="146" t="s">
        <v>45</v>
      </c>
      <c r="AC415" s="134"/>
      <c r="AD415" s="134"/>
      <c r="AE415" s="134"/>
      <c r="AF415" s="144"/>
      <c r="AG415" s="147"/>
      <c r="AH415" s="146" t="s">
        <v>45</v>
      </c>
      <c r="AI415" s="134"/>
      <c r="AJ415" s="134"/>
      <c r="AK415" s="134"/>
      <c r="AL415" s="144"/>
      <c r="AM415" s="147"/>
      <c r="AN415" s="146" t="s">
        <v>45</v>
      </c>
      <c r="AO415" s="134"/>
      <c r="AP415" s="134"/>
      <c r="AQ415" s="134"/>
      <c r="AR415" s="134"/>
    </row>
    <row r="416" spans="1:44" ht="15.75" x14ac:dyDescent="0.25">
      <c r="A416" s="148"/>
      <c r="B416" s="404" t="s">
        <v>21</v>
      </c>
      <c r="C416" s="405"/>
      <c r="D416" s="405"/>
      <c r="E416" s="405"/>
      <c r="F416" s="405"/>
      <c r="G416" s="405"/>
      <c r="H416" s="405"/>
      <c r="I416" s="405"/>
      <c r="J416" s="405"/>
      <c r="K416" s="405"/>
      <c r="L416" s="405"/>
      <c r="M416" s="405"/>
      <c r="N416" s="405"/>
      <c r="O416" s="405"/>
      <c r="P416" s="405"/>
      <c r="Q416" s="405"/>
      <c r="R416" s="406"/>
      <c r="S416" s="149"/>
      <c r="T416" s="150"/>
      <c r="U416" s="150"/>
      <c r="V416" s="150"/>
      <c r="W416" s="150"/>
      <c r="X416" s="150"/>
      <c r="Y416" s="150"/>
      <c r="Z416" s="150"/>
      <c r="AA416" s="150"/>
      <c r="AB416" s="150"/>
      <c r="AC416" s="150"/>
      <c r="AD416" s="150"/>
      <c r="AE416" s="150"/>
      <c r="AF416" s="150"/>
      <c r="AG416" s="148"/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</row>
    <row r="417" spans="1:44" ht="105" x14ac:dyDescent="0.25">
      <c r="A417" s="151">
        <v>5</v>
      </c>
      <c r="B417" s="36">
        <v>2223101</v>
      </c>
      <c r="C417" s="36" t="s">
        <v>269</v>
      </c>
      <c r="D417" s="81"/>
      <c r="E417" s="81"/>
      <c r="F417" s="81">
        <v>1.47</v>
      </c>
      <c r="G417" s="152">
        <v>11760</v>
      </c>
      <c r="H417" s="40"/>
      <c r="I417" s="40"/>
      <c r="J417" s="46"/>
      <c r="K417" s="40"/>
      <c r="L417" s="46"/>
      <c r="M417" s="57"/>
      <c r="N417" s="36" t="s">
        <v>122</v>
      </c>
      <c r="O417" s="36" t="s">
        <v>234</v>
      </c>
      <c r="P417" s="46" t="s">
        <v>235</v>
      </c>
      <c r="Q417" s="40">
        <v>10206</v>
      </c>
      <c r="R417" s="46" t="s">
        <v>4</v>
      </c>
      <c r="S417" s="79">
        <v>68000</v>
      </c>
      <c r="T417" s="44"/>
      <c r="U417" s="44"/>
      <c r="V417" s="44"/>
      <c r="W417" s="44"/>
      <c r="X417" s="44"/>
      <c r="Y417" s="44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</row>
    <row r="418" spans="1:44" ht="30" x14ac:dyDescent="0.25">
      <c r="A418" s="407">
        <v>15</v>
      </c>
      <c r="B418" s="272">
        <v>2226411</v>
      </c>
      <c r="C418" s="409" t="s">
        <v>160</v>
      </c>
      <c r="D418" s="409"/>
      <c r="E418" s="409"/>
      <c r="F418" s="409">
        <v>2.97</v>
      </c>
      <c r="G418" s="411" t="s">
        <v>257</v>
      </c>
      <c r="H418" s="249"/>
      <c r="I418" s="249"/>
      <c r="J418" s="413"/>
      <c r="K418" s="249"/>
      <c r="L418" s="413"/>
      <c r="M418" s="323"/>
      <c r="N418" s="36" t="s">
        <v>236</v>
      </c>
      <c r="O418" s="36" t="s">
        <v>91</v>
      </c>
      <c r="P418" s="413" t="s">
        <v>42</v>
      </c>
      <c r="Q418" s="249">
        <v>32460</v>
      </c>
      <c r="R418" s="413" t="s">
        <v>4</v>
      </c>
      <c r="S418" s="415">
        <f>187944.51</f>
        <v>187944.51</v>
      </c>
      <c r="T418" s="44"/>
      <c r="U418" s="44"/>
      <c r="V418" s="44"/>
      <c r="W418" s="44"/>
      <c r="X418" s="44"/>
      <c r="Y418" s="44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</row>
    <row r="419" spans="1:44" ht="45" x14ac:dyDescent="0.25">
      <c r="A419" s="408"/>
      <c r="B419" s="273"/>
      <c r="C419" s="410"/>
      <c r="D419" s="410"/>
      <c r="E419" s="410"/>
      <c r="F419" s="410"/>
      <c r="G419" s="412"/>
      <c r="H419" s="251"/>
      <c r="I419" s="251"/>
      <c r="J419" s="414"/>
      <c r="K419" s="251"/>
      <c r="L419" s="414"/>
      <c r="M419" s="324"/>
      <c r="N419" s="36" t="s">
        <v>102</v>
      </c>
      <c r="O419" s="36" t="s">
        <v>237</v>
      </c>
      <c r="P419" s="414"/>
      <c r="Q419" s="251"/>
      <c r="R419" s="414"/>
      <c r="S419" s="415"/>
      <c r="T419" s="44"/>
      <c r="U419" s="44"/>
      <c r="V419" s="44"/>
      <c r="W419" s="44"/>
      <c r="X419" s="44"/>
      <c r="Y419" s="44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</row>
    <row r="420" spans="1:44" ht="30" x14ac:dyDescent="0.25">
      <c r="A420" s="36">
        <v>19</v>
      </c>
      <c r="B420" s="100">
        <v>2220072</v>
      </c>
      <c r="C420" s="80" t="s">
        <v>133</v>
      </c>
      <c r="D420" s="81"/>
      <c r="E420" s="81"/>
      <c r="F420" s="81">
        <v>2.5</v>
      </c>
      <c r="G420" s="81">
        <v>52500</v>
      </c>
      <c r="H420" s="40"/>
      <c r="I420" s="40"/>
      <c r="J420" s="82"/>
      <c r="K420" s="40"/>
      <c r="L420" s="40"/>
      <c r="M420" s="40"/>
      <c r="N420" s="40"/>
      <c r="O420" s="40"/>
      <c r="P420" s="40"/>
      <c r="Q420" s="40"/>
      <c r="R420" s="40"/>
      <c r="S420" s="58"/>
      <c r="T420" s="40" t="s">
        <v>238</v>
      </c>
      <c r="U420" s="40" t="s">
        <v>116</v>
      </c>
      <c r="V420" s="46" t="s">
        <v>239</v>
      </c>
      <c r="W420" s="36">
        <v>52500</v>
      </c>
      <c r="X420" s="36" t="s">
        <v>4</v>
      </c>
      <c r="Y420" s="40">
        <v>523448.24</v>
      </c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</row>
    <row r="421" spans="1:44" ht="38.25" x14ac:dyDescent="0.25">
      <c r="A421" s="107">
        <v>30</v>
      </c>
      <c r="B421" s="101">
        <v>2225245</v>
      </c>
      <c r="C421" s="153" t="s">
        <v>270</v>
      </c>
      <c r="D421" s="68"/>
      <c r="E421" s="68"/>
      <c r="F421" s="68">
        <v>1.704</v>
      </c>
      <c r="G421" s="68">
        <v>17000</v>
      </c>
      <c r="H421" s="63"/>
      <c r="I421" s="63"/>
      <c r="J421" s="106"/>
      <c r="K421" s="63"/>
      <c r="L421" s="63"/>
      <c r="M421" s="63"/>
      <c r="N421" s="63"/>
      <c r="O421" s="63"/>
      <c r="P421" s="63"/>
      <c r="Q421" s="63"/>
      <c r="R421" s="63"/>
      <c r="S421" s="154"/>
      <c r="T421" s="107"/>
      <c r="U421" s="107"/>
      <c r="V421" s="107"/>
      <c r="W421" s="107"/>
      <c r="X421" s="107"/>
      <c r="Y421" s="107"/>
      <c r="Z421" s="83" t="s">
        <v>240</v>
      </c>
      <c r="AA421" s="83" t="s">
        <v>241</v>
      </c>
      <c r="AB421" s="84" t="s">
        <v>42</v>
      </c>
      <c r="AC421" s="62">
        <v>24975</v>
      </c>
      <c r="AD421" s="107" t="s">
        <v>4</v>
      </c>
      <c r="AE421" s="85">
        <v>170000</v>
      </c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</row>
    <row r="422" spans="1:44" x14ac:dyDescent="0.25">
      <c r="A422" s="424" t="s">
        <v>22</v>
      </c>
      <c r="B422" s="425"/>
      <c r="C422" s="426"/>
      <c r="D422" s="155"/>
      <c r="E422" s="155"/>
      <c r="F422" s="155"/>
      <c r="G422" s="155"/>
      <c r="H422" s="155"/>
      <c r="I422" s="155"/>
      <c r="J422" s="155"/>
      <c r="K422" s="155"/>
      <c r="L422" s="155"/>
      <c r="M422" s="156"/>
      <c r="N422" s="155"/>
      <c r="O422" s="155"/>
      <c r="P422" s="155"/>
      <c r="Q422" s="157"/>
      <c r="R422" s="155"/>
      <c r="S422" s="158">
        <f>SUM(S417:S421)</f>
        <v>255944.51</v>
      </c>
      <c r="T422" s="155"/>
      <c r="U422" s="155"/>
      <c r="V422" s="155"/>
      <c r="W422" s="155"/>
      <c r="X422" s="155"/>
      <c r="Y422" s="157">
        <f>SUM(Y420:Y421)</f>
        <v>523448.24</v>
      </c>
      <c r="Z422" s="155"/>
      <c r="AA422" s="155"/>
      <c r="AB422" s="155"/>
      <c r="AC422" s="155"/>
      <c r="AD422" s="155"/>
      <c r="AE422" s="155">
        <f>SUM(AE421:AE421)</f>
        <v>170000</v>
      </c>
      <c r="AF422" s="155"/>
      <c r="AG422" s="155"/>
      <c r="AH422" s="155"/>
      <c r="AI422" s="155"/>
      <c r="AJ422" s="155"/>
      <c r="AK422" s="155"/>
      <c r="AL422" s="155"/>
      <c r="AM422" s="155"/>
      <c r="AN422" s="155"/>
      <c r="AO422" s="155"/>
      <c r="AP422" s="155"/>
      <c r="AQ422" s="155"/>
      <c r="AR422" s="155"/>
    </row>
    <row r="423" spans="1:44" x14ac:dyDescent="0.25">
      <c r="A423" s="427" t="s">
        <v>23</v>
      </c>
      <c r="B423" s="428"/>
      <c r="C423" s="428"/>
      <c r="D423" s="428"/>
      <c r="E423" s="428"/>
      <c r="F423" s="428"/>
      <c r="G423" s="428"/>
      <c r="H423" s="428"/>
      <c r="I423" s="429"/>
      <c r="J423" s="230" t="s">
        <v>7</v>
      </c>
      <c r="K423" s="159"/>
      <c r="L423" s="160" t="s">
        <v>2</v>
      </c>
      <c r="M423" s="436"/>
      <c r="N423" s="161"/>
      <c r="O423" s="162"/>
      <c r="P423" s="230" t="s">
        <v>7</v>
      </c>
      <c r="Q423" s="160"/>
      <c r="R423" s="160" t="s">
        <v>2</v>
      </c>
      <c r="S423" s="163"/>
      <c r="T423" s="161"/>
      <c r="U423" s="162"/>
      <c r="V423" s="230" t="s">
        <v>7</v>
      </c>
      <c r="W423" s="160"/>
      <c r="X423" s="160" t="s">
        <v>2</v>
      </c>
      <c r="Y423" s="160"/>
      <c r="Z423" s="161"/>
      <c r="AA423" s="162"/>
      <c r="AB423" s="230" t="s">
        <v>7</v>
      </c>
      <c r="AC423" s="160"/>
      <c r="AD423" s="160" t="s">
        <v>2</v>
      </c>
      <c r="AE423" s="160"/>
      <c r="AF423" s="161"/>
      <c r="AG423" s="162"/>
      <c r="AH423" s="230" t="s">
        <v>7</v>
      </c>
      <c r="AI423" s="159"/>
      <c r="AJ423" s="160" t="s">
        <v>2</v>
      </c>
      <c r="AK423" s="232"/>
      <c r="AL423" s="161"/>
      <c r="AM423" s="162"/>
      <c r="AN423" s="230" t="s">
        <v>7</v>
      </c>
      <c r="AO423" s="160"/>
      <c r="AP423" s="160" t="s">
        <v>2</v>
      </c>
      <c r="AQ423" s="160"/>
      <c r="AR423" s="160"/>
    </row>
    <row r="424" spans="1:44" x14ac:dyDescent="0.25">
      <c r="A424" s="430"/>
      <c r="B424" s="431"/>
      <c r="C424" s="431"/>
      <c r="D424" s="431"/>
      <c r="E424" s="431"/>
      <c r="F424" s="431"/>
      <c r="G424" s="431"/>
      <c r="H424" s="431"/>
      <c r="I424" s="432"/>
      <c r="J424" s="231"/>
      <c r="K424" s="159"/>
      <c r="L424" s="160" t="s">
        <v>4</v>
      </c>
      <c r="M424" s="233"/>
      <c r="N424" s="164"/>
      <c r="O424" s="165"/>
      <c r="P424" s="231"/>
      <c r="Q424" s="160"/>
      <c r="R424" s="160" t="s">
        <v>4</v>
      </c>
      <c r="S424" s="163"/>
      <c r="T424" s="164"/>
      <c r="U424" s="165"/>
      <c r="V424" s="231"/>
      <c r="W424" s="160"/>
      <c r="X424" s="160" t="s">
        <v>4</v>
      </c>
      <c r="Y424" s="160"/>
      <c r="Z424" s="164"/>
      <c r="AA424" s="165"/>
      <c r="AB424" s="231"/>
      <c r="AC424" s="160"/>
      <c r="AD424" s="160" t="s">
        <v>4</v>
      </c>
      <c r="AE424" s="160"/>
      <c r="AF424" s="164"/>
      <c r="AG424" s="165"/>
      <c r="AH424" s="231"/>
      <c r="AI424" s="159"/>
      <c r="AJ424" s="160" t="s">
        <v>4</v>
      </c>
      <c r="AK424" s="233"/>
      <c r="AL424" s="164"/>
      <c r="AM424" s="165"/>
      <c r="AN424" s="231"/>
      <c r="AO424" s="160"/>
      <c r="AP424" s="160" t="s">
        <v>4</v>
      </c>
      <c r="AQ424" s="160"/>
      <c r="AR424" s="160"/>
    </row>
    <row r="425" spans="1:44" ht="15.75" customHeight="1" x14ac:dyDescent="0.25">
      <c r="A425" s="430"/>
      <c r="B425" s="431"/>
      <c r="C425" s="431"/>
      <c r="D425" s="431"/>
      <c r="E425" s="431"/>
      <c r="F425" s="431"/>
      <c r="G425" s="431"/>
      <c r="H425" s="431"/>
      <c r="I425" s="432"/>
      <c r="J425" s="230" t="s">
        <v>41</v>
      </c>
      <c r="K425" s="160"/>
      <c r="L425" s="160" t="s">
        <v>2</v>
      </c>
      <c r="M425" s="160"/>
      <c r="N425" s="164"/>
      <c r="O425" s="165"/>
      <c r="P425" s="230" t="s">
        <v>41</v>
      </c>
      <c r="Q425" s="160"/>
      <c r="R425" s="160" t="s">
        <v>2</v>
      </c>
      <c r="S425" s="163"/>
      <c r="T425" s="164"/>
      <c r="U425" s="165"/>
      <c r="V425" s="230" t="s">
        <v>41</v>
      </c>
      <c r="W425" s="160"/>
      <c r="X425" s="160" t="s">
        <v>2</v>
      </c>
      <c r="Y425" s="160"/>
      <c r="Z425" s="164"/>
      <c r="AA425" s="165"/>
      <c r="AB425" s="230" t="s">
        <v>41</v>
      </c>
      <c r="AC425" s="160"/>
      <c r="AD425" s="160" t="s">
        <v>2</v>
      </c>
      <c r="AE425" s="160"/>
      <c r="AF425" s="164"/>
      <c r="AG425" s="165"/>
      <c r="AH425" s="230" t="s">
        <v>41</v>
      </c>
      <c r="AI425" s="160"/>
      <c r="AJ425" s="160" t="s">
        <v>2</v>
      </c>
      <c r="AK425" s="160"/>
      <c r="AL425" s="164"/>
      <c r="AM425" s="165"/>
      <c r="AN425" s="230" t="s">
        <v>41</v>
      </c>
      <c r="AO425" s="160"/>
      <c r="AP425" s="160" t="s">
        <v>2</v>
      </c>
      <c r="AQ425" s="160"/>
      <c r="AR425" s="160"/>
    </row>
    <row r="426" spans="1:44" x14ac:dyDescent="0.25">
      <c r="A426" s="430"/>
      <c r="B426" s="431"/>
      <c r="C426" s="431"/>
      <c r="D426" s="431"/>
      <c r="E426" s="431"/>
      <c r="F426" s="431"/>
      <c r="G426" s="431"/>
      <c r="H426" s="431"/>
      <c r="I426" s="432"/>
      <c r="J426" s="231"/>
      <c r="K426" s="160"/>
      <c r="L426" s="160" t="s">
        <v>4</v>
      </c>
      <c r="M426" s="160"/>
      <c r="N426" s="164"/>
      <c r="O426" s="165"/>
      <c r="P426" s="231"/>
      <c r="Q426" s="160"/>
      <c r="R426" s="160" t="s">
        <v>4</v>
      </c>
      <c r="S426" s="163"/>
      <c r="T426" s="164"/>
      <c r="U426" s="165"/>
      <c r="V426" s="231"/>
      <c r="W426" s="160"/>
      <c r="X426" s="160" t="s">
        <v>4</v>
      </c>
      <c r="Y426" s="160"/>
      <c r="Z426" s="164"/>
      <c r="AA426" s="165"/>
      <c r="AB426" s="231"/>
      <c r="AC426" s="160"/>
      <c r="AD426" s="160" t="s">
        <v>4</v>
      </c>
      <c r="AE426" s="160"/>
      <c r="AF426" s="164"/>
      <c r="AG426" s="165"/>
      <c r="AH426" s="231"/>
      <c r="AI426" s="160"/>
      <c r="AJ426" s="160" t="s">
        <v>4</v>
      </c>
      <c r="AK426" s="160"/>
      <c r="AL426" s="164"/>
      <c r="AM426" s="165"/>
      <c r="AN426" s="231"/>
      <c r="AO426" s="160"/>
      <c r="AP426" s="160" t="s">
        <v>4</v>
      </c>
      <c r="AQ426" s="160"/>
      <c r="AR426" s="160"/>
    </row>
    <row r="427" spans="1:44" x14ac:dyDescent="0.25">
      <c r="A427" s="430"/>
      <c r="B427" s="431"/>
      <c r="C427" s="431"/>
      <c r="D427" s="431"/>
      <c r="E427" s="431"/>
      <c r="F427" s="431"/>
      <c r="G427" s="431"/>
      <c r="H427" s="431"/>
      <c r="I427" s="432"/>
      <c r="J427" s="230" t="s">
        <v>42</v>
      </c>
      <c r="K427" s="160"/>
      <c r="L427" s="160" t="s">
        <v>2</v>
      </c>
      <c r="M427" s="160"/>
      <c r="N427" s="164"/>
      <c r="O427" s="165"/>
      <c r="P427" s="230" t="s">
        <v>42</v>
      </c>
      <c r="Q427" s="160">
        <v>2.71</v>
      </c>
      <c r="R427" s="160" t="s">
        <v>2</v>
      </c>
      <c r="S427" s="228">
        <f>S418</f>
        <v>187944.51</v>
      </c>
      <c r="T427" s="164"/>
      <c r="U427" s="165"/>
      <c r="V427" s="230" t="s">
        <v>42</v>
      </c>
      <c r="W427" s="160">
        <v>2.5</v>
      </c>
      <c r="X427" s="160" t="s">
        <v>2</v>
      </c>
      <c r="Y427" s="437">
        <f>Y420</f>
        <v>523448.24</v>
      </c>
      <c r="Z427" s="164"/>
      <c r="AA427" s="165"/>
      <c r="AB427" s="230" t="s">
        <v>42</v>
      </c>
      <c r="AC427" s="160">
        <v>2.8</v>
      </c>
      <c r="AD427" s="160" t="s">
        <v>2</v>
      </c>
      <c r="AE427" s="232">
        <v>170000</v>
      </c>
      <c r="AF427" s="164"/>
      <c r="AG427" s="165"/>
      <c r="AH427" s="230" t="s">
        <v>42</v>
      </c>
      <c r="AI427" s="160"/>
      <c r="AJ427" s="160" t="s">
        <v>2</v>
      </c>
      <c r="AK427" s="160"/>
      <c r="AL427" s="164"/>
      <c r="AM427" s="165"/>
      <c r="AN427" s="230" t="s">
        <v>42</v>
      </c>
      <c r="AO427" s="160"/>
      <c r="AP427" s="160" t="s">
        <v>2</v>
      </c>
      <c r="AQ427" s="160"/>
      <c r="AR427" s="160"/>
    </row>
    <row r="428" spans="1:44" x14ac:dyDescent="0.25">
      <c r="A428" s="430"/>
      <c r="B428" s="431"/>
      <c r="C428" s="431"/>
      <c r="D428" s="431"/>
      <c r="E428" s="431"/>
      <c r="F428" s="431"/>
      <c r="G428" s="431"/>
      <c r="H428" s="431"/>
      <c r="I428" s="432"/>
      <c r="J428" s="231"/>
      <c r="K428" s="160"/>
      <c r="L428" s="160" t="s">
        <v>4</v>
      </c>
      <c r="M428" s="160"/>
      <c r="N428" s="164"/>
      <c r="O428" s="165"/>
      <c r="P428" s="231"/>
      <c r="Q428" s="159">
        <f>Q418</f>
        <v>32460</v>
      </c>
      <c r="R428" s="160" t="s">
        <v>4</v>
      </c>
      <c r="S428" s="229"/>
      <c r="T428" s="164"/>
      <c r="U428" s="165"/>
      <c r="V428" s="231"/>
      <c r="W428" s="160">
        <f>W420</f>
        <v>52500</v>
      </c>
      <c r="X428" s="160" t="s">
        <v>4</v>
      </c>
      <c r="Y428" s="233"/>
      <c r="Z428" s="164"/>
      <c r="AA428" s="165"/>
      <c r="AB428" s="231"/>
      <c r="AC428" s="160">
        <v>24975</v>
      </c>
      <c r="AD428" s="160" t="s">
        <v>4</v>
      </c>
      <c r="AE428" s="233"/>
      <c r="AF428" s="164"/>
      <c r="AG428" s="165"/>
      <c r="AH428" s="231"/>
      <c r="AI428" s="160"/>
      <c r="AJ428" s="160" t="s">
        <v>4</v>
      </c>
      <c r="AK428" s="160"/>
      <c r="AL428" s="164"/>
      <c r="AM428" s="165"/>
      <c r="AN428" s="231"/>
      <c r="AO428" s="160"/>
      <c r="AP428" s="160" t="s">
        <v>4</v>
      </c>
      <c r="AQ428" s="160"/>
      <c r="AR428" s="160"/>
    </row>
    <row r="429" spans="1:44" x14ac:dyDescent="0.25">
      <c r="A429" s="430"/>
      <c r="B429" s="431"/>
      <c r="C429" s="431"/>
      <c r="D429" s="431"/>
      <c r="E429" s="431"/>
      <c r="F429" s="431"/>
      <c r="G429" s="431"/>
      <c r="H429" s="431"/>
      <c r="I429" s="432"/>
      <c r="J429" s="230" t="s">
        <v>43</v>
      </c>
      <c r="K429" s="160"/>
      <c r="L429" s="160" t="s">
        <v>2</v>
      </c>
      <c r="M429" s="160"/>
      <c r="N429" s="164"/>
      <c r="O429" s="165"/>
      <c r="P429" s="230" t="s">
        <v>43</v>
      </c>
      <c r="Q429" s="160">
        <v>0.73</v>
      </c>
      <c r="R429" s="160" t="s">
        <v>2</v>
      </c>
      <c r="S429" s="228">
        <f>S417</f>
        <v>68000</v>
      </c>
      <c r="T429" s="164"/>
      <c r="U429" s="165"/>
      <c r="V429" s="230" t="s">
        <v>43</v>
      </c>
      <c r="W429" s="160"/>
      <c r="X429" s="160" t="s">
        <v>2</v>
      </c>
      <c r="Y429" s="160"/>
      <c r="Z429" s="164"/>
      <c r="AA429" s="165"/>
      <c r="AB429" s="230" t="s">
        <v>43</v>
      </c>
      <c r="AC429" s="160"/>
      <c r="AD429" s="160" t="s">
        <v>2</v>
      </c>
      <c r="AE429" s="160"/>
      <c r="AF429" s="164"/>
      <c r="AG429" s="165"/>
      <c r="AH429" s="230" t="s">
        <v>43</v>
      </c>
      <c r="AI429" s="160"/>
      <c r="AJ429" s="160" t="s">
        <v>2</v>
      </c>
      <c r="AK429" s="160"/>
      <c r="AL429" s="164"/>
      <c r="AM429" s="165"/>
      <c r="AN429" s="230" t="s">
        <v>43</v>
      </c>
      <c r="AO429" s="160"/>
      <c r="AP429" s="160" t="s">
        <v>2</v>
      </c>
      <c r="AQ429" s="160"/>
      <c r="AR429" s="160"/>
    </row>
    <row r="430" spans="1:44" x14ac:dyDescent="0.25">
      <c r="A430" s="430"/>
      <c r="B430" s="431"/>
      <c r="C430" s="431"/>
      <c r="D430" s="431"/>
      <c r="E430" s="431"/>
      <c r="F430" s="431"/>
      <c r="G430" s="431"/>
      <c r="H430" s="431"/>
      <c r="I430" s="432"/>
      <c r="J430" s="231"/>
      <c r="K430" s="160"/>
      <c r="L430" s="160" t="s">
        <v>4</v>
      </c>
      <c r="M430" s="160"/>
      <c r="N430" s="164"/>
      <c r="O430" s="165"/>
      <c r="P430" s="231"/>
      <c r="Q430" s="159">
        <f>Q417</f>
        <v>10206</v>
      </c>
      <c r="R430" s="160" t="s">
        <v>4</v>
      </c>
      <c r="S430" s="229"/>
      <c r="T430" s="164"/>
      <c r="U430" s="165"/>
      <c r="V430" s="231"/>
      <c r="W430" s="160"/>
      <c r="X430" s="160" t="s">
        <v>4</v>
      </c>
      <c r="Y430" s="160"/>
      <c r="Z430" s="164"/>
      <c r="AA430" s="165"/>
      <c r="AB430" s="231"/>
      <c r="AC430" s="160"/>
      <c r="AD430" s="160" t="s">
        <v>4</v>
      </c>
      <c r="AE430" s="160"/>
      <c r="AF430" s="164"/>
      <c r="AG430" s="165"/>
      <c r="AH430" s="231"/>
      <c r="AI430" s="160"/>
      <c r="AJ430" s="160" t="s">
        <v>4</v>
      </c>
      <c r="AK430" s="160"/>
      <c r="AL430" s="164"/>
      <c r="AM430" s="165"/>
      <c r="AN430" s="231"/>
      <c r="AO430" s="160"/>
      <c r="AP430" s="160" t="s">
        <v>4</v>
      </c>
      <c r="AQ430" s="160"/>
      <c r="AR430" s="160"/>
    </row>
    <row r="431" spans="1:44" x14ac:dyDescent="0.25">
      <c r="A431" s="430"/>
      <c r="B431" s="431"/>
      <c r="C431" s="431"/>
      <c r="D431" s="431"/>
      <c r="E431" s="431"/>
      <c r="F431" s="431"/>
      <c r="G431" s="431"/>
      <c r="H431" s="431"/>
      <c r="I431" s="432"/>
      <c r="J431" s="232" t="s">
        <v>8</v>
      </c>
      <c r="K431" s="160"/>
      <c r="L431" s="160" t="s">
        <v>4</v>
      </c>
      <c r="M431" s="232"/>
      <c r="N431" s="164"/>
      <c r="O431" s="165"/>
      <c r="P431" s="232" t="s">
        <v>8</v>
      </c>
      <c r="Q431" s="160"/>
      <c r="R431" s="160" t="s">
        <v>4</v>
      </c>
      <c r="S431" s="228"/>
      <c r="T431" s="164"/>
      <c r="U431" s="165"/>
      <c r="V431" s="232" t="s">
        <v>8</v>
      </c>
      <c r="W431" s="160"/>
      <c r="X431" s="160" t="s">
        <v>4</v>
      </c>
      <c r="Y431" s="232"/>
      <c r="Z431" s="164"/>
      <c r="AA431" s="165"/>
      <c r="AB431" s="232" t="s">
        <v>8</v>
      </c>
      <c r="AC431" s="160"/>
      <c r="AD431" s="160" t="s">
        <v>4</v>
      </c>
      <c r="AE431" s="232"/>
      <c r="AF431" s="164"/>
      <c r="AG431" s="165"/>
      <c r="AH431" s="232" t="s">
        <v>8</v>
      </c>
      <c r="AI431" s="160"/>
      <c r="AJ431" s="160" t="s">
        <v>4</v>
      </c>
      <c r="AK431" s="232"/>
      <c r="AL431" s="164"/>
      <c r="AM431" s="165"/>
      <c r="AN431" s="232" t="s">
        <v>8</v>
      </c>
      <c r="AO431" s="160"/>
      <c r="AP431" s="160" t="s">
        <v>4</v>
      </c>
      <c r="AQ431" s="232"/>
      <c r="AR431" s="232"/>
    </row>
    <row r="432" spans="1:44" x14ac:dyDescent="0.25">
      <c r="A432" s="430"/>
      <c r="B432" s="431"/>
      <c r="C432" s="431"/>
      <c r="D432" s="431"/>
      <c r="E432" s="431"/>
      <c r="F432" s="431"/>
      <c r="G432" s="431"/>
      <c r="H432" s="431"/>
      <c r="I432" s="432"/>
      <c r="J432" s="233"/>
      <c r="K432" s="160"/>
      <c r="L432" s="160" t="s">
        <v>2</v>
      </c>
      <c r="M432" s="233"/>
      <c r="N432" s="164"/>
      <c r="O432" s="165"/>
      <c r="P432" s="233"/>
      <c r="Q432" s="160"/>
      <c r="R432" s="160" t="s">
        <v>2</v>
      </c>
      <c r="S432" s="229"/>
      <c r="T432" s="164"/>
      <c r="U432" s="165"/>
      <c r="V432" s="233"/>
      <c r="W432" s="160"/>
      <c r="X432" s="160" t="s">
        <v>2</v>
      </c>
      <c r="Y432" s="233"/>
      <c r="Z432" s="164"/>
      <c r="AA432" s="165"/>
      <c r="AB432" s="233"/>
      <c r="AC432" s="160"/>
      <c r="AD432" s="160" t="s">
        <v>2</v>
      </c>
      <c r="AE432" s="233"/>
      <c r="AF432" s="164"/>
      <c r="AG432" s="165"/>
      <c r="AH432" s="233"/>
      <c r="AI432" s="160"/>
      <c r="AJ432" s="160" t="s">
        <v>2</v>
      </c>
      <c r="AK432" s="233"/>
      <c r="AL432" s="164"/>
      <c r="AM432" s="165"/>
      <c r="AN432" s="233"/>
      <c r="AO432" s="160"/>
      <c r="AP432" s="160" t="s">
        <v>2</v>
      </c>
      <c r="AQ432" s="233"/>
      <c r="AR432" s="233"/>
    </row>
    <row r="433" spans="1:44" ht="42.75" x14ac:dyDescent="0.25">
      <c r="A433" s="430"/>
      <c r="B433" s="431"/>
      <c r="C433" s="431"/>
      <c r="D433" s="431"/>
      <c r="E433" s="431"/>
      <c r="F433" s="431"/>
      <c r="G433" s="431"/>
      <c r="H433" s="431"/>
      <c r="I433" s="432"/>
      <c r="J433" s="166" t="s">
        <v>9</v>
      </c>
      <c r="K433" s="160"/>
      <c r="L433" s="160" t="s">
        <v>10</v>
      </c>
      <c r="M433" s="160"/>
      <c r="N433" s="164"/>
      <c r="O433" s="165"/>
      <c r="P433" s="166" t="s">
        <v>9</v>
      </c>
      <c r="Q433" s="160"/>
      <c r="R433" s="160" t="s">
        <v>10</v>
      </c>
      <c r="S433" s="163"/>
      <c r="T433" s="164"/>
      <c r="U433" s="165"/>
      <c r="V433" s="166" t="s">
        <v>9</v>
      </c>
      <c r="W433" s="160"/>
      <c r="X433" s="160" t="s">
        <v>10</v>
      </c>
      <c r="Y433" s="160"/>
      <c r="Z433" s="164"/>
      <c r="AA433" s="165"/>
      <c r="AB433" s="166" t="s">
        <v>9</v>
      </c>
      <c r="AC433" s="160"/>
      <c r="AD433" s="160" t="s">
        <v>10</v>
      </c>
      <c r="AE433" s="160"/>
      <c r="AF433" s="164"/>
      <c r="AG433" s="165"/>
      <c r="AH433" s="166" t="s">
        <v>9</v>
      </c>
      <c r="AI433" s="160"/>
      <c r="AJ433" s="160" t="s">
        <v>10</v>
      </c>
      <c r="AK433" s="160"/>
      <c r="AL433" s="164"/>
      <c r="AM433" s="165"/>
      <c r="AN433" s="166" t="s">
        <v>9</v>
      </c>
      <c r="AO433" s="160"/>
      <c r="AP433" s="160" t="s">
        <v>10</v>
      </c>
      <c r="AQ433" s="160"/>
      <c r="AR433" s="160"/>
    </row>
    <row r="434" spans="1:44" ht="28.5" x14ac:dyDescent="0.25">
      <c r="A434" s="430"/>
      <c r="B434" s="431"/>
      <c r="C434" s="431"/>
      <c r="D434" s="431"/>
      <c r="E434" s="431"/>
      <c r="F434" s="431"/>
      <c r="G434" s="431"/>
      <c r="H434" s="431"/>
      <c r="I434" s="432"/>
      <c r="J434" s="166" t="s">
        <v>44</v>
      </c>
      <c r="K434" s="160"/>
      <c r="L434" s="160" t="s">
        <v>10</v>
      </c>
      <c r="M434" s="160"/>
      <c r="N434" s="164"/>
      <c r="O434" s="165"/>
      <c r="P434" s="166" t="s">
        <v>44</v>
      </c>
      <c r="Q434" s="160"/>
      <c r="R434" s="160" t="s">
        <v>10</v>
      </c>
      <c r="S434" s="163"/>
      <c r="T434" s="164"/>
      <c r="U434" s="165"/>
      <c r="V434" s="166" t="s">
        <v>44</v>
      </c>
      <c r="W434" s="160"/>
      <c r="X434" s="160" t="s">
        <v>10</v>
      </c>
      <c r="Y434" s="160"/>
      <c r="Z434" s="164"/>
      <c r="AA434" s="165"/>
      <c r="AB434" s="166" t="s">
        <v>44</v>
      </c>
      <c r="AC434" s="160"/>
      <c r="AD434" s="160" t="s">
        <v>10</v>
      </c>
      <c r="AE434" s="160"/>
      <c r="AF434" s="164"/>
      <c r="AG434" s="165"/>
      <c r="AH434" s="166" t="s">
        <v>44</v>
      </c>
      <c r="AI434" s="160"/>
      <c r="AJ434" s="160" t="s">
        <v>10</v>
      </c>
      <c r="AK434" s="160"/>
      <c r="AL434" s="164"/>
      <c r="AM434" s="165"/>
      <c r="AN434" s="166" t="s">
        <v>44</v>
      </c>
      <c r="AO434" s="160"/>
      <c r="AP434" s="160" t="s">
        <v>10</v>
      </c>
      <c r="AQ434" s="160"/>
      <c r="AR434" s="160"/>
    </row>
    <row r="435" spans="1:44" ht="42.75" x14ac:dyDescent="0.25">
      <c r="A435" s="430"/>
      <c r="B435" s="431"/>
      <c r="C435" s="431"/>
      <c r="D435" s="431"/>
      <c r="E435" s="431"/>
      <c r="F435" s="431"/>
      <c r="G435" s="431"/>
      <c r="H435" s="431"/>
      <c r="I435" s="432"/>
      <c r="J435" s="166" t="s">
        <v>11</v>
      </c>
      <c r="K435" s="160"/>
      <c r="L435" s="160" t="s">
        <v>12</v>
      </c>
      <c r="M435" s="160"/>
      <c r="N435" s="164"/>
      <c r="O435" s="165"/>
      <c r="P435" s="166" t="s">
        <v>11</v>
      </c>
      <c r="Q435" s="160"/>
      <c r="R435" s="160" t="s">
        <v>12</v>
      </c>
      <c r="S435" s="163"/>
      <c r="T435" s="164"/>
      <c r="U435" s="165"/>
      <c r="V435" s="166" t="s">
        <v>11</v>
      </c>
      <c r="W435" s="160"/>
      <c r="X435" s="160" t="s">
        <v>12</v>
      </c>
      <c r="Y435" s="160"/>
      <c r="Z435" s="164"/>
      <c r="AA435" s="165"/>
      <c r="AB435" s="166" t="s">
        <v>11</v>
      </c>
      <c r="AC435" s="160"/>
      <c r="AD435" s="160" t="s">
        <v>12</v>
      </c>
      <c r="AE435" s="160"/>
      <c r="AF435" s="164"/>
      <c r="AG435" s="165"/>
      <c r="AH435" s="166" t="s">
        <v>11</v>
      </c>
      <c r="AI435" s="160"/>
      <c r="AJ435" s="160" t="s">
        <v>12</v>
      </c>
      <c r="AK435" s="160"/>
      <c r="AL435" s="164"/>
      <c r="AM435" s="165"/>
      <c r="AN435" s="166" t="s">
        <v>11</v>
      </c>
      <c r="AO435" s="160"/>
      <c r="AP435" s="160" t="s">
        <v>12</v>
      </c>
      <c r="AQ435" s="160"/>
      <c r="AR435" s="160"/>
    </row>
    <row r="436" spans="1:44" x14ac:dyDescent="0.25">
      <c r="A436" s="430"/>
      <c r="B436" s="431"/>
      <c r="C436" s="431"/>
      <c r="D436" s="431"/>
      <c r="E436" s="431"/>
      <c r="F436" s="431"/>
      <c r="G436" s="431"/>
      <c r="H436" s="431"/>
      <c r="I436" s="432"/>
      <c r="J436" s="166" t="s">
        <v>13</v>
      </c>
      <c r="K436" s="159"/>
      <c r="L436" s="160" t="s">
        <v>4</v>
      </c>
      <c r="M436" s="159"/>
      <c r="N436" s="164"/>
      <c r="O436" s="165"/>
      <c r="P436" s="166" t="s">
        <v>13</v>
      </c>
      <c r="Q436" s="160"/>
      <c r="R436" s="160" t="s">
        <v>4</v>
      </c>
      <c r="S436" s="163"/>
      <c r="T436" s="164"/>
      <c r="U436" s="165"/>
      <c r="V436" s="166" t="s">
        <v>13</v>
      </c>
      <c r="W436" s="160"/>
      <c r="X436" s="160" t="s">
        <v>4</v>
      </c>
      <c r="Y436" s="160"/>
      <c r="Z436" s="164"/>
      <c r="AA436" s="165"/>
      <c r="AB436" s="166" t="s">
        <v>13</v>
      </c>
      <c r="AC436" s="160"/>
      <c r="AD436" s="160" t="s">
        <v>4</v>
      </c>
      <c r="AE436" s="160"/>
      <c r="AF436" s="164"/>
      <c r="AG436" s="165"/>
      <c r="AH436" s="166" t="s">
        <v>13</v>
      </c>
      <c r="AI436" s="159"/>
      <c r="AJ436" s="160" t="s">
        <v>4</v>
      </c>
      <c r="AK436" s="160"/>
      <c r="AL436" s="164"/>
      <c r="AM436" s="165"/>
      <c r="AN436" s="166" t="s">
        <v>13</v>
      </c>
      <c r="AO436" s="160"/>
      <c r="AP436" s="160" t="s">
        <v>4</v>
      </c>
      <c r="AQ436" s="160"/>
      <c r="AR436" s="160"/>
    </row>
    <row r="437" spans="1:44" ht="28.5" x14ac:dyDescent="0.25">
      <c r="A437" s="430"/>
      <c r="B437" s="431"/>
      <c r="C437" s="431"/>
      <c r="D437" s="431"/>
      <c r="E437" s="431"/>
      <c r="F437" s="431"/>
      <c r="G437" s="431"/>
      <c r="H437" s="431"/>
      <c r="I437" s="432"/>
      <c r="J437" s="166" t="s">
        <v>14</v>
      </c>
      <c r="K437" s="159"/>
      <c r="L437" s="159"/>
      <c r="M437" s="159"/>
      <c r="N437" s="164"/>
      <c r="O437" s="165"/>
      <c r="P437" s="166" t="s">
        <v>14</v>
      </c>
      <c r="Q437" s="160"/>
      <c r="R437" s="160"/>
      <c r="S437" s="163"/>
      <c r="T437" s="164"/>
      <c r="U437" s="165"/>
      <c r="V437" s="166" t="s">
        <v>14</v>
      </c>
      <c r="W437" s="160"/>
      <c r="X437" s="160"/>
      <c r="Y437" s="160"/>
      <c r="Z437" s="164"/>
      <c r="AA437" s="165"/>
      <c r="AB437" s="166" t="s">
        <v>14</v>
      </c>
      <c r="AC437" s="160"/>
      <c r="AD437" s="160"/>
      <c r="AE437" s="160"/>
      <c r="AF437" s="164"/>
      <c r="AG437" s="165"/>
      <c r="AH437" s="166" t="s">
        <v>14</v>
      </c>
      <c r="AI437" s="160"/>
      <c r="AJ437" s="160"/>
      <c r="AK437" s="160"/>
      <c r="AL437" s="164"/>
      <c r="AM437" s="165"/>
      <c r="AN437" s="166" t="s">
        <v>14</v>
      </c>
      <c r="AO437" s="160"/>
      <c r="AP437" s="160"/>
      <c r="AQ437" s="160"/>
      <c r="AR437" s="160"/>
    </row>
    <row r="438" spans="1:44" ht="42.75" x14ac:dyDescent="0.25">
      <c r="A438" s="430"/>
      <c r="B438" s="431"/>
      <c r="C438" s="431"/>
      <c r="D438" s="431"/>
      <c r="E438" s="431"/>
      <c r="F438" s="431"/>
      <c r="G438" s="431"/>
      <c r="H438" s="431"/>
      <c r="I438" s="432"/>
      <c r="J438" s="166" t="s">
        <v>46</v>
      </c>
      <c r="K438" s="159"/>
      <c r="L438" s="160" t="s">
        <v>12</v>
      </c>
      <c r="M438" s="159"/>
      <c r="N438" s="164"/>
      <c r="O438" s="167"/>
      <c r="P438" s="166" t="s">
        <v>46</v>
      </c>
      <c r="Q438" s="160"/>
      <c r="R438" s="160" t="s">
        <v>12</v>
      </c>
      <c r="S438" s="163"/>
      <c r="T438" s="164"/>
      <c r="U438" s="167"/>
      <c r="V438" s="166" t="s">
        <v>46</v>
      </c>
      <c r="W438" s="160"/>
      <c r="X438" s="160" t="s">
        <v>12</v>
      </c>
      <c r="Y438" s="160"/>
      <c r="Z438" s="164"/>
      <c r="AA438" s="167"/>
      <c r="AB438" s="166" t="s">
        <v>46</v>
      </c>
      <c r="AC438" s="160"/>
      <c r="AD438" s="160" t="s">
        <v>12</v>
      </c>
      <c r="AE438" s="160"/>
      <c r="AF438" s="164"/>
      <c r="AG438" s="167"/>
      <c r="AH438" s="166" t="s">
        <v>46</v>
      </c>
      <c r="AI438" s="159"/>
      <c r="AJ438" s="160" t="s">
        <v>12</v>
      </c>
      <c r="AK438" s="160"/>
      <c r="AL438" s="164"/>
      <c r="AM438" s="167"/>
      <c r="AN438" s="166" t="s">
        <v>46</v>
      </c>
      <c r="AO438" s="160"/>
      <c r="AP438" s="160" t="s">
        <v>12</v>
      </c>
      <c r="AQ438" s="160"/>
      <c r="AR438" s="160"/>
    </row>
    <row r="439" spans="1:44" ht="42.75" x14ac:dyDescent="0.25">
      <c r="A439" s="433"/>
      <c r="B439" s="434"/>
      <c r="C439" s="434"/>
      <c r="D439" s="434"/>
      <c r="E439" s="434"/>
      <c r="F439" s="434"/>
      <c r="G439" s="434"/>
      <c r="H439" s="434"/>
      <c r="I439" s="435"/>
      <c r="J439" s="166" t="s">
        <v>233</v>
      </c>
      <c r="K439" s="159"/>
      <c r="L439" s="159" t="s">
        <v>10</v>
      </c>
      <c r="M439" s="159"/>
      <c r="N439" s="164"/>
      <c r="O439" s="167"/>
      <c r="P439" s="166" t="s">
        <v>45</v>
      </c>
      <c r="Q439" s="160"/>
      <c r="R439" s="160"/>
      <c r="S439" s="163"/>
      <c r="T439" s="164"/>
      <c r="U439" s="167"/>
      <c r="V439" s="166" t="s">
        <v>45</v>
      </c>
      <c r="W439" s="160"/>
      <c r="X439" s="160"/>
      <c r="Y439" s="160"/>
      <c r="Z439" s="164"/>
      <c r="AA439" s="167"/>
      <c r="AB439" s="166" t="s">
        <v>45</v>
      </c>
      <c r="AC439" s="160"/>
      <c r="AD439" s="160"/>
      <c r="AE439" s="160"/>
      <c r="AF439" s="164"/>
      <c r="AG439" s="167"/>
      <c r="AH439" s="166" t="s">
        <v>45</v>
      </c>
      <c r="AI439" s="160"/>
      <c r="AJ439" s="160"/>
      <c r="AK439" s="160"/>
      <c r="AL439" s="164"/>
      <c r="AM439" s="167"/>
      <c r="AN439" s="166" t="s">
        <v>45</v>
      </c>
      <c r="AO439" s="160"/>
      <c r="AP439" s="160"/>
      <c r="AQ439" s="160"/>
      <c r="AR439" s="160"/>
    </row>
    <row r="440" spans="1:44" x14ac:dyDescent="0.2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</row>
    <row r="441" spans="1:44" x14ac:dyDescent="0.2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</row>
    <row r="442" spans="1:44" x14ac:dyDescent="0.2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</row>
    <row r="443" spans="1:44" x14ac:dyDescent="0.2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</row>
    <row r="444" spans="1:44" x14ac:dyDescent="0.2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</row>
    <row r="445" spans="1:44" x14ac:dyDescent="0.2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</row>
    <row r="446" spans="1:44" x14ac:dyDescent="0.2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</row>
    <row r="447" spans="1:44" x14ac:dyDescent="0.2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</row>
    <row r="448" spans="1:44" x14ac:dyDescent="0.2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</row>
    <row r="449" spans="1:45" ht="39.75" customHeight="1" x14ac:dyDescent="0.25">
      <c r="A449" s="418" t="s">
        <v>301</v>
      </c>
      <c r="B449" s="418"/>
      <c r="C449" s="418"/>
      <c r="D449" s="418"/>
      <c r="E449" s="418"/>
      <c r="F449" s="418"/>
      <c r="G449" s="215"/>
      <c r="H449" s="215"/>
      <c r="I449" s="215"/>
      <c r="J449" s="215"/>
      <c r="K449" s="216">
        <f>K11+K344</f>
        <v>28.519000000000002</v>
      </c>
      <c r="L449" s="215" t="s">
        <v>2</v>
      </c>
      <c r="M449" s="216">
        <f>M11+M344</f>
        <v>703810.89486469992</v>
      </c>
      <c r="N449" s="215"/>
      <c r="O449" s="215"/>
      <c r="P449" s="215"/>
      <c r="Q449" s="216">
        <f>Q11+Q344</f>
        <v>36.260999999999996</v>
      </c>
      <c r="R449" s="215" t="s">
        <v>2</v>
      </c>
      <c r="S449" s="216">
        <f>S11+S344</f>
        <v>700320.60793519998</v>
      </c>
      <c r="T449" s="215"/>
      <c r="U449" s="215"/>
      <c r="V449" s="215"/>
      <c r="W449" s="216">
        <f>W11+W344</f>
        <v>35.93</v>
      </c>
      <c r="X449" s="215" t="s">
        <v>2</v>
      </c>
      <c r="Y449" s="216">
        <f>Y11+Y344</f>
        <v>699999.99900000019</v>
      </c>
      <c r="Z449" s="215"/>
      <c r="AA449" s="215"/>
      <c r="AB449" s="215"/>
      <c r="AC449" s="216">
        <f>AC11+AC344</f>
        <v>35.679999999999993</v>
      </c>
      <c r="AD449" s="215" t="s">
        <v>2</v>
      </c>
      <c r="AE449" s="216">
        <f>AE11+AE344</f>
        <v>700000.00099999993</v>
      </c>
      <c r="AF449" s="215"/>
      <c r="AG449" s="217"/>
      <c r="AH449" s="217"/>
      <c r="AI449" s="216">
        <f>AI11+AI344</f>
        <v>35.156000000000006</v>
      </c>
      <c r="AJ449" s="217" t="s">
        <v>2</v>
      </c>
      <c r="AK449" s="216">
        <f>AK11+AK344</f>
        <v>699999.995</v>
      </c>
      <c r="AL449" s="217"/>
      <c r="AM449" s="217"/>
      <c r="AN449" s="217"/>
      <c r="AO449" s="216">
        <f>AO11+AO344</f>
        <v>33.57</v>
      </c>
      <c r="AP449" s="217" t="s">
        <v>2</v>
      </c>
      <c r="AQ449" s="216">
        <f>AQ11+AQ344</f>
        <v>704653.67937000003</v>
      </c>
      <c r="AR449" s="217"/>
      <c r="AS449" s="219"/>
    </row>
  </sheetData>
  <mergeCells count="1529">
    <mergeCell ref="A449:F449"/>
    <mergeCell ref="Y431:Y432"/>
    <mergeCell ref="AB431:AB432"/>
    <mergeCell ref="AE431:AE432"/>
    <mergeCell ref="AH431:AH432"/>
    <mergeCell ref="AK431:AK432"/>
    <mergeCell ref="AN431:AN432"/>
    <mergeCell ref="AQ431:AQ432"/>
    <mergeCell ref="AR431:AR432"/>
    <mergeCell ref="A328:E328"/>
    <mergeCell ref="A340:E340"/>
    <mergeCell ref="A344:E344"/>
    <mergeCell ref="A343:E343"/>
    <mergeCell ref="A422:C422"/>
    <mergeCell ref="A423:I439"/>
    <mergeCell ref="J423:J424"/>
    <mergeCell ref="M423:M424"/>
    <mergeCell ref="P423:P424"/>
    <mergeCell ref="V423:V424"/>
    <mergeCell ref="AB423:AB424"/>
    <mergeCell ref="AH423:AH424"/>
    <mergeCell ref="AK423:AK424"/>
    <mergeCell ref="AN423:AN424"/>
    <mergeCell ref="J425:J426"/>
    <mergeCell ref="P425:P426"/>
    <mergeCell ref="V425:V426"/>
    <mergeCell ref="AB425:AB426"/>
    <mergeCell ref="AH425:AH426"/>
    <mergeCell ref="AN425:AN426"/>
    <mergeCell ref="V427:V428"/>
    <mergeCell ref="Y427:Y428"/>
    <mergeCell ref="AB427:AB428"/>
    <mergeCell ref="AE427:AE428"/>
    <mergeCell ref="AH427:AH428"/>
    <mergeCell ref="AN427:AN428"/>
    <mergeCell ref="J429:J430"/>
    <mergeCell ref="P429:P430"/>
    <mergeCell ref="S429:S430"/>
    <mergeCell ref="V429:V430"/>
    <mergeCell ref="AB429:AB430"/>
    <mergeCell ref="AH429:AH430"/>
    <mergeCell ref="AN429:AN430"/>
    <mergeCell ref="J431:J432"/>
    <mergeCell ref="M431:M432"/>
    <mergeCell ref="P431:P432"/>
    <mergeCell ref="S407:S408"/>
    <mergeCell ref="V407:V408"/>
    <mergeCell ref="Y407:Y408"/>
    <mergeCell ref="AB407:AB408"/>
    <mergeCell ref="AE407:AE408"/>
    <mergeCell ref="AH407:AH408"/>
    <mergeCell ref="AK407:AK408"/>
    <mergeCell ref="AN407:AN408"/>
    <mergeCell ref="AB403:AB404"/>
    <mergeCell ref="AH403:AH404"/>
    <mergeCell ref="AN403:AN404"/>
    <mergeCell ref="J405:J406"/>
    <mergeCell ref="P405:P406"/>
    <mergeCell ref="V405:V406"/>
    <mergeCell ref="AB405:AB406"/>
    <mergeCell ref="AH405:AH406"/>
    <mergeCell ref="AN405:AN406"/>
    <mergeCell ref="J407:J408"/>
    <mergeCell ref="M407:M408"/>
    <mergeCell ref="P407:P408"/>
    <mergeCell ref="AQ407:AQ408"/>
    <mergeCell ref="AR407:AR408"/>
    <mergeCell ref="B416:R416"/>
    <mergeCell ref="A418:A419"/>
    <mergeCell ref="B418:B419"/>
    <mergeCell ref="C418:C419"/>
    <mergeCell ref="D418:D419"/>
    <mergeCell ref="E418:E419"/>
    <mergeCell ref="F418:F419"/>
    <mergeCell ref="G418:G419"/>
    <mergeCell ref="H418:H419"/>
    <mergeCell ref="I418:I419"/>
    <mergeCell ref="J418:J419"/>
    <mergeCell ref="K418:K419"/>
    <mergeCell ref="L418:L419"/>
    <mergeCell ref="M418:M419"/>
    <mergeCell ref="P418:P419"/>
    <mergeCell ref="Q418:Q419"/>
    <mergeCell ref="R418:R419"/>
    <mergeCell ref="S418:S419"/>
    <mergeCell ref="AH381:AH382"/>
    <mergeCell ref="AN381:AN382"/>
    <mergeCell ref="J383:J384"/>
    <mergeCell ref="P383:P384"/>
    <mergeCell ref="V383:V384"/>
    <mergeCell ref="AB383:AB384"/>
    <mergeCell ref="AH383:AH384"/>
    <mergeCell ref="AN383:AN384"/>
    <mergeCell ref="J385:J386"/>
    <mergeCell ref="M385:M386"/>
    <mergeCell ref="P385:P386"/>
    <mergeCell ref="S385:S386"/>
    <mergeCell ref="AQ385:AQ386"/>
    <mergeCell ref="AR385:AR386"/>
    <mergeCell ref="A394:R394"/>
    <mergeCell ref="A398:C398"/>
    <mergeCell ref="A399:I415"/>
    <mergeCell ref="J399:J400"/>
    <mergeCell ref="P399:P400"/>
    <mergeCell ref="V399:V400"/>
    <mergeCell ref="AB399:AB400"/>
    <mergeCell ref="AH399:AH400"/>
    <mergeCell ref="AN399:AN400"/>
    <mergeCell ref="J401:J402"/>
    <mergeCell ref="P401:P402"/>
    <mergeCell ref="V401:V402"/>
    <mergeCell ref="AB401:AB402"/>
    <mergeCell ref="AH401:AH402"/>
    <mergeCell ref="AN401:AN402"/>
    <mergeCell ref="J403:J404"/>
    <mergeCell ref="P403:P404"/>
    <mergeCell ref="V403:V404"/>
    <mergeCell ref="J353:J354"/>
    <mergeCell ref="M353:M354"/>
    <mergeCell ref="P353:P354"/>
    <mergeCell ref="S353:S354"/>
    <mergeCell ref="V353:V354"/>
    <mergeCell ref="Y353:Y354"/>
    <mergeCell ref="AB353:AB354"/>
    <mergeCell ref="AE353:AE354"/>
    <mergeCell ref="AH353:AH354"/>
    <mergeCell ref="AK353:AK354"/>
    <mergeCell ref="AN353:AN354"/>
    <mergeCell ref="AQ353:AQ354"/>
    <mergeCell ref="AR353:AR354"/>
    <mergeCell ref="A363:S363"/>
    <mergeCell ref="A376:C376"/>
    <mergeCell ref="A377:I393"/>
    <mergeCell ref="J377:J378"/>
    <mergeCell ref="P377:P378"/>
    <mergeCell ref="V377:V378"/>
    <mergeCell ref="AB377:AB378"/>
    <mergeCell ref="AH377:AH378"/>
    <mergeCell ref="AN377:AN378"/>
    <mergeCell ref="J379:J380"/>
    <mergeCell ref="P379:P380"/>
    <mergeCell ref="V379:V380"/>
    <mergeCell ref="AB379:AB380"/>
    <mergeCell ref="AH379:AH380"/>
    <mergeCell ref="AN379:AN380"/>
    <mergeCell ref="J381:J382"/>
    <mergeCell ref="P381:P382"/>
    <mergeCell ref="V381:V382"/>
    <mergeCell ref="AB381:AB382"/>
    <mergeCell ref="AQ345:AQ346"/>
    <mergeCell ref="J347:J348"/>
    <mergeCell ref="P347:P348"/>
    <mergeCell ref="V347:V348"/>
    <mergeCell ref="AB347:AB348"/>
    <mergeCell ref="AH347:AH348"/>
    <mergeCell ref="AN347:AN348"/>
    <mergeCell ref="J349:J350"/>
    <mergeCell ref="P349:P350"/>
    <mergeCell ref="S349:S350"/>
    <mergeCell ref="V349:V350"/>
    <mergeCell ref="Y349:Y350"/>
    <mergeCell ref="AB349:AB350"/>
    <mergeCell ref="AE349:AE350"/>
    <mergeCell ref="AH349:AH350"/>
    <mergeCell ref="AN349:AN350"/>
    <mergeCell ref="J351:J352"/>
    <mergeCell ref="M351:M352"/>
    <mergeCell ref="P351:P352"/>
    <mergeCell ref="S351:S352"/>
    <mergeCell ref="V351:V352"/>
    <mergeCell ref="AB351:AB352"/>
    <mergeCell ref="AH351:AH352"/>
    <mergeCell ref="AN351:AN352"/>
    <mergeCell ref="AC262:AC267"/>
    <mergeCell ref="AD262:AD267"/>
    <mergeCell ref="AE262:AE267"/>
    <mergeCell ref="AF262:AF267"/>
    <mergeCell ref="AG262:AG267"/>
    <mergeCell ref="D268:D270"/>
    <mergeCell ref="E268:E270"/>
    <mergeCell ref="Z268:Z270"/>
    <mergeCell ref="AA268:AA270"/>
    <mergeCell ref="AB268:AB270"/>
    <mergeCell ref="AC268:AC270"/>
    <mergeCell ref="AD268:AD270"/>
    <mergeCell ref="AE268:AE270"/>
    <mergeCell ref="AB271:AB273"/>
    <mergeCell ref="AD271:AD273"/>
    <mergeCell ref="AE271:AE273"/>
    <mergeCell ref="AF289:AF291"/>
    <mergeCell ref="AG289:AG291"/>
    <mergeCell ref="AB257:AB261"/>
    <mergeCell ref="AC257:AC261"/>
    <mergeCell ref="AD257:AD261"/>
    <mergeCell ref="AE257:AE261"/>
    <mergeCell ref="AF257:AF261"/>
    <mergeCell ref="AG257:AG261"/>
    <mergeCell ref="AH257:AH258"/>
    <mergeCell ref="AK257:AK258"/>
    <mergeCell ref="A262:A267"/>
    <mergeCell ref="B262:B267"/>
    <mergeCell ref="C262:C267"/>
    <mergeCell ref="D262:D267"/>
    <mergeCell ref="E262:E267"/>
    <mergeCell ref="F262:F267"/>
    <mergeCell ref="G262:G267"/>
    <mergeCell ref="H262:H267"/>
    <mergeCell ref="I262:I267"/>
    <mergeCell ref="J262:J267"/>
    <mergeCell ref="K262:K267"/>
    <mergeCell ref="L262:L267"/>
    <mergeCell ref="M262:M267"/>
    <mergeCell ref="N262:N267"/>
    <mergeCell ref="O262:O267"/>
    <mergeCell ref="P262:P263"/>
    <mergeCell ref="S262:S263"/>
    <mergeCell ref="T262:T267"/>
    <mergeCell ref="U262:U267"/>
    <mergeCell ref="V262:V267"/>
    <mergeCell ref="W262:W267"/>
    <mergeCell ref="X262:X267"/>
    <mergeCell ref="Y262:Y267"/>
    <mergeCell ref="Z262:Z267"/>
    <mergeCell ref="A257:A261"/>
    <mergeCell ref="B257:B261"/>
    <mergeCell ref="C257:C261"/>
    <mergeCell ref="D257:D261"/>
    <mergeCell ref="E257:E261"/>
    <mergeCell ref="F257:F261"/>
    <mergeCell ref="G257:G261"/>
    <mergeCell ref="H257:H261"/>
    <mergeCell ref="I257:I261"/>
    <mergeCell ref="J257:J261"/>
    <mergeCell ref="K257:K261"/>
    <mergeCell ref="L257:L261"/>
    <mergeCell ref="M257:M261"/>
    <mergeCell ref="N257:N261"/>
    <mergeCell ref="O257:O261"/>
    <mergeCell ref="P257:P258"/>
    <mergeCell ref="S257:S258"/>
    <mergeCell ref="AH248:AH249"/>
    <mergeCell ref="AK248:AK249"/>
    <mergeCell ref="A251:A256"/>
    <mergeCell ref="B251:B256"/>
    <mergeCell ref="C251:C256"/>
    <mergeCell ref="D251:D256"/>
    <mergeCell ref="E251:E256"/>
    <mergeCell ref="F251:F256"/>
    <mergeCell ref="G251:G256"/>
    <mergeCell ref="H251:H256"/>
    <mergeCell ref="I251:I256"/>
    <mergeCell ref="J251:J256"/>
    <mergeCell ref="K251:K256"/>
    <mergeCell ref="L251:L256"/>
    <mergeCell ref="M251:M256"/>
    <mergeCell ref="N251:N256"/>
    <mergeCell ref="O251:O256"/>
    <mergeCell ref="P251:P252"/>
    <mergeCell ref="S251:S252"/>
    <mergeCell ref="AA251:AA256"/>
    <mergeCell ref="AB251:AB256"/>
    <mergeCell ref="AC251:AC256"/>
    <mergeCell ref="AD251:AD256"/>
    <mergeCell ref="AE251:AE256"/>
    <mergeCell ref="AF251:AF256"/>
    <mergeCell ref="AG251:AG256"/>
    <mergeCell ref="C248:C250"/>
    <mergeCell ref="D248:D250"/>
    <mergeCell ref="E248:E250"/>
    <mergeCell ref="F248:F250"/>
    <mergeCell ref="G248:G250"/>
    <mergeCell ref="H248:H250"/>
    <mergeCell ref="I248:I250"/>
    <mergeCell ref="J248:J250"/>
    <mergeCell ref="K248:K250"/>
    <mergeCell ref="L248:L250"/>
    <mergeCell ref="M248:M250"/>
    <mergeCell ref="N248:N250"/>
    <mergeCell ref="O248:O250"/>
    <mergeCell ref="P248:P249"/>
    <mergeCell ref="S248:S249"/>
    <mergeCell ref="AF248:AF250"/>
    <mergeCell ref="AG248:AG250"/>
    <mergeCell ref="AG238:AG241"/>
    <mergeCell ref="AH238:AH239"/>
    <mergeCell ref="AK238:AK239"/>
    <mergeCell ref="A242:A247"/>
    <mergeCell ref="B242:B247"/>
    <mergeCell ref="C242:C247"/>
    <mergeCell ref="D242:D247"/>
    <mergeCell ref="E242:E247"/>
    <mergeCell ref="F242:F247"/>
    <mergeCell ref="G242:G247"/>
    <mergeCell ref="H242:H247"/>
    <mergeCell ref="I242:I247"/>
    <mergeCell ref="J242:J247"/>
    <mergeCell ref="K242:K247"/>
    <mergeCell ref="L242:L247"/>
    <mergeCell ref="M242:M247"/>
    <mergeCell ref="N242:N247"/>
    <mergeCell ref="O242:O247"/>
    <mergeCell ref="P242:P243"/>
    <mergeCell ref="S242:S243"/>
    <mergeCell ref="AF242:AF247"/>
    <mergeCell ref="AG242:AG247"/>
    <mergeCell ref="AH242:AH243"/>
    <mergeCell ref="AK242:AK243"/>
    <mergeCell ref="D235:D237"/>
    <mergeCell ref="E235:E237"/>
    <mergeCell ref="F235:F237"/>
    <mergeCell ref="G235:G237"/>
    <mergeCell ref="H235:H237"/>
    <mergeCell ref="I235:I237"/>
    <mergeCell ref="J235:J236"/>
    <mergeCell ref="M235:M236"/>
    <mergeCell ref="Z235:Z237"/>
    <mergeCell ref="AA235:AA237"/>
    <mergeCell ref="AB235:AB236"/>
    <mergeCell ref="AE235:AE236"/>
    <mergeCell ref="AF235:AF237"/>
    <mergeCell ref="AG235:AG237"/>
    <mergeCell ref="AH235:AH236"/>
    <mergeCell ref="AK235:AK236"/>
    <mergeCell ref="A238:A241"/>
    <mergeCell ref="B238:B241"/>
    <mergeCell ref="C238:C241"/>
    <mergeCell ref="D238:D241"/>
    <mergeCell ref="E238:E241"/>
    <mergeCell ref="F238:F241"/>
    <mergeCell ref="G238:G241"/>
    <mergeCell ref="H238:H241"/>
    <mergeCell ref="I238:I241"/>
    <mergeCell ref="J238:J239"/>
    <mergeCell ref="M238:M239"/>
    <mergeCell ref="Z238:Z241"/>
    <mergeCell ref="AA238:AA241"/>
    <mergeCell ref="AB238:AB239"/>
    <mergeCell ref="AE238:AE239"/>
    <mergeCell ref="AF238:AF241"/>
    <mergeCell ref="AL224:AL228"/>
    <mergeCell ref="A224:A228"/>
    <mergeCell ref="B224:B228"/>
    <mergeCell ref="C224:C228"/>
    <mergeCell ref="D224:D228"/>
    <mergeCell ref="E224:E228"/>
    <mergeCell ref="F224:F228"/>
    <mergeCell ref="G224:G228"/>
    <mergeCell ref="Z224:Z228"/>
    <mergeCell ref="AA224:AA228"/>
    <mergeCell ref="AB224:AB225"/>
    <mergeCell ref="AE224:AE225"/>
    <mergeCell ref="A235:A237"/>
    <mergeCell ref="B235:B237"/>
    <mergeCell ref="C235:C237"/>
    <mergeCell ref="A229:A234"/>
    <mergeCell ref="B229:B234"/>
    <mergeCell ref="C229:C234"/>
    <mergeCell ref="D229:D234"/>
    <mergeCell ref="E229:E234"/>
    <mergeCell ref="F229:F234"/>
    <mergeCell ref="G229:G234"/>
    <mergeCell ref="Z229:Z234"/>
    <mergeCell ref="AA229:AA234"/>
    <mergeCell ref="AE229:AE230"/>
    <mergeCell ref="AL229:AL234"/>
    <mergeCell ref="AM229:AM234"/>
    <mergeCell ref="AQ229:AQ230"/>
    <mergeCell ref="N219:N223"/>
    <mergeCell ref="O219:O223"/>
    <mergeCell ref="P219:P223"/>
    <mergeCell ref="Q219:Q223"/>
    <mergeCell ref="R219:R223"/>
    <mergeCell ref="S219:S223"/>
    <mergeCell ref="T219:T223"/>
    <mergeCell ref="U219:U223"/>
    <mergeCell ref="V219:V223"/>
    <mergeCell ref="W219:W223"/>
    <mergeCell ref="X219:X223"/>
    <mergeCell ref="Y219:Y223"/>
    <mergeCell ref="Z219:Z223"/>
    <mergeCell ref="AA219:AA223"/>
    <mergeCell ref="AB219:AB220"/>
    <mergeCell ref="AE219:AE220"/>
    <mergeCell ref="R213:R218"/>
    <mergeCell ref="S213:S218"/>
    <mergeCell ref="T213:T218"/>
    <mergeCell ref="U213:U218"/>
    <mergeCell ref="V213:V218"/>
    <mergeCell ref="W213:W218"/>
    <mergeCell ref="X213:X218"/>
    <mergeCell ref="Y213:Y218"/>
    <mergeCell ref="Z213:Z218"/>
    <mergeCell ref="AA213:AA218"/>
    <mergeCell ref="AB213:AB214"/>
    <mergeCell ref="AE213:AE214"/>
    <mergeCell ref="I208:I212"/>
    <mergeCell ref="J208:J212"/>
    <mergeCell ref="AM224:AM228"/>
    <mergeCell ref="AN224:AN225"/>
    <mergeCell ref="AQ224:AQ225"/>
    <mergeCell ref="P208:P212"/>
    <mergeCell ref="Q208:Q212"/>
    <mergeCell ref="R208:R212"/>
    <mergeCell ref="S208:S212"/>
    <mergeCell ref="T208:T212"/>
    <mergeCell ref="U208:U212"/>
    <mergeCell ref="V208:V212"/>
    <mergeCell ref="W208:W212"/>
    <mergeCell ref="X208:X212"/>
    <mergeCell ref="Y208:Y212"/>
    <mergeCell ref="A213:A218"/>
    <mergeCell ref="B213:B218"/>
    <mergeCell ref="C213:C218"/>
    <mergeCell ref="D213:D218"/>
    <mergeCell ref="E213:E218"/>
    <mergeCell ref="F213:F218"/>
    <mergeCell ref="G213:G218"/>
    <mergeCell ref="H213:H218"/>
    <mergeCell ref="I213:I218"/>
    <mergeCell ref="J213:J218"/>
    <mergeCell ref="K213:K218"/>
    <mergeCell ref="L213:L218"/>
    <mergeCell ref="M213:M218"/>
    <mergeCell ref="N213:N218"/>
    <mergeCell ref="O213:O218"/>
    <mergeCell ref="P213:P218"/>
    <mergeCell ref="Q213:Q218"/>
    <mergeCell ref="X198:X202"/>
    <mergeCell ref="Y198:Y202"/>
    <mergeCell ref="AE208:AE209"/>
    <mergeCell ref="Z198:Z202"/>
    <mergeCell ref="AA198:AA202"/>
    <mergeCell ref="AB198:AB199"/>
    <mergeCell ref="AE198:AE199"/>
    <mergeCell ref="A203:A207"/>
    <mergeCell ref="B203:B207"/>
    <mergeCell ref="C203:C207"/>
    <mergeCell ref="D203:D207"/>
    <mergeCell ref="E203:E207"/>
    <mergeCell ref="F203:F207"/>
    <mergeCell ref="G203:G207"/>
    <mergeCell ref="H203:H207"/>
    <mergeCell ref="I203:I207"/>
    <mergeCell ref="J203:J207"/>
    <mergeCell ref="K203:K207"/>
    <mergeCell ref="L203:L207"/>
    <mergeCell ref="M203:M207"/>
    <mergeCell ref="N203:N207"/>
    <mergeCell ref="O203:O207"/>
    <mergeCell ref="P203:P207"/>
    <mergeCell ref="Q203:Q207"/>
    <mergeCell ref="R203:R207"/>
    <mergeCell ref="S203:S207"/>
    <mergeCell ref="T203:T207"/>
    <mergeCell ref="U203:U207"/>
    <mergeCell ref="V203:V207"/>
    <mergeCell ref="C198:C202"/>
    <mergeCell ref="D198:D202"/>
    <mergeCell ref="F198:F202"/>
    <mergeCell ref="G198:G202"/>
    <mergeCell ref="H198:H202"/>
    <mergeCell ref="I198:I202"/>
    <mergeCell ref="J198:J202"/>
    <mergeCell ref="K198:K202"/>
    <mergeCell ref="L198:L202"/>
    <mergeCell ref="M198:M202"/>
    <mergeCell ref="N198:N202"/>
    <mergeCell ref="O198:O202"/>
    <mergeCell ref="P198:P202"/>
    <mergeCell ref="Q198:Q202"/>
    <mergeCell ref="R198:R202"/>
    <mergeCell ref="S198:S202"/>
    <mergeCell ref="T198:T202"/>
    <mergeCell ref="U198:U202"/>
    <mergeCell ref="W198:W202"/>
    <mergeCell ref="V198:V202"/>
    <mergeCell ref="T188:T192"/>
    <mergeCell ref="U188:U192"/>
    <mergeCell ref="V188:V192"/>
    <mergeCell ref="W188:W192"/>
    <mergeCell ref="X188:X192"/>
    <mergeCell ref="Y188:Y192"/>
    <mergeCell ref="Z188:Z192"/>
    <mergeCell ref="AA188:AA192"/>
    <mergeCell ref="AB188:AB189"/>
    <mergeCell ref="AE188:AE189"/>
    <mergeCell ref="A193:A197"/>
    <mergeCell ref="B193:B197"/>
    <mergeCell ref="C193:C197"/>
    <mergeCell ref="D193:D197"/>
    <mergeCell ref="E193:E197"/>
    <mergeCell ref="F193:F197"/>
    <mergeCell ref="G193:G197"/>
    <mergeCell ref="H193:H197"/>
    <mergeCell ref="I193:I197"/>
    <mergeCell ref="J193:J197"/>
    <mergeCell ref="K193:K197"/>
    <mergeCell ref="L193:L197"/>
    <mergeCell ref="M193:M197"/>
    <mergeCell ref="N193:N197"/>
    <mergeCell ref="O193:O197"/>
    <mergeCell ref="P193:P197"/>
    <mergeCell ref="Q193:Q197"/>
    <mergeCell ref="R193:R197"/>
    <mergeCell ref="S193:S197"/>
    <mergeCell ref="T193:T197"/>
    <mergeCell ref="U193:U197"/>
    <mergeCell ref="V193:V197"/>
    <mergeCell ref="S183:S187"/>
    <mergeCell ref="T183:T187"/>
    <mergeCell ref="U183:U187"/>
    <mergeCell ref="V183:V184"/>
    <mergeCell ref="Y183:Y184"/>
    <mergeCell ref="Z183:Z187"/>
    <mergeCell ref="AA183:AA187"/>
    <mergeCell ref="AB183:AB184"/>
    <mergeCell ref="AE183:AE184"/>
    <mergeCell ref="AF183:AF187"/>
    <mergeCell ref="AG183:AG187"/>
    <mergeCell ref="AH183:AH184"/>
    <mergeCell ref="AK183:AK184"/>
    <mergeCell ref="A188:A192"/>
    <mergeCell ref="B188:B192"/>
    <mergeCell ref="C188:C192"/>
    <mergeCell ref="D188:D192"/>
    <mergeCell ref="E188:E192"/>
    <mergeCell ref="F188:F192"/>
    <mergeCell ref="G188:G192"/>
    <mergeCell ref="H188:H192"/>
    <mergeCell ref="I188:I192"/>
    <mergeCell ref="J188:J192"/>
    <mergeCell ref="K188:K192"/>
    <mergeCell ref="L188:L192"/>
    <mergeCell ref="M188:M192"/>
    <mergeCell ref="N188:N192"/>
    <mergeCell ref="O188:O192"/>
    <mergeCell ref="P188:P192"/>
    <mergeCell ref="Q188:Q192"/>
    <mergeCell ref="R188:R192"/>
    <mergeCell ref="S188:S192"/>
    <mergeCell ref="R178:R182"/>
    <mergeCell ref="S178:S182"/>
    <mergeCell ref="T178:T182"/>
    <mergeCell ref="U178:U182"/>
    <mergeCell ref="V178:V179"/>
    <mergeCell ref="Y178:Y179"/>
    <mergeCell ref="Z178:Z182"/>
    <mergeCell ref="AA178:AA182"/>
    <mergeCell ref="AB178:AB179"/>
    <mergeCell ref="AE178:AE179"/>
    <mergeCell ref="AF178:AF182"/>
    <mergeCell ref="AG178:AG182"/>
    <mergeCell ref="AH178:AH179"/>
    <mergeCell ref="AK178:AK179"/>
    <mergeCell ref="A183:A187"/>
    <mergeCell ref="B183:B187"/>
    <mergeCell ref="C183:C187"/>
    <mergeCell ref="D183:D187"/>
    <mergeCell ref="E183:E187"/>
    <mergeCell ref="F183:F187"/>
    <mergeCell ref="G183:G187"/>
    <mergeCell ref="H183:H187"/>
    <mergeCell ref="I183:I187"/>
    <mergeCell ref="J183:J187"/>
    <mergeCell ref="K183:K187"/>
    <mergeCell ref="L183:L187"/>
    <mergeCell ref="M183:M187"/>
    <mergeCell ref="N183:N187"/>
    <mergeCell ref="O183:O187"/>
    <mergeCell ref="P183:P187"/>
    <mergeCell ref="Q183:Q187"/>
    <mergeCell ref="R183:R187"/>
    <mergeCell ref="A178:A182"/>
    <mergeCell ref="B178:B182"/>
    <mergeCell ref="C178:C182"/>
    <mergeCell ref="D178:D182"/>
    <mergeCell ref="E178:E182"/>
    <mergeCell ref="F178:F182"/>
    <mergeCell ref="G178:G182"/>
    <mergeCell ref="H178:H182"/>
    <mergeCell ref="I178:I182"/>
    <mergeCell ref="J178:J182"/>
    <mergeCell ref="K178:K182"/>
    <mergeCell ref="L178:L182"/>
    <mergeCell ref="M178:M182"/>
    <mergeCell ref="N178:N182"/>
    <mergeCell ref="O178:O182"/>
    <mergeCell ref="P178:P182"/>
    <mergeCell ref="Q178:Q182"/>
    <mergeCell ref="AC167:AC171"/>
    <mergeCell ref="AD167:AD171"/>
    <mergeCell ref="AE167:AE171"/>
    <mergeCell ref="AF167:AF171"/>
    <mergeCell ref="AG167:AG171"/>
    <mergeCell ref="AH167:AH168"/>
    <mergeCell ref="AK167:AK168"/>
    <mergeCell ref="A172:A177"/>
    <mergeCell ref="B172:B177"/>
    <mergeCell ref="C172:C177"/>
    <mergeCell ref="D172:D177"/>
    <mergeCell ref="E172:E177"/>
    <mergeCell ref="F172:F177"/>
    <mergeCell ref="G172:G177"/>
    <mergeCell ref="H172:H177"/>
    <mergeCell ref="I172:I177"/>
    <mergeCell ref="K172:K177"/>
    <mergeCell ref="L172:L177"/>
    <mergeCell ref="M172:M177"/>
    <mergeCell ref="N172:N177"/>
    <mergeCell ref="O172:O177"/>
    <mergeCell ref="P172:P173"/>
    <mergeCell ref="S172:S173"/>
    <mergeCell ref="T172:T177"/>
    <mergeCell ref="U172:U177"/>
    <mergeCell ref="V172:V173"/>
    <mergeCell ref="Y172:Y173"/>
    <mergeCell ref="J175:J177"/>
    <mergeCell ref="T163:T166"/>
    <mergeCell ref="Y163:Y164"/>
    <mergeCell ref="Z163:Z166"/>
    <mergeCell ref="AA163:AA166"/>
    <mergeCell ref="AB163:AB166"/>
    <mergeCell ref="AC163:AC166"/>
    <mergeCell ref="AD163:AD166"/>
    <mergeCell ref="AE163:AE166"/>
    <mergeCell ref="AF163:AF166"/>
    <mergeCell ref="AG163:AG166"/>
    <mergeCell ref="AH163:AH164"/>
    <mergeCell ref="AK163:AK164"/>
    <mergeCell ref="A167:A171"/>
    <mergeCell ref="B167:B171"/>
    <mergeCell ref="C167:C171"/>
    <mergeCell ref="D167:D171"/>
    <mergeCell ref="E167:E171"/>
    <mergeCell ref="F167:F171"/>
    <mergeCell ref="G167:G171"/>
    <mergeCell ref="H167:H171"/>
    <mergeCell ref="I167:I171"/>
    <mergeCell ref="J167:J171"/>
    <mergeCell ref="K167:K171"/>
    <mergeCell ref="L167:L171"/>
    <mergeCell ref="M167:M171"/>
    <mergeCell ref="N167:N171"/>
    <mergeCell ref="O167:O171"/>
    <mergeCell ref="P167:P171"/>
    <mergeCell ref="T167:T171"/>
    <mergeCell ref="U167:U171"/>
    <mergeCell ref="V167:V168"/>
    <mergeCell ref="Y167:Y168"/>
    <mergeCell ref="U158:U162"/>
    <mergeCell ref="V158:V159"/>
    <mergeCell ref="Y158:Y159"/>
    <mergeCell ref="Z158:Z162"/>
    <mergeCell ref="AA158:AA162"/>
    <mergeCell ref="AB158:AB162"/>
    <mergeCell ref="AC158:AC162"/>
    <mergeCell ref="AD158:AD162"/>
    <mergeCell ref="AE158:AE162"/>
    <mergeCell ref="AF158:AF162"/>
    <mergeCell ref="AG158:AG162"/>
    <mergeCell ref="AH158:AH159"/>
    <mergeCell ref="AK158:AK159"/>
    <mergeCell ref="A163:A166"/>
    <mergeCell ref="B163:B166"/>
    <mergeCell ref="C163:C166"/>
    <mergeCell ref="D163:D166"/>
    <mergeCell ref="E163:E166"/>
    <mergeCell ref="F163:F166"/>
    <mergeCell ref="G163:G166"/>
    <mergeCell ref="H163:H166"/>
    <mergeCell ref="I163:I166"/>
    <mergeCell ref="J163:J166"/>
    <mergeCell ref="K163:K166"/>
    <mergeCell ref="L163:L166"/>
    <mergeCell ref="M163:M166"/>
    <mergeCell ref="N163:N166"/>
    <mergeCell ref="O163:O166"/>
    <mergeCell ref="P163:P166"/>
    <mergeCell ref="Q163:Q166"/>
    <mergeCell ref="R163:R166"/>
    <mergeCell ref="S163:S166"/>
    <mergeCell ref="V153:V154"/>
    <mergeCell ref="Y153:Y154"/>
    <mergeCell ref="Z153:Z157"/>
    <mergeCell ref="AA153:AA157"/>
    <mergeCell ref="AB153:AB157"/>
    <mergeCell ref="AC153:AC157"/>
    <mergeCell ref="AD153:AD157"/>
    <mergeCell ref="AE153:AE157"/>
    <mergeCell ref="AF153:AF157"/>
    <mergeCell ref="AG153:AG157"/>
    <mergeCell ref="AH153:AH154"/>
    <mergeCell ref="AK153:AK154"/>
    <mergeCell ref="A158:A162"/>
    <mergeCell ref="B158:B162"/>
    <mergeCell ref="C158:C162"/>
    <mergeCell ref="D158:D162"/>
    <mergeCell ref="E158:E162"/>
    <mergeCell ref="F158:F162"/>
    <mergeCell ref="G158:G162"/>
    <mergeCell ref="H158:H162"/>
    <mergeCell ref="I158:I162"/>
    <mergeCell ref="J158:J162"/>
    <mergeCell ref="K158:K162"/>
    <mergeCell ref="L158:L162"/>
    <mergeCell ref="M158:M162"/>
    <mergeCell ref="N158:N162"/>
    <mergeCell ref="O158:O162"/>
    <mergeCell ref="P158:P162"/>
    <mergeCell ref="Q158:Q162"/>
    <mergeCell ref="R158:R162"/>
    <mergeCell ref="S158:S162"/>
    <mergeCell ref="T158:T162"/>
    <mergeCell ref="Y148:Y149"/>
    <mergeCell ref="Z148:Z152"/>
    <mergeCell ref="AA148:AA152"/>
    <mergeCell ref="AB148:AB152"/>
    <mergeCell ref="AC148:AC152"/>
    <mergeCell ref="AD148:AD152"/>
    <mergeCell ref="AE148:AE152"/>
    <mergeCell ref="AF148:AF152"/>
    <mergeCell ref="AG148:AG152"/>
    <mergeCell ref="AH148:AH149"/>
    <mergeCell ref="AK148:AK149"/>
    <mergeCell ref="A153:A157"/>
    <mergeCell ref="B153:B157"/>
    <mergeCell ref="C153:C157"/>
    <mergeCell ref="D153:D157"/>
    <mergeCell ref="E153:E157"/>
    <mergeCell ref="F153:F157"/>
    <mergeCell ref="G153:G157"/>
    <mergeCell ref="H153:H157"/>
    <mergeCell ref="I153:I157"/>
    <mergeCell ref="J153:J157"/>
    <mergeCell ref="K153:K157"/>
    <mergeCell ref="L153:L157"/>
    <mergeCell ref="M153:M157"/>
    <mergeCell ref="N153:N157"/>
    <mergeCell ref="O153:O157"/>
    <mergeCell ref="P153:P157"/>
    <mergeCell ref="Q153:Q157"/>
    <mergeCell ref="R153:R157"/>
    <mergeCell ref="S153:S157"/>
    <mergeCell ref="T153:T157"/>
    <mergeCell ref="U153:U157"/>
    <mergeCell ref="F148:F152"/>
    <mergeCell ref="G148:G152"/>
    <mergeCell ref="H148:H152"/>
    <mergeCell ref="I148:I152"/>
    <mergeCell ref="J148:J152"/>
    <mergeCell ref="K148:K152"/>
    <mergeCell ref="L148:L152"/>
    <mergeCell ref="M148:M152"/>
    <mergeCell ref="N148:N152"/>
    <mergeCell ref="O148:O152"/>
    <mergeCell ref="P148:P152"/>
    <mergeCell ref="Q148:Q152"/>
    <mergeCell ref="R148:R152"/>
    <mergeCell ref="S148:S152"/>
    <mergeCell ref="T148:T152"/>
    <mergeCell ref="U148:U152"/>
    <mergeCell ref="V148:V149"/>
    <mergeCell ref="V131:V132"/>
    <mergeCell ref="Y131:Y132"/>
    <mergeCell ref="A137:A142"/>
    <mergeCell ref="B137:B142"/>
    <mergeCell ref="C137:C142"/>
    <mergeCell ref="D137:D142"/>
    <mergeCell ref="E137:E142"/>
    <mergeCell ref="F137:F142"/>
    <mergeCell ref="G137:G142"/>
    <mergeCell ref="H137:H142"/>
    <mergeCell ref="I137:I142"/>
    <mergeCell ref="J137:J142"/>
    <mergeCell ref="K137:K142"/>
    <mergeCell ref="L137:L142"/>
    <mergeCell ref="M137:M142"/>
    <mergeCell ref="N137:N142"/>
    <mergeCell ref="O137:O142"/>
    <mergeCell ref="P137:P142"/>
    <mergeCell ref="Q137:Q142"/>
    <mergeCell ref="R137:R142"/>
    <mergeCell ref="S137:S142"/>
    <mergeCell ref="T137:T142"/>
    <mergeCell ref="U137:U142"/>
    <mergeCell ref="V137:V138"/>
    <mergeCell ref="Y137:Y138"/>
    <mergeCell ref="M127:M130"/>
    <mergeCell ref="N127:N130"/>
    <mergeCell ref="O127:O130"/>
    <mergeCell ref="P127:P130"/>
    <mergeCell ref="Q127:Q130"/>
    <mergeCell ref="R127:R130"/>
    <mergeCell ref="S127:S130"/>
    <mergeCell ref="T127:T130"/>
    <mergeCell ref="U127:U130"/>
    <mergeCell ref="V127:V128"/>
    <mergeCell ref="Y127:Y128"/>
    <mergeCell ref="A131:A136"/>
    <mergeCell ref="B131:B136"/>
    <mergeCell ref="C131:C136"/>
    <mergeCell ref="D131:D136"/>
    <mergeCell ref="E131:E136"/>
    <mergeCell ref="F131:F136"/>
    <mergeCell ref="G131:G136"/>
    <mergeCell ref="H131:H136"/>
    <mergeCell ref="I131:I136"/>
    <mergeCell ref="J131:J136"/>
    <mergeCell ref="K131:K136"/>
    <mergeCell ref="L131:L136"/>
    <mergeCell ref="M131:M136"/>
    <mergeCell ref="N131:N136"/>
    <mergeCell ref="O131:O136"/>
    <mergeCell ref="P131:P136"/>
    <mergeCell ref="Q131:Q136"/>
    <mergeCell ref="R131:R136"/>
    <mergeCell ref="S131:S136"/>
    <mergeCell ref="T131:T136"/>
    <mergeCell ref="U131:U136"/>
    <mergeCell ref="AN121:AN122"/>
    <mergeCell ref="AQ121:AQ122"/>
    <mergeCell ref="A124:A126"/>
    <mergeCell ref="B124:B126"/>
    <mergeCell ref="C124:C126"/>
    <mergeCell ref="F124:F126"/>
    <mergeCell ref="G124:G126"/>
    <mergeCell ref="N124:N126"/>
    <mergeCell ref="O124:O126"/>
    <mergeCell ref="P124:P125"/>
    <mergeCell ref="S124:S125"/>
    <mergeCell ref="AN124:AN125"/>
    <mergeCell ref="AQ124:AQ125"/>
    <mergeCell ref="K116:K120"/>
    <mergeCell ref="L116:L120"/>
    <mergeCell ref="M116:M120"/>
    <mergeCell ref="N116:N120"/>
    <mergeCell ref="O116:O120"/>
    <mergeCell ref="P116:P117"/>
    <mergeCell ref="S116:S117"/>
    <mergeCell ref="T116:T120"/>
    <mergeCell ref="U116:U120"/>
    <mergeCell ref="V116:V117"/>
    <mergeCell ref="Y116:Y117"/>
    <mergeCell ref="A121:A123"/>
    <mergeCell ref="B121:B123"/>
    <mergeCell ref="C121:C123"/>
    <mergeCell ref="F121:F123"/>
    <mergeCell ref="G121:G123"/>
    <mergeCell ref="N121:N123"/>
    <mergeCell ref="O121:O123"/>
    <mergeCell ref="P121:P122"/>
    <mergeCell ref="S121:S122"/>
    <mergeCell ref="O106:O109"/>
    <mergeCell ref="P106:P107"/>
    <mergeCell ref="S106:S107"/>
    <mergeCell ref="AB106:AB109"/>
    <mergeCell ref="AE106:AE109"/>
    <mergeCell ref="AF106:AF109"/>
    <mergeCell ref="AG106:AG109"/>
    <mergeCell ref="AH106:AH107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1"/>
    <mergeCell ref="S110:S111"/>
    <mergeCell ref="T110:T115"/>
    <mergeCell ref="U110:U115"/>
    <mergeCell ref="V110:V111"/>
    <mergeCell ref="Y110:Y111"/>
    <mergeCell ref="N106:N109"/>
    <mergeCell ref="A116:A120"/>
    <mergeCell ref="O101:O105"/>
    <mergeCell ref="P101:P102"/>
    <mergeCell ref="S101:S102"/>
    <mergeCell ref="J90:J91"/>
    <mergeCell ref="M90:M91"/>
    <mergeCell ref="N90:N94"/>
    <mergeCell ref="O90:O94"/>
    <mergeCell ref="P90:P91"/>
    <mergeCell ref="S90:S91"/>
    <mergeCell ref="A95:A100"/>
    <mergeCell ref="B95:B100"/>
    <mergeCell ref="C95:C100"/>
    <mergeCell ref="D95:D100"/>
    <mergeCell ref="E95:E100"/>
    <mergeCell ref="F95:F100"/>
    <mergeCell ref="G95:G100"/>
    <mergeCell ref="N95:N100"/>
    <mergeCell ref="O95:O100"/>
    <mergeCell ref="P95:P96"/>
    <mergeCell ref="S95:S96"/>
    <mergeCell ref="A90:A94"/>
    <mergeCell ref="B90:B94"/>
    <mergeCell ref="C90:C94"/>
    <mergeCell ref="D90:D94"/>
    <mergeCell ref="M81:M82"/>
    <mergeCell ref="N81:N84"/>
    <mergeCell ref="O81:O84"/>
    <mergeCell ref="P81:P82"/>
    <mergeCell ref="S81:S82"/>
    <mergeCell ref="A85:A89"/>
    <mergeCell ref="B85:B89"/>
    <mergeCell ref="C85:C89"/>
    <mergeCell ref="D85:D89"/>
    <mergeCell ref="E85:E89"/>
    <mergeCell ref="F85:F89"/>
    <mergeCell ref="G85:G89"/>
    <mergeCell ref="H85:H89"/>
    <mergeCell ref="I85:I89"/>
    <mergeCell ref="J85:J86"/>
    <mergeCell ref="M85:M86"/>
    <mergeCell ref="N85:N89"/>
    <mergeCell ref="O85:O89"/>
    <mergeCell ref="A81:A84"/>
    <mergeCell ref="B81:B84"/>
    <mergeCell ref="C81:C84"/>
    <mergeCell ref="D81:D84"/>
    <mergeCell ref="E81:E84"/>
    <mergeCell ref="F81:F84"/>
    <mergeCell ref="G81:G84"/>
    <mergeCell ref="H81:H84"/>
    <mergeCell ref="I81:I84"/>
    <mergeCell ref="J81:J82"/>
    <mergeCell ref="M70:M71"/>
    <mergeCell ref="AF70:AF74"/>
    <mergeCell ref="AG70:AG74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76"/>
    <mergeCell ref="M75:M76"/>
    <mergeCell ref="AF75:AF80"/>
    <mergeCell ref="AG75:AG80"/>
    <mergeCell ref="A70:A74"/>
    <mergeCell ref="B70:B74"/>
    <mergeCell ref="C70:C74"/>
    <mergeCell ref="D70:D74"/>
    <mergeCell ref="E70:E74"/>
    <mergeCell ref="F70:F74"/>
    <mergeCell ref="G70:G74"/>
    <mergeCell ref="H70:H74"/>
    <mergeCell ref="I70:I74"/>
    <mergeCell ref="M66:M67"/>
    <mergeCell ref="AF66:AF69"/>
    <mergeCell ref="AG66:AG69"/>
    <mergeCell ref="A61:A65"/>
    <mergeCell ref="B61:B65"/>
    <mergeCell ref="C61:C65"/>
    <mergeCell ref="D61:D65"/>
    <mergeCell ref="E61:E65"/>
    <mergeCell ref="F61:F65"/>
    <mergeCell ref="G61:G65"/>
    <mergeCell ref="H61:H65"/>
    <mergeCell ref="I61:I65"/>
    <mergeCell ref="J61:J62"/>
    <mergeCell ref="M61:M62"/>
    <mergeCell ref="N61:N65"/>
    <mergeCell ref="O61:O65"/>
    <mergeCell ref="P61:P65"/>
    <mergeCell ref="Q61:Q65"/>
    <mergeCell ref="R61:R65"/>
    <mergeCell ref="S61:S65"/>
    <mergeCell ref="T61:T65"/>
    <mergeCell ref="U61:U65"/>
    <mergeCell ref="V61:V62"/>
    <mergeCell ref="Y61:Y62"/>
    <mergeCell ref="Z61:Z65"/>
    <mergeCell ref="AA61:AA65"/>
    <mergeCell ref="AB61:AB62"/>
    <mergeCell ref="AE61:AE62"/>
    <mergeCell ref="A66:A69"/>
    <mergeCell ref="B66:B69"/>
    <mergeCell ref="C66:C69"/>
    <mergeCell ref="D66:D69"/>
    <mergeCell ref="N52:N55"/>
    <mergeCell ref="O52:O55"/>
    <mergeCell ref="P52:P53"/>
    <mergeCell ref="S52:S53"/>
    <mergeCell ref="A56:A60"/>
    <mergeCell ref="B56:B60"/>
    <mergeCell ref="C56:C60"/>
    <mergeCell ref="D56:D60"/>
    <mergeCell ref="E56:E60"/>
    <mergeCell ref="F56:F60"/>
    <mergeCell ref="G56:G60"/>
    <mergeCell ref="H56:H60"/>
    <mergeCell ref="I56:I60"/>
    <mergeCell ref="J56:J57"/>
    <mergeCell ref="M56:M57"/>
    <mergeCell ref="O56:O60"/>
    <mergeCell ref="P56:P57"/>
    <mergeCell ref="S56:S57"/>
    <mergeCell ref="A52:A55"/>
    <mergeCell ref="B52:B55"/>
    <mergeCell ref="C52:C55"/>
    <mergeCell ref="D52:D55"/>
    <mergeCell ref="E52:E55"/>
    <mergeCell ref="F52:F55"/>
    <mergeCell ref="G52:G55"/>
    <mergeCell ref="H52:H55"/>
    <mergeCell ref="I52:I55"/>
    <mergeCell ref="J52:J53"/>
    <mergeCell ref="M52:M53"/>
    <mergeCell ref="AE20:AE21"/>
    <mergeCell ref="AH20:AH21"/>
    <mergeCell ref="AK20:AK21"/>
    <mergeCell ref="AN20:AN21"/>
    <mergeCell ref="AQ20:AQ21"/>
    <mergeCell ref="A42:A46"/>
    <mergeCell ref="B42:B46"/>
    <mergeCell ref="C42:C46"/>
    <mergeCell ref="D42:D46"/>
    <mergeCell ref="E42:E46"/>
    <mergeCell ref="F42:F46"/>
    <mergeCell ref="G42:G46"/>
    <mergeCell ref="H42:H46"/>
    <mergeCell ref="I42:I46"/>
    <mergeCell ref="J42:J43"/>
    <mergeCell ref="M42:M43"/>
    <mergeCell ref="A47:A51"/>
    <mergeCell ref="B47:B51"/>
    <mergeCell ref="C47:C51"/>
    <mergeCell ref="D47:D51"/>
    <mergeCell ref="E47:E51"/>
    <mergeCell ref="F47:F51"/>
    <mergeCell ref="G47:G51"/>
    <mergeCell ref="H47:H51"/>
    <mergeCell ref="I47:I51"/>
    <mergeCell ref="I31:I35"/>
    <mergeCell ref="J47:J48"/>
    <mergeCell ref="M47:M48"/>
    <mergeCell ref="S3:S4"/>
    <mergeCell ref="T3:U4"/>
    <mergeCell ref="V3:V5"/>
    <mergeCell ref="W3:X4"/>
    <mergeCell ref="AF2:AK2"/>
    <mergeCell ref="A2:A5"/>
    <mergeCell ref="B2:B5"/>
    <mergeCell ref="C2:C5"/>
    <mergeCell ref="Y3:Y4"/>
    <mergeCell ref="Z3:AA4"/>
    <mergeCell ref="AB3:AB5"/>
    <mergeCell ref="AC3:AD4"/>
    <mergeCell ref="H2:M2"/>
    <mergeCell ref="N2:S2"/>
    <mergeCell ref="T2:Y2"/>
    <mergeCell ref="A11:C11"/>
    <mergeCell ref="A12:I28"/>
    <mergeCell ref="J12:J13"/>
    <mergeCell ref="J14:J15"/>
    <mergeCell ref="J16:J17"/>
    <mergeCell ref="J18:J19"/>
    <mergeCell ref="P12:P13"/>
    <mergeCell ref="P14:P15"/>
    <mergeCell ref="P16:P17"/>
    <mergeCell ref="P18:P19"/>
    <mergeCell ref="J20:J21"/>
    <mergeCell ref="M20:M21"/>
    <mergeCell ref="P20:P21"/>
    <mergeCell ref="S20:S21"/>
    <mergeCell ref="V20:V21"/>
    <mergeCell ref="Y20:Y21"/>
    <mergeCell ref="AB20:AB21"/>
    <mergeCell ref="AN18:AN19"/>
    <mergeCell ref="V12:V13"/>
    <mergeCell ref="V14:V15"/>
    <mergeCell ref="V16:V17"/>
    <mergeCell ref="V18:V19"/>
    <mergeCell ref="AB12:AB13"/>
    <mergeCell ref="AB14:AB15"/>
    <mergeCell ref="AB16:AB17"/>
    <mergeCell ref="AB18:AB19"/>
    <mergeCell ref="D2:G3"/>
    <mergeCell ref="D4:E4"/>
    <mergeCell ref="F4:G4"/>
    <mergeCell ref="A1:AQ1"/>
    <mergeCell ref="A7:AQ7"/>
    <mergeCell ref="AL3:AM4"/>
    <mergeCell ref="AN3:AN5"/>
    <mergeCell ref="AO3:AP4"/>
    <mergeCell ref="AQ3:AQ4"/>
    <mergeCell ref="AE3:AE4"/>
    <mergeCell ref="AF3:AG4"/>
    <mergeCell ref="AH3:AH5"/>
    <mergeCell ref="AI3:AJ4"/>
    <mergeCell ref="AK3:AK4"/>
    <mergeCell ref="AL2:AQ2"/>
    <mergeCell ref="H3:I4"/>
    <mergeCell ref="J3:J5"/>
    <mergeCell ref="K3:L4"/>
    <mergeCell ref="M3:M4"/>
    <mergeCell ref="N3:O4"/>
    <mergeCell ref="P3:P5"/>
    <mergeCell ref="Z2:AE2"/>
    <mergeCell ref="Q3:R4"/>
    <mergeCell ref="AR2:AR4"/>
    <mergeCell ref="AR20:AR21"/>
    <mergeCell ref="P85:P86"/>
    <mergeCell ref="S85:S86"/>
    <mergeCell ref="AH12:AH13"/>
    <mergeCell ref="AH14:AH15"/>
    <mergeCell ref="AH16:AH17"/>
    <mergeCell ref="AH18:AH19"/>
    <mergeCell ref="AN12:AN13"/>
    <mergeCell ref="AN14:AN15"/>
    <mergeCell ref="AN16:AN17"/>
    <mergeCell ref="J31:J32"/>
    <mergeCell ref="M31:M32"/>
    <mergeCell ref="A36:A39"/>
    <mergeCell ref="B36:B39"/>
    <mergeCell ref="C36:C39"/>
    <mergeCell ref="D36:D39"/>
    <mergeCell ref="E36:E39"/>
    <mergeCell ref="F36:F39"/>
    <mergeCell ref="G36:G39"/>
    <mergeCell ref="H36:H39"/>
    <mergeCell ref="I36:I39"/>
    <mergeCell ref="J36:J37"/>
    <mergeCell ref="M36:M37"/>
    <mergeCell ref="A31:A35"/>
    <mergeCell ref="B31:B35"/>
    <mergeCell ref="C31:C35"/>
    <mergeCell ref="D31:D35"/>
    <mergeCell ref="E31:E35"/>
    <mergeCell ref="F31:F35"/>
    <mergeCell ref="G31:G35"/>
    <mergeCell ref="H31:H35"/>
    <mergeCell ref="E66:E69"/>
    <mergeCell ref="F66:F69"/>
    <mergeCell ref="G66:G69"/>
    <mergeCell ref="H66:H69"/>
    <mergeCell ref="I66:I69"/>
    <mergeCell ref="J66:J67"/>
    <mergeCell ref="E90:E94"/>
    <mergeCell ref="F90:F94"/>
    <mergeCell ref="G90:G94"/>
    <mergeCell ref="H90:H94"/>
    <mergeCell ref="I90:I94"/>
    <mergeCell ref="A106:A109"/>
    <mergeCell ref="B106:B109"/>
    <mergeCell ref="C106:C109"/>
    <mergeCell ref="D106:D109"/>
    <mergeCell ref="E106:E109"/>
    <mergeCell ref="F106:F109"/>
    <mergeCell ref="G106:G109"/>
    <mergeCell ref="J70:J71"/>
    <mergeCell ref="B116:B120"/>
    <mergeCell ref="C116:C120"/>
    <mergeCell ref="D116:D120"/>
    <mergeCell ref="E116:E120"/>
    <mergeCell ref="F116:F120"/>
    <mergeCell ref="G116:G120"/>
    <mergeCell ref="H116:H120"/>
    <mergeCell ref="I116:I120"/>
    <mergeCell ref="J116:J120"/>
    <mergeCell ref="A101:A105"/>
    <mergeCell ref="B101:B105"/>
    <mergeCell ref="C101:C105"/>
    <mergeCell ref="D101:D105"/>
    <mergeCell ref="E101:E105"/>
    <mergeCell ref="F101:F105"/>
    <mergeCell ref="G101:G105"/>
    <mergeCell ref="N101:N105"/>
    <mergeCell ref="A127:A130"/>
    <mergeCell ref="B127:B130"/>
    <mergeCell ref="C127:C130"/>
    <mergeCell ref="D127:D130"/>
    <mergeCell ref="E127:E130"/>
    <mergeCell ref="F127:F130"/>
    <mergeCell ref="G127:G130"/>
    <mergeCell ref="H127:H130"/>
    <mergeCell ref="I127:I130"/>
    <mergeCell ref="J127:J130"/>
    <mergeCell ref="K127:K130"/>
    <mergeCell ref="L127:L130"/>
    <mergeCell ref="A143:A147"/>
    <mergeCell ref="B143:B147"/>
    <mergeCell ref="C143:C147"/>
    <mergeCell ref="D143:D147"/>
    <mergeCell ref="E143:E147"/>
    <mergeCell ref="F143:F147"/>
    <mergeCell ref="G143:G147"/>
    <mergeCell ref="H143:H147"/>
    <mergeCell ref="I143:I147"/>
    <mergeCell ref="J143:J147"/>
    <mergeCell ref="K143:K147"/>
    <mergeCell ref="L143:L147"/>
    <mergeCell ref="M143:M147"/>
    <mergeCell ref="N143:N147"/>
    <mergeCell ref="U163:U166"/>
    <mergeCell ref="V163:V164"/>
    <mergeCell ref="W193:W197"/>
    <mergeCell ref="X193:X197"/>
    <mergeCell ref="Y193:Y197"/>
    <mergeCell ref="Z193:Z197"/>
    <mergeCell ref="AA193:AA197"/>
    <mergeCell ref="AB193:AB194"/>
    <mergeCell ref="AE193:AE194"/>
    <mergeCell ref="A198:A202"/>
    <mergeCell ref="B198:B202"/>
    <mergeCell ref="W203:W207"/>
    <mergeCell ref="X203:X207"/>
    <mergeCell ref="Y203:Y207"/>
    <mergeCell ref="Z203:Z207"/>
    <mergeCell ref="AA203:AA207"/>
    <mergeCell ref="AB203:AB204"/>
    <mergeCell ref="AE203:AE204"/>
    <mergeCell ref="O143:O147"/>
    <mergeCell ref="P143:P147"/>
    <mergeCell ref="Q143:Q147"/>
    <mergeCell ref="R143:R147"/>
    <mergeCell ref="S143:S147"/>
    <mergeCell ref="T143:T147"/>
    <mergeCell ref="U143:U147"/>
    <mergeCell ref="V143:V144"/>
    <mergeCell ref="Y143:Y144"/>
    <mergeCell ref="A148:A152"/>
    <mergeCell ref="B148:B152"/>
    <mergeCell ref="C148:C152"/>
    <mergeCell ref="AK268:AK269"/>
    <mergeCell ref="AA262:AA267"/>
    <mergeCell ref="AB262:AB267"/>
    <mergeCell ref="A208:A212"/>
    <mergeCell ref="B208:B212"/>
    <mergeCell ref="C208:C212"/>
    <mergeCell ref="D208:D212"/>
    <mergeCell ref="E208:E212"/>
    <mergeCell ref="F208:F212"/>
    <mergeCell ref="G208:G212"/>
    <mergeCell ref="H208:H212"/>
    <mergeCell ref="Z208:Z212"/>
    <mergeCell ref="AA208:AA212"/>
    <mergeCell ref="AB208:AB209"/>
    <mergeCell ref="A219:A223"/>
    <mergeCell ref="B219:B223"/>
    <mergeCell ref="C219:C223"/>
    <mergeCell ref="D219:D223"/>
    <mergeCell ref="E219:E223"/>
    <mergeCell ref="F219:F223"/>
    <mergeCell ref="G219:G223"/>
    <mergeCell ref="H219:H223"/>
    <mergeCell ref="I219:I223"/>
    <mergeCell ref="J219:J223"/>
    <mergeCell ref="K219:K223"/>
    <mergeCell ref="L219:L223"/>
    <mergeCell ref="M219:M223"/>
    <mergeCell ref="K208:K212"/>
    <mergeCell ref="L208:L212"/>
    <mergeCell ref="M208:M212"/>
    <mergeCell ref="N208:N212"/>
    <mergeCell ref="O208:O212"/>
    <mergeCell ref="A274:A276"/>
    <mergeCell ref="B274:B276"/>
    <mergeCell ref="C274:C276"/>
    <mergeCell ref="F274:F276"/>
    <mergeCell ref="G274:G276"/>
    <mergeCell ref="AF274:AF276"/>
    <mergeCell ref="AG274:AG276"/>
    <mergeCell ref="AH274:AH275"/>
    <mergeCell ref="AK274:AK275"/>
    <mergeCell ref="AH251:AH252"/>
    <mergeCell ref="AK251:AK252"/>
    <mergeCell ref="A248:A250"/>
    <mergeCell ref="B248:B250"/>
    <mergeCell ref="AH262:AH263"/>
    <mergeCell ref="AK262:AK263"/>
    <mergeCell ref="A271:A273"/>
    <mergeCell ref="B271:B273"/>
    <mergeCell ref="C271:C273"/>
    <mergeCell ref="F271:F273"/>
    <mergeCell ref="G271:G273"/>
    <mergeCell ref="AF271:AF273"/>
    <mergeCell ref="AG271:AG273"/>
    <mergeCell ref="AH271:AH272"/>
    <mergeCell ref="AK271:AK272"/>
    <mergeCell ref="A268:A270"/>
    <mergeCell ref="B268:B270"/>
    <mergeCell ref="C268:C270"/>
    <mergeCell ref="F268:F270"/>
    <mergeCell ref="G268:G270"/>
    <mergeCell ref="AF268:AF270"/>
    <mergeCell ref="AG268:AG270"/>
    <mergeCell ref="AH268:AH269"/>
    <mergeCell ref="A280:A282"/>
    <mergeCell ref="B280:B282"/>
    <mergeCell ref="C280:C282"/>
    <mergeCell ref="F280:F282"/>
    <mergeCell ref="G280:G282"/>
    <mergeCell ref="AF280:AF282"/>
    <mergeCell ref="AG280:AG282"/>
    <mergeCell ref="AH280:AH281"/>
    <mergeCell ref="AK280:AK281"/>
    <mergeCell ref="A277:A279"/>
    <mergeCell ref="B277:B279"/>
    <mergeCell ref="C277:C279"/>
    <mergeCell ref="F277:F279"/>
    <mergeCell ref="G277:G279"/>
    <mergeCell ref="AF277:AF279"/>
    <mergeCell ref="AG277:AG279"/>
    <mergeCell ref="AH277:AH278"/>
    <mergeCell ref="AK277:AK278"/>
    <mergeCell ref="A286:A288"/>
    <mergeCell ref="B286:B288"/>
    <mergeCell ref="C286:C288"/>
    <mergeCell ref="F286:F288"/>
    <mergeCell ref="G286:G288"/>
    <mergeCell ref="AF286:AF288"/>
    <mergeCell ref="AG286:AG288"/>
    <mergeCell ref="AH286:AH287"/>
    <mergeCell ref="AK286:AK287"/>
    <mergeCell ref="AH289:AH290"/>
    <mergeCell ref="AK289:AK290"/>
    <mergeCell ref="A283:A285"/>
    <mergeCell ref="B283:B285"/>
    <mergeCell ref="C283:C285"/>
    <mergeCell ref="F283:F285"/>
    <mergeCell ref="G283:G285"/>
    <mergeCell ref="AF283:AF285"/>
    <mergeCell ref="AG283:AG285"/>
    <mergeCell ref="AH283:AH284"/>
    <mergeCell ref="AK283:AK284"/>
    <mergeCell ref="A292:A294"/>
    <mergeCell ref="B292:B294"/>
    <mergeCell ref="C292:C294"/>
    <mergeCell ref="F292:F294"/>
    <mergeCell ref="G292:G294"/>
    <mergeCell ref="AL292:AL294"/>
    <mergeCell ref="AM292:AM294"/>
    <mergeCell ref="AN292:AN293"/>
    <mergeCell ref="AQ292:AQ293"/>
    <mergeCell ref="AF292:AF294"/>
    <mergeCell ref="AG292:AG294"/>
    <mergeCell ref="AH292:AH293"/>
    <mergeCell ref="AK292:AK293"/>
    <mergeCell ref="A289:A291"/>
    <mergeCell ref="B289:B291"/>
    <mergeCell ref="C289:C291"/>
    <mergeCell ref="F289:F291"/>
    <mergeCell ref="G289:G291"/>
    <mergeCell ref="AL289:AL291"/>
    <mergeCell ref="AM289:AM291"/>
    <mergeCell ref="AN289:AN290"/>
    <mergeCell ref="AQ289:AQ290"/>
    <mergeCell ref="D292:D294"/>
    <mergeCell ref="E292:E294"/>
    <mergeCell ref="A298:A300"/>
    <mergeCell ref="B298:B300"/>
    <mergeCell ref="C298:C300"/>
    <mergeCell ref="F298:F300"/>
    <mergeCell ref="G298:G300"/>
    <mergeCell ref="AL298:AL300"/>
    <mergeCell ref="AM298:AM300"/>
    <mergeCell ref="AN298:AN299"/>
    <mergeCell ref="AQ298:AQ299"/>
    <mergeCell ref="A295:A297"/>
    <mergeCell ref="B295:B297"/>
    <mergeCell ref="C295:C297"/>
    <mergeCell ref="F295:F297"/>
    <mergeCell ref="G295:G297"/>
    <mergeCell ref="AL295:AL297"/>
    <mergeCell ref="AM295:AM297"/>
    <mergeCell ref="AN295:AN296"/>
    <mergeCell ref="AQ295:AQ296"/>
    <mergeCell ref="D295:D297"/>
    <mergeCell ref="E295:E297"/>
    <mergeCell ref="D298:D300"/>
    <mergeCell ref="E298:E300"/>
    <mergeCell ref="A304:A306"/>
    <mergeCell ref="B304:B306"/>
    <mergeCell ref="C304:C306"/>
    <mergeCell ref="F304:F306"/>
    <mergeCell ref="G304:G306"/>
    <mergeCell ref="AL304:AL306"/>
    <mergeCell ref="AM304:AM306"/>
    <mergeCell ref="AN304:AN305"/>
    <mergeCell ref="AQ304:AQ305"/>
    <mergeCell ref="A301:A303"/>
    <mergeCell ref="B301:B303"/>
    <mergeCell ref="C301:C303"/>
    <mergeCell ref="F301:F303"/>
    <mergeCell ref="G301:G303"/>
    <mergeCell ref="AL301:AL303"/>
    <mergeCell ref="AM301:AM303"/>
    <mergeCell ref="AN301:AN302"/>
    <mergeCell ref="AQ301:AQ302"/>
    <mergeCell ref="D301:D303"/>
    <mergeCell ref="E301:E303"/>
    <mergeCell ref="D304:D306"/>
    <mergeCell ref="E304:E306"/>
    <mergeCell ref="A310:A312"/>
    <mergeCell ref="B310:B312"/>
    <mergeCell ref="C310:C312"/>
    <mergeCell ref="F310:F312"/>
    <mergeCell ref="G310:G312"/>
    <mergeCell ref="AL310:AL312"/>
    <mergeCell ref="AM310:AM312"/>
    <mergeCell ref="AN310:AN311"/>
    <mergeCell ref="AQ310:AQ311"/>
    <mergeCell ref="A307:A309"/>
    <mergeCell ref="B307:B309"/>
    <mergeCell ref="C307:C309"/>
    <mergeCell ref="F307:F309"/>
    <mergeCell ref="G307:G309"/>
    <mergeCell ref="AL307:AL309"/>
    <mergeCell ref="AM307:AM309"/>
    <mergeCell ref="AN307:AN308"/>
    <mergeCell ref="AQ307:AQ308"/>
    <mergeCell ref="D307:D309"/>
    <mergeCell ref="E307:E309"/>
    <mergeCell ref="D310:D312"/>
    <mergeCell ref="E310:E312"/>
    <mergeCell ref="A316:A318"/>
    <mergeCell ref="B316:B318"/>
    <mergeCell ref="C316:C318"/>
    <mergeCell ref="F316:F318"/>
    <mergeCell ref="G316:G318"/>
    <mergeCell ref="AL316:AL318"/>
    <mergeCell ref="AM316:AM318"/>
    <mergeCell ref="AN316:AN317"/>
    <mergeCell ref="AQ316:AQ317"/>
    <mergeCell ref="A313:A315"/>
    <mergeCell ref="B313:B315"/>
    <mergeCell ref="C313:C315"/>
    <mergeCell ref="F313:F315"/>
    <mergeCell ref="G313:G315"/>
    <mergeCell ref="AL313:AL315"/>
    <mergeCell ref="AM313:AM315"/>
    <mergeCell ref="AN313:AN314"/>
    <mergeCell ref="AQ313:AQ314"/>
    <mergeCell ref="D313:D315"/>
    <mergeCell ref="E313:E315"/>
    <mergeCell ref="D316:D318"/>
    <mergeCell ref="E316:E318"/>
    <mergeCell ref="AQ325:AQ326"/>
    <mergeCell ref="A322:A324"/>
    <mergeCell ref="B322:B324"/>
    <mergeCell ref="C322:C324"/>
    <mergeCell ref="F322:F324"/>
    <mergeCell ref="G322:G324"/>
    <mergeCell ref="AL322:AL324"/>
    <mergeCell ref="AM322:AM324"/>
    <mergeCell ref="AN322:AN323"/>
    <mergeCell ref="AQ322:AQ323"/>
    <mergeCell ref="A319:A321"/>
    <mergeCell ref="B319:B321"/>
    <mergeCell ref="C319:C321"/>
    <mergeCell ref="F319:F321"/>
    <mergeCell ref="G319:G321"/>
    <mergeCell ref="AL319:AL321"/>
    <mergeCell ref="AM319:AM321"/>
    <mergeCell ref="AN319:AN320"/>
    <mergeCell ref="AQ319:AQ320"/>
    <mergeCell ref="D319:D321"/>
    <mergeCell ref="E319:E321"/>
    <mergeCell ref="D322:D324"/>
    <mergeCell ref="E322:E324"/>
    <mergeCell ref="D325:D327"/>
    <mergeCell ref="E325:E327"/>
    <mergeCell ref="V385:V386"/>
    <mergeCell ref="Y385:Y386"/>
    <mergeCell ref="AB385:AB386"/>
    <mergeCell ref="AE385:AE386"/>
    <mergeCell ref="AH385:AH386"/>
    <mergeCell ref="AK385:AK386"/>
    <mergeCell ref="AN385:AN386"/>
    <mergeCell ref="S427:S428"/>
    <mergeCell ref="J427:J428"/>
    <mergeCell ref="P427:P428"/>
    <mergeCell ref="S431:S432"/>
    <mergeCell ref="V431:V432"/>
    <mergeCell ref="A325:A327"/>
    <mergeCell ref="B325:B327"/>
    <mergeCell ref="C325:C327"/>
    <mergeCell ref="F325:F327"/>
    <mergeCell ref="G325:G327"/>
    <mergeCell ref="AL325:AL327"/>
    <mergeCell ref="AM325:AM327"/>
    <mergeCell ref="AN325:AN326"/>
    <mergeCell ref="A345:I361"/>
    <mergeCell ref="J345:J346"/>
    <mergeCell ref="M345:M346"/>
    <mergeCell ref="P345:P346"/>
    <mergeCell ref="S345:S346"/>
    <mergeCell ref="V345:V346"/>
    <mergeCell ref="Y345:Y346"/>
    <mergeCell ref="AB345:AB346"/>
    <mergeCell ref="AE345:AE346"/>
    <mergeCell ref="AH345:AH346"/>
    <mergeCell ref="AK345:AK346"/>
    <mergeCell ref="AN345:AN346"/>
    <mergeCell ref="D121:D123"/>
    <mergeCell ref="E121:E123"/>
    <mergeCell ref="D124:D126"/>
    <mergeCell ref="E124:E126"/>
    <mergeCell ref="D271:D273"/>
    <mergeCell ref="E271:E273"/>
    <mergeCell ref="D274:D276"/>
    <mergeCell ref="E274:E276"/>
    <mergeCell ref="D277:D279"/>
    <mergeCell ref="E277:E279"/>
    <mergeCell ref="D280:D282"/>
    <mergeCell ref="E280:E282"/>
    <mergeCell ref="D283:D285"/>
    <mergeCell ref="E283:E285"/>
    <mergeCell ref="D286:D288"/>
    <mergeCell ref="E286:E288"/>
    <mergeCell ref="D289:D291"/>
    <mergeCell ref="E289:E291"/>
    <mergeCell ref="D148:D152"/>
    <mergeCell ref="E148:E152"/>
    <mergeCell ref="E198:E202"/>
  </mergeCells>
  <printOptions horizontalCentered="1" verticalCentered="1"/>
  <pageMargins left="0.23622047244094491" right="0.23622047244094491" top="0.23622047244094491" bottom="0.23622047244094491" header="3.937007874015748E-2" footer="3.937007874015748E-2"/>
  <pageSetup paperSize="9" scale="1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№ 2</vt:lpstr>
      <vt:lpstr>'Таблица №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Полуэктова Евгения Анатольевна</dc:creator>
  <cp:lastModifiedBy>Нестеров ЮА</cp:lastModifiedBy>
  <cp:lastPrinted>2018-08-07T19:09:00Z</cp:lastPrinted>
  <dcterms:created xsi:type="dcterms:W3CDTF">2018-08-07T10:42:28Z</dcterms:created>
  <dcterms:modified xsi:type="dcterms:W3CDTF">2018-11-07T03:18:09Z</dcterms:modified>
</cp:coreProperties>
</file>