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ценка качества 2018г\"/>
    </mc:Choice>
  </mc:AlternateContent>
  <bookViews>
    <workbookView xWindow="120" yWindow="45" windowWidth="18975" windowHeight="11955" firstSheet="1" activeTab="1"/>
  </bookViews>
  <sheets>
    <sheet name="Лист1" sheetId="1" state="hidden" r:id="rId1"/>
    <sheet name="Лист2" sheetId="2" r:id="rId2"/>
    <sheet name="Лист3" sheetId="3" r:id="rId3"/>
  </sheets>
  <definedNames>
    <definedName name="_xlnm.Print_Titles" localSheetId="1">Лист2!$B:$B</definedName>
  </definedNames>
  <calcPr calcId="152511"/>
</workbook>
</file>

<file path=xl/calcChain.xml><?xml version="1.0" encoding="utf-8"?>
<calcChain xmlns="http://schemas.openxmlformats.org/spreadsheetml/2006/main">
  <c r="W13" i="2" l="1"/>
  <c r="E21" i="2"/>
  <c r="G23" i="2" l="1"/>
  <c r="H23" i="2"/>
  <c r="N23" i="2" l="1"/>
  <c r="E26" i="2"/>
  <c r="F26" i="2" s="1"/>
  <c r="N21" i="2"/>
  <c r="E13" i="2"/>
  <c r="F13" i="2" s="1"/>
  <c r="Z27" i="2"/>
  <c r="Z23" i="2"/>
  <c r="Y27" i="2"/>
  <c r="Y23" i="2"/>
  <c r="V27" i="2"/>
  <c r="V23" i="2"/>
  <c r="Y28" i="2" l="1"/>
  <c r="V28" i="2"/>
  <c r="Z28" i="2"/>
  <c r="H27" i="2" l="1"/>
  <c r="H28" i="2" l="1"/>
  <c r="X13" i="2" l="1"/>
  <c r="W14" i="2"/>
  <c r="X14" i="2" s="1"/>
  <c r="W15" i="2"/>
  <c r="X15" i="2" s="1"/>
  <c r="W16" i="2"/>
  <c r="X16" i="2" s="1"/>
  <c r="W17" i="2"/>
  <c r="X17" i="2" s="1"/>
  <c r="W18" i="2"/>
  <c r="X18" i="2" s="1"/>
  <c r="W19" i="2"/>
  <c r="X19" i="2" s="1"/>
  <c r="W20" i="2"/>
  <c r="X20" i="2" s="1"/>
  <c r="W21" i="2"/>
  <c r="X21" i="2" s="1"/>
  <c r="W22" i="2"/>
  <c r="X22" i="2" s="1"/>
  <c r="W25" i="2"/>
  <c r="X25" i="2" s="1"/>
  <c r="W26" i="2"/>
  <c r="X26" i="2" s="1"/>
  <c r="O27" i="2" l="1"/>
  <c r="O23" i="2" l="1"/>
  <c r="O28" i="2" l="1"/>
  <c r="O24" i="2"/>
  <c r="C23" i="2"/>
  <c r="AC27" i="2"/>
  <c r="AC28" i="2" s="1"/>
  <c r="U27" i="2"/>
  <c r="P27" i="2"/>
  <c r="Q27" i="2" s="1"/>
  <c r="R27" i="2" s="1"/>
  <c r="G27" i="2"/>
  <c r="D27" i="2"/>
  <c r="AA26" i="2"/>
  <c r="AB26" i="2" s="1"/>
  <c r="Q26" i="2"/>
  <c r="R26" i="2" s="1"/>
  <c r="I26" i="2"/>
  <c r="J26" i="2" s="1"/>
  <c r="AA25" i="2"/>
  <c r="AB25" i="2" s="1"/>
  <c r="Q25" i="2"/>
  <c r="R25" i="2" s="1"/>
  <c r="I25" i="2"/>
  <c r="J25" i="2" s="1"/>
  <c r="E25" i="2"/>
  <c r="F25" i="2" s="1"/>
  <c r="C27" i="2"/>
  <c r="U23" i="2"/>
  <c r="P23" i="2"/>
  <c r="P24" i="2" s="1"/>
  <c r="D23" i="2"/>
  <c r="AA22" i="2"/>
  <c r="AB22" i="2" s="1"/>
  <c r="Q22" i="2"/>
  <c r="R22" i="2" s="1"/>
  <c r="M22" i="2"/>
  <c r="N22" i="2" s="1"/>
  <c r="I22" i="2"/>
  <c r="J22" i="2" s="1"/>
  <c r="E22" i="2"/>
  <c r="F22" i="2" s="1"/>
  <c r="AA21" i="2"/>
  <c r="AB21" i="2" s="1"/>
  <c r="Q21" i="2"/>
  <c r="R21" i="2" s="1"/>
  <c r="I21" i="2"/>
  <c r="J21" i="2" s="1"/>
  <c r="F21" i="2"/>
  <c r="AA20" i="2"/>
  <c r="AB20" i="2" s="1"/>
  <c r="Q20" i="2"/>
  <c r="R20" i="2" s="1"/>
  <c r="M20" i="2"/>
  <c r="N20" i="2" s="1"/>
  <c r="I20" i="2"/>
  <c r="J20" i="2" s="1"/>
  <c r="E20" i="2"/>
  <c r="F20" i="2" s="1"/>
  <c r="AA19" i="2"/>
  <c r="AB19" i="2" s="1"/>
  <c r="Q19" i="2"/>
  <c r="R19" i="2" s="1"/>
  <c r="M19" i="2"/>
  <c r="N19" i="2" s="1"/>
  <c r="I19" i="2"/>
  <c r="J19" i="2" s="1"/>
  <c r="E19" i="2"/>
  <c r="F19" i="2" s="1"/>
  <c r="AA18" i="2"/>
  <c r="AB18" i="2" s="1"/>
  <c r="Q18" i="2"/>
  <c r="R18" i="2" s="1"/>
  <c r="I18" i="2"/>
  <c r="J18" i="2" s="1"/>
  <c r="E18" i="2"/>
  <c r="F18" i="2" s="1"/>
  <c r="AA17" i="2"/>
  <c r="AB17" i="2" s="1"/>
  <c r="Q17" i="2"/>
  <c r="R17" i="2" s="1"/>
  <c r="I17" i="2"/>
  <c r="J17" i="2" s="1"/>
  <c r="E17" i="2"/>
  <c r="F17" i="2" s="1"/>
  <c r="AA16" i="2"/>
  <c r="AB16" i="2" s="1"/>
  <c r="Q16" i="2"/>
  <c r="R16" i="2" s="1"/>
  <c r="M16" i="2"/>
  <c r="N16" i="2" s="1"/>
  <c r="I16" i="2"/>
  <c r="J16" i="2" s="1"/>
  <c r="E16" i="2"/>
  <c r="F16" i="2" s="1"/>
  <c r="AA15" i="2"/>
  <c r="AB15" i="2" s="1"/>
  <c r="Q15" i="2"/>
  <c r="R15" i="2" s="1"/>
  <c r="M15" i="2"/>
  <c r="N15" i="2" s="1"/>
  <c r="I15" i="2"/>
  <c r="J15" i="2" s="1"/>
  <c r="E15" i="2"/>
  <c r="F15" i="2" s="1"/>
  <c r="AA14" i="2"/>
  <c r="AB14" i="2" s="1"/>
  <c r="Q14" i="2"/>
  <c r="R14" i="2" s="1"/>
  <c r="M14" i="2"/>
  <c r="N14" i="2" s="1"/>
  <c r="I14" i="2"/>
  <c r="J14" i="2" s="1"/>
  <c r="E14" i="2"/>
  <c r="F14" i="2" s="1"/>
  <c r="AA13" i="2"/>
  <c r="AB13" i="2" s="1"/>
  <c r="Q13" i="2"/>
  <c r="R13" i="2" s="1"/>
  <c r="I13" i="2"/>
  <c r="J13" i="2" s="1"/>
  <c r="W23" i="2" l="1"/>
  <c r="X23" i="2" s="1"/>
  <c r="W27" i="2"/>
  <c r="X27" i="2" s="1"/>
  <c r="M13" i="2"/>
  <c r="N13" i="2" s="1"/>
  <c r="AL13" i="2" s="1"/>
  <c r="M26" i="2"/>
  <c r="N26" i="2" s="1"/>
  <c r="AL19" i="2"/>
  <c r="AN19" i="2" s="1"/>
  <c r="P28" i="2"/>
  <c r="Q28" i="2" s="1"/>
  <c r="I27" i="2"/>
  <c r="J27" i="2" s="1"/>
  <c r="L27" i="2"/>
  <c r="L23" i="2"/>
  <c r="M18" i="2"/>
  <c r="N18" i="2" s="1"/>
  <c r="U28" i="2"/>
  <c r="AA23" i="2"/>
  <c r="AB23" i="2" s="1"/>
  <c r="AA27" i="2"/>
  <c r="AB27" i="2" s="1"/>
  <c r="AL16" i="2"/>
  <c r="AN16" i="2" s="1"/>
  <c r="AL21" i="2"/>
  <c r="AM21" i="2" s="1"/>
  <c r="AL14" i="2"/>
  <c r="AN14" i="2" s="1"/>
  <c r="AL15" i="2"/>
  <c r="AL20" i="2"/>
  <c r="C28" i="2"/>
  <c r="K23" i="2"/>
  <c r="K27" i="2"/>
  <c r="M25" i="2"/>
  <c r="N25" i="2" s="1"/>
  <c r="E23" i="2"/>
  <c r="F23" i="2" s="1"/>
  <c r="Q23" i="2"/>
  <c r="R23" i="2" s="1"/>
  <c r="AL22" i="2"/>
  <c r="M17" i="2"/>
  <c r="N17" i="2" s="1"/>
  <c r="G28" i="2"/>
  <c r="I28" i="2" s="1"/>
  <c r="I23" i="2"/>
  <c r="J23" i="2" s="1"/>
  <c r="E27" i="2"/>
  <c r="F27" i="2" s="1"/>
  <c r="D28" i="2"/>
  <c r="AC27" i="1"/>
  <c r="AC28" i="1" s="1"/>
  <c r="Z27" i="1"/>
  <c r="Z28" i="1" s="1"/>
  <c r="Y27" i="1"/>
  <c r="AA27" i="1" s="1"/>
  <c r="AB27" i="1" s="1"/>
  <c r="V27" i="1"/>
  <c r="U27" i="1"/>
  <c r="W27" i="1" s="1"/>
  <c r="X27" i="1" s="1"/>
  <c r="P27" i="1"/>
  <c r="Q27" i="1" s="1"/>
  <c r="R27" i="1" s="1"/>
  <c r="H27" i="1"/>
  <c r="H28" i="1" s="1"/>
  <c r="G27" i="1"/>
  <c r="D27" i="1"/>
  <c r="AA26" i="1"/>
  <c r="AB26" i="1" s="1"/>
  <c r="W26" i="1"/>
  <c r="X26" i="1" s="1"/>
  <c r="Q26" i="1"/>
  <c r="R26" i="1" s="1"/>
  <c r="L26" i="1"/>
  <c r="K26" i="1"/>
  <c r="I26" i="1"/>
  <c r="J26" i="1" s="1"/>
  <c r="C26" i="1"/>
  <c r="E26" i="1" s="1"/>
  <c r="F26" i="1" s="1"/>
  <c r="AA25" i="1"/>
  <c r="AB25" i="1" s="1"/>
  <c r="W25" i="1"/>
  <c r="X25" i="1" s="1"/>
  <c r="Q25" i="1"/>
  <c r="R25" i="1" s="1"/>
  <c r="L25" i="1"/>
  <c r="K25" i="1"/>
  <c r="K27" i="1" s="1"/>
  <c r="I25" i="1"/>
  <c r="J25" i="1" s="1"/>
  <c r="C25" i="1"/>
  <c r="C27" i="1" s="1"/>
  <c r="AF23" i="1"/>
  <c r="Y23" i="1"/>
  <c r="Y28" i="1" s="1"/>
  <c r="AA28" i="1" s="1"/>
  <c r="AB28" i="1" s="1"/>
  <c r="V23" i="1"/>
  <c r="V28" i="1" s="1"/>
  <c r="U23" i="1"/>
  <c r="U28" i="1" s="1"/>
  <c r="W28" i="1" s="1"/>
  <c r="X28" i="1" s="1"/>
  <c r="P23" i="1"/>
  <c r="P28" i="1" s="1"/>
  <c r="O23" i="1"/>
  <c r="O28" i="1" s="1"/>
  <c r="Q28" i="1" s="1"/>
  <c r="R28" i="1" s="1"/>
  <c r="N23" i="1"/>
  <c r="G23" i="1"/>
  <c r="G28" i="1" s="1"/>
  <c r="I28" i="1" s="1"/>
  <c r="J28" i="1" s="1"/>
  <c r="D23" i="1"/>
  <c r="AA22" i="1"/>
  <c r="AB22" i="1" s="1"/>
  <c r="W22" i="1"/>
  <c r="X22" i="1" s="1"/>
  <c r="Q22" i="1"/>
  <c r="R22" i="1" s="1"/>
  <c r="L22" i="1"/>
  <c r="K22" i="1"/>
  <c r="M22" i="1" s="1"/>
  <c r="N22" i="1" s="1"/>
  <c r="I22" i="1"/>
  <c r="J22" i="1" s="1"/>
  <c r="E22" i="1"/>
  <c r="F22" i="1" s="1"/>
  <c r="AL22" i="1" s="1"/>
  <c r="AA21" i="1"/>
  <c r="AB21" i="1" s="1"/>
  <c r="W21" i="1"/>
  <c r="X21" i="1" s="1"/>
  <c r="Q21" i="1"/>
  <c r="R21" i="1" s="1"/>
  <c r="N21" i="1"/>
  <c r="K21" i="1"/>
  <c r="I21" i="1"/>
  <c r="J21" i="1" s="1"/>
  <c r="E21" i="1"/>
  <c r="F21" i="1" s="1"/>
  <c r="AA20" i="1"/>
  <c r="AB20" i="1" s="1"/>
  <c r="W20" i="1"/>
  <c r="X20" i="1" s="1"/>
  <c r="Q20" i="1"/>
  <c r="R20" i="1" s="1"/>
  <c r="L20" i="1"/>
  <c r="K20" i="1"/>
  <c r="M20" i="1" s="1"/>
  <c r="N20" i="1" s="1"/>
  <c r="I20" i="1"/>
  <c r="J20" i="1" s="1"/>
  <c r="E20" i="1"/>
  <c r="F20" i="1" s="1"/>
  <c r="AL20" i="1" s="1"/>
  <c r="AA19" i="1"/>
  <c r="AB19" i="1" s="1"/>
  <c r="W19" i="1"/>
  <c r="X19" i="1" s="1"/>
  <c r="Q19" i="1"/>
  <c r="R19" i="1" s="1"/>
  <c r="L19" i="1"/>
  <c r="K19" i="1"/>
  <c r="I19" i="1"/>
  <c r="J19" i="1" s="1"/>
  <c r="C19" i="1"/>
  <c r="E19" i="1" s="1"/>
  <c r="F19" i="1" s="1"/>
  <c r="AA18" i="1"/>
  <c r="AB18" i="1" s="1"/>
  <c r="W18" i="1"/>
  <c r="X18" i="1" s="1"/>
  <c r="Q18" i="1"/>
  <c r="R18" i="1" s="1"/>
  <c r="L18" i="1"/>
  <c r="K18" i="1"/>
  <c r="M18" i="1" s="1"/>
  <c r="N18" i="1" s="1"/>
  <c r="I18" i="1"/>
  <c r="J18" i="1" s="1"/>
  <c r="E18" i="1"/>
  <c r="F18" i="1" s="1"/>
  <c r="AL18" i="1" s="1"/>
  <c r="AA17" i="1"/>
  <c r="AB17" i="1" s="1"/>
  <c r="W17" i="1"/>
  <c r="X17" i="1" s="1"/>
  <c r="Q17" i="1"/>
  <c r="R17" i="1" s="1"/>
  <c r="L17" i="1"/>
  <c r="K17" i="1"/>
  <c r="I17" i="1"/>
  <c r="J17" i="1" s="1"/>
  <c r="C17" i="1"/>
  <c r="E17" i="1" s="1"/>
  <c r="F17" i="1" s="1"/>
  <c r="AA16" i="1"/>
  <c r="AB16" i="1" s="1"/>
  <c r="W16" i="1"/>
  <c r="X16" i="1" s="1"/>
  <c r="Q16" i="1"/>
  <c r="R16" i="1" s="1"/>
  <c r="L16" i="1"/>
  <c r="K16" i="1"/>
  <c r="M16" i="1" s="1"/>
  <c r="N16" i="1" s="1"/>
  <c r="I16" i="1"/>
  <c r="J16" i="1" s="1"/>
  <c r="C16" i="1"/>
  <c r="E16" i="1" s="1"/>
  <c r="F16" i="1" s="1"/>
  <c r="AL16" i="1" s="1"/>
  <c r="AA15" i="1"/>
  <c r="AB15" i="1" s="1"/>
  <c r="W15" i="1"/>
  <c r="X15" i="1" s="1"/>
  <c r="Q15" i="1"/>
  <c r="R15" i="1" s="1"/>
  <c r="L15" i="1"/>
  <c r="K15" i="1"/>
  <c r="I15" i="1"/>
  <c r="J15" i="1" s="1"/>
  <c r="E15" i="1"/>
  <c r="F15" i="1" s="1"/>
  <c r="AA14" i="1"/>
  <c r="AB14" i="1" s="1"/>
  <c r="W14" i="1"/>
  <c r="X14" i="1" s="1"/>
  <c r="Q14" i="1"/>
  <c r="R14" i="1" s="1"/>
  <c r="L14" i="1"/>
  <c r="K14" i="1"/>
  <c r="M14" i="1" s="1"/>
  <c r="N14" i="1" s="1"/>
  <c r="I14" i="1"/>
  <c r="J14" i="1" s="1"/>
  <c r="E14" i="1"/>
  <c r="F14" i="1" s="1"/>
  <c r="AL14" i="1" s="1"/>
  <c r="AA13" i="1"/>
  <c r="AB13" i="1" s="1"/>
  <c r="W13" i="1"/>
  <c r="X13" i="1" s="1"/>
  <c r="Q13" i="1"/>
  <c r="R13" i="1" s="1"/>
  <c r="L13" i="1"/>
  <c r="L23" i="1" s="1"/>
  <c r="K13" i="1"/>
  <c r="I13" i="1"/>
  <c r="J13" i="1" s="1"/>
  <c r="C13" i="1"/>
  <c r="AL26" i="2" l="1"/>
  <c r="AN26" i="2" s="1"/>
  <c r="AA28" i="2"/>
  <c r="W28" i="2"/>
  <c r="AL17" i="2"/>
  <c r="AN17" i="2" s="1"/>
  <c r="AL25" i="2"/>
  <c r="AM25" i="2" s="1"/>
  <c r="AL18" i="2"/>
  <c r="AM18" i="2" s="1"/>
  <c r="M27" i="2"/>
  <c r="N27" i="2" s="1"/>
  <c r="AM19" i="2"/>
  <c r="AN21" i="2"/>
  <c r="L28" i="2"/>
  <c r="AM16" i="2"/>
  <c r="AM14" i="2"/>
  <c r="E28" i="2"/>
  <c r="AM22" i="2"/>
  <c r="AN22" i="2"/>
  <c r="AM20" i="2"/>
  <c r="AN20" i="2"/>
  <c r="AM15" i="2"/>
  <c r="AN15" i="2"/>
  <c r="K28" i="2"/>
  <c r="M27" i="1"/>
  <c r="N27" i="1" s="1"/>
  <c r="C23" i="1"/>
  <c r="C28" i="1" s="1"/>
  <c r="K23" i="1"/>
  <c r="K28" i="1" s="1"/>
  <c r="M15" i="1"/>
  <c r="N15" i="1" s="1"/>
  <c r="AL15" i="1" s="1"/>
  <c r="M17" i="1"/>
  <c r="N17" i="1" s="1"/>
  <c r="AL17" i="1" s="1"/>
  <c r="M19" i="1"/>
  <c r="N19" i="1" s="1"/>
  <c r="AL19" i="1" s="1"/>
  <c r="AL21" i="1"/>
  <c r="D28" i="1"/>
  <c r="E28" i="1" s="1"/>
  <c r="F28" i="1" s="1"/>
  <c r="L27" i="1"/>
  <c r="L28" i="1" s="1"/>
  <c r="AL26" i="1"/>
  <c r="AN26" i="1" s="1"/>
  <c r="M26" i="1"/>
  <c r="N26" i="1" s="1"/>
  <c r="I27" i="1"/>
  <c r="J27" i="1" s="1"/>
  <c r="AN14" i="1"/>
  <c r="AM14" i="1"/>
  <c r="AN16" i="1"/>
  <c r="AM16" i="1"/>
  <c r="AN18" i="1"/>
  <c r="AM18" i="1"/>
  <c r="AN20" i="1"/>
  <c r="AM20" i="1"/>
  <c r="AN21" i="1"/>
  <c r="AM21" i="1"/>
  <c r="AN22" i="1"/>
  <c r="AM22" i="1"/>
  <c r="AM26" i="1"/>
  <c r="E27" i="1"/>
  <c r="F27" i="1" s="1"/>
  <c r="E13" i="1"/>
  <c r="F13" i="1" s="1"/>
  <c r="M13" i="1"/>
  <c r="N13" i="1" s="1"/>
  <c r="E23" i="1"/>
  <c r="F23" i="1" s="1"/>
  <c r="I23" i="1"/>
  <c r="J23" i="1" s="1"/>
  <c r="Q23" i="1"/>
  <c r="R23" i="1" s="1"/>
  <c r="W23" i="1"/>
  <c r="X23" i="1" s="1"/>
  <c r="AA23" i="1"/>
  <c r="AB23" i="1" s="1"/>
  <c r="E25" i="1"/>
  <c r="F25" i="1" s="1"/>
  <c r="M25" i="1"/>
  <c r="N25" i="1" s="1"/>
  <c r="M28" i="2" l="1"/>
  <c r="AN25" i="2"/>
  <c r="AN18" i="2"/>
  <c r="AM17" i="2"/>
  <c r="AM13" i="2"/>
  <c r="AN13" i="2"/>
  <c r="AM26" i="2"/>
  <c r="AN17" i="1"/>
  <c r="AM17" i="1"/>
  <c r="AN19" i="1"/>
  <c r="AM19" i="1"/>
  <c r="AN15" i="1"/>
  <c r="AM15" i="1"/>
  <c r="M28" i="1"/>
  <c r="N28" i="1" s="1"/>
  <c r="AL25" i="1"/>
  <c r="AL13" i="1"/>
  <c r="AN13" i="1" l="1"/>
  <c r="AM13" i="1"/>
  <c r="AN25" i="1"/>
  <c r="AM25" i="1"/>
</calcChain>
</file>

<file path=xl/sharedStrings.xml><?xml version="1.0" encoding="utf-8"?>
<sst xmlns="http://schemas.openxmlformats.org/spreadsheetml/2006/main" count="324" uniqueCount="76">
  <si>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</si>
  <si>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</si>
  <si>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</si>
  <si>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</si>
  <si>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</si>
  <si>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</si>
  <si>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</si>
  <si>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</si>
  <si>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</si>
  <si>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</si>
  <si>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</si>
  <si>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</si>
  <si>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</si>
  <si>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</si>
  <si>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</si>
  <si>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</si>
  <si>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</si>
  <si>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</si>
  <si>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</si>
  <si>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</si>
  <si>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</si>
  <si>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</si>
  <si>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</si>
  <si>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</si>
  <si>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</si>
  <si>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</si>
  <si>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</si>
  <si>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</si>
  <si>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</si>
  <si>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</si>
  <si>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</si>
  <si>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</si>
  <si>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</si>
  <si>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</si>
  <si>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</si>
  <si>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</si>
  <si>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</si>
  <si>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</si>
  <si>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</si>
  <si>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</si>
  <si>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</si>
  <si>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</si>
  <si>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</si>
  <si>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</si>
  <si>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</si>
  <si>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</si>
  <si>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</si>
  <si>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</si>
  <si>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</si>
  <si>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</si>
  <si>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</si>
  <si>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</si>
  <si>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</si>
  <si>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</si>
  <si>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</si>
  <si>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</si>
  <si>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</si>
  <si>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</si>
  <si>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</si>
  <si>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</si>
  <si>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</si>
  <si>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</si>
  <si>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</si>
  <si>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</si>
  <si>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</si>
  <si>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</si>
  <si>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</si>
  <si>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</si>
  <si>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</si>
  <si>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</si>
  <si>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</si>
  <si>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</si>
  <si>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проведение внешней  проверки</t>
  </si>
  <si>
    <t>Фактическое исполнение по неналоговым доходам за год, предшествующий отчетному году 2017 г</t>
  </si>
  <si>
    <t>Фактическое исполнение по неналоговым доходам за отчетный год 2018 г.</t>
  </si>
  <si>
    <t>Оценка качества управления муниципальными финансами муниципальными образованиями  Хилокского района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</si>
</sst>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7" fillId="0" borderId="6" xfId="0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4" borderId="6" xfId="0" applyFont="1" applyFill="1" applyBorder="1"/>
    <xf numFmtId="164" fontId="7" fillId="2" borderId="6" xfId="0" applyNumberFormat="1" applyFont="1" applyFill="1" applyBorder="1"/>
    <xf numFmtId="0" fontId="7" fillId="0" borderId="0" xfId="0" applyFont="1"/>
    <xf numFmtId="0" fontId="0" fillId="5" borderId="6" xfId="0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/>
    <xf numFmtId="164" fontId="0" fillId="5" borderId="6" xfId="0" applyNumberFormat="1" applyFill="1" applyBorder="1"/>
    <xf numFmtId="165" fontId="0" fillId="0" borderId="6" xfId="0" applyNumberFormat="1" applyBorder="1"/>
    <xf numFmtId="166" fontId="0" fillId="3" borderId="6" xfId="0" applyNumberFormat="1" applyFill="1" applyBorder="1"/>
    <xf numFmtId="165" fontId="0" fillId="4" borderId="6" xfId="0" applyNumberFormat="1" applyFill="1" applyBorder="1"/>
    <xf numFmtId="167" fontId="8" fillId="3" borderId="6" xfId="0" applyNumberFormat="1" applyFont="1" applyFill="1" applyBorder="1" applyProtection="1">
      <protection hidden="1"/>
    </xf>
    <xf numFmtId="164" fontId="8" fillId="4" borderId="6" xfId="0" applyNumberFormat="1" applyFont="1" applyFill="1" applyBorder="1" applyProtection="1">
      <protection hidden="1"/>
    </xf>
    <xf numFmtId="2" fontId="8" fillId="4" borderId="6" xfId="0" applyNumberFormat="1" applyFont="1" applyFill="1" applyBorder="1" applyProtection="1">
      <protection hidden="1"/>
    </xf>
    <xf numFmtId="166" fontId="0" fillId="0" borderId="6" xfId="0" applyNumberFormat="1" applyBorder="1"/>
    <xf numFmtId="165" fontId="0" fillId="3" borderId="6" xfId="0" applyNumberFormat="1" applyFill="1" applyBorder="1"/>
    <xf numFmtId="164" fontId="0" fillId="3" borderId="6" xfId="0" applyNumberFormat="1" applyFill="1" applyBorder="1" applyAlignment="1">
      <alignment horizontal="right" wrapText="1"/>
    </xf>
    <xf numFmtId="49" fontId="0" fillId="0" borderId="6" xfId="0" applyNumberFormat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/>
    <xf numFmtId="165" fontId="0" fillId="5" borderId="6" xfId="0" applyNumberFormat="1" applyFill="1" applyBorder="1"/>
    <xf numFmtId="166" fontId="0" fillId="5" borderId="6" xfId="0" applyNumberFormat="1" applyFill="1" applyBorder="1"/>
    <xf numFmtId="167" fontId="8" fillId="5" borderId="6" xfId="0" applyNumberFormat="1" applyFont="1" applyFill="1" applyBorder="1" applyProtection="1">
      <protection hidden="1"/>
    </xf>
    <xf numFmtId="164" fontId="8" fillId="5" borderId="6" xfId="0" applyNumberFormat="1" applyFont="1" applyFill="1" applyBorder="1" applyProtection="1">
      <protection hidden="1"/>
    </xf>
    <xf numFmtId="2" fontId="8" fillId="5" borderId="6" xfId="0" applyNumberFormat="1" applyFont="1" applyFill="1" applyBorder="1" applyProtection="1">
      <protection hidden="1"/>
    </xf>
    <xf numFmtId="49" fontId="0" fillId="5" borderId="6" xfId="0" applyNumberFormat="1" applyFill="1" applyBorder="1" applyAlignment="1">
      <alignment horizontal="right"/>
    </xf>
    <xf numFmtId="165" fontId="0" fillId="5" borderId="6" xfId="0" applyNumberFormat="1" applyFill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7" fontId="8" fillId="4" borderId="6" xfId="0" applyNumberFormat="1" applyFont="1" applyFill="1" applyBorder="1" applyProtection="1">
      <protection hidden="1"/>
    </xf>
    <xf numFmtId="0" fontId="0" fillId="3" borderId="6" xfId="0" applyFill="1" applyBorder="1"/>
    <xf numFmtId="164" fontId="0" fillId="2" borderId="6" xfId="0" applyNumberFormat="1" applyFill="1" applyBorder="1"/>
    <xf numFmtId="0" fontId="3" fillId="0" borderId="0" xfId="0" applyFont="1"/>
    <xf numFmtId="165" fontId="0" fillId="0" borderId="0" xfId="0" applyNumberFormat="1"/>
    <xf numFmtId="0" fontId="0" fillId="0" borderId="6" xfId="0" applyBorder="1" applyAlignment="1">
      <alignment horizontal="center"/>
    </xf>
    <xf numFmtId="0" fontId="0" fillId="0" borderId="6" xfId="0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6" fontId="0" fillId="4" borderId="6" xfId="0" applyNumberFormat="1" applyFill="1" applyBorder="1"/>
    <xf numFmtId="3" fontId="0" fillId="0" borderId="6" xfId="0" applyNumberFormat="1" applyBorder="1"/>
    <xf numFmtId="165" fontId="9" fillId="5" borderId="6" xfId="0" applyNumberFormat="1" applyFont="1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3" fillId="6" borderId="6" xfId="0" applyFont="1" applyFill="1" applyBorder="1"/>
    <xf numFmtId="0" fontId="0" fillId="0" borderId="6" xfId="0" applyBorder="1" applyAlignment="1">
      <alignment horizontal="center"/>
    </xf>
    <xf numFmtId="165" fontId="9" fillId="0" borderId="6" xfId="0" applyNumberFormat="1" applyFont="1" applyBorder="1"/>
    <xf numFmtId="0" fontId="2" fillId="0" borderId="1" xfId="0" applyFont="1" applyBorder="1" applyAlignment="1"/>
    <xf numFmtId="0" fontId="10" fillId="0" borderId="0" xfId="0" applyFont="1" applyAlignment="1">
      <alignment vertical="center"/>
    </xf>
    <xf numFmtId="164" fontId="7" fillId="4" borderId="6" xfId="0" applyNumberFormat="1" applyFont="1" applyFill="1" applyBorder="1"/>
    <xf numFmtId="164" fontId="0" fillId="4" borderId="6" xfId="0" applyNumberFormat="1" applyFill="1" applyBorder="1" applyAlignment="1">
      <alignment horizontal="right"/>
    </xf>
    <xf numFmtId="164" fontId="0" fillId="4" borderId="6" xfId="0" applyNumberFormat="1" applyFill="1" applyBorder="1"/>
    <xf numFmtId="0" fontId="7" fillId="7" borderId="6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wrapText="1"/>
      <protection hidden="1"/>
    </xf>
    <xf numFmtId="0" fontId="6" fillId="4" borderId="7" xfId="0" applyFont="1" applyFill="1" applyBorder="1" applyAlignment="1" applyProtection="1">
      <alignment horizontal="center" wrapText="1"/>
      <protection hidden="1"/>
    </xf>
    <xf numFmtId="0" fontId="6" fillId="4" borderId="8" xfId="0" applyFont="1" applyFill="1" applyBorder="1" applyAlignment="1" applyProtection="1">
      <alignment horizontal="center" wrapText="1"/>
      <protection hidden="1"/>
    </xf>
    <xf numFmtId="0" fontId="0" fillId="0" borderId="6" xfId="0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opLeftCell="B1" workbookViewId="0">
      <selection activeCell="B3" sqref="A1:XFD1048576"/>
    </sheetView>
  </sheetViews>
  <sheetFormatPr defaultRowHeight="15" x14ac:dyDescent="0.25"/>
  <cols>
    <col min="1" max="1" width="0" hidden="1" customWidth="1"/>
    <col min="2" max="2" width="36" style="61" customWidth="1"/>
    <col min="3" max="3" width="13.28515625" customWidth="1"/>
    <col min="4" max="4" width="11.28515625" customWidth="1"/>
    <col min="5" max="14" width="13.28515625" customWidth="1"/>
    <col min="15" max="15" width="14" customWidth="1"/>
    <col min="16" max="17" width="13.140625" customWidth="1"/>
    <col min="18" max="18" width="11.140625" customWidth="1"/>
    <col min="19" max="19" width="16.5703125" customWidth="1"/>
    <col min="20" max="20" width="10.28515625" customWidth="1"/>
    <col min="21" max="21" width="16.140625" customWidth="1"/>
    <col min="22" max="22" width="13.28515625" customWidth="1"/>
    <col min="23" max="23" width="15.5703125" customWidth="1"/>
    <col min="25" max="25" width="10.85546875" customWidth="1"/>
    <col min="27" max="27" width="9.5703125" customWidth="1"/>
    <col min="28" max="28" width="11.5703125" bestFit="1" customWidth="1"/>
    <col min="29" max="29" width="18.140625" customWidth="1"/>
    <col min="30" max="30" width="13.140625" customWidth="1"/>
    <col min="31" max="31" width="9.5703125" customWidth="1"/>
    <col min="32" max="32" width="13.140625" customWidth="1"/>
    <col min="33" max="33" width="12" customWidth="1"/>
    <col min="34" max="35" width="16.5703125" customWidth="1"/>
    <col min="36" max="36" width="18" customWidth="1"/>
    <col min="37" max="37" width="13.28515625" customWidth="1"/>
    <col min="38" max="38" width="13.7109375" style="1" customWidth="1"/>
    <col min="39" max="39" width="10.5703125" bestFit="1" customWidth="1"/>
    <col min="40" max="40" width="9.5703125" bestFit="1" customWidth="1"/>
  </cols>
  <sheetData>
    <row r="1" spans="1:41" x14ac:dyDescent="0.25">
      <c r="B1" s="128" t="s">
        <v>70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41" s="2" customFormat="1" x14ac:dyDescent="0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AL2" s="3"/>
    </row>
    <row r="3" spans="1:41" ht="15" customHeight="1" x14ac:dyDescent="0.25">
      <c r="A3" s="84" t="s">
        <v>0</v>
      </c>
      <c r="B3" s="87" t="s">
        <v>1</v>
      </c>
      <c r="C3" s="90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3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3" t="s">
        <v>4</v>
      </c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4"/>
      <c r="AO3" s="4"/>
    </row>
    <row r="4" spans="1:41" ht="33" customHeight="1" x14ac:dyDescent="0.25">
      <c r="A4" s="85"/>
      <c r="B4" s="88"/>
      <c r="C4" s="94" t="s">
        <v>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3" t="s">
        <v>6</v>
      </c>
      <c r="P4" s="93"/>
      <c r="Q4" s="93"/>
      <c r="R4" s="93"/>
      <c r="S4" s="97" t="s">
        <v>7</v>
      </c>
      <c r="T4" s="97"/>
      <c r="U4" s="93"/>
      <c r="V4" s="93"/>
      <c r="W4" s="93"/>
      <c r="X4" s="93"/>
      <c r="Y4" s="5"/>
      <c r="Z4" s="5"/>
      <c r="AA4" s="5"/>
      <c r="AB4" s="5"/>
      <c r="AC4" s="93" t="s">
        <v>8</v>
      </c>
      <c r="AD4" s="93"/>
      <c r="AE4" s="5"/>
      <c r="AF4" s="93" t="s">
        <v>9</v>
      </c>
      <c r="AG4" s="93"/>
      <c r="AH4" s="93" t="s">
        <v>10</v>
      </c>
      <c r="AI4" s="93"/>
      <c r="AJ4" s="93" t="s">
        <v>11</v>
      </c>
      <c r="AK4" s="93"/>
      <c r="AL4" s="122" t="s">
        <v>12</v>
      </c>
      <c r="AM4" s="103" t="s">
        <v>13</v>
      </c>
      <c r="AN4" s="103" t="s">
        <v>14</v>
      </c>
      <c r="AO4" s="103" t="s">
        <v>15</v>
      </c>
    </row>
    <row r="5" spans="1:41" ht="15.75" customHeight="1" x14ac:dyDescent="0.25">
      <c r="A5" s="85"/>
      <c r="B5" s="88"/>
      <c r="C5" s="140" t="s">
        <v>16</v>
      </c>
      <c r="D5" s="105" t="s">
        <v>17</v>
      </c>
      <c r="E5" s="136" t="s">
        <v>18</v>
      </c>
      <c r="F5" s="121" t="s">
        <v>19</v>
      </c>
      <c r="G5" s="116" t="s">
        <v>20</v>
      </c>
      <c r="H5" s="116" t="s">
        <v>21</v>
      </c>
      <c r="I5" s="116" t="s">
        <v>22</v>
      </c>
      <c r="J5" s="119" t="s">
        <v>23</v>
      </c>
      <c r="K5" s="6"/>
      <c r="L5" s="139" t="s">
        <v>24</v>
      </c>
      <c r="M5" s="106" t="s">
        <v>25</v>
      </c>
      <c r="N5" s="7"/>
      <c r="O5" s="103" t="s">
        <v>26</v>
      </c>
      <c r="P5" s="103" t="s">
        <v>27</v>
      </c>
      <c r="Q5" s="109" t="s">
        <v>28</v>
      </c>
      <c r="R5" s="110" t="s">
        <v>23</v>
      </c>
      <c r="S5" s="135" t="s">
        <v>29</v>
      </c>
      <c r="T5" s="110" t="s">
        <v>23</v>
      </c>
      <c r="U5" s="109" t="s">
        <v>30</v>
      </c>
      <c r="V5" s="103" t="s">
        <v>31</v>
      </c>
      <c r="W5" s="138" t="s">
        <v>32</v>
      </c>
      <c r="X5" s="110" t="s">
        <v>23</v>
      </c>
      <c r="Y5" s="132" t="s">
        <v>33</v>
      </c>
      <c r="Z5" s="132" t="s">
        <v>34</v>
      </c>
      <c r="AA5" s="132" t="s">
        <v>35</v>
      </c>
      <c r="AB5" s="110" t="s">
        <v>23</v>
      </c>
      <c r="AC5" s="113" t="s">
        <v>36</v>
      </c>
      <c r="AD5" s="103" t="s">
        <v>37</v>
      </c>
      <c r="AE5" s="8"/>
      <c r="AF5" s="98" t="s">
        <v>38</v>
      </c>
      <c r="AG5" s="101" t="s">
        <v>23</v>
      </c>
      <c r="AH5" s="102" t="s">
        <v>39</v>
      </c>
      <c r="AI5" s="101" t="s">
        <v>23</v>
      </c>
      <c r="AJ5" s="98" t="s">
        <v>40</v>
      </c>
      <c r="AK5" s="125" t="s">
        <v>23</v>
      </c>
      <c r="AL5" s="123"/>
      <c r="AM5" s="104"/>
      <c r="AN5" s="104"/>
      <c r="AO5" s="104"/>
    </row>
    <row r="6" spans="1:41" ht="15.75" customHeight="1" x14ac:dyDescent="0.25">
      <c r="A6" s="85"/>
      <c r="B6" s="88"/>
      <c r="C6" s="140"/>
      <c r="D6" s="142"/>
      <c r="E6" s="136"/>
      <c r="F6" s="143"/>
      <c r="G6" s="117"/>
      <c r="H6" s="117"/>
      <c r="I6" s="117"/>
      <c r="J6" s="120"/>
      <c r="K6" s="130" t="s">
        <v>41</v>
      </c>
      <c r="L6" s="130"/>
      <c r="M6" s="107"/>
      <c r="N6" s="9"/>
      <c r="O6" s="104"/>
      <c r="P6" s="104"/>
      <c r="Q6" s="109"/>
      <c r="R6" s="111"/>
      <c r="S6" s="136"/>
      <c r="T6" s="111"/>
      <c r="U6" s="109"/>
      <c r="V6" s="104"/>
      <c r="W6" s="123"/>
      <c r="X6" s="111"/>
      <c r="Y6" s="133"/>
      <c r="Z6" s="133"/>
      <c r="AA6" s="133"/>
      <c r="AB6" s="111"/>
      <c r="AC6" s="114"/>
      <c r="AD6" s="104"/>
      <c r="AE6" s="10"/>
      <c r="AF6" s="99"/>
      <c r="AG6" s="101"/>
      <c r="AH6" s="102"/>
      <c r="AI6" s="101"/>
      <c r="AJ6" s="99"/>
      <c r="AK6" s="126"/>
      <c r="AL6" s="123"/>
      <c r="AM6" s="104"/>
      <c r="AN6" s="104"/>
      <c r="AO6" s="104"/>
    </row>
    <row r="7" spans="1:41" ht="15" customHeight="1" x14ac:dyDescent="0.25">
      <c r="A7" s="85"/>
      <c r="B7" s="88"/>
      <c r="C7" s="140"/>
      <c r="D7" s="142"/>
      <c r="E7" s="136"/>
      <c r="F7" s="143"/>
      <c r="G7" s="117"/>
      <c r="H7" s="117"/>
      <c r="I7" s="117"/>
      <c r="J7" s="120"/>
      <c r="K7" s="130"/>
      <c r="L7" s="130"/>
      <c r="M7" s="107"/>
      <c r="N7" s="9"/>
      <c r="O7" s="104"/>
      <c r="P7" s="104"/>
      <c r="Q7" s="109"/>
      <c r="R7" s="111"/>
      <c r="S7" s="136"/>
      <c r="T7" s="111"/>
      <c r="U7" s="109"/>
      <c r="V7" s="104"/>
      <c r="W7" s="123"/>
      <c r="X7" s="111"/>
      <c r="Y7" s="133"/>
      <c r="Z7" s="133"/>
      <c r="AA7" s="133"/>
      <c r="AB7" s="111"/>
      <c r="AC7" s="114"/>
      <c r="AD7" s="104"/>
      <c r="AE7" s="10"/>
      <c r="AF7" s="99"/>
      <c r="AG7" s="101"/>
      <c r="AH7" s="102"/>
      <c r="AI7" s="101"/>
      <c r="AJ7" s="99"/>
      <c r="AK7" s="126"/>
      <c r="AL7" s="123"/>
      <c r="AM7" s="104"/>
      <c r="AN7" s="104"/>
      <c r="AO7" s="104"/>
    </row>
    <row r="8" spans="1:41" ht="248.25" customHeight="1" x14ac:dyDescent="0.25">
      <c r="A8" s="85"/>
      <c r="B8" s="88"/>
      <c r="C8" s="140"/>
      <c r="D8" s="142"/>
      <c r="E8" s="136"/>
      <c r="F8" s="143"/>
      <c r="G8" s="117"/>
      <c r="H8" s="117"/>
      <c r="I8" s="117"/>
      <c r="J8" s="120"/>
      <c r="K8" s="130"/>
      <c r="L8" s="130"/>
      <c r="M8" s="107"/>
      <c r="N8" s="9" t="s">
        <v>23</v>
      </c>
      <c r="O8" s="104"/>
      <c r="P8" s="104"/>
      <c r="Q8" s="109"/>
      <c r="R8" s="111"/>
      <c r="S8" s="136"/>
      <c r="T8" s="111"/>
      <c r="U8" s="109"/>
      <c r="V8" s="104"/>
      <c r="W8" s="124"/>
      <c r="X8" s="111"/>
      <c r="Y8" s="134"/>
      <c r="Z8" s="134"/>
      <c r="AA8" s="134"/>
      <c r="AB8" s="112"/>
      <c r="AC8" s="114"/>
      <c r="AD8" s="104"/>
      <c r="AE8" s="10" t="s">
        <v>23</v>
      </c>
      <c r="AF8" s="99"/>
      <c r="AG8" s="101"/>
      <c r="AH8" s="102"/>
      <c r="AI8" s="101"/>
      <c r="AJ8" s="99"/>
      <c r="AK8" s="126"/>
      <c r="AL8" s="123"/>
      <c r="AM8" s="104"/>
      <c r="AN8" s="105"/>
      <c r="AO8" s="105"/>
    </row>
    <row r="9" spans="1:41" ht="6.75" hidden="1" customHeight="1" x14ac:dyDescent="0.25">
      <c r="A9" s="85"/>
      <c r="B9" s="88"/>
      <c r="C9" s="140"/>
      <c r="D9" s="142"/>
      <c r="E9" s="136"/>
      <c r="F9" s="143"/>
      <c r="G9" s="117"/>
      <c r="H9" s="117"/>
      <c r="I9" s="117"/>
      <c r="J9" s="120"/>
      <c r="K9" s="130"/>
      <c r="L9" s="130"/>
      <c r="M9" s="107"/>
      <c r="N9" s="9"/>
      <c r="O9" s="104"/>
      <c r="P9" s="104"/>
      <c r="Q9" s="109"/>
      <c r="R9" s="111"/>
      <c r="S9" s="136"/>
      <c r="T9" s="111"/>
      <c r="U9" s="109"/>
      <c r="V9" s="104"/>
      <c r="W9" s="11"/>
      <c r="X9" s="111"/>
      <c r="Y9" s="12"/>
      <c r="Z9" s="12"/>
      <c r="AA9" s="12"/>
      <c r="AB9" s="13"/>
      <c r="AC9" s="114"/>
      <c r="AE9" s="10"/>
      <c r="AF9" s="99"/>
      <c r="AG9" s="101"/>
      <c r="AH9" s="102"/>
      <c r="AI9" s="101"/>
      <c r="AJ9" s="99"/>
      <c r="AK9" s="126"/>
      <c r="AL9" s="123"/>
      <c r="AM9" s="104"/>
      <c r="AN9" s="14"/>
      <c r="AO9" s="14"/>
    </row>
    <row r="10" spans="1:41" ht="10.5" hidden="1" customHeight="1" x14ac:dyDescent="0.25">
      <c r="A10" s="86"/>
      <c r="B10" s="89"/>
      <c r="C10" s="141"/>
      <c r="D10" s="142"/>
      <c r="E10" s="137"/>
      <c r="F10" s="143"/>
      <c r="G10" s="118"/>
      <c r="H10" s="118"/>
      <c r="I10" s="118"/>
      <c r="J10" s="121"/>
      <c r="K10" s="131"/>
      <c r="L10" s="131"/>
      <c r="M10" s="108"/>
      <c r="N10" s="15"/>
      <c r="O10" s="105"/>
      <c r="P10" s="105"/>
      <c r="Q10" s="109"/>
      <c r="R10" s="112"/>
      <c r="S10" s="137"/>
      <c r="T10" s="112"/>
      <c r="U10" s="109"/>
      <c r="V10" s="105"/>
      <c r="W10" s="11"/>
      <c r="X10" s="112"/>
      <c r="Y10" s="12"/>
      <c r="Z10" s="12"/>
      <c r="AA10" s="12"/>
      <c r="AB10" s="13"/>
      <c r="AC10" s="115"/>
      <c r="AE10" s="16"/>
      <c r="AF10" s="100"/>
      <c r="AG10" s="101"/>
      <c r="AH10" s="102"/>
      <c r="AI10" s="101"/>
      <c r="AJ10" s="100"/>
      <c r="AK10" s="127"/>
      <c r="AL10" s="124"/>
      <c r="AM10" s="105"/>
      <c r="AN10" s="14"/>
      <c r="AO10" s="14"/>
    </row>
    <row r="11" spans="1:41" s="26" customFormat="1" ht="24.75" customHeight="1" x14ac:dyDescent="0.25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 x14ac:dyDescent="0.25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 x14ac:dyDescent="0.25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5.9849575257679984E-2</v>
      </c>
      <c r="G13" s="34">
        <v>634.70000000000005</v>
      </c>
      <c r="H13" s="34">
        <v>739.1</v>
      </c>
      <c r="I13" s="34">
        <f>G13/H13</f>
        <v>0.85874712488161276</v>
      </c>
      <c r="J13" s="35">
        <f>(I13-0.1)/(10.4-0.1)</f>
        <v>7.3664769405981823E-2</v>
      </c>
      <c r="K13" s="36">
        <f>613.8+227.9</f>
        <v>841.69999999999993</v>
      </c>
      <c r="L13" s="36">
        <f>277.6+1099.3</f>
        <v>1376.9</v>
      </c>
      <c r="M13" s="37">
        <f>K13/L13</f>
        <v>0.61130074805722989</v>
      </c>
      <c r="N13" s="35">
        <f>(5.51-M13)/(5.51-0.06)</f>
        <v>0.89884389943904019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0.77213081804347206</v>
      </c>
      <c r="X13" s="39">
        <f>(9.4-W13)/(9.4-0.6)</f>
        <v>0.98043967976778723</v>
      </c>
      <c r="Y13" s="34">
        <v>5646.3</v>
      </c>
      <c r="Z13" s="34">
        <v>5103.1000000000004</v>
      </c>
      <c r="AA13" s="34">
        <f>Y13/Z13</f>
        <v>1.1064451019968253</v>
      </c>
      <c r="AB13" s="40">
        <f>(AA13-0.8)/(2.5-0.8)</f>
        <v>0.18026182470401489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7.2845820426504986</v>
      </c>
      <c r="AM13" s="48">
        <f>AL13/100*30+AL13</f>
        <v>9.4699566554456478</v>
      </c>
      <c r="AN13" s="48">
        <f>AL13-AL13/100*30</f>
        <v>5.0992074298553494</v>
      </c>
      <c r="AO13" s="4">
        <v>1</v>
      </c>
    </row>
    <row r="14" spans="1:41" ht="15" customHeight="1" x14ac:dyDescent="0.25">
      <c r="A14" s="4"/>
      <c r="B14" s="18" t="s">
        <v>54</v>
      </c>
      <c r="C14" s="32">
        <v>445</v>
      </c>
      <c r="D14" s="32">
        <v>445</v>
      </c>
      <c r="E14" s="32">
        <f t="shared" ref="E14:E28" si="0">D14/C14</f>
        <v>1</v>
      </c>
      <c r="F14" s="33">
        <f t="shared" ref="F14:F23" si="1">(E14-1)/(1.7-1)</f>
        <v>0</v>
      </c>
      <c r="G14" s="34">
        <v>19</v>
      </c>
      <c r="H14" s="34">
        <v>64.599999999999994</v>
      </c>
      <c r="I14" s="34">
        <f t="shared" ref="I14:I28" si="2">G14/H14</f>
        <v>0.29411764705882354</v>
      </c>
      <c r="J14" s="35">
        <f t="shared" ref="J14:J23" si="3">(I14-0.1)/(10.4-0.1)</f>
        <v>1.8846373500856651E-2</v>
      </c>
      <c r="K14" s="36">
        <f>1.9+3.8</f>
        <v>5.6999999999999993</v>
      </c>
      <c r="L14" s="36">
        <f>3.2+65</f>
        <v>68.2</v>
      </c>
      <c r="M14" s="37">
        <f t="shared" ref="M14:M22" si="4">K14/L14</f>
        <v>8.3577712609970656E-2</v>
      </c>
      <c r="N14" s="35">
        <f t="shared" ref="N14:N28" si="5">(5.51-M14)/(5.51-0.06)</f>
        <v>0.99567381420000522</v>
      </c>
      <c r="O14" s="32">
        <v>2335.6999999999998</v>
      </c>
      <c r="P14" s="32">
        <v>2057.1999999999998</v>
      </c>
      <c r="Q14" s="38">
        <f t="shared" ref="Q14:Q28" si="6">(O14-P14)/O14</f>
        <v>0.11923620327953077</v>
      </c>
      <c r="R14" s="39">
        <f t="shared" ref="R14:R28" si="7">(0.846-Q14)/(0.846-0.111)</f>
        <v>0.98879428125233904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t="shared" ref="W14:W23" si="8">U14/V14</f>
        <v>3.6680662983425414</v>
      </c>
      <c r="X14" s="39">
        <f t="shared" ref="X14:X28" si="9">(9.4-W14)/(9.4-0.6)</f>
        <v>0.65135610246107478</v>
      </c>
      <c r="Y14" s="34">
        <v>261.2</v>
      </c>
      <c r="Z14" s="34">
        <v>215.5</v>
      </c>
      <c r="AA14" s="34">
        <f t="shared" ref="AA14:AA22" si="10">Y14/Z14</f>
        <v>1.2120649651972157</v>
      </c>
      <c r="AB14" s="40">
        <f t="shared" ref="AB14:AB28" si="11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t="shared" ref="AL14:AL22" si="12">F14+J14+N14+R14+T14+X14+AB14+AE14+AG14+AI14+AK14/11</f>
        <v>6.9879708183217284</v>
      </c>
      <c r="AM14" s="48">
        <f t="shared" ref="AM14:AM26" si="13">AL14/100*30+AL14</f>
        <v>9.0843620638182472</v>
      </c>
      <c r="AN14" s="48">
        <f t="shared" ref="AN14:AN26" si="14">AL14-AL14/100*30</f>
        <v>4.8915795728252096</v>
      </c>
      <c r="AO14" s="4">
        <v>1</v>
      </c>
    </row>
    <row r="15" spans="1:41" ht="15" customHeight="1" x14ac:dyDescent="0.25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2.7879766602172399E-2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8.7378640776699032E-2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0.13477594416541649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5.7826576576576576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6.6630606878302698</v>
      </c>
      <c r="AM15" s="48">
        <f t="shared" si="13"/>
        <v>8.6619788941793505</v>
      </c>
      <c r="AN15" s="48">
        <f t="shared" si="14"/>
        <v>4.6641424814811892</v>
      </c>
      <c r="AO15" s="4">
        <v>2</v>
      </c>
    </row>
    <row r="16" spans="1:41" ht="15" customHeight="1" x14ac:dyDescent="0.25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1.5062566134079589E-2</v>
      </c>
      <c r="G16" s="34">
        <v>254.4</v>
      </c>
      <c r="H16" s="34">
        <v>265.10000000000002</v>
      </c>
      <c r="I16" s="34">
        <f t="shared" si="2"/>
        <v>0.95963787250094301</v>
      </c>
      <c r="J16" s="35">
        <f t="shared" si="3"/>
        <v>8.3459987621450779E-2</v>
      </c>
      <c r="K16" s="36">
        <f>43+17.1</f>
        <v>60.1</v>
      </c>
      <c r="L16" s="36">
        <f>42.6+1026.5</f>
        <v>1069.0999999999999</v>
      </c>
      <c r="M16" s="37">
        <f t="shared" si="4"/>
        <v>5.6215508371527459E-2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0.87580834525532081</v>
      </c>
      <c r="S16" s="32" t="s">
        <v>50</v>
      </c>
      <c r="T16" s="39">
        <v>1</v>
      </c>
      <c r="U16" s="32">
        <v>2145.6999999999998</v>
      </c>
      <c r="V16" s="32">
        <v>3074.4</v>
      </c>
      <c r="W16" s="32">
        <f t="shared" si="8"/>
        <v>0.69792479833463428</v>
      </c>
      <c r="X16" s="39">
        <f t="shared" si="9"/>
        <v>0.98887218200742788</v>
      </c>
      <c r="Y16" s="34">
        <v>2783.2</v>
      </c>
      <c r="Z16" s="34">
        <v>3227.8</v>
      </c>
      <c r="AA16" s="34">
        <f t="shared" si="10"/>
        <v>0.86225912386145354</v>
      </c>
      <c r="AB16" s="40">
        <f t="shared" si="11"/>
        <v>3.6623014036149114E-2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7.0914295880971832</v>
      </c>
      <c r="AM16" s="48">
        <f t="shared" si="13"/>
        <v>9.2188584645263383</v>
      </c>
      <c r="AN16" s="48">
        <f t="shared" si="14"/>
        <v>4.964000711668028</v>
      </c>
      <c r="AO16" s="4">
        <v>1</v>
      </c>
    </row>
    <row r="17" spans="1:41" ht="15" customHeight="1" x14ac:dyDescent="0.25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0.99369880277252676</v>
      </c>
      <c r="F17" s="33">
        <f t="shared" si="1"/>
        <v>-9.0017103249617758E-3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0.14899178491411499</v>
      </c>
      <c r="K17" s="36">
        <f>91.5+71.4</f>
        <v>162.9</v>
      </c>
      <c r="L17" s="36">
        <f>80.3+737.5</f>
        <v>817.8</v>
      </c>
      <c r="M17" s="37">
        <f t="shared" si="4"/>
        <v>0.19919295671313281</v>
      </c>
      <c r="N17" s="35">
        <f t="shared" si="5"/>
        <v>0.97446000794254439</v>
      </c>
      <c r="O17" s="32">
        <v>8791.4</v>
      </c>
      <c r="P17" s="32">
        <v>7288.9</v>
      </c>
      <c r="Q17" s="38">
        <f t="shared" si="6"/>
        <v>0.17090565780194281</v>
      </c>
      <c r="R17" s="39">
        <f t="shared" si="7"/>
        <v>0.91849570367082611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0.91916945679876072</v>
      </c>
      <c r="X17" s="39">
        <f t="shared" si="9"/>
        <v>0.96373074354559529</v>
      </c>
      <c r="Y17" s="34">
        <v>2197.6999999999998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7.2813846327072964</v>
      </c>
      <c r="AM17" s="48">
        <f t="shared" si="13"/>
        <v>9.4658000225194847</v>
      </c>
      <c r="AN17" s="48">
        <f t="shared" si="14"/>
        <v>5.0969692428951072</v>
      </c>
      <c r="AO17" s="4">
        <v>1</v>
      </c>
    </row>
    <row r="18" spans="1:41" ht="15" customHeight="1" x14ac:dyDescent="0.25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0.37488045903729678</v>
      </c>
      <c r="J18" s="35">
        <f t="shared" si="3"/>
        <v>2.6687423207504536E-2</v>
      </c>
      <c r="K18" s="36">
        <f>401.6+42.6</f>
        <v>444.20000000000005</v>
      </c>
      <c r="L18" s="36">
        <f>24.6+56</f>
        <v>80.599999999999994</v>
      </c>
      <c r="M18" s="37">
        <f t="shared" si="4"/>
        <v>5.511166253101738</v>
      </c>
      <c r="N18" s="35">
        <f t="shared" si="5"/>
        <v>-2.1399139481435503E-4</v>
      </c>
      <c r="O18" s="32">
        <v>9237.2000000000007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2129.6999999999998</v>
      </c>
      <c r="W18" s="32">
        <f t="shared" si="8"/>
        <v>2.4199652533220646</v>
      </c>
      <c r="X18" s="39">
        <f t="shared" si="9"/>
        <v>0.79318576666794716</v>
      </c>
      <c r="Y18" s="34">
        <v>1318.8</v>
      </c>
      <c r="Z18" s="34">
        <v>1632.6</v>
      </c>
      <c r="AA18" s="34">
        <f t="shared" si="10"/>
        <v>0.80779125321572953</v>
      </c>
      <c r="AB18" s="40">
        <f t="shared" si="11"/>
        <v>4.5830901268996988E-3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5.7539913142260586</v>
      </c>
      <c r="AM18" s="48">
        <f t="shared" si="13"/>
        <v>7.4801887084938761</v>
      </c>
      <c r="AN18" s="48">
        <f t="shared" si="14"/>
        <v>4.0277939199582411</v>
      </c>
      <c r="AO18" s="4">
        <v>3</v>
      </c>
    </row>
    <row r="19" spans="1:41" ht="15" customHeight="1" x14ac:dyDescent="0.25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5.2256086113023112E-2</v>
      </c>
      <c r="G19" s="34">
        <v>286.10000000000002</v>
      </c>
      <c r="H19" s="34">
        <v>27.4</v>
      </c>
      <c r="I19" s="34">
        <f t="shared" si="2"/>
        <v>10.441605839416059</v>
      </c>
      <c r="J19" s="35">
        <f t="shared" si="3"/>
        <v>1.0040394018850543</v>
      </c>
      <c r="K19" s="36">
        <f>102.6+55.7</f>
        <v>158.30000000000001</v>
      </c>
      <c r="L19" s="36">
        <f>72+198.7</f>
        <v>270.7</v>
      </c>
      <c r="M19" s="37">
        <f t="shared" si="4"/>
        <v>0.58478019948282234</v>
      </c>
      <c r="N19" s="35">
        <f t="shared" si="5"/>
        <v>0.90371005514076641</v>
      </c>
      <c r="O19" s="32">
        <v>19539.8</v>
      </c>
      <c r="P19" s="32">
        <v>14132.2</v>
      </c>
      <c r="Q19" s="38">
        <f t="shared" si="6"/>
        <v>0.27674797080829888</v>
      </c>
      <c r="R19" s="39">
        <f t="shared" si="7"/>
        <v>0.77449255672340289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4.4912666758355106</v>
      </c>
      <c r="X19" s="39">
        <f t="shared" si="9"/>
        <v>0.55781060501869195</v>
      </c>
      <c r="Y19" s="34">
        <v>2174.6</v>
      </c>
      <c r="Z19" s="34">
        <v>2054.3000000000002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7.5353119684150256</v>
      </c>
      <c r="AM19" s="48">
        <f t="shared" si="13"/>
        <v>9.7959055589395341</v>
      </c>
      <c r="AN19" s="48">
        <f t="shared" si="14"/>
        <v>5.274718377890518</v>
      </c>
      <c r="AO19" s="4">
        <v>1</v>
      </c>
    </row>
    <row r="20" spans="1:41" ht="15" customHeight="1" x14ac:dyDescent="0.25">
      <c r="A20" s="4"/>
      <c r="B20" s="18" t="s">
        <v>60</v>
      </c>
      <c r="C20" s="32">
        <v>566.29999999999995</v>
      </c>
      <c r="D20" s="32">
        <v>566.29999999999995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142.30000000000001</v>
      </c>
      <c r="I20" s="34">
        <f t="shared" si="2"/>
        <v>0.11595221363316935</v>
      </c>
      <c r="J20" s="35">
        <f t="shared" si="3"/>
        <v>1.5487586051620721E-3</v>
      </c>
      <c r="K20" s="36">
        <f>0.1+0.7</f>
        <v>0.79999999999999993</v>
      </c>
      <c r="L20" s="36">
        <f>0.6+1.8</f>
        <v>2.4</v>
      </c>
      <c r="M20" s="37">
        <f t="shared" si="4"/>
        <v>0.33333333333333331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0.89282222510218634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4.9576460098082924</v>
      </c>
      <c r="X20" s="39">
        <f t="shared" si="9"/>
        <v>0.50481295343087584</v>
      </c>
      <c r="Y20" s="34">
        <v>131.69999999999999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6.5793565193283898</v>
      </c>
      <c r="AM20" s="48">
        <f t="shared" si="13"/>
        <v>8.5531634751269063</v>
      </c>
      <c r="AN20" s="48">
        <f t="shared" si="14"/>
        <v>4.6055495635298733</v>
      </c>
      <c r="AO20" s="4">
        <v>2</v>
      </c>
    </row>
    <row r="21" spans="1:41" ht="15" customHeight="1" x14ac:dyDescent="0.25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1.0097756410256411</v>
      </c>
      <c r="F21" s="33">
        <f t="shared" si="1"/>
        <v>1.3965201465201575E-2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10.199999999999999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0.26985678955541498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0.85689990281827011</v>
      </c>
      <c r="Y21" s="34">
        <v>52</v>
      </c>
      <c r="Z21" s="34">
        <v>21.2</v>
      </c>
      <c r="AA21" s="34">
        <f t="shared" si="10"/>
        <v>2.4528301886792452</v>
      </c>
      <c r="AB21" s="40">
        <f t="shared" si="11"/>
        <v>0.97225305216426183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6.9619144439366627</v>
      </c>
      <c r="AM21" s="48">
        <f t="shared" si="13"/>
        <v>9.0504887771176605</v>
      </c>
      <c r="AN21" s="48">
        <f t="shared" si="14"/>
        <v>4.873340110755664</v>
      </c>
      <c r="AO21" s="4">
        <v>1</v>
      </c>
    </row>
    <row r="22" spans="1:41" ht="15" customHeight="1" x14ac:dyDescent="0.25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0.68925393566050652</v>
      </c>
      <c r="J22" s="35">
        <f t="shared" si="3"/>
        <v>5.7209119967039465E-2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0.96041997069038187</v>
      </c>
      <c r="O22" s="32">
        <v>19655</v>
      </c>
      <c r="P22" s="32">
        <v>3021.1</v>
      </c>
      <c r="Q22" s="38">
        <f t="shared" si="6"/>
        <v>0.84629356397863142</v>
      </c>
      <c r="R22" s="39">
        <f t="shared" si="7"/>
        <v>-3.9940677364823179E-4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9.3792499123729414</v>
      </c>
      <c r="X22" s="39">
        <f t="shared" si="9"/>
        <v>2.3579645030748849E-3</v>
      </c>
      <c r="Y22" s="34">
        <v>225.4</v>
      </c>
      <c r="Z22" s="34">
        <v>235.2</v>
      </c>
      <c r="AA22" s="34">
        <f t="shared" si="10"/>
        <v>0.95833333333333337</v>
      </c>
      <c r="AB22" s="40">
        <f t="shared" si="11"/>
        <v>9.3137254901960786E-2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6.2479113542647324</v>
      </c>
      <c r="AM22" s="48">
        <f t="shared" si="13"/>
        <v>8.1222847605441526</v>
      </c>
      <c r="AN22" s="48">
        <f t="shared" si="14"/>
        <v>4.3735379479853123</v>
      </c>
      <c r="AO22" s="4">
        <v>2</v>
      </c>
    </row>
    <row r="23" spans="1:41" ht="15" customHeight="1" x14ac:dyDescent="0.25">
      <c r="A23" s="4"/>
      <c r="B23" s="18" t="s">
        <v>64</v>
      </c>
      <c r="C23" s="32">
        <f>SUM(C13:C22)</f>
        <v>24458.199999999997</v>
      </c>
      <c r="D23" s="32">
        <f t="shared" ref="D23:AF23" si="15">SUM(D13:D22)</f>
        <v>25018.499999999996</v>
      </c>
      <c r="E23" s="32">
        <f t="shared" si="0"/>
        <v>1.0229084724141597</v>
      </c>
      <c r="F23" s="33">
        <f t="shared" si="1"/>
        <v>3.2726389163085318E-2</v>
      </c>
      <c r="G23" s="34">
        <f>SUM(G13:G22)</f>
        <v>1752.5000000000002</v>
      </c>
      <c r="H23" s="34">
        <v>1961.1</v>
      </c>
      <c r="I23" s="34">
        <f t="shared" si="2"/>
        <v>0.89363112538881251</v>
      </c>
      <c r="J23" s="35">
        <f t="shared" si="3"/>
        <v>7.7051565571729361E-2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 t="shared" si="15"/>
        <v>92573.799999999988</v>
      </c>
      <c r="P23" s="32">
        <f t="shared" si="15"/>
        <v>61434.400000000001</v>
      </c>
      <c r="Q23" s="38">
        <f t="shared" si="6"/>
        <v>0.33637379042450444</v>
      </c>
      <c r="R23" s="39">
        <f t="shared" si="7"/>
        <v>0.69336899261972185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0.84935433238043956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 t="shared" si="15"/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 x14ac:dyDescent="0.25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 x14ac:dyDescent="0.25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1.835384841389771E-2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0.41320697954271962</v>
      </c>
      <c r="N25" s="35">
        <f t="shared" si="5"/>
        <v>0.93519137990041834</v>
      </c>
      <c r="O25" s="32">
        <v>26936.6</v>
      </c>
      <c r="P25" s="32">
        <v>20502.900000000001</v>
      </c>
      <c r="Q25" s="38">
        <f t="shared" si="6"/>
        <v>0.2388460310506893</v>
      </c>
      <c r="R25" s="39">
        <f t="shared" si="7"/>
        <v>0.82605982169974235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0.82578722647215796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6.9369340117224363</v>
      </c>
      <c r="AM25" s="48">
        <f t="shared" si="13"/>
        <v>9.018014215239166</v>
      </c>
      <c r="AN25" s="48">
        <f t="shared" si="14"/>
        <v>4.8558538082057057</v>
      </c>
      <c r="AO25" s="4">
        <v>2</v>
      </c>
    </row>
    <row r="26" spans="1:41" ht="15" customHeight="1" x14ac:dyDescent="0.25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 t="shared" ref="F26:F28" si="16">(E26-1)/(1.7-1)</f>
        <v>0</v>
      </c>
      <c r="G26" s="34">
        <v>1194</v>
      </c>
      <c r="H26" s="34">
        <v>1481.3</v>
      </c>
      <c r="I26" s="34">
        <f t="shared" si="2"/>
        <v>0.80604874097076895</v>
      </c>
      <c r="J26" s="35">
        <f t="shared" ref="J26:J28" si="17">(I26-0.1)/(10.4-0.1)</f>
        <v>6.8548421453472716E-2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0.93177790042591291</v>
      </c>
      <c r="O26" s="32">
        <v>54077.8</v>
      </c>
      <c r="P26" s="32">
        <v>37779.9</v>
      </c>
      <c r="Q26" s="38">
        <f t="shared" si="6"/>
        <v>0.30137875431323019</v>
      </c>
      <c r="R26" s="39">
        <f t="shared" si="7"/>
        <v>0.74098128664866647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0.61375968992248064</v>
      </c>
      <c r="X26" s="39">
        <f t="shared" si="9"/>
        <v>0.9984363988724454</v>
      </c>
      <c r="Y26" s="34">
        <v>29511.7</v>
      </c>
      <c r="Z26" s="34">
        <v>28319.8</v>
      </c>
      <c r="AA26" s="34">
        <f t="shared" ref="AA26:AA27" si="18"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6.9730573110345864</v>
      </c>
      <c r="AM26" s="48">
        <f t="shared" si="13"/>
        <v>9.0649745043449617</v>
      </c>
      <c r="AN26" s="48">
        <f t="shared" si="14"/>
        <v>4.8811401177242111</v>
      </c>
      <c r="AO26" s="4">
        <v>1</v>
      </c>
    </row>
    <row r="27" spans="1:41" ht="15" customHeight="1" x14ac:dyDescent="0.25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 t="shared" si="16"/>
        <v>3.527904961308107E-3</v>
      </c>
      <c r="G27" s="34">
        <f>SUM(G25:G26)</f>
        <v>1793.1</v>
      </c>
      <c r="H27" s="34">
        <f>SUM(H25:H26)</f>
        <v>1968.1</v>
      </c>
      <c r="I27" s="34">
        <f t="shared" si="2"/>
        <v>0.91108175397591584</v>
      </c>
      <c r="J27" s="35">
        <f t="shared" si="17"/>
        <v>7.8745801356885026E-2</v>
      </c>
      <c r="K27" s="37">
        <f>SUM(K25:K26)</f>
        <v>1796.3999999999999</v>
      </c>
      <c r="L27" s="58">
        <f>SUM(L25:L26)</f>
        <v>4188.8</v>
      </c>
      <c r="M27" s="37">
        <f t="shared" ref="M27:M28" si="19">K27/L27</f>
        <v>0.4288579067990832</v>
      </c>
      <c r="N27" s="35">
        <f t="shared" si="5"/>
        <v>0.93231965012860862</v>
      </c>
      <c r="O27" s="32">
        <v>33724.800000000003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2.1417525962847419</v>
      </c>
      <c r="S27" s="32" t="s">
        <v>50</v>
      </c>
      <c r="T27" s="39">
        <v>1</v>
      </c>
      <c r="U27" s="32">
        <f>SUM(U25:U26)</f>
        <v>33270.699999999997</v>
      </c>
      <c r="V27" s="32">
        <f>SUM(V25:V26)</f>
        <v>38016.800000000003</v>
      </c>
      <c r="W27" s="32">
        <f t="shared" ref="W27:W28" si="20">U27/V27</f>
        <v>0.87515782496159578</v>
      </c>
      <c r="X27" s="39">
        <f t="shared" si="9"/>
        <v>0.96873206534527323</v>
      </c>
      <c r="Y27" s="34">
        <f>SUM(Y25:Y26)</f>
        <v>34579.199999999997</v>
      </c>
      <c r="Z27" s="34">
        <f>SUM(Z25:Z26)</f>
        <v>33276</v>
      </c>
      <c r="AA27" s="34">
        <f t="shared" si="18"/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 x14ac:dyDescent="0.25">
      <c r="A28" s="4"/>
      <c r="B28" s="18" t="s">
        <v>69</v>
      </c>
      <c r="C28" s="32">
        <f>C23+C27</f>
        <v>65437.599999999999</v>
      </c>
      <c r="D28" s="32">
        <f>D23+D27</f>
        <v>66099.099999999991</v>
      </c>
      <c r="E28" s="32">
        <f t="shared" si="0"/>
        <v>1.0101088670733644</v>
      </c>
      <c r="F28" s="33">
        <f t="shared" si="16"/>
        <v>1.4441238676234926E-2</v>
      </c>
      <c r="G28" s="34">
        <f>G23+G27</f>
        <v>3545.6000000000004</v>
      </c>
      <c r="H28" s="34">
        <f>H23+H27</f>
        <v>3929.2</v>
      </c>
      <c r="I28" s="34">
        <f t="shared" si="2"/>
        <v>0.90237198411890474</v>
      </c>
      <c r="J28" s="35">
        <f t="shared" si="17"/>
        <v>7.7900192632903376E-2</v>
      </c>
      <c r="K28" s="37">
        <f>K23+K27</f>
        <v>3524.2</v>
      </c>
      <c r="L28" s="37">
        <f>L23+L27</f>
        <v>8016.1</v>
      </c>
      <c r="M28" s="37">
        <f t="shared" si="19"/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5.210984128090082E-2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74827.299999999988</v>
      </c>
      <c r="V28" s="32">
        <f>V23+V27</f>
        <v>59597</v>
      </c>
      <c r="W28" s="32">
        <f t="shared" si="20"/>
        <v>1.2555548098058624</v>
      </c>
      <c r="X28" s="39">
        <f t="shared" si="9"/>
        <v>0.92550513524933364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1:41" x14ac:dyDescent="0.2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41" x14ac:dyDescent="0.2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mergeCells count="51">
    <mergeCell ref="B1:T2"/>
    <mergeCell ref="K6:K10"/>
    <mergeCell ref="Y5:Y8"/>
    <mergeCell ref="Z5:Z8"/>
    <mergeCell ref="AA5:AA8"/>
    <mergeCell ref="S5:S10"/>
    <mergeCell ref="T5:T10"/>
    <mergeCell ref="U5:U10"/>
    <mergeCell ref="V5:V10"/>
    <mergeCell ref="W5:W8"/>
    <mergeCell ref="X5:X10"/>
    <mergeCell ref="L5:L10"/>
    <mergeCell ref="C5:C10"/>
    <mergeCell ref="D5:D10"/>
    <mergeCell ref="E5:E10"/>
    <mergeCell ref="F5:F10"/>
    <mergeCell ref="AN4:AN8"/>
    <mergeCell ref="AO4:AO8"/>
    <mergeCell ref="AH4:AI4"/>
    <mergeCell ref="AJ4:AK4"/>
    <mergeCell ref="AL4:AL10"/>
    <mergeCell ref="AJ5:AJ10"/>
    <mergeCell ref="AK5:AK10"/>
    <mergeCell ref="G5:G10"/>
    <mergeCell ref="H5:H10"/>
    <mergeCell ref="I5:I10"/>
    <mergeCell ref="J5:J10"/>
    <mergeCell ref="AC4:AD4"/>
    <mergeCell ref="AF4:AG4"/>
    <mergeCell ref="P5:P10"/>
    <mergeCell ref="Q5:Q10"/>
    <mergeCell ref="R5:R10"/>
    <mergeCell ref="AC5:AC10"/>
    <mergeCell ref="AD5:AD8"/>
    <mergeCell ref="AB5:AB8"/>
    <mergeCell ref="A3:A10"/>
    <mergeCell ref="B3:B10"/>
    <mergeCell ref="C3:N3"/>
    <mergeCell ref="O3:AB3"/>
    <mergeCell ref="AC3:AM3"/>
    <mergeCell ref="C4:N4"/>
    <mergeCell ref="O4:R4"/>
    <mergeCell ref="S4:T4"/>
    <mergeCell ref="U4:X4"/>
    <mergeCell ref="AF5:AF10"/>
    <mergeCell ref="AG5:AG10"/>
    <mergeCell ref="AH5:AH10"/>
    <mergeCell ref="AI5:AI10"/>
    <mergeCell ref="AM4:AM10"/>
    <mergeCell ref="M5:M10"/>
    <mergeCell ref="O5:O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topLeftCell="B1" workbookViewId="0">
      <pane xSplit="1" topLeftCell="AC1" activePane="topRight" state="frozen"/>
      <selection activeCell="B7" sqref="B7"/>
      <selection pane="topRight" activeCell="E40" sqref="E40"/>
    </sheetView>
  </sheetViews>
  <sheetFormatPr defaultRowHeight="15" x14ac:dyDescent="0.25"/>
  <cols>
    <col min="1" max="1" width="0" hidden="1" customWidth="1"/>
    <col min="2" max="2" width="36" style="61" customWidth="1"/>
    <col min="3" max="3" width="13.28515625" customWidth="1"/>
    <col min="4" max="4" width="12.140625" customWidth="1"/>
    <col min="5" max="14" width="13.28515625" customWidth="1"/>
    <col min="15" max="15" width="14" customWidth="1"/>
    <col min="16" max="17" width="13.140625" customWidth="1"/>
    <col min="18" max="18" width="11.140625" customWidth="1"/>
    <col min="19" max="19" width="16.5703125" customWidth="1"/>
    <col min="20" max="20" width="10.28515625" customWidth="1"/>
    <col min="21" max="21" width="16.140625" customWidth="1"/>
    <col min="22" max="22" width="13.28515625" customWidth="1"/>
    <col min="23" max="23" width="15.5703125" customWidth="1"/>
    <col min="25" max="25" width="13.85546875" customWidth="1"/>
    <col min="26" max="26" width="12" customWidth="1"/>
    <col min="27" max="27" width="11" customWidth="1"/>
    <col min="28" max="28" width="13.7109375" customWidth="1"/>
    <col min="29" max="29" width="18.140625" customWidth="1"/>
    <col min="30" max="30" width="13.140625" customWidth="1"/>
    <col min="31" max="31" width="9.5703125" customWidth="1"/>
    <col min="32" max="32" width="15" customWidth="1"/>
    <col min="33" max="33" width="12" customWidth="1"/>
    <col min="34" max="35" width="16.5703125" customWidth="1"/>
    <col min="36" max="36" width="18" customWidth="1"/>
    <col min="37" max="37" width="13.28515625" customWidth="1"/>
    <col min="38" max="38" width="13.7109375" style="1" customWidth="1"/>
    <col min="39" max="39" width="11.28515625" customWidth="1"/>
    <col min="40" max="40" width="10.85546875" customWidth="1"/>
    <col min="41" max="41" width="12.140625" customWidth="1"/>
  </cols>
  <sheetData>
    <row r="1" spans="1:41" ht="15" customHeight="1" x14ac:dyDescent="0.25">
      <c r="C1" s="79" t="s">
        <v>75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s="2" customFormat="1" ht="15" customHeight="1" x14ac:dyDescent="0.3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AL2" s="3"/>
    </row>
    <row r="3" spans="1:41" ht="15" customHeight="1" x14ac:dyDescent="0.25">
      <c r="A3" s="84" t="s">
        <v>0</v>
      </c>
      <c r="B3" s="87" t="s">
        <v>1</v>
      </c>
      <c r="C3" s="90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3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3" t="s">
        <v>4</v>
      </c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64"/>
      <c r="AO3" s="64"/>
    </row>
    <row r="4" spans="1:41" ht="33" customHeight="1" x14ac:dyDescent="0.25">
      <c r="A4" s="85"/>
      <c r="B4" s="88"/>
      <c r="C4" s="94" t="s">
        <v>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3" t="s">
        <v>6</v>
      </c>
      <c r="P4" s="93"/>
      <c r="Q4" s="93"/>
      <c r="R4" s="93"/>
      <c r="S4" s="97" t="s">
        <v>7</v>
      </c>
      <c r="T4" s="97"/>
      <c r="U4" s="93"/>
      <c r="V4" s="93"/>
      <c r="W4" s="93"/>
      <c r="X4" s="93"/>
      <c r="Y4" s="63"/>
      <c r="Z4" s="63"/>
      <c r="AA4" s="63"/>
      <c r="AB4" s="63"/>
      <c r="AC4" s="93" t="s">
        <v>8</v>
      </c>
      <c r="AD4" s="93"/>
      <c r="AE4" s="63"/>
      <c r="AF4" s="93" t="s">
        <v>9</v>
      </c>
      <c r="AG4" s="93"/>
      <c r="AH4" s="93" t="s">
        <v>10</v>
      </c>
      <c r="AI4" s="93"/>
      <c r="AJ4" s="93" t="s">
        <v>72</v>
      </c>
      <c r="AK4" s="93"/>
      <c r="AL4" s="155" t="s">
        <v>12</v>
      </c>
      <c r="AM4" s="103" t="s">
        <v>13</v>
      </c>
      <c r="AN4" s="103" t="s">
        <v>14</v>
      </c>
      <c r="AO4" s="103" t="s">
        <v>15</v>
      </c>
    </row>
    <row r="5" spans="1:41" ht="15.75" customHeight="1" x14ac:dyDescent="0.25">
      <c r="A5" s="85"/>
      <c r="B5" s="88"/>
      <c r="C5" s="157" t="s">
        <v>16</v>
      </c>
      <c r="D5" s="154" t="s">
        <v>17</v>
      </c>
      <c r="E5" s="117" t="s">
        <v>18</v>
      </c>
      <c r="F5" s="121" t="s">
        <v>19</v>
      </c>
      <c r="G5" s="144" t="s">
        <v>74</v>
      </c>
      <c r="H5" s="144" t="s">
        <v>73</v>
      </c>
      <c r="I5" s="116" t="s">
        <v>22</v>
      </c>
      <c r="J5" s="119" t="s">
        <v>23</v>
      </c>
      <c r="K5" s="69"/>
      <c r="L5" s="156" t="s">
        <v>24</v>
      </c>
      <c r="M5" s="156" t="s">
        <v>25</v>
      </c>
      <c r="N5" s="66"/>
      <c r="O5" s="103" t="s">
        <v>26</v>
      </c>
      <c r="P5" s="103" t="s">
        <v>27</v>
      </c>
      <c r="Q5" s="109" t="s">
        <v>28</v>
      </c>
      <c r="R5" s="110" t="s">
        <v>23</v>
      </c>
      <c r="S5" s="135" t="s">
        <v>29</v>
      </c>
      <c r="T5" s="110" t="s">
        <v>23</v>
      </c>
      <c r="U5" s="109" t="s">
        <v>30</v>
      </c>
      <c r="V5" s="152" t="s">
        <v>31</v>
      </c>
      <c r="W5" s="138" t="s">
        <v>32</v>
      </c>
      <c r="X5" s="110" t="s">
        <v>23</v>
      </c>
      <c r="Y5" s="149" t="s">
        <v>33</v>
      </c>
      <c r="Z5" s="132" t="s">
        <v>34</v>
      </c>
      <c r="AA5" s="132" t="s">
        <v>35</v>
      </c>
      <c r="AB5" s="110" t="s">
        <v>23</v>
      </c>
      <c r="AC5" s="113" t="s">
        <v>36</v>
      </c>
      <c r="AD5" s="103" t="s">
        <v>37</v>
      </c>
      <c r="AE5" s="8"/>
      <c r="AF5" s="98" t="s">
        <v>38</v>
      </c>
      <c r="AG5" s="101" t="s">
        <v>23</v>
      </c>
      <c r="AH5" s="102" t="s">
        <v>39</v>
      </c>
      <c r="AI5" s="101" t="s">
        <v>23</v>
      </c>
      <c r="AJ5" s="98" t="s">
        <v>40</v>
      </c>
      <c r="AK5" s="125" t="s">
        <v>23</v>
      </c>
      <c r="AL5" s="133"/>
      <c r="AM5" s="104"/>
      <c r="AN5" s="104"/>
      <c r="AO5" s="104"/>
    </row>
    <row r="6" spans="1:41" ht="15.75" customHeight="1" x14ac:dyDescent="0.25">
      <c r="A6" s="85"/>
      <c r="B6" s="88"/>
      <c r="C6" s="157"/>
      <c r="D6" s="159"/>
      <c r="E6" s="117"/>
      <c r="F6" s="143"/>
      <c r="G6" s="145"/>
      <c r="H6" s="145"/>
      <c r="I6" s="117"/>
      <c r="J6" s="120"/>
      <c r="K6" s="147" t="s">
        <v>41</v>
      </c>
      <c r="L6" s="147"/>
      <c r="M6" s="147"/>
      <c r="N6" s="67"/>
      <c r="O6" s="104"/>
      <c r="P6" s="104"/>
      <c r="Q6" s="109"/>
      <c r="R6" s="111"/>
      <c r="S6" s="136"/>
      <c r="T6" s="111"/>
      <c r="U6" s="109"/>
      <c r="V6" s="153"/>
      <c r="W6" s="123"/>
      <c r="X6" s="111"/>
      <c r="Y6" s="150"/>
      <c r="Z6" s="133"/>
      <c r="AA6" s="133"/>
      <c r="AB6" s="111"/>
      <c r="AC6" s="114"/>
      <c r="AD6" s="104"/>
      <c r="AE6" s="10"/>
      <c r="AF6" s="99"/>
      <c r="AG6" s="101"/>
      <c r="AH6" s="102"/>
      <c r="AI6" s="101"/>
      <c r="AJ6" s="99"/>
      <c r="AK6" s="126"/>
      <c r="AL6" s="133"/>
      <c r="AM6" s="104"/>
      <c r="AN6" s="104"/>
      <c r="AO6" s="104"/>
    </row>
    <row r="7" spans="1:41" ht="15" customHeight="1" x14ac:dyDescent="0.25">
      <c r="A7" s="85"/>
      <c r="B7" s="88"/>
      <c r="C7" s="157"/>
      <c r="D7" s="159"/>
      <c r="E7" s="117"/>
      <c r="F7" s="143"/>
      <c r="G7" s="145"/>
      <c r="H7" s="145"/>
      <c r="I7" s="117"/>
      <c r="J7" s="120"/>
      <c r="K7" s="147"/>
      <c r="L7" s="147"/>
      <c r="M7" s="147"/>
      <c r="N7" s="67"/>
      <c r="O7" s="104"/>
      <c r="P7" s="104"/>
      <c r="Q7" s="109"/>
      <c r="R7" s="111"/>
      <c r="S7" s="136"/>
      <c r="T7" s="111"/>
      <c r="U7" s="109"/>
      <c r="V7" s="153"/>
      <c r="W7" s="123"/>
      <c r="X7" s="111"/>
      <c r="Y7" s="150"/>
      <c r="Z7" s="133"/>
      <c r="AA7" s="133"/>
      <c r="AB7" s="111"/>
      <c r="AC7" s="114"/>
      <c r="AD7" s="104"/>
      <c r="AE7" s="10"/>
      <c r="AF7" s="99"/>
      <c r="AG7" s="101"/>
      <c r="AH7" s="102"/>
      <c r="AI7" s="101"/>
      <c r="AJ7" s="99"/>
      <c r="AK7" s="126"/>
      <c r="AL7" s="133"/>
      <c r="AM7" s="104"/>
      <c r="AN7" s="104"/>
      <c r="AO7" s="104"/>
    </row>
    <row r="8" spans="1:41" ht="248.25" customHeight="1" x14ac:dyDescent="0.25">
      <c r="A8" s="85"/>
      <c r="B8" s="88"/>
      <c r="C8" s="157"/>
      <c r="D8" s="159"/>
      <c r="E8" s="117"/>
      <c r="F8" s="143"/>
      <c r="G8" s="145"/>
      <c r="H8" s="145"/>
      <c r="I8" s="117"/>
      <c r="J8" s="120"/>
      <c r="K8" s="147"/>
      <c r="L8" s="147"/>
      <c r="M8" s="147"/>
      <c r="N8" s="67" t="s">
        <v>23</v>
      </c>
      <c r="O8" s="104"/>
      <c r="P8" s="104"/>
      <c r="Q8" s="109"/>
      <c r="R8" s="111"/>
      <c r="S8" s="136"/>
      <c r="T8" s="111"/>
      <c r="U8" s="109"/>
      <c r="V8" s="153"/>
      <c r="W8" s="124"/>
      <c r="X8" s="111"/>
      <c r="Y8" s="151"/>
      <c r="Z8" s="134"/>
      <c r="AA8" s="134"/>
      <c r="AB8" s="112"/>
      <c r="AC8" s="114"/>
      <c r="AD8" s="104"/>
      <c r="AE8" s="10" t="s">
        <v>23</v>
      </c>
      <c r="AF8" s="99"/>
      <c r="AG8" s="101"/>
      <c r="AH8" s="102"/>
      <c r="AI8" s="101"/>
      <c r="AJ8" s="99"/>
      <c r="AK8" s="126"/>
      <c r="AL8" s="133"/>
      <c r="AM8" s="104"/>
      <c r="AN8" s="105"/>
      <c r="AO8" s="105"/>
    </row>
    <row r="9" spans="1:41" ht="6.75" hidden="1" customHeight="1" x14ac:dyDescent="0.25">
      <c r="A9" s="85"/>
      <c r="B9" s="88"/>
      <c r="C9" s="157"/>
      <c r="D9" s="159"/>
      <c r="E9" s="117"/>
      <c r="F9" s="143"/>
      <c r="G9" s="145"/>
      <c r="H9" s="145"/>
      <c r="I9" s="117"/>
      <c r="J9" s="120"/>
      <c r="K9" s="147"/>
      <c r="L9" s="147"/>
      <c r="M9" s="147"/>
      <c r="N9" s="67"/>
      <c r="O9" s="104"/>
      <c r="P9" s="104"/>
      <c r="Q9" s="109"/>
      <c r="R9" s="111"/>
      <c r="S9" s="136"/>
      <c r="T9" s="111"/>
      <c r="U9" s="109"/>
      <c r="V9" s="153"/>
      <c r="W9" s="68"/>
      <c r="X9" s="111"/>
      <c r="Y9" s="12"/>
      <c r="Z9" s="12"/>
      <c r="AA9" s="12"/>
      <c r="AB9" s="13"/>
      <c r="AC9" s="114"/>
      <c r="AE9" s="10"/>
      <c r="AF9" s="99"/>
      <c r="AG9" s="101"/>
      <c r="AH9" s="102"/>
      <c r="AI9" s="101"/>
      <c r="AJ9" s="99"/>
      <c r="AK9" s="126"/>
      <c r="AL9" s="133"/>
      <c r="AM9" s="104"/>
      <c r="AN9" s="14"/>
      <c r="AO9" s="14"/>
    </row>
    <row r="10" spans="1:41" ht="10.5" hidden="1" customHeight="1" x14ac:dyDescent="0.25">
      <c r="A10" s="86"/>
      <c r="B10" s="89"/>
      <c r="C10" s="158"/>
      <c r="D10" s="159"/>
      <c r="E10" s="118"/>
      <c r="F10" s="143"/>
      <c r="G10" s="146"/>
      <c r="H10" s="146"/>
      <c r="I10" s="118"/>
      <c r="J10" s="121"/>
      <c r="K10" s="148"/>
      <c r="L10" s="148"/>
      <c r="M10" s="148"/>
      <c r="N10" s="65"/>
      <c r="O10" s="105"/>
      <c r="P10" s="105"/>
      <c r="Q10" s="109"/>
      <c r="R10" s="112"/>
      <c r="S10" s="137"/>
      <c r="T10" s="112"/>
      <c r="U10" s="109"/>
      <c r="V10" s="154"/>
      <c r="W10" s="68"/>
      <c r="X10" s="112"/>
      <c r="Y10" s="12"/>
      <c r="Z10" s="12"/>
      <c r="AA10" s="12"/>
      <c r="AB10" s="13"/>
      <c r="AC10" s="115"/>
      <c r="AE10" s="16"/>
      <c r="AF10" s="100"/>
      <c r="AG10" s="101"/>
      <c r="AH10" s="102"/>
      <c r="AI10" s="101"/>
      <c r="AJ10" s="100"/>
      <c r="AK10" s="127"/>
      <c r="AL10" s="134"/>
      <c r="AM10" s="105"/>
      <c r="AN10" s="14"/>
      <c r="AO10" s="14"/>
    </row>
    <row r="11" spans="1:41" s="26" customFormat="1" ht="24.75" customHeight="1" x14ac:dyDescent="0.25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83">
        <v>15</v>
      </c>
      <c r="P11" s="83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80">
        <v>38</v>
      </c>
      <c r="AM11" s="17">
        <v>39</v>
      </c>
      <c r="AN11" s="17">
        <v>40</v>
      </c>
      <c r="AO11" s="17">
        <v>41</v>
      </c>
    </row>
    <row r="12" spans="1:41" ht="15" customHeight="1" x14ac:dyDescent="0.25">
      <c r="A12" s="27"/>
      <c r="B12" s="75" t="s">
        <v>71</v>
      </c>
      <c r="C12" s="74"/>
      <c r="D12" s="74"/>
      <c r="E12" s="74"/>
      <c r="F12" s="74"/>
      <c r="G12" s="74"/>
      <c r="H12" s="74"/>
      <c r="I12" s="74"/>
      <c r="J12" s="74"/>
      <c r="K12" s="27"/>
      <c r="L12" s="27"/>
      <c r="M12" s="73" t="s">
        <v>48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31"/>
      <c r="AM12" s="31"/>
      <c r="AN12" s="31"/>
      <c r="AO12" s="31"/>
    </row>
    <row r="13" spans="1:41" ht="15" customHeight="1" x14ac:dyDescent="0.25">
      <c r="A13" s="64"/>
      <c r="B13" s="18" t="s">
        <v>49</v>
      </c>
      <c r="C13" s="34">
        <v>2591.4</v>
      </c>
      <c r="D13" s="34">
        <v>6570.3</v>
      </c>
      <c r="E13" s="32">
        <f>D13/C13</f>
        <v>2.5354248668673303</v>
      </c>
      <c r="F13" s="33">
        <f>(E13-1)/(3.6-1)</f>
        <v>0.59054802571820397</v>
      </c>
      <c r="G13" s="34">
        <v>1088.0999999999999</v>
      </c>
      <c r="H13" s="34">
        <v>484.3</v>
      </c>
      <c r="I13" s="34">
        <f>G13/H13</f>
        <v>2.2467478835432582</v>
      </c>
      <c r="J13" s="35">
        <f>(I13-0.8)/(3.7-0.8)</f>
        <v>0.49887858053215789</v>
      </c>
      <c r="K13" s="36">
        <v>1154.4000000000001</v>
      </c>
      <c r="L13" s="36">
        <v>4603.3999999999996</v>
      </c>
      <c r="M13" s="37">
        <f>K13/L13</f>
        <v>0.25077116913585612</v>
      </c>
      <c r="N13" s="35">
        <f>(1.9-M13)/1.9</f>
        <v>0.86801517413902307</v>
      </c>
      <c r="O13" s="34">
        <v>19061.189999999999</v>
      </c>
      <c r="P13" s="34">
        <v>18280.8</v>
      </c>
      <c r="Q13" s="70">
        <f>(O13-P13)/O13</f>
        <v>4.0941305343475377E-2</v>
      </c>
      <c r="R13" s="39">
        <f>(0.172-Q13)/(0.172-(-0.005))</f>
        <v>0.74044460257923517</v>
      </c>
      <c r="S13" s="32" t="s">
        <v>50</v>
      </c>
      <c r="T13" s="39">
        <v>1</v>
      </c>
      <c r="U13" s="34">
        <v>7897.9</v>
      </c>
      <c r="V13" s="34">
        <v>6760.2</v>
      </c>
      <c r="W13" s="71">
        <f>U13/V13%</f>
        <v>116.82938374604301</v>
      </c>
      <c r="X13" s="39">
        <f>(4379-W13)/(4379-4)</f>
        <v>0.97421042657233292</v>
      </c>
      <c r="Y13" s="34">
        <v>6760.2</v>
      </c>
      <c r="Z13" s="34">
        <v>2855.7</v>
      </c>
      <c r="AA13" s="34">
        <f>Y13/Z13</f>
        <v>2.3672654690618762</v>
      </c>
      <c r="AB13" s="40">
        <f>(AA13-0.8)/(3.7-0.8)</f>
        <v>0.54043636864202615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81">
        <f>F13+J13+N13+R13+T13+X13+AB13+AE13+AG13+AI13+AK13/11</f>
        <v>8.3034422690920717</v>
      </c>
      <c r="AM13" s="48">
        <f>AL13/100*30+AL13</f>
        <v>10.794474949819694</v>
      </c>
      <c r="AN13" s="48">
        <f>AL13-AL13/100*30</f>
        <v>5.8124095883644502</v>
      </c>
      <c r="AO13" s="76">
        <v>1</v>
      </c>
    </row>
    <row r="14" spans="1:41" ht="15" customHeight="1" x14ac:dyDescent="0.25">
      <c r="A14" s="64"/>
      <c r="B14" s="18" t="s">
        <v>54</v>
      </c>
      <c r="C14" s="34">
        <v>45</v>
      </c>
      <c r="D14" s="34">
        <v>95.2</v>
      </c>
      <c r="E14" s="32">
        <f t="shared" ref="E14:E28" si="0">D14/C14</f>
        <v>2.1155555555555554</v>
      </c>
      <c r="F14" s="33">
        <f>(E14-1)/(3.6-1)</f>
        <v>0.42905982905982898</v>
      </c>
      <c r="G14" s="34">
        <v>7.3</v>
      </c>
      <c r="H14" s="34">
        <v>5</v>
      </c>
      <c r="I14" s="34">
        <f t="shared" ref="I14:I28" si="1">G14/H14</f>
        <v>1.46</v>
      </c>
      <c r="J14" s="35">
        <f t="shared" ref="J14:J27" si="2">(I14-0.8)/(3.7-0.8)</f>
        <v>0.22758620689655168</v>
      </c>
      <c r="K14" s="36">
        <v>12.4</v>
      </c>
      <c r="L14" s="36">
        <v>49.8</v>
      </c>
      <c r="M14" s="37">
        <f t="shared" ref="M14:M22" si="3">K14/L14</f>
        <v>0.24899598393574299</v>
      </c>
      <c r="N14" s="35">
        <f>(1.9-M14)/1.9</f>
        <v>0.86894948213908263</v>
      </c>
      <c r="O14" s="34">
        <v>2157.2399999999998</v>
      </c>
      <c r="P14" s="34">
        <v>2156.6</v>
      </c>
      <c r="Q14" s="70">
        <f t="shared" ref="Q14:Q28" si="4">(O14-P14)/O14</f>
        <v>2.966753815059394E-4</v>
      </c>
      <c r="R14" s="39">
        <f>(0.172-Q14)/(0.172-(-0.005))</f>
        <v>0.97007528033047496</v>
      </c>
      <c r="S14" s="32" t="s">
        <v>50</v>
      </c>
      <c r="T14" s="39">
        <v>1</v>
      </c>
      <c r="U14" s="34">
        <v>1850.1</v>
      </c>
      <c r="V14" s="34">
        <v>95.2</v>
      </c>
      <c r="W14" s="71">
        <f t="shared" ref="W14:W28" si="5">U14/V14%</f>
        <v>1943.3823529411761</v>
      </c>
      <c r="X14" s="39">
        <f>(4379-W14)/(4379-4)</f>
        <v>0.55671260504201692</v>
      </c>
      <c r="Y14" s="34">
        <v>95.2</v>
      </c>
      <c r="Z14" s="34">
        <v>63.5</v>
      </c>
      <c r="AA14" s="34">
        <f t="shared" ref="AA14:AA22" si="6">Y14/Z14</f>
        <v>1.4992125984251969</v>
      </c>
      <c r="AB14" s="40">
        <f t="shared" ref="AB14:AB27" si="7">(AA14-0.8)/(3.7-0.8)</f>
        <v>0.2411077925604127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62</v>
      </c>
      <c r="AI14" s="45">
        <v>0</v>
      </c>
      <c r="AJ14" s="44" t="s">
        <v>50</v>
      </c>
      <c r="AK14" s="46">
        <v>1</v>
      </c>
      <c r="AL14" s="81">
        <f t="shared" ref="AL14:AL22" si="8">F14+J14+N14+R14+T14+X14+AB14+AE14+AG14+AI14+AK14/11</f>
        <v>6.3844002869374581</v>
      </c>
      <c r="AM14" s="48">
        <f t="shared" ref="AM14:AM26" si="9">AL14/100*30+AL14</f>
        <v>8.2997203730186957</v>
      </c>
      <c r="AN14" s="48">
        <f t="shared" ref="AN14:AN26" si="10">AL14-AL14/100*30</f>
        <v>4.4690802008562205</v>
      </c>
      <c r="AO14" s="76">
        <v>2</v>
      </c>
    </row>
    <row r="15" spans="1:41" ht="15" customHeight="1" x14ac:dyDescent="0.25">
      <c r="A15" s="64"/>
      <c r="B15" s="18" t="s">
        <v>55</v>
      </c>
      <c r="C15" s="34">
        <v>321.2</v>
      </c>
      <c r="D15" s="34">
        <v>321.2</v>
      </c>
      <c r="E15" s="32">
        <f t="shared" si="0"/>
        <v>1</v>
      </c>
      <c r="F15" s="33">
        <f t="shared" ref="F15:F23" si="11">(E15-1)/(3.6-1)</f>
        <v>0</v>
      </c>
      <c r="G15" s="34">
        <v>121.2</v>
      </c>
      <c r="H15" s="34">
        <v>124.9</v>
      </c>
      <c r="I15" s="34">
        <f t="shared" si="1"/>
        <v>0.97037630104083261</v>
      </c>
      <c r="J15" s="35">
        <f t="shared" si="2"/>
        <v>5.8750448634769845E-2</v>
      </c>
      <c r="K15" s="36">
        <v>83.6</v>
      </c>
      <c r="L15" s="36">
        <v>133.6</v>
      </c>
      <c r="M15" s="37">
        <f t="shared" si="3"/>
        <v>0.62574850299401197</v>
      </c>
      <c r="N15" s="35">
        <f t="shared" ref="N15:N27" si="12">(1.9-M15)/1.9</f>
        <v>0.6706586826347305</v>
      </c>
      <c r="O15" s="34">
        <v>6968.2</v>
      </c>
      <c r="P15" s="34">
        <v>6902.4</v>
      </c>
      <c r="Q15" s="70">
        <f t="shared" si="4"/>
        <v>9.4428977354266783E-3</v>
      </c>
      <c r="R15" s="39">
        <f t="shared" ref="R15:R27" si="13">(0.172-Q15)/(0.172-(-0.005))</f>
        <v>0.91840170770945384</v>
      </c>
      <c r="S15" s="32" t="s">
        <v>50</v>
      </c>
      <c r="T15" s="39">
        <v>1</v>
      </c>
      <c r="U15" s="34">
        <v>5411.5</v>
      </c>
      <c r="V15" s="34">
        <v>327.8</v>
      </c>
      <c r="W15" s="71">
        <f t="shared" si="5"/>
        <v>1650.8541793776692</v>
      </c>
      <c r="X15" s="39">
        <f t="shared" ref="X15:X27" si="14">(4379-W15)/(4379-4)</f>
        <v>0.62357618757081845</v>
      </c>
      <c r="Y15" s="34">
        <v>327.8</v>
      </c>
      <c r="Z15" s="34">
        <v>365.2</v>
      </c>
      <c r="AA15" s="34">
        <f t="shared" si="6"/>
        <v>0.89759036144578319</v>
      </c>
      <c r="AB15" s="40">
        <f t="shared" si="7"/>
        <v>3.365184877440798E-2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81">
        <f t="shared" si="8"/>
        <v>6.3959479662332717</v>
      </c>
      <c r="AM15" s="48">
        <f t="shared" si="9"/>
        <v>8.3147323561032529</v>
      </c>
      <c r="AN15" s="48">
        <f t="shared" si="10"/>
        <v>4.4771635763632904</v>
      </c>
      <c r="AO15" s="76">
        <v>2</v>
      </c>
    </row>
    <row r="16" spans="1:41" ht="15" customHeight="1" x14ac:dyDescent="0.25">
      <c r="A16" s="64"/>
      <c r="B16" s="18" t="s">
        <v>56</v>
      </c>
      <c r="C16" s="34">
        <v>1734.8</v>
      </c>
      <c r="D16" s="34">
        <v>1867</v>
      </c>
      <c r="E16" s="32">
        <f t="shared" si="0"/>
        <v>1.0762047498270695</v>
      </c>
      <c r="F16" s="33">
        <f t="shared" si="11"/>
        <v>2.9309519164257492E-2</v>
      </c>
      <c r="G16" s="34">
        <v>56.9</v>
      </c>
      <c r="H16" s="34">
        <v>47.2</v>
      </c>
      <c r="I16" s="34">
        <f t="shared" si="1"/>
        <v>1.2055084745762712</v>
      </c>
      <c r="J16" s="35">
        <f t="shared" si="2"/>
        <v>0.13983050847457623</v>
      </c>
      <c r="K16" s="36">
        <v>264.2</v>
      </c>
      <c r="L16" s="36">
        <v>1270.7</v>
      </c>
      <c r="M16" s="37">
        <f t="shared" si="3"/>
        <v>0.20791689619894543</v>
      </c>
      <c r="N16" s="35">
        <f t="shared" si="12"/>
        <v>0.8905700546321339</v>
      </c>
      <c r="O16" s="34">
        <v>6511.1</v>
      </c>
      <c r="P16" s="34">
        <v>6219.4</v>
      </c>
      <c r="Q16" s="38">
        <f t="shared" si="4"/>
        <v>4.4800417748153264E-2</v>
      </c>
      <c r="R16" s="39">
        <f t="shared" si="13"/>
        <v>0.71864170763755209</v>
      </c>
      <c r="S16" s="32" t="s">
        <v>50</v>
      </c>
      <c r="T16" s="39">
        <v>1</v>
      </c>
      <c r="U16" s="34">
        <v>3350</v>
      </c>
      <c r="V16" s="34">
        <v>1674.4</v>
      </c>
      <c r="W16" s="71">
        <f t="shared" si="5"/>
        <v>200.07166746297182</v>
      </c>
      <c r="X16" s="39">
        <f t="shared" si="14"/>
        <v>0.95518361886560643</v>
      </c>
      <c r="Y16" s="34">
        <v>1674.4</v>
      </c>
      <c r="Z16" s="34">
        <v>2111.3000000000002</v>
      </c>
      <c r="AA16" s="34">
        <f t="shared" si="6"/>
        <v>0.79306588357883767</v>
      </c>
      <c r="AB16" s="40">
        <f t="shared" si="7"/>
        <v>-2.3910746279870248E-3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62</v>
      </c>
      <c r="AI16" s="45">
        <v>0</v>
      </c>
      <c r="AJ16" s="44" t="s">
        <v>50</v>
      </c>
      <c r="AK16" s="46">
        <v>1</v>
      </c>
      <c r="AL16" s="81">
        <f t="shared" si="8"/>
        <v>5.8220534250552296</v>
      </c>
      <c r="AM16" s="48">
        <f t="shared" si="9"/>
        <v>7.5686694525717986</v>
      </c>
      <c r="AN16" s="48">
        <f t="shared" si="10"/>
        <v>4.0754373975386606</v>
      </c>
      <c r="AO16" s="76">
        <v>3</v>
      </c>
    </row>
    <row r="17" spans="1:41" ht="15" customHeight="1" x14ac:dyDescent="0.25">
      <c r="A17" s="64"/>
      <c r="B17" s="18" t="s">
        <v>57</v>
      </c>
      <c r="C17" s="34">
        <v>1416</v>
      </c>
      <c r="D17" s="34">
        <v>3188.2</v>
      </c>
      <c r="E17" s="32">
        <f t="shared" si="0"/>
        <v>2.2515536723163843</v>
      </c>
      <c r="F17" s="33">
        <f t="shared" si="11"/>
        <v>0.48136679704476315</v>
      </c>
      <c r="G17" s="34">
        <v>131.69999999999999</v>
      </c>
      <c r="H17" s="34">
        <v>541.70000000000005</v>
      </c>
      <c r="I17" s="34">
        <f t="shared" si="1"/>
        <v>0.24312350009230196</v>
      </c>
      <c r="J17" s="35">
        <f t="shared" si="2"/>
        <v>-0.19202637927851654</v>
      </c>
      <c r="K17" s="36">
        <v>219.3</v>
      </c>
      <c r="L17" s="36">
        <v>2685.7</v>
      </c>
      <c r="M17" s="37">
        <f t="shared" si="3"/>
        <v>8.1654689652604542E-2</v>
      </c>
      <c r="N17" s="35">
        <f t="shared" si="12"/>
        <v>0.9570238475512608</v>
      </c>
      <c r="O17" s="34">
        <v>11853.6</v>
      </c>
      <c r="P17" s="34">
        <v>8986</v>
      </c>
      <c r="Q17" s="38">
        <f t="shared" si="4"/>
        <v>0.24191806708510497</v>
      </c>
      <c r="R17" s="39">
        <f t="shared" si="13"/>
        <v>-0.39501732816443491</v>
      </c>
      <c r="S17" s="32" t="s">
        <v>50</v>
      </c>
      <c r="T17" s="39">
        <v>1</v>
      </c>
      <c r="U17" s="34">
        <v>4484.6000000000004</v>
      </c>
      <c r="V17" s="34">
        <v>3110.5</v>
      </c>
      <c r="W17" s="71">
        <f t="shared" si="5"/>
        <v>144.17617746343032</v>
      </c>
      <c r="X17" s="39">
        <f t="shared" si="14"/>
        <v>0.96795973086550158</v>
      </c>
      <c r="Y17" s="34">
        <v>3110.5</v>
      </c>
      <c r="Z17" s="34">
        <v>4410.6000000000004</v>
      </c>
      <c r="AA17" s="34">
        <f t="shared" si="6"/>
        <v>0.70523284813857523</v>
      </c>
      <c r="AB17" s="40">
        <f t="shared" si="7"/>
        <v>-3.2678328228077515E-2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81">
        <f t="shared" si="8"/>
        <v>5.8775374306995873</v>
      </c>
      <c r="AM17" s="48">
        <f t="shared" si="9"/>
        <v>7.6407986599094633</v>
      </c>
      <c r="AN17" s="48">
        <f t="shared" si="10"/>
        <v>4.1142762014897114</v>
      </c>
      <c r="AO17" s="76">
        <v>3</v>
      </c>
    </row>
    <row r="18" spans="1:41" ht="15" customHeight="1" x14ac:dyDescent="0.25">
      <c r="A18" s="64"/>
      <c r="B18" s="18" t="s">
        <v>58</v>
      </c>
      <c r="C18" s="34">
        <v>634.79999999999995</v>
      </c>
      <c r="D18" s="34">
        <v>1032</v>
      </c>
      <c r="E18" s="32">
        <f t="shared" si="0"/>
        <v>1.6257088846880909</v>
      </c>
      <c r="F18" s="33">
        <f t="shared" si="11"/>
        <v>0.24065726334157342</v>
      </c>
      <c r="G18" s="34">
        <v>324.3</v>
      </c>
      <c r="H18" s="34">
        <v>176.7</v>
      </c>
      <c r="I18" s="34">
        <f t="shared" si="1"/>
        <v>1.8353140916808151</v>
      </c>
      <c r="J18" s="35">
        <f t="shared" si="2"/>
        <v>0.35700485920028097</v>
      </c>
      <c r="K18" s="36">
        <v>852.7</v>
      </c>
      <c r="L18" s="36">
        <v>428</v>
      </c>
      <c r="M18" s="37">
        <f t="shared" si="3"/>
        <v>1.9922897196261684</v>
      </c>
      <c r="N18" s="35">
        <f t="shared" si="12"/>
        <v>-4.8573536645351842E-2</v>
      </c>
      <c r="O18" s="34">
        <v>8725</v>
      </c>
      <c r="P18" s="34">
        <v>8476.1</v>
      </c>
      <c r="Q18" s="38">
        <f t="shared" si="4"/>
        <v>2.8527220630372451E-2</v>
      </c>
      <c r="R18" s="39">
        <f t="shared" si="13"/>
        <v>0.81058067440467541</v>
      </c>
      <c r="S18" s="32" t="s">
        <v>50</v>
      </c>
      <c r="T18" s="39">
        <v>1</v>
      </c>
      <c r="U18" s="34">
        <v>5674.7</v>
      </c>
      <c r="V18" s="34">
        <v>1008.2</v>
      </c>
      <c r="W18" s="71">
        <f t="shared" si="5"/>
        <v>562.85459234278903</v>
      </c>
      <c r="X18" s="39">
        <f t="shared" si="14"/>
        <v>0.87226180746450532</v>
      </c>
      <c r="Y18" s="34">
        <v>1008.2</v>
      </c>
      <c r="Z18" s="34">
        <v>733.7</v>
      </c>
      <c r="AA18" s="34">
        <f t="shared" si="6"/>
        <v>1.3741311162600518</v>
      </c>
      <c r="AB18" s="40">
        <f t="shared" si="7"/>
        <v>0.19797624698622471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81">
        <f t="shared" si="8"/>
        <v>6.520816405660999</v>
      </c>
      <c r="AM18" s="48">
        <f t="shared" si="9"/>
        <v>8.4770613273592978</v>
      </c>
      <c r="AN18" s="48">
        <f t="shared" si="10"/>
        <v>4.5645714839626992</v>
      </c>
      <c r="AO18" s="76">
        <v>2</v>
      </c>
    </row>
    <row r="19" spans="1:41" ht="15" customHeight="1" x14ac:dyDescent="0.25">
      <c r="A19" s="64"/>
      <c r="B19" s="18" t="s">
        <v>59</v>
      </c>
      <c r="C19" s="34">
        <v>1110</v>
      </c>
      <c r="D19" s="34">
        <v>2165.6</v>
      </c>
      <c r="E19" s="32">
        <f t="shared" si="0"/>
        <v>1.9509909909909908</v>
      </c>
      <c r="F19" s="33">
        <f t="shared" si="11"/>
        <v>0.36576576576576569</v>
      </c>
      <c r="G19" s="34">
        <v>208.4</v>
      </c>
      <c r="H19" s="34">
        <v>206.1</v>
      </c>
      <c r="I19" s="34">
        <f t="shared" si="1"/>
        <v>1.0111596312469675</v>
      </c>
      <c r="J19" s="35">
        <f t="shared" si="2"/>
        <v>7.2813665947230155E-2</v>
      </c>
      <c r="K19" s="36">
        <v>407.1</v>
      </c>
      <c r="L19" s="36">
        <v>1512.6</v>
      </c>
      <c r="M19" s="37">
        <f t="shared" si="3"/>
        <v>0.2691392304641016</v>
      </c>
      <c r="N19" s="35">
        <f t="shared" si="12"/>
        <v>0.8583477734399465</v>
      </c>
      <c r="O19" s="34">
        <v>10088.1</v>
      </c>
      <c r="P19" s="34">
        <v>9591.4</v>
      </c>
      <c r="Q19" s="38">
        <f t="shared" si="4"/>
        <v>4.9236228824060105E-2</v>
      </c>
      <c r="R19" s="39">
        <f t="shared" si="13"/>
        <v>0.69358062811265475</v>
      </c>
      <c r="S19" s="32" t="s">
        <v>50</v>
      </c>
      <c r="T19" s="39">
        <v>1</v>
      </c>
      <c r="U19" s="34">
        <v>5041.7</v>
      </c>
      <c r="V19" s="34">
        <v>2233.6</v>
      </c>
      <c r="W19" s="71">
        <f t="shared" si="5"/>
        <v>225.72080945558739</v>
      </c>
      <c r="X19" s="39">
        <f t="shared" si="14"/>
        <v>0.94932095783872295</v>
      </c>
      <c r="Y19" s="34">
        <v>2233.6</v>
      </c>
      <c r="Z19" s="34">
        <v>1353.5</v>
      </c>
      <c r="AA19" s="34">
        <f t="shared" si="6"/>
        <v>1.6502401182120428</v>
      </c>
      <c r="AB19" s="40">
        <f t="shared" si="7"/>
        <v>0.29318624765932505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81">
        <f t="shared" si="8"/>
        <v>7.3239241296727364</v>
      </c>
      <c r="AM19" s="48">
        <f t="shared" si="9"/>
        <v>9.5211013685745574</v>
      </c>
      <c r="AN19" s="48">
        <f t="shared" si="10"/>
        <v>5.1267468907709155</v>
      </c>
      <c r="AO19" s="76">
        <v>1</v>
      </c>
    </row>
    <row r="20" spans="1:41" ht="15" customHeight="1" x14ac:dyDescent="0.25">
      <c r="A20" s="64"/>
      <c r="B20" s="18" t="s">
        <v>60</v>
      </c>
      <c r="C20" s="34">
        <v>39.5</v>
      </c>
      <c r="D20" s="34">
        <v>71.5</v>
      </c>
      <c r="E20" s="32">
        <f t="shared" si="0"/>
        <v>1.8101265822784811</v>
      </c>
      <c r="F20" s="33">
        <f t="shared" si="11"/>
        <v>0.31158714703018503</v>
      </c>
      <c r="G20" s="34">
        <v>12.3</v>
      </c>
      <c r="H20" s="34">
        <v>10.7</v>
      </c>
      <c r="I20" s="34">
        <f t="shared" si="1"/>
        <v>1.1495327102803741</v>
      </c>
      <c r="J20" s="35">
        <f t="shared" si="2"/>
        <v>0.12052852078633586</v>
      </c>
      <c r="K20" s="36">
        <v>5.9</v>
      </c>
      <c r="L20" s="36">
        <v>41.3</v>
      </c>
      <c r="M20" s="37">
        <f t="shared" si="3"/>
        <v>0.14285714285714288</v>
      </c>
      <c r="N20" s="35">
        <f t="shared" si="12"/>
        <v>0.92481203007518797</v>
      </c>
      <c r="O20" s="34">
        <v>3085.3</v>
      </c>
      <c r="P20" s="34">
        <v>3084.5</v>
      </c>
      <c r="Q20" s="38">
        <f t="shared" si="4"/>
        <v>2.5929407188934037E-4</v>
      </c>
      <c r="R20" s="39">
        <f t="shared" si="13"/>
        <v>0.9702864741701166</v>
      </c>
      <c r="S20" s="32" t="s">
        <v>50</v>
      </c>
      <c r="T20" s="39">
        <v>1</v>
      </c>
      <c r="U20" s="34">
        <v>2308.4</v>
      </c>
      <c r="V20" s="34">
        <v>228.1</v>
      </c>
      <c r="W20" s="71">
        <f t="shared" si="5"/>
        <v>1012.012275317843</v>
      </c>
      <c r="X20" s="39">
        <f t="shared" si="14"/>
        <v>0.76959719421306449</v>
      </c>
      <c r="Y20" s="34">
        <v>12.3</v>
      </c>
      <c r="Z20" s="34">
        <v>51</v>
      </c>
      <c r="AA20" s="34">
        <f t="shared" si="6"/>
        <v>0.2411764705882353</v>
      </c>
      <c r="AB20" s="40">
        <f t="shared" si="7"/>
        <v>-0.19269776876267747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62</v>
      </c>
      <c r="AI20" s="45">
        <v>0</v>
      </c>
      <c r="AJ20" s="44" t="s">
        <v>50</v>
      </c>
      <c r="AK20" s="46">
        <v>1</v>
      </c>
      <c r="AL20" s="81">
        <f t="shared" si="8"/>
        <v>5.9950226884213036</v>
      </c>
      <c r="AM20" s="48">
        <f t="shared" si="9"/>
        <v>7.7935294949476948</v>
      </c>
      <c r="AN20" s="48">
        <f t="shared" si="10"/>
        <v>4.1965158818949124</v>
      </c>
      <c r="AO20" s="76">
        <v>2</v>
      </c>
    </row>
    <row r="21" spans="1:41" ht="15" customHeight="1" x14ac:dyDescent="0.25">
      <c r="A21" s="64"/>
      <c r="B21" s="18" t="s">
        <v>61</v>
      </c>
      <c r="C21" s="34">
        <v>2</v>
      </c>
      <c r="D21" s="34">
        <v>2</v>
      </c>
      <c r="E21" s="32">
        <f>D21/C21</f>
        <v>1</v>
      </c>
      <c r="F21" s="33">
        <f t="shared" si="11"/>
        <v>0</v>
      </c>
      <c r="G21" s="34">
        <v>0.1</v>
      </c>
      <c r="H21" s="34">
        <v>0.1</v>
      </c>
      <c r="I21" s="34">
        <f t="shared" si="1"/>
        <v>1</v>
      </c>
      <c r="J21" s="35">
        <f t="shared" si="2"/>
        <v>6.8965517241379282E-2</v>
      </c>
      <c r="K21" s="36">
        <v>16.5</v>
      </c>
      <c r="L21" s="36">
        <v>19.5</v>
      </c>
      <c r="M21" s="37">
        <v>0</v>
      </c>
      <c r="N21" s="35">
        <f t="shared" si="12"/>
        <v>1</v>
      </c>
      <c r="O21" s="34">
        <v>1240.2</v>
      </c>
      <c r="P21" s="34">
        <v>1112.7</v>
      </c>
      <c r="Q21" s="38">
        <f t="shared" si="4"/>
        <v>0.10280599903241412</v>
      </c>
      <c r="R21" s="39">
        <f t="shared" si="13"/>
        <v>0.39092655913890323</v>
      </c>
      <c r="S21" s="32" t="s">
        <v>50</v>
      </c>
      <c r="T21" s="39">
        <v>1</v>
      </c>
      <c r="U21" s="34">
        <v>897.7</v>
      </c>
      <c r="V21" s="34">
        <v>21.9</v>
      </c>
      <c r="W21" s="71">
        <f t="shared" si="5"/>
        <v>4099.0867579908681</v>
      </c>
      <c r="X21" s="39">
        <f t="shared" si="14"/>
        <v>6.3980169602087286E-2</v>
      </c>
      <c r="Y21" s="34">
        <v>21.9</v>
      </c>
      <c r="Z21" s="34">
        <v>19.100000000000001</v>
      </c>
      <c r="AA21" s="34">
        <f t="shared" si="6"/>
        <v>1.1465968586387434</v>
      </c>
      <c r="AB21" s="40">
        <f t="shared" si="7"/>
        <v>0.1195161581512908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81">
        <f t="shared" si="8"/>
        <v>4.7342974950427514</v>
      </c>
      <c r="AM21" s="48">
        <f t="shared" si="9"/>
        <v>6.1545867435555772</v>
      </c>
      <c r="AN21" s="48">
        <f t="shared" si="10"/>
        <v>3.3140082465299256</v>
      </c>
      <c r="AO21" s="76">
        <v>3</v>
      </c>
    </row>
    <row r="22" spans="1:41" ht="15" customHeight="1" x14ac:dyDescent="0.25">
      <c r="A22" s="64"/>
      <c r="B22" s="18" t="s">
        <v>63</v>
      </c>
      <c r="C22" s="34">
        <v>63</v>
      </c>
      <c r="D22" s="34">
        <v>80.599999999999994</v>
      </c>
      <c r="E22" s="32">
        <f t="shared" si="0"/>
        <v>1.2793650793650793</v>
      </c>
      <c r="F22" s="33">
        <f t="shared" si="11"/>
        <v>0.1074481074481074</v>
      </c>
      <c r="G22" s="34">
        <v>9.4</v>
      </c>
      <c r="H22" s="34">
        <v>9.1</v>
      </c>
      <c r="I22" s="34">
        <f t="shared" si="1"/>
        <v>1.0329670329670331</v>
      </c>
      <c r="J22" s="35">
        <f t="shared" si="2"/>
        <v>8.0333459643804478E-2</v>
      </c>
      <c r="K22" s="36">
        <v>19.899999999999999</v>
      </c>
      <c r="L22" s="36">
        <v>49.1</v>
      </c>
      <c r="M22" s="37">
        <f t="shared" si="3"/>
        <v>0.405295315682281</v>
      </c>
      <c r="N22" s="35">
        <f t="shared" si="12"/>
        <v>0.78668667595669428</v>
      </c>
      <c r="O22" s="34">
        <v>3804.6</v>
      </c>
      <c r="P22" s="34">
        <v>3794.7</v>
      </c>
      <c r="Q22" s="38">
        <f t="shared" si="4"/>
        <v>2.6021132313515456E-3</v>
      </c>
      <c r="R22" s="39">
        <f t="shared" si="13"/>
        <v>0.95705020773247718</v>
      </c>
      <c r="S22" s="32" t="s">
        <v>50</v>
      </c>
      <c r="T22" s="39">
        <v>1</v>
      </c>
      <c r="U22" s="34">
        <v>2887.4</v>
      </c>
      <c r="V22" s="34">
        <v>256.5</v>
      </c>
      <c r="W22" s="71">
        <f t="shared" si="5"/>
        <v>1125.6920077972711</v>
      </c>
      <c r="X22" s="39">
        <f t="shared" si="14"/>
        <v>0.74361325536062384</v>
      </c>
      <c r="Y22" s="34">
        <v>9.4</v>
      </c>
      <c r="Z22" s="34">
        <v>77.599999999999994</v>
      </c>
      <c r="AA22" s="34">
        <f t="shared" si="6"/>
        <v>0.12113402061855671</v>
      </c>
      <c r="AB22" s="40">
        <f t="shared" si="7"/>
        <v>-0.23409171702808387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81">
        <f t="shared" si="8"/>
        <v>6.5319490800227138</v>
      </c>
      <c r="AM22" s="48">
        <f t="shared" si="9"/>
        <v>8.4915338040295278</v>
      </c>
      <c r="AN22" s="48">
        <f t="shared" si="10"/>
        <v>4.5723643560158997</v>
      </c>
      <c r="AO22" s="76">
        <v>2</v>
      </c>
    </row>
    <row r="23" spans="1:41" ht="15" customHeight="1" x14ac:dyDescent="0.25">
      <c r="A23" s="64"/>
      <c r="B23" s="18" t="s">
        <v>64</v>
      </c>
      <c r="C23" s="34">
        <f>SUM(C13:C22)</f>
        <v>7957.7</v>
      </c>
      <c r="D23" s="34">
        <f t="shared" ref="D23:P23" si="15">SUM(D13:D22)</f>
        <v>15393.600000000002</v>
      </c>
      <c r="E23" s="32">
        <f t="shared" si="0"/>
        <v>1.9344282895811606</v>
      </c>
      <c r="F23" s="33">
        <f t="shared" si="11"/>
        <v>0.35939549599275405</v>
      </c>
      <c r="G23" s="34">
        <f>SUM(G13:G22)</f>
        <v>1959.7</v>
      </c>
      <c r="H23" s="34">
        <f>SUM(H13:H22)</f>
        <v>1605.8</v>
      </c>
      <c r="I23" s="34">
        <f t="shared" si="1"/>
        <v>1.2203885913563333</v>
      </c>
      <c r="J23" s="35">
        <f t="shared" si="2"/>
        <v>0.14496158322632177</v>
      </c>
      <c r="K23" s="36">
        <f>SUM(K13:K22)</f>
        <v>3036.0000000000005</v>
      </c>
      <c r="L23" s="36">
        <f>SUM(L13:L22)</f>
        <v>10793.7</v>
      </c>
      <c r="M23" s="37"/>
      <c r="N23" s="35">
        <f t="shared" si="12"/>
        <v>1</v>
      </c>
      <c r="O23" s="77">
        <f>SUM(O13:O22)</f>
        <v>73494.53</v>
      </c>
      <c r="P23" s="32">
        <f t="shared" si="15"/>
        <v>68604.599999999991</v>
      </c>
      <c r="Q23" s="38">
        <f t="shared" si="4"/>
        <v>6.653461148741284E-2</v>
      </c>
      <c r="R23" s="39">
        <f t="shared" si="13"/>
        <v>0.59584965261348677</v>
      </c>
      <c r="S23" s="32" t="s">
        <v>50</v>
      </c>
      <c r="T23" s="39">
        <v>1</v>
      </c>
      <c r="U23" s="34">
        <f>SUM(U13:U22)</f>
        <v>39804</v>
      </c>
      <c r="V23" s="32">
        <f t="shared" ref="V23" si="16">SUM(V13:V22)</f>
        <v>15716.400000000001</v>
      </c>
      <c r="W23" s="71">
        <f t="shared" si="5"/>
        <v>253.26410628388177</v>
      </c>
      <c r="X23" s="39">
        <f t="shared" si="14"/>
        <v>0.94302534713511266</v>
      </c>
      <c r="Y23" s="34">
        <f>SUM(Y13:Y22)</f>
        <v>15253.5</v>
      </c>
      <c r="Z23" s="34">
        <f>SUM(Z13:Z22)</f>
        <v>12041.2</v>
      </c>
      <c r="AA23" s="34">
        <f>Y23/Z23</f>
        <v>1.2667757366375443</v>
      </c>
      <c r="AB23" s="40">
        <f t="shared" si="7"/>
        <v>0.16095715056467041</v>
      </c>
      <c r="AC23" s="41"/>
      <c r="AD23" s="42"/>
      <c r="AE23" s="43"/>
      <c r="AF23" s="44"/>
      <c r="AG23" s="45"/>
      <c r="AH23" s="44"/>
      <c r="AI23" s="45"/>
      <c r="AJ23" s="44"/>
      <c r="AK23" s="46"/>
      <c r="AL23" s="81"/>
      <c r="AM23" s="48"/>
      <c r="AN23" s="48"/>
      <c r="AO23" s="76"/>
    </row>
    <row r="24" spans="1:41" ht="15" customHeight="1" x14ac:dyDescent="0.25">
      <c r="A24" s="27"/>
      <c r="B24" s="28" t="s">
        <v>65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3"/>
      <c r="N24" s="53"/>
      <c r="O24" s="49">
        <f>44872.8-O23</f>
        <v>-28621.729999999996</v>
      </c>
      <c r="P24" s="49">
        <f>43891.9-P23</f>
        <v>-24712.69999999999</v>
      </c>
      <c r="Q24" s="49"/>
      <c r="R24" s="49"/>
      <c r="S24" s="49"/>
      <c r="T24" s="49"/>
      <c r="U24" s="49"/>
      <c r="V24" s="49"/>
      <c r="W24" s="72"/>
      <c r="X24" s="72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29"/>
    </row>
    <row r="25" spans="1:41" ht="15" customHeight="1" x14ac:dyDescent="0.25">
      <c r="A25" s="64"/>
      <c r="B25" s="18" t="s">
        <v>66</v>
      </c>
      <c r="C25" s="34">
        <v>9518.1</v>
      </c>
      <c r="D25" s="34">
        <v>13169</v>
      </c>
      <c r="E25" s="32">
        <f t="shared" si="0"/>
        <v>1.3835744528845042</v>
      </c>
      <c r="F25" s="33">
        <f>(E25-1)/(3.6-1)</f>
        <v>0.14752863572480931</v>
      </c>
      <c r="G25" s="34">
        <v>1952.3</v>
      </c>
      <c r="H25" s="34">
        <v>2753</v>
      </c>
      <c r="I25" s="34">
        <f t="shared" si="1"/>
        <v>0.70915365056302215</v>
      </c>
      <c r="J25" s="35">
        <f t="shared" si="2"/>
        <v>-3.1326327392061336E-2</v>
      </c>
      <c r="K25" s="36">
        <v>627</v>
      </c>
      <c r="L25" s="36">
        <v>1463.7</v>
      </c>
      <c r="M25" s="37">
        <f>K25/L25</f>
        <v>0.42836646853863497</v>
      </c>
      <c r="N25" s="35">
        <f t="shared" si="12"/>
        <v>0.77454396392703417</v>
      </c>
      <c r="O25" s="34">
        <v>24491.8</v>
      </c>
      <c r="P25" s="34">
        <v>27241.599999999999</v>
      </c>
      <c r="Q25" s="38">
        <f t="shared" si="4"/>
        <v>-0.11227431221878341</v>
      </c>
      <c r="R25" s="39">
        <f t="shared" si="13"/>
        <v>1.6060695605580984</v>
      </c>
      <c r="S25" s="32" t="s">
        <v>50</v>
      </c>
      <c r="T25" s="39">
        <v>1</v>
      </c>
      <c r="U25" s="34">
        <v>524</v>
      </c>
      <c r="V25" s="34">
        <v>12807.4</v>
      </c>
      <c r="W25" s="71">
        <f t="shared" si="5"/>
        <v>4.0913846682386747</v>
      </c>
      <c r="X25" s="39">
        <f t="shared" si="14"/>
        <v>0.99997911207583112</v>
      </c>
      <c r="Y25" s="34">
        <v>12807.4</v>
      </c>
      <c r="Z25" s="34">
        <v>11404.6</v>
      </c>
      <c r="AA25" s="34">
        <f>Y25/Z25</f>
        <v>1.1230029987899619</v>
      </c>
      <c r="AB25" s="40">
        <f t="shared" si="7"/>
        <v>0.11138034441033166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81">
        <f>F25+J25+N25+R25+T25+X25+AB25+AE25+AG25+AI25+AK25/11</f>
        <v>7.6990843802131339</v>
      </c>
      <c r="AM25" s="48">
        <f t="shared" si="9"/>
        <v>10.008809694277074</v>
      </c>
      <c r="AN25" s="48">
        <f t="shared" si="10"/>
        <v>5.3893590661491935</v>
      </c>
      <c r="AO25" s="76">
        <v>1</v>
      </c>
    </row>
    <row r="26" spans="1:41" ht="15" customHeight="1" x14ac:dyDescent="0.25">
      <c r="A26" s="64"/>
      <c r="B26" s="18" t="s">
        <v>67</v>
      </c>
      <c r="C26" s="34">
        <v>40897.4</v>
      </c>
      <c r="D26" s="34">
        <v>41182.199999999997</v>
      </c>
      <c r="E26" s="32">
        <f>D26/C26</f>
        <v>1.006963767867884</v>
      </c>
      <c r="F26" s="33">
        <f t="shared" ref="F26:F27" si="17">(E26-1)/(3.6-1)</f>
        <v>2.67837225687846E-3</v>
      </c>
      <c r="G26" s="34">
        <v>1221.4000000000001</v>
      </c>
      <c r="H26" s="34">
        <v>1431.9</v>
      </c>
      <c r="I26" s="34">
        <f t="shared" si="1"/>
        <v>0.85299252741113207</v>
      </c>
      <c r="J26" s="35">
        <f t="shared" si="2"/>
        <v>1.8273285314183457E-2</v>
      </c>
      <c r="K26" s="36">
        <v>2545.9</v>
      </c>
      <c r="L26" s="36">
        <v>7024.7</v>
      </c>
      <c r="M26" s="37">
        <f>K26/L26</f>
        <v>0.36242117101086169</v>
      </c>
      <c r="N26" s="35">
        <f t="shared" si="12"/>
        <v>0.80925201525744117</v>
      </c>
      <c r="O26" s="34">
        <v>53181.4</v>
      </c>
      <c r="P26" s="34">
        <v>46171.4</v>
      </c>
      <c r="Q26" s="38">
        <f t="shared" si="4"/>
        <v>0.13181300229027443</v>
      </c>
      <c r="R26" s="39">
        <f t="shared" si="13"/>
        <v>0.22704518480070937</v>
      </c>
      <c r="S26" s="32" t="s">
        <v>50</v>
      </c>
      <c r="T26" s="39">
        <v>1</v>
      </c>
      <c r="U26" s="34">
        <v>1607.1</v>
      </c>
      <c r="V26" s="34">
        <v>43853.7</v>
      </c>
      <c r="W26" s="71">
        <f t="shared" si="5"/>
        <v>3.6646850778839641</v>
      </c>
      <c r="X26" s="39">
        <f t="shared" si="14"/>
        <v>1.0000766434107693</v>
      </c>
      <c r="Y26" s="34">
        <v>43853.7</v>
      </c>
      <c r="Z26" s="34">
        <v>41474.6</v>
      </c>
      <c r="AA26" s="34">
        <f t="shared" ref="AA26:AA27" si="18">Y26/Z26</f>
        <v>1.0573628196534746</v>
      </c>
      <c r="AB26" s="40">
        <f t="shared" si="7"/>
        <v>8.8745799880508444E-2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81">
        <f>F26+J26+N26+R26+T26+X26+AB26+AE26+AG26+AI26+AK26/11</f>
        <v>6.2369803918295803</v>
      </c>
      <c r="AM26" s="48">
        <f t="shared" si="9"/>
        <v>8.1080745093784543</v>
      </c>
      <c r="AN26" s="48">
        <f t="shared" si="10"/>
        <v>4.3658862742807063</v>
      </c>
      <c r="AO26" s="76">
        <v>2</v>
      </c>
    </row>
    <row r="27" spans="1:41" ht="15" customHeight="1" x14ac:dyDescent="0.25">
      <c r="A27" s="64"/>
      <c r="B27" s="18" t="s">
        <v>68</v>
      </c>
      <c r="C27" s="34">
        <f>SUM(C25:C26)</f>
        <v>50415.5</v>
      </c>
      <c r="D27" s="34">
        <f>SUM(D25:D26)</f>
        <v>54351.199999999997</v>
      </c>
      <c r="E27" s="32">
        <f t="shared" si="0"/>
        <v>1.0780652775436126</v>
      </c>
      <c r="F27" s="33">
        <f t="shared" si="17"/>
        <v>3.0025106747543301E-2</v>
      </c>
      <c r="G27" s="34">
        <f>SUM(G25:G26)</f>
        <v>3173.7</v>
      </c>
      <c r="H27" s="34">
        <f>SUM(H25:H26)</f>
        <v>4184.8999999999996</v>
      </c>
      <c r="I27" s="34">
        <f t="shared" si="1"/>
        <v>0.75836937561232054</v>
      </c>
      <c r="J27" s="35">
        <f t="shared" si="2"/>
        <v>-1.4355387719889482E-2</v>
      </c>
      <c r="K27" s="37">
        <f>SUM(K25:K26)</f>
        <v>3172.9</v>
      </c>
      <c r="L27" s="37">
        <f>SUM(L25:L26)</f>
        <v>8488.4</v>
      </c>
      <c r="M27" s="37">
        <f t="shared" ref="M27:M28" si="19">K27/L27</f>
        <v>0.37379246972338726</v>
      </c>
      <c r="N27" s="35">
        <f t="shared" si="12"/>
        <v>0.8032671211982173</v>
      </c>
      <c r="O27" s="34">
        <f>O25+O26</f>
        <v>77673.2</v>
      </c>
      <c r="P27" s="34">
        <f>SUM(P25:P26)</f>
        <v>73413</v>
      </c>
      <c r="Q27" s="38">
        <f t="shared" si="4"/>
        <v>5.4847746713151992E-2</v>
      </c>
      <c r="R27" s="39">
        <f t="shared" si="13"/>
        <v>0.66187713721383057</v>
      </c>
      <c r="S27" s="32" t="s">
        <v>50</v>
      </c>
      <c r="T27" s="39">
        <v>1</v>
      </c>
      <c r="U27" s="34">
        <f>SUM(U25:U26)</f>
        <v>2131.1</v>
      </c>
      <c r="V27" s="34">
        <f>SUM(V25:V26)</f>
        <v>56661.1</v>
      </c>
      <c r="W27" s="71">
        <f t="shared" si="5"/>
        <v>3.761134182004938</v>
      </c>
      <c r="X27" s="39">
        <f t="shared" si="14"/>
        <v>1.0000545979012561</v>
      </c>
      <c r="Y27" s="34">
        <f>SUM(Y25:Y26)</f>
        <v>56661.1</v>
      </c>
      <c r="Z27" s="34">
        <f>SUM(Z25:Z26)</f>
        <v>52879.199999999997</v>
      </c>
      <c r="AA27" s="34">
        <f t="shared" si="18"/>
        <v>1.0715196145176176</v>
      </c>
      <c r="AB27" s="40">
        <f t="shared" si="7"/>
        <v>9.362745328193707E-2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82"/>
      <c r="AM27" s="64"/>
      <c r="AN27" s="64"/>
      <c r="AO27" s="76"/>
    </row>
    <row r="28" spans="1:41" ht="15.75" x14ac:dyDescent="0.25">
      <c r="A28" s="64"/>
      <c r="B28" s="18" t="s">
        <v>69</v>
      </c>
      <c r="C28" s="32">
        <f>C23+C27</f>
        <v>58373.2</v>
      </c>
      <c r="D28" s="32">
        <f>D23+D27</f>
        <v>69744.800000000003</v>
      </c>
      <c r="E28" s="32">
        <f t="shared" si="0"/>
        <v>1.1948085765385486</v>
      </c>
      <c r="F28" s="33"/>
      <c r="G28" s="34">
        <f>G23+G27</f>
        <v>5133.3999999999996</v>
      </c>
      <c r="H28" s="34">
        <f>H23+H27</f>
        <v>5790.7</v>
      </c>
      <c r="I28" s="34">
        <f t="shared" si="1"/>
        <v>0.88649040703196502</v>
      </c>
      <c r="J28" s="35"/>
      <c r="K28" s="37">
        <f>K23+K27</f>
        <v>6208.9000000000005</v>
      </c>
      <c r="L28" s="37">
        <f>L23+L27</f>
        <v>19282.099999999999</v>
      </c>
      <c r="M28" s="37">
        <f t="shared" si="19"/>
        <v>0.32200330876823585</v>
      </c>
      <c r="N28" s="35"/>
      <c r="O28" s="32">
        <f>O23+O27</f>
        <v>151167.72999999998</v>
      </c>
      <c r="P28" s="32">
        <f>P23+P27</f>
        <v>142017.59999999998</v>
      </c>
      <c r="Q28" s="38">
        <f t="shared" si="4"/>
        <v>6.0529651401129099E-2</v>
      </c>
      <c r="R28" s="39"/>
      <c r="S28" s="32" t="s">
        <v>50</v>
      </c>
      <c r="T28" s="39"/>
      <c r="U28" s="32">
        <f>U23+U27</f>
        <v>41935.1</v>
      </c>
      <c r="V28" s="32">
        <f>V23+V27</f>
        <v>72377.5</v>
      </c>
      <c r="W28" s="71">
        <f t="shared" si="5"/>
        <v>57.93941487340679</v>
      </c>
      <c r="X28" s="39"/>
      <c r="Y28" s="34">
        <f>Y23+Y27</f>
        <v>71914.600000000006</v>
      </c>
      <c r="Z28" s="34">
        <f>Z23+Z27</f>
        <v>64920.399999999994</v>
      </c>
      <c r="AA28" s="34">
        <f>Y28/Z28</f>
        <v>1.1077350108748563</v>
      </c>
      <c r="AB28" s="40"/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82"/>
      <c r="AM28" s="64"/>
      <c r="AN28" s="64"/>
      <c r="AO28" s="76"/>
    </row>
  </sheetData>
  <mergeCells count="50">
    <mergeCell ref="AF5:AF10"/>
    <mergeCell ref="AG5:AG10"/>
    <mergeCell ref="AH5:AH10"/>
    <mergeCell ref="AI5:AI10"/>
    <mergeCell ref="AM4:AM10"/>
    <mergeCell ref="AC3:AM3"/>
    <mergeCell ref="C4:N4"/>
    <mergeCell ref="O4:R4"/>
    <mergeCell ref="S4:T4"/>
    <mergeCell ref="U4:X4"/>
    <mergeCell ref="AF4:AG4"/>
    <mergeCell ref="W5:W8"/>
    <mergeCell ref="X5:X10"/>
    <mergeCell ref="A3:A10"/>
    <mergeCell ref="B3:B10"/>
    <mergeCell ref="C3:N3"/>
    <mergeCell ref="O3:AB3"/>
    <mergeCell ref="M5:M10"/>
    <mergeCell ref="O5:O10"/>
    <mergeCell ref="L5:L10"/>
    <mergeCell ref="P5:P10"/>
    <mergeCell ref="Q5:Q10"/>
    <mergeCell ref="R5:R10"/>
    <mergeCell ref="C5:C10"/>
    <mergeCell ref="D5:D10"/>
    <mergeCell ref="E5:E10"/>
    <mergeCell ref="F5:F10"/>
    <mergeCell ref="AO4:AO8"/>
    <mergeCell ref="AH4:AI4"/>
    <mergeCell ref="AJ4:AK4"/>
    <mergeCell ref="AL4:AL10"/>
    <mergeCell ref="AJ5:AJ10"/>
    <mergeCell ref="AK5:AK10"/>
    <mergeCell ref="AN4:AN8"/>
    <mergeCell ref="G5:G10"/>
    <mergeCell ref="H5:H10"/>
    <mergeCell ref="I5:I10"/>
    <mergeCell ref="J5:J10"/>
    <mergeCell ref="AC4:AD4"/>
    <mergeCell ref="K6:K10"/>
    <mergeCell ref="Y5:Y8"/>
    <mergeCell ref="Z5:Z8"/>
    <mergeCell ref="AA5:AA8"/>
    <mergeCell ref="S5:S10"/>
    <mergeCell ref="T5:T10"/>
    <mergeCell ref="AC5:AC10"/>
    <mergeCell ref="AD5:AD8"/>
    <mergeCell ref="AB5:AB8"/>
    <mergeCell ref="U5:U10"/>
    <mergeCell ref="V5:V10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Пользователь Windows</cp:lastModifiedBy>
  <cp:lastPrinted>2020-02-12T07:52:00Z</cp:lastPrinted>
  <dcterms:created xsi:type="dcterms:W3CDTF">2015-01-30T07:14:52Z</dcterms:created>
  <dcterms:modified xsi:type="dcterms:W3CDTF">2020-02-12T23:12:25Z</dcterms:modified>
</cp:coreProperties>
</file>